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C:\datafolder7\DeskTopXP\現在進行形\成長関連\体格指数関連公開ファイル\"/>
    </mc:Choice>
  </mc:AlternateContent>
  <xr:revisionPtr revIDLastSave="0" documentId="13_ncr:1_{779E4DDA-FA5D-4EF7-B0E1-9F8DD03D63D1}" xr6:coauthVersionLast="34" xr6:coauthVersionMax="34" xr10:uidLastSave="{00000000-0000-0000-0000-000000000000}"/>
  <bookViews>
    <workbookView xWindow="0" yWindow="15" windowWidth="22080" windowHeight="11235" firstSheet="5" activeTab="8" xr2:uid="{00000000-000D-0000-FFFF-FFFF00000000}"/>
  </bookViews>
  <sheets>
    <sheet name="Height" sheetId="1" state="hidden" r:id="rId1"/>
    <sheet name="StdBW" sheetId="2" state="hidden" r:id="rId2"/>
    <sheet name="BMILMS" sheetId="3" state="hidden" r:id="rId3"/>
    <sheet name="WeightSDS" sheetId="6" state="hidden" r:id="rId4"/>
    <sheet name="IGF-LMS" sheetId="11" state="hidden" r:id="rId5"/>
    <sheet name="小児慢性特定疾病意見書記載項目計算" sheetId="9" r:id="rId6"/>
    <sheet name="縦断解析成長率計算" sheetId="10" r:id="rId7"/>
    <sheet name="data sheet" sheetId="4" r:id="rId8"/>
    <sheet name="readme" sheetId="5" r:id="rId9"/>
    <sheet name="HV" sheetId="12" state="hidden" r:id="rId10"/>
  </sheets>
  <definedNames>
    <definedName name="FHVaverage">HV!$C$51:$T$62</definedName>
    <definedName name="FHVstd">HV!$C$65:$T$76</definedName>
    <definedName name="Hfemalemean">Height!$B$22:$S$33</definedName>
    <definedName name="Hfemalesd">Height!$U$22:$AL$33</definedName>
    <definedName name="Hmalemean">Height!$B$5:$S$16</definedName>
    <definedName name="Hmalesd">Height!$U$5:$AL$16</definedName>
    <definedName name="HVcalc">縦断解析成長率計算!$D$8:$R$57</definedName>
    <definedName name="IGFfemale">'IGF-LMS'!$N$6:$P$83</definedName>
    <definedName name="IGFmale">'IGF-LMS'!$C$6:$E$83</definedName>
    <definedName name="itoOI">StdBW!$H$6:$K$11</definedName>
    <definedName name="MHVaverage">HV!$C$5:$T$16</definedName>
    <definedName name="MHVstd">HV!$C$20:$T$31</definedName>
    <definedName name="muratafemale">StdBW!$C$18:$D$30</definedName>
    <definedName name="muratamale">StdBW!$C$4:$D$16</definedName>
    <definedName name="sex">StdBW!$G$22:$G$23</definedName>
  </definedNames>
  <calcPr calcId="179017"/>
</workbook>
</file>

<file path=xl/calcChain.xml><?xml version="1.0" encoding="utf-8"?>
<calcChain xmlns="http://schemas.openxmlformats.org/spreadsheetml/2006/main">
  <c r="C19" i="9" l="1"/>
  <c r="F19" i="9"/>
  <c r="F18" i="9"/>
  <c r="F17" i="9"/>
  <c r="F16" i="9"/>
  <c r="F15" i="9"/>
  <c r="F21" i="9"/>
  <c r="F20" i="9"/>
  <c r="C11" i="9"/>
  <c r="C16" i="9" l="1"/>
  <c r="AE8" i="10"/>
  <c r="AD8" i="10"/>
  <c r="AD15" i="10"/>
  <c r="O15" i="10" l="1"/>
  <c r="O14" i="10"/>
  <c r="O13" i="10"/>
  <c r="O12" i="10"/>
  <c r="O11" i="10"/>
  <c r="AA8" i="10" l="1"/>
  <c r="R8" i="10" l="1"/>
  <c r="R12" i="10"/>
  <c r="R11" i="10"/>
  <c r="R10" i="10"/>
  <c r="R9" i="10"/>
  <c r="N3" i="4"/>
  <c r="AC9" i="10" l="1"/>
  <c r="AC8" i="10"/>
  <c r="Q57" i="10"/>
  <c r="P57" i="10"/>
  <c r="O57" i="10"/>
  <c r="N57" i="10"/>
  <c r="M57" i="10"/>
  <c r="L57" i="10"/>
  <c r="K57" i="10"/>
  <c r="J57" i="10"/>
  <c r="I57" i="10"/>
  <c r="H57" i="10"/>
  <c r="Q56" i="10"/>
  <c r="P56" i="10"/>
  <c r="O56" i="10"/>
  <c r="N56" i="10"/>
  <c r="M56" i="10"/>
  <c r="L56" i="10"/>
  <c r="K56" i="10"/>
  <c r="J56" i="10"/>
  <c r="I56" i="10"/>
  <c r="H56" i="10"/>
  <c r="Q55" i="10"/>
  <c r="P55" i="10"/>
  <c r="O55" i="10"/>
  <c r="N55" i="10"/>
  <c r="M55" i="10"/>
  <c r="L55" i="10"/>
  <c r="K55" i="10"/>
  <c r="J55" i="10"/>
  <c r="I55" i="10"/>
  <c r="H55" i="10"/>
  <c r="Q54" i="10"/>
  <c r="P54" i="10"/>
  <c r="O54" i="10"/>
  <c r="N54" i="10"/>
  <c r="M54" i="10"/>
  <c r="L54" i="10"/>
  <c r="K54" i="10"/>
  <c r="J54" i="10"/>
  <c r="I54" i="10"/>
  <c r="H54" i="10"/>
  <c r="Q53" i="10"/>
  <c r="P53" i="10"/>
  <c r="O53" i="10"/>
  <c r="N53" i="10"/>
  <c r="M53" i="10"/>
  <c r="L53" i="10"/>
  <c r="K53" i="10"/>
  <c r="J53" i="10"/>
  <c r="I53" i="10"/>
  <c r="H53" i="10"/>
  <c r="Q52" i="10"/>
  <c r="P52" i="10"/>
  <c r="O52" i="10"/>
  <c r="N52" i="10"/>
  <c r="M52" i="10"/>
  <c r="L52" i="10"/>
  <c r="K52" i="10"/>
  <c r="J52" i="10"/>
  <c r="I52" i="10"/>
  <c r="H52" i="10"/>
  <c r="Q51" i="10"/>
  <c r="P51" i="10"/>
  <c r="O51" i="10"/>
  <c r="N51" i="10"/>
  <c r="M51" i="10"/>
  <c r="L51" i="10"/>
  <c r="K51" i="10"/>
  <c r="J51" i="10"/>
  <c r="I51" i="10"/>
  <c r="H51" i="10"/>
  <c r="Q50" i="10"/>
  <c r="P50" i="10"/>
  <c r="O50" i="10"/>
  <c r="N50" i="10"/>
  <c r="M50" i="10"/>
  <c r="L50" i="10"/>
  <c r="K50" i="10"/>
  <c r="J50" i="10"/>
  <c r="I50" i="10"/>
  <c r="H50" i="10"/>
  <c r="Q49" i="10"/>
  <c r="P49" i="10"/>
  <c r="O49" i="10"/>
  <c r="N49" i="10"/>
  <c r="M49" i="10"/>
  <c r="L49" i="10"/>
  <c r="K49" i="10"/>
  <c r="J49" i="10"/>
  <c r="I49" i="10"/>
  <c r="H49" i="10"/>
  <c r="Q48" i="10"/>
  <c r="P48" i="10"/>
  <c r="O48" i="10"/>
  <c r="N48" i="10"/>
  <c r="M48" i="10"/>
  <c r="L48" i="10"/>
  <c r="K48" i="10"/>
  <c r="J48" i="10"/>
  <c r="I48" i="10"/>
  <c r="H48" i="10"/>
  <c r="Q47" i="10"/>
  <c r="P47" i="10"/>
  <c r="O47" i="10"/>
  <c r="N47" i="10"/>
  <c r="M47" i="10"/>
  <c r="L47" i="10"/>
  <c r="K47" i="10"/>
  <c r="J47" i="10"/>
  <c r="I47" i="10"/>
  <c r="H47" i="10"/>
  <c r="Q46" i="10"/>
  <c r="P46" i="10"/>
  <c r="O46" i="10"/>
  <c r="N46" i="10"/>
  <c r="M46" i="10"/>
  <c r="L46" i="10"/>
  <c r="K46" i="10"/>
  <c r="J46" i="10"/>
  <c r="I46" i="10"/>
  <c r="H46" i="10"/>
  <c r="Q45" i="10"/>
  <c r="P45" i="10"/>
  <c r="O45" i="10"/>
  <c r="N45" i="10"/>
  <c r="M45" i="10"/>
  <c r="L45" i="10"/>
  <c r="K45" i="10"/>
  <c r="J45" i="10"/>
  <c r="I45" i="10"/>
  <c r="H45" i="10"/>
  <c r="Q44" i="10"/>
  <c r="P44" i="10"/>
  <c r="O44" i="10"/>
  <c r="N44" i="10"/>
  <c r="M44" i="10"/>
  <c r="L44" i="10"/>
  <c r="K44" i="10"/>
  <c r="J44" i="10"/>
  <c r="I44" i="10"/>
  <c r="H44" i="10"/>
  <c r="Q43" i="10"/>
  <c r="P43" i="10"/>
  <c r="O43" i="10"/>
  <c r="N43" i="10"/>
  <c r="M43" i="10"/>
  <c r="L43" i="10"/>
  <c r="K43" i="10"/>
  <c r="J43" i="10"/>
  <c r="I43" i="10"/>
  <c r="H43" i="10"/>
  <c r="Q42" i="10"/>
  <c r="P42" i="10"/>
  <c r="O42" i="10"/>
  <c r="N42" i="10"/>
  <c r="M42" i="10"/>
  <c r="L42" i="10"/>
  <c r="K42" i="10"/>
  <c r="J42" i="10"/>
  <c r="I42" i="10"/>
  <c r="H42" i="10"/>
  <c r="Q41" i="10"/>
  <c r="P41" i="10"/>
  <c r="O41" i="10"/>
  <c r="N41" i="10"/>
  <c r="M41" i="10"/>
  <c r="L41" i="10"/>
  <c r="K41" i="10"/>
  <c r="J41" i="10"/>
  <c r="I41" i="10"/>
  <c r="H41" i="10"/>
  <c r="Q40" i="10"/>
  <c r="P40" i="10"/>
  <c r="O40" i="10"/>
  <c r="N40" i="10"/>
  <c r="M40" i="10"/>
  <c r="L40" i="10"/>
  <c r="K40" i="10"/>
  <c r="J40" i="10"/>
  <c r="I40" i="10"/>
  <c r="H40" i="10"/>
  <c r="Q39" i="10"/>
  <c r="P39" i="10"/>
  <c r="O39" i="10"/>
  <c r="N39" i="10"/>
  <c r="M39" i="10"/>
  <c r="L39" i="10"/>
  <c r="K39" i="10"/>
  <c r="J39" i="10"/>
  <c r="I39" i="10"/>
  <c r="H39" i="10"/>
  <c r="Q38" i="10"/>
  <c r="P38" i="10"/>
  <c r="O38" i="10"/>
  <c r="N38" i="10"/>
  <c r="M38" i="10"/>
  <c r="L38" i="10"/>
  <c r="K38" i="10"/>
  <c r="J38" i="10"/>
  <c r="I38" i="10"/>
  <c r="H38" i="10"/>
  <c r="Q37" i="10"/>
  <c r="P37" i="10"/>
  <c r="O37" i="10"/>
  <c r="N37" i="10"/>
  <c r="M37" i="10"/>
  <c r="L37" i="10"/>
  <c r="K37" i="10"/>
  <c r="J37" i="10"/>
  <c r="I37" i="10"/>
  <c r="H37" i="10"/>
  <c r="Q36" i="10"/>
  <c r="P36" i="10"/>
  <c r="O36" i="10"/>
  <c r="N36" i="10"/>
  <c r="M36" i="10"/>
  <c r="L36" i="10"/>
  <c r="K36" i="10"/>
  <c r="J36" i="10"/>
  <c r="I36" i="10"/>
  <c r="H36" i="10"/>
  <c r="Q35" i="10"/>
  <c r="P35" i="10"/>
  <c r="O35" i="10"/>
  <c r="N35" i="10"/>
  <c r="M35" i="10"/>
  <c r="L35" i="10"/>
  <c r="K35" i="10"/>
  <c r="J35" i="10"/>
  <c r="I35" i="10"/>
  <c r="H35" i="10"/>
  <c r="Q34" i="10"/>
  <c r="P34" i="10"/>
  <c r="O34" i="10"/>
  <c r="N34" i="10"/>
  <c r="M34" i="10"/>
  <c r="L34" i="10"/>
  <c r="K34" i="10"/>
  <c r="J34" i="10"/>
  <c r="I34" i="10"/>
  <c r="H34" i="10"/>
  <c r="Q33" i="10"/>
  <c r="P33" i="10"/>
  <c r="O33" i="10"/>
  <c r="N33" i="10"/>
  <c r="M33" i="10"/>
  <c r="L33" i="10"/>
  <c r="K33" i="10"/>
  <c r="J33" i="10"/>
  <c r="I33" i="10"/>
  <c r="H33" i="10"/>
  <c r="Q32" i="10"/>
  <c r="P32" i="10"/>
  <c r="O32" i="10"/>
  <c r="N32" i="10"/>
  <c r="M32" i="10"/>
  <c r="L32" i="10"/>
  <c r="K32" i="10"/>
  <c r="J32" i="10"/>
  <c r="I32" i="10"/>
  <c r="H32" i="10"/>
  <c r="Q31" i="10"/>
  <c r="P31" i="10"/>
  <c r="O31" i="10"/>
  <c r="N31" i="10"/>
  <c r="M31" i="10"/>
  <c r="L31" i="10"/>
  <c r="K31" i="10"/>
  <c r="J31" i="10"/>
  <c r="I31" i="10"/>
  <c r="H31" i="10"/>
  <c r="Q30" i="10"/>
  <c r="P30" i="10"/>
  <c r="O30" i="10"/>
  <c r="N30" i="10"/>
  <c r="M30" i="10"/>
  <c r="L30" i="10"/>
  <c r="K30" i="10"/>
  <c r="J30" i="10"/>
  <c r="I30" i="10"/>
  <c r="H30" i="10"/>
  <c r="Q29" i="10"/>
  <c r="P29" i="10"/>
  <c r="O29" i="10"/>
  <c r="N29" i="10"/>
  <c r="M29" i="10"/>
  <c r="L29" i="10"/>
  <c r="K29" i="10"/>
  <c r="J29" i="10"/>
  <c r="I29" i="10"/>
  <c r="H29" i="10"/>
  <c r="Q28" i="10"/>
  <c r="P28" i="10"/>
  <c r="O28" i="10"/>
  <c r="N28" i="10"/>
  <c r="M28" i="10"/>
  <c r="L28" i="10"/>
  <c r="K28" i="10"/>
  <c r="J28" i="10"/>
  <c r="I28" i="10"/>
  <c r="H28" i="10"/>
  <c r="Q27" i="10"/>
  <c r="P27" i="10"/>
  <c r="O27" i="10"/>
  <c r="N27" i="10"/>
  <c r="M27" i="10"/>
  <c r="L27" i="10"/>
  <c r="K27" i="10"/>
  <c r="J27" i="10"/>
  <c r="I27" i="10"/>
  <c r="H27" i="10"/>
  <c r="Q26" i="10"/>
  <c r="P26" i="10"/>
  <c r="O26" i="10"/>
  <c r="N26" i="10"/>
  <c r="M26" i="10"/>
  <c r="L26" i="10"/>
  <c r="K26" i="10"/>
  <c r="J26" i="10"/>
  <c r="I26" i="10"/>
  <c r="H26" i="10"/>
  <c r="Q25" i="10"/>
  <c r="P25" i="10"/>
  <c r="O25" i="10"/>
  <c r="N25" i="10"/>
  <c r="M25" i="10"/>
  <c r="L25" i="10"/>
  <c r="K25" i="10"/>
  <c r="J25" i="10"/>
  <c r="I25" i="10"/>
  <c r="H25" i="10"/>
  <c r="Q24" i="10"/>
  <c r="P24" i="10"/>
  <c r="O24" i="10"/>
  <c r="N24" i="10"/>
  <c r="M24" i="10"/>
  <c r="L24" i="10"/>
  <c r="K24" i="10"/>
  <c r="J24" i="10"/>
  <c r="I24" i="10"/>
  <c r="H24" i="10"/>
  <c r="Q23" i="10"/>
  <c r="P23" i="10"/>
  <c r="O23" i="10"/>
  <c r="N23" i="10"/>
  <c r="M23" i="10"/>
  <c r="L23" i="10"/>
  <c r="K23" i="10"/>
  <c r="J23" i="10"/>
  <c r="I23" i="10"/>
  <c r="H23" i="10"/>
  <c r="Q22" i="10"/>
  <c r="P22" i="10"/>
  <c r="O22" i="10"/>
  <c r="N22" i="10"/>
  <c r="M22" i="10"/>
  <c r="L22" i="10"/>
  <c r="K22" i="10"/>
  <c r="J22" i="10"/>
  <c r="I22" i="10"/>
  <c r="H22" i="10"/>
  <c r="Q21" i="10"/>
  <c r="P21" i="10"/>
  <c r="O21" i="10"/>
  <c r="N21" i="10"/>
  <c r="M21" i="10"/>
  <c r="L21" i="10"/>
  <c r="K21" i="10"/>
  <c r="J21" i="10"/>
  <c r="I21" i="10"/>
  <c r="H21" i="10"/>
  <c r="Q20" i="10"/>
  <c r="P20" i="10"/>
  <c r="O20" i="10"/>
  <c r="N20" i="10"/>
  <c r="M20" i="10"/>
  <c r="L20" i="10"/>
  <c r="K20" i="10"/>
  <c r="J20" i="10"/>
  <c r="I20" i="10"/>
  <c r="H20" i="10"/>
  <c r="Q19" i="10"/>
  <c r="P19" i="10"/>
  <c r="O19" i="10"/>
  <c r="N19" i="10"/>
  <c r="M19" i="10"/>
  <c r="L19" i="10"/>
  <c r="K19" i="10"/>
  <c r="J19" i="10"/>
  <c r="I19" i="10"/>
  <c r="H19" i="10"/>
  <c r="Q18" i="10"/>
  <c r="P18" i="10"/>
  <c r="O18" i="10"/>
  <c r="N18" i="10"/>
  <c r="M18" i="10"/>
  <c r="L18" i="10"/>
  <c r="K18" i="10"/>
  <c r="J18" i="10"/>
  <c r="I18" i="10"/>
  <c r="H18" i="10"/>
  <c r="Q17" i="10"/>
  <c r="P17" i="10"/>
  <c r="O17" i="10"/>
  <c r="N17" i="10"/>
  <c r="M17" i="10"/>
  <c r="L17" i="10"/>
  <c r="K17" i="10"/>
  <c r="J17" i="10"/>
  <c r="I17" i="10"/>
  <c r="H17" i="10"/>
  <c r="Q16" i="10"/>
  <c r="P16" i="10"/>
  <c r="O16" i="10"/>
  <c r="N16" i="10"/>
  <c r="M16" i="10"/>
  <c r="L16" i="10"/>
  <c r="K16" i="10"/>
  <c r="J16" i="10"/>
  <c r="I16" i="10"/>
  <c r="H16" i="10"/>
  <c r="Q15" i="10"/>
  <c r="P15" i="10"/>
  <c r="N15" i="10"/>
  <c r="M15" i="10"/>
  <c r="L15" i="10"/>
  <c r="K15" i="10"/>
  <c r="J15" i="10"/>
  <c r="I15" i="10"/>
  <c r="H15" i="10"/>
  <c r="Q14" i="10"/>
  <c r="P14" i="10"/>
  <c r="N14" i="10"/>
  <c r="M14" i="10"/>
  <c r="L14" i="10"/>
  <c r="K14" i="10"/>
  <c r="J14" i="10"/>
  <c r="I14" i="10"/>
  <c r="H14" i="10"/>
  <c r="Q13" i="10"/>
  <c r="P13" i="10"/>
  <c r="N13" i="10"/>
  <c r="M13" i="10"/>
  <c r="L13" i="10"/>
  <c r="K13" i="10"/>
  <c r="J13" i="10"/>
  <c r="I13" i="10"/>
  <c r="H13" i="10"/>
  <c r="Q12" i="10"/>
  <c r="P12" i="10"/>
  <c r="N12" i="10"/>
  <c r="M12" i="10"/>
  <c r="L12" i="10"/>
  <c r="K12" i="10"/>
  <c r="J12" i="10"/>
  <c r="I12" i="10"/>
  <c r="H12" i="10"/>
  <c r="Q11" i="10"/>
  <c r="P11" i="10"/>
  <c r="N11" i="10"/>
  <c r="M11" i="10"/>
  <c r="L11" i="10"/>
  <c r="K11" i="10"/>
  <c r="J11" i="10"/>
  <c r="I11" i="10"/>
  <c r="H11" i="10"/>
  <c r="L10" i="10"/>
  <c r="I10" i="10"/>
  <c r="L9" i="10"/>
  <c r="I9" i="10"/>
  <c r="K8" i="10"/>
  <c r="J8" i="10"/>
  <c r="F14" i="9"/>
  <c r="D88" i="11" l="1"/>
  <c r="E88" i="11"/>
  <c r="E87" i="11"/>
  <c r="D87" i="11"/>
  <c r="C87" i="11"/>
  <c r="C88" i="11" s="1"/>
  <c r="B87" i="11"/>
  <c r="B88" i="11" s="1"/>
  <c r="G87" i="11" l="1"/>
  <c r="L87" i="11" s="1"/>
  <c r="G88" i="11"/>
  <c r="K87" i="11" l="1"/>
  <c r="J87" i="11"/>
  <c r="L88" i="11"/>
  <c r="J88" i="11"/>
  <c r="K88" i="11"/>
  <c r="O88" i="11" l="1"/>
  <c r="F23" i="9" s="1"/>
  <c r="O87" i="11"/>
  <c r="C23" i="9" s="1"/>
  <c r="N87" i="11"/>
  <c r="C22" i="9" s="1"/>
  <c r="N88" i="11"/>
  <c r="F22" i="9" s="1"/>
  <c r="AO8" i="10" l="1"/>
  <c r="AP8" i="10"/>
  <c r="L8" i="10"/>
  <c r="AA3" i="4"/>
  <c r="AB3" i="4"/>
  <c r="D57" i="6"/>
  <c r="AA1002" i="4"/>
  <c r="AB1002" i="4"/>
  <c r="AA1001" i="4"/>
  <c r="AB1001" i="4"/>
  <c r="AA1000" i="4"/>
  <c r="AB1000" i="4"/>
  <c r="AA999" i="4"/>
  <c r="AB999" i="4"/>
  <c r="AA998" i="4"/>
  <c r="AB998" i="4"/>
  <c r="AA997" i="4"/>
  <c r="AB997" i="4"/>
  <c r="AA996" i="4"/>
  <c r="AB996" i="4"/>
  <c r="AA995" i="4"/>
  <c r="AB995" i="4"/>
  <c r="AA994" i="4"/>
  <c r="AB994" i="4"/>
  <c r="AA993" i="4"/>
  <c r="AB993" i="4"/>
  <c r="AA992" i="4"/>
  <c r="AB992" i="4"/>
  <c r="AA991" i="4"/>
  <c r="AB991" i="4"/>
  <c r="AA990" i="4"/>
  <c r="AB990" i="4"/>
  <c r="AA989" i="4"/>
  <c r="AB989" i="4"/>
  <c r="AA988" i="4"/>
  <c r="AB988" i="4"/>
  <c r="AA987" i="4"/>
  <c r="AB987" i="4"/>
  <c r="AA986" i="4"/>
  <c r="AB986" i="4"/>
  <c r="AA985" i="4"/>
  <c r="AB985" i="4"/>
  <c r="AA984" i="4"/>
  <c r="AB984" i="4"/>
  <c r="AA983" i="4"/>
  <c r="AB983" i="4"/>
  <c r="AA982" i="4"/>
  <c r="AB982" i="4"/>
  <c r="AA981" i="4"/>
  <c r="AB981" i="4"/>
  <c r="AA980" i="4"/>
  <c r="AB980" i="4"/>
  <c r="AA979" i="4"/>
  <c r="AB979" i="4"/>
  <c r="AA978" i="4"/>
  <c r="AB978" i="4"/>
  <c r="AA977" i="4"/>
  <c r="AB977" i="4"/>
  <c r="AA976" i="4"/>
  <c r="AB976" i="4"/>
  <c r="AA975" i="4"/>
  <c r="AB975" i="4"/>
  <c r="AA974" i="4"/>
  <c r="AB974" i="4"/>
  <c r="AA973" i="4"/>
  <c r="AB973" i="4"/>
  <c r="AA972" i="4"/>
  <c r="AB972" i="4"/>
  <c r="AA971" i="4"/>
  <c r="AB971" i="4"/>
  <c r="AA970" i="4"/>
  <c r="AB970" i="4"/>
  <c r="AA969" i="4"/>
  <c r="AB969" i="4"/>
  <c r="AA968" i="4"/>
  <c r="AB968" i="4"/>
  <c r="AA967" i="4"/>
  <c r="AB967" i="4"/>
  <c r="AA966" i="4"/>
  <c r="AB966" i="4"/>
  <c r="AA965" i="4"/>
  <c r="AB965" i="4"/>
  <c r="AA964" i="4"/>
  <c r="AB964" i="4"/>
  <c r="AA963" i="4"/>
  <c r="AB963" i="4"/>
  <c r="AA962" i="4"/>
  <c r="AB962" i="4"/>
  <c r="AA961" i="4"/>
  <c r="AB961" i="4"/>
  <c r="AA960" i="4"/>
  <c r="AB960" i="4"/>
  <c r="AA959" i="4"/>
  <c r="AB959" i="4"/>
  <c r="AA958" i="4"/>
  <c r="AB958" i="4"/>
  <c r="AA957" i="4"/>
  <c r="AB957" i="4"/>
  <c r="AA956" i="4"/>
  <c r="AB956" i="4"/>
  <c r="AA955" i="4"/>
  <c r="AB955" i="4"/>
  <c r="AA954" i="4"/>
  <c r="AB954" i="4"/>
  <c r="AA953" i="4"/>
  <c r="AB953" i="4"/>
  <c r="AA952" i="4"/>
  <c r="AB952" i="4"/>
  <c r="AA951" i="4"/>
  <c r="AB951" i="4"/>
  <c r="AA950" i="4"/>
  <c r="AB950" i="4"/>
  <c r="AA949" i="4"/>
  <c r="AB949" i="4"/>
  <c r="AA948" i="4"/>
  <c r="AB948" i="4"/>
  <c r="AA947" i="4"/>
  <c r="AB947" i="4"/>
  <c r="AA946" i="4"/>
  <c r="AB946" i="4"/>
  <c r="AA945" i="4"/>
  <c r="AB945" i="4"/>
  <c r="AA944" i="4"/>
  <c r="AB944" i="4"/>
  <c r="AA943" i="4"/>
  <c r="AB943" i="4"/>
  <c r="AA942" i="4"/>
  <c r="AB942" i="4"/>
  <c r="AA941" i="4"/>
  <c r="AB941" i="4"/>
  <c r="AA940" i="4"/>
  <c r="AB940" i="4"/>
  <c r="AA939" i="4"/>
  <c r="AB939" i="4"/>
  <c r="AA938" i="4"/>
  <c r="AB938" i="4"/>
  <c r="AA937" i="4"/>
  <c r="AB937" i="4"/>
  <c r="AA936" i="4"/>
  <c r="AB936" i="4"/>
  <c r="AA935" i="4"/>
  <c r="AB935" i="4"/>
  <c r="AA934" i="4"/>
  <c r="AB934" i="4"/>
  <c r="AA933" i="4"/>
  <c r="AB933" i="4"/>
  <c r="AA932" i="4"/>
  <c r="AB932" i="4"/>
  <c r="AA931" i="4"/>
  <c r="AB931" i="4"/>
  <c r="AA930" i="4"/>
  <c r="AB930" i="4"/>
  <c r="AA929" i="4"/>
  <c r="AB929" i="4"/>
  <c r="AA928" i="4"/>
  <c r="AB928" i="4"/>
  <c r="AA927" i="4"/>
  <c r="AB927" i="4"/>
  <c r="AA926" i="4"/>
  <c r="AB926" i="4"/>
  <c r="AA925" i="4"/>
  <c r="AB925" i="4"/>
  <c r="AA924" i="4"/>
  <c r="AB924" i="4"/>
  <c r="AA923" i="4"/>
  <c r="AB923" i="4"/>
  <c r="AA922" i="4"/>
  <c r="AB922" i="4"/>
  <c r="AA921" i="4"/>
  <c r="AB921" i="4"/>
  <c r="AA920" i="4"/>
  <c r="AB920" i="4"/>
  <c r="AA919" i="4"/>
  <c r="AB919" i="4"/>
  <c r="AA918" i="4"/>
  <c r="AB918" i="4"/>
  <c r="AA917" i="4"/>
  <c r="AB917" i="4"/>
  <c r="AA916" i="4"/>
  <c r="AB916" i="4"/>
  <c r="AA915" i="4"/>
  <c r="AB915" i="4"/>
  <c r="AA914" i="4"/>
  <c r="AB914" i="4"/>
  <c r="AA913" i="4"/>
  <c r="AB913" i="4"/>
  <c r="AA912" i="4"/>
  <c r="AB912" i="4"/>
  <c r="AA911" i="4"/>
  <c r="AB911" i="4"/>
  <c r="AA910" i="4"/>
  <c r="AB910" i="4"/>
  <c r="AA909" i="4"/>
  <c r="AB909" i="4"/>
  <c r="AA908" i="4"/>
  <c r="AB908" i="4"/>
  <c r="AA907" i="4"/>
  <c r="AB907" i="4"/>
  <c r="AA906" i="4"/>
  <c r="AB906" i="4"/>
  <c r="AA905" i="4"/>
  <c r="AB905" i="4"/>
  <c r="AA904" i="4"/>
  <c r="AB904" i="4"/>
  <c r="AA903" i="4"/>
  <c r="AB903" i="4"/>
  <c r="AA902" i="4"/>
  <c r="AB902" i="4"/>
  <c r="AA901" i="4"/>
  <c r="AB901" i="4"/>
  <c r="AA900" i="4"/>
  <c r="AB900" i="4"/>
  <c r="AA899" i="4"/>
  <c r="AB899" i="4"/>
  <c r="AA898" i="4"/>
  <c r="AB898" i="4"/>
  <c r="AA897" i="4"/>
  <c r="AB897" i="4"/>
  <c r="AA896" i="4"/>
  <c r="AB896" i="4"/>
  <c r="AA895" i="4"/>
  <c r="AB895" i="4"/>
  <c r="AA894" i="4"/>
  <c r="AB894" i="4"/>
  <c r="AA893" i="4"/>
  <c r="AB893" i="4"/>
  <c r="AA892" i="4"/>
  <c r="AB892" i="4"/>
  <c r="AA891" i="4"/>
  <c r="AB891" i="4"/>
  <c r="AA890" i="4"/>
  <c r="AB890" i="4"/>
  <c r="AA889" i="4"/>
  <c r="AB889" i="4"/>
  <c r="AA888" i="4"/>
  <c r="AB888" i="4"/>
  <c r="AA887" i="4"/>
  <c r="AB887" i="4"/>
  <c r="AA886" i="4"/>
  <c r="AB886" i="4"/>
  <c r="AA885" i="4"/>
  <c r="AB885" i="4"/>
  <c r="AA884" i="4"/>
  <c r="AB884" i="4"/>
  <c r="AA883" i="4"/>
  <c r="AB883" i="4"/>
  <c r="AA882" i="4"/>
  <c r="AB882" i="4"/>
  <c r="AA881" i="4"/>
  <c r="AB881" i="4"/>
  <c r="AA880" i="4"/>
  <c r="AB880" i="4"/>
  <c r="AA879" i="4"/>
  <c r="AB879" i="4"/>
  <c r="AA878" i="4"/>
  <c r="AB878" i="4"/>
  <c r="AA877" i="4"/>
  <c r="AB877" i="4"/>
  <c r="AA876" i="4"/>
  <c r="AB876" i="4"/>
  <c r="AA875" i="4"/>
  <c r="AB875" i="4"/>
  <c r="AA874" i="4"/>
  <c r="AB874" i="4"/>
  <c r="AA873" i="4"/>
  <c r="AB873" i="4"/>
  <c r="AA872" i="4"/>
  <c r="AB872" i="4"/>
  <c r="AA871" i="4"/>
  <c r="AB871" i="4"/>
  <c r="AA870" i="4"/>
  <c r="AB870" i="4"/>
  <c r="AA869" i="4"/>
  <c r="AB869" i="4"/>
  <c r="AA868" i="4"/>
  <c r="AB868" i="4"/>
  <c r="AA867" i="4"/>
  <c r="AB867" i="4"/>
  <c r="AA866" i="4"/>
  <c r="AB866" i="4"/>
  <c r="AA865" i="4"/>
  <c r="AB865" i="4"/>
  <c r="AA864" i="4"/>
  <c r="AB864" i="4"/>
  <c r="AA863" i="4"/>
  <c r="AB863" i="4"/>
  <c r="AA862" i="4"/>
  <c r="AB862" i="4"/>
  <c r="AA861" i="4"/>
  <c r="AB861" i="4"/>
  <c r="AA860" i="4"/>
  <c r="AB860" i="4"/>
  <c r="AA859" i="4"/>
  <c r="AB859" i="4"/>
  <c r="AA858" i="4"/>
  <c r="AB858" i="4"/>
  <c r="AA857" i="4"/>
  <c r="AB857" i="4"/>
  <c r="AA856" i="4"/>
  <c r="AB856" i="4"/>
  <c r="AA855" i="4"/>
  <c r="AB855" i="4"/>
  <c r="AA854" i="4"/>
  <c r="AB854" i="4"/>
  <c r="AA853" i="4"/>
  <c r="AB853" i="4"/>
  <c r="AA852" i="4"/>
  <c r="AB852" i="4"/>
  <c r="AA851" i="4"/>
  <c r="AB851" i="4"/>
  <c r="AA850" i="4"/>
  <c r="AB850" i="4"/>
  <c r="AA849" i="4"/>
  <c r="AB849" i="4"/>
  <c r="AA848" i="4"/>
  <c r="AB848" i="4"/>
  <c r="AA847" i="4"/>
  <c r="AB847" i="4"/>
  <c r="AA846" i="4"/>
  <c r="AB846" i="4"/>
  <c r="AA845" i="4"/>
  <c r="AB845" i="4"/>
  <c r="AA844" i="4"/>
  <c r="AB844" i="4"/>
  <c r="AA843" i="4"/>
  <c r="AB843" i="4"/>
  <c r="AA842" i="4"/>
  <c r="AB842" i="4"/>
  <c r="AA841" i="4"/>
  <c r="AB841" i="4"/>
  <c r="AA840" i="4"/>
  <c r="AB840" i="4"/>
  <c r="AA839" i="4"/>
  <c r="AB839" i="4"/>
  <c r="AA838" i="4"/>
  <c r="AB838" i="4"/>
  <c r="AA837" i="4"/>
  <c r="AB837" i="4"/>
  <c r="AA836" i="4"/>
  <c r="AB836" i="4"/>
  <c r="AA835" i="4"/>
  <c r="AB835" i="4"/>
  <c r="AA834" i="4"/>
  <c r="AB834" i="4"/>
  <c r="AA833" i="4"/>
  <c r="AB833" i="4"/>
  <c r="AA832" i="4"/>
  <c r="AB832" i="4"/>
  <c r="AA831" i="4"/>
  <c r="AB831" i="4"/>
  <c r="AA830" i="4"/>
  <c r="AB830" i="4"/>
  <c r="AA829" i="4"/>
  <c r="AB829" i="4"/>
  <c r="AA828" i="4"/>
  <c r="AB828" i="4"/>
  <c r="AA827" i="4"/>
  <c r="AB827" i="4"/>
  <c r="AA826" i="4"/>
  <c r="AB826" i="4"/>
  <c r="AA825" i="4"/>
  <c r="AB825" i="4"/>
  <c r="AA824" i="4"/>
  <c r="AB824" i="4"/>
  <c r="AA823" i="4"/>
  <c r="AB823" i="4"/>
  <c r="AA822" i="4"/>
  <c r="AB822" i="4"/>
  <c r="AA821" i="4"/>
  <c r="AB821" i="4"/>
  <c r="AA820" i="4"/>
  <c r="AB820" i="4"/>
  <c r="AA819" i="4"/>
  <c r="AB819" i="4"/>
  <c r="AA818" i="4"/>
  <c r="AB818" i="4"/>
  <c r="AA817" i="4"/>
  <c r="AB817" i="4"/>
  <c r="AA816" i="4"/>
  <c r="AB816" i="4"/>
  <c r="AA815" i="4"/>
  <c r="AB815" i="4"/>
  <c r="AA814" i="4"/>
  <c r="AB814" i="4"/>
  <c r="AA813" i="4"/>
  <c r="AB813" i="4"/>
  <c r="AA812" i="4"/>
  <c r="AB812" i="4"/>
  <c r="AA811" i="4"/>
  <c r="AB811" i="4"/>
  <c r="AA810" i="4"/>
  <c r="AB810" i="4"/>
  <c r="AA809" i="4"/>
  <c r="AB809" i="4"/>
  <c r="AA808" i="4"/>
  <c r="AB808" i="4"/>
  <c r="AA807" i="4"/>
  <c r="AB807" i="4"/>
  <c r="AA806" i="4"/>
  <c r="AB806" i="4"/>
  <c r="AA805" i="4"/>
  <c r="AB805" i="4"/>
  <c r="AA804" i="4"/>
  <c r="AU804" i="4" s="1"/>
  <c r="AB804" i="4"/>
  <c r="AA803" i="4"/>
  <c r="AB803" i="4"/>
  <c r="AA802" i="4"/>
  <c r="AB802" i="4"/>
  <c r="AA801" i="4"/>
  <c r="AB801" i="4"/>
  <c r="AA800" i="4"/>
  <c r="AB800" i="4"/>
  <c r="AA799" i="4"/>
  <c r="AB799" i="4"/>
  <c r="AA798" i="4"/>
  <c r="AB798" i="4"/>
  <c r="AA797" i="4"/>
  <c r="AB797" i="4"/>
  <c r="AA796" i="4"/>
  <c r="AB796" i="4"/>
  <c r="AA795" i="4"/>
  <c r="AB795" i="4"/>
  <c r="AA794" i="4"/>
  <c r="AB794" i="4"/>
  <c r="AA793" i="4"/>
  <c r="AB793" i="4"/>
  <c r="AA792" i="4"/>
  <c r="AB792" i="4"/>
  <c r="AA791" i="4"/>
  <c r="AB791" i="4"/>
  <c r="AA790" i="4"/>
  <c r="AB790" i="4"/>
  <c r="AA789" i="4"/>
  <c r="AB789" i="4"/>
  <c r="AA788" i="4"/>
  <c r="AB788" i="4"/>
  <c r="AA787" i="4"/>
  <c r="AB787" i="4"/>
  <c r="AA786" i="4"/>
  <c r="AB786" i="4"/>
  <c r="AA785" i="4"/>
  <c r="AB785" i="4"/>
  <c r="AA784" i="4"/>
  <c r="AB784" i="4"/>
  <c r="AA783" i="4"/>
  <c r="AB783" i="4"/>
  <c r="AA782" i="4"/>
  <c r="AB782" i="4"/>
  <c r="AA781" i="4"/>
  <c r="AB781" i="4"/>
  <c r="AA780" i="4"/>
  <c r="AB780" i="4"/>
  <c r="AA779" i="4"/>
  <c r="AB779" i="4"/>
  <c r="AA778" i="4"/>
  <c r="AB778" i="4"/>
  <c r="AA777" i="4"/>
  <c r="AB777" i="4"/>
  <c r="AA776" i="4"/>
  <c r="AB776" i="4"/>
  <c r="AA775" i="4"/>
  <c r="AB775" i="4"/>
  <c r="AA774" i="4"/>
  <c r="AB774" i="4"/>
  <c r="AA773" i="4"/>
  <c r="AB773" i="4"/>
  <c r="AA772" i="4"/>
  <c r="AB772" i="4"/>
  <c r="AA771" i="4"/>
  <c r="AB771" i="4"/>
  <c r="AA770" i="4"/>
  <c r="AB770" i="4"/>
  <c r="AA769" i="4"/>
  <c r="AB769" i="4"/>
  <c r="AA768" i="4"/>
  <c r="AB768" i="4"/>
  <c r="AA767" i="4"/>
  <c r="AB767" i="4"/>
  <c r="AA766" i="4"/>
  <c r="AB766" i="4"/>
  <c r="AA765" i="4"/>
  <c r="AB765" i="4"/>
  <c r="AA764" i="4"/>
  <c r="AB764" i="4"/>
  <c r="AA763" i="4"/>
  <c r="AB763" i="4"/>
  <c r="AA762" i="4"/>
  <c r="AB762" i="4"/>
  <c r="AA761" i="4"/>
  <c r="AB761" i="4"/>
  <c r="AA760" i="4"/>
  <c r="AB760" i="4"/>
  <c r="AA759" i="4"/>
  <c r="AB759" i="4"/>
  <c r="AA758" i="4"/>
  <c r="AB758" i="4"/>
  <c r="AA757" i="4"/>
  <c r="AB757" i="4"/>
  <c r="AA756" i="4"/>
  <c r="AB756" i="4"/>
  <c r="AA755" i="4"/>
  <c r="AB755" i="4"/>
  <c r="AA754" i="4"/>
  <c r="AB754" i="4"/>
  <c r="AA753" i="4"/>
  <c r="AB753" i="4"/>
  <c r="AA752" i="4"/>
  <c r="AB752" i="4"/>
  <c r="AA751" i="4"/>
  <c r="AB751" i="4"/>
  <c r="AA750" i="4"/>
  <c r="AB750" i="4"/>
  <c r="AA749" i="4"/>
  <c r="AB749" i="4"/>
  <c r="AA748" i="4"/>
  <c r="AB748" i="4"/>
  <c r="AA747" i="4"/>
  <c r="AB747" i="4"/>
  <c r="AA746" i="4"/>
  <c r="AB746" i="4"/>
  <c r="AA745" i="4"/>
  <c r="AB745" i="4"/>
  <c r="AA744" i="4"/>
  <c r="AB744" i="4"/>
  <c r="AA743" i="4"/>
  <c r="AB743" i="4"/>
  <c r="AA742" i="4"/>
  <c r="AB742" i="4"/>
  <c r="AA741" i="4"/>
  <c r="AB741" i="4"/>
  <c r="AA740" i="4"/>
  <c r="AB740" i="4"/>
  <c r="AA739" i="4"/>
  <c r="AB739" i="4"/>
  <c r="AA738" i="4"/>
  <c r="AB738" i="4"/>
  <c r="AA737" i="4"/>
  <c r="AB737" i="4"/>
  <c r="AA736" i="4"/>
  <c r="AB736" i="4"/>
  <c r="AA735" i="4"/>
  <c r="AB735" i="4"/>
  <c r="AA734" i="4"/>
  <c r="AB734" i="4"/>
  <c r="AA733" i="4"/>
  <c r="AB733" i="4"/>
  <c r="AA732" i="4"/>
  <c r="AB732" i="4"/>
  <c r="AA731" i="4"/>
  <c r="AB731" i="4"/>
  <c r="AA730" i="4"/>
  <c r="AB730" i="4"/>
  <c r="AA729" i="4"/>
  <c r="AB729" i="4"/>
  <c r="AA728" i="4"/>
  <c r="AB728" i="4"/>
  <c r="AA727" i="4"/>
  <c r="AB727" i="4"/>
  <c r="AA726" i="4"/>
  <c r="AB726" i="4"/>
  <c r="AA725" i="4"/>
  <c r="AB725" i="4"/>
  <c r="AA724" i="4"/>
  <c r="AB724" i="4"/>
  <c r="AA723" i="4"/>
  <c r="AB723" i="4"/>
  <c r="AA722" i="4"/>
  <c r="AB722" i="4"/>
  <c r="AA721" i="4"/>
  <c r="AB721" i="4"/>
  <c r="AA720" i="4"/>
  <c r="AB720" i="4"/>
  <c r="AA719" i="4"/>
  <c r="AB719" i="4"/>
  <c r="AA718" i="4"/>
  <c r="AB718" i="4"/>
  <c r="AA717" i="4"/>
  <c r="AB717" i="4"/>
  <c r="AA716" i="4"/>
  <c r="AB716" i="4"/>
  <c r="AA715" i="4"/>
  <c r="AB715" i="4"/>
  <c r="AA714" i="4"/>
  <c r="AB714" i="4"/>
  <c r="AA713" i="4"/>
  <c r="AB713" i="4"/>
  <c r="AA712" i="4"/>
  <c r="AB712" i="4"/>
  <c r="AA711" i="4"/>
  <c r="AB711" i="4"/>
  <c r="AA710" i="4"/>
  <c r="AB710" i="4"/>
  <c r="AA709" i="4"/>
  <c r="AB709" i="4"/>
  <c r="AA708" i="4"/>
  <c r="AB708" i="4"/>
  <c r="AA707" i="4"/>
  <c r="AB707" i="4"/>
  <c r="AA706" i="4"/>
  <c r="AB706" i="4"/>
  <c r="AA705" i="4"/>
  <c r="AB705" i="4"/>
  <c r="AA704" i="4"/>
  <c r="AB704" i="4"/>
  <c r="AA703" i="4"/>
  <c r="AB703" i="4"/>
  <c r="AA702" i="4"/>
  <c r="AB702" i="4"/>
  <c r="AA701" i="4"/>
  <c r="AB701" i="4"/>
  <c r="AA700" i="4"/>
  <c r="AB700" i="4"/>
  <c r="AA699" i="4"/>
  <c r="AB699" i="4"/>
  <c r="AA698" i="4"/>
  <c r="AB698" i="4"/>
  <c r="AA697" i="4"/>
  <c r="AB697" i="4"/>
  <c r="AA696" i="4"/>
  <c r="AB696" i="4"/>
  <c r="AA695" i="4"/>
  <c r="AB695" i="4"/>
  <c r="AA694" i="4"/>
  <c r="AB694" i="4"/>
  <c r="AA693" i="4"/>
  <c r="AB693" i="4"/>
  <c r="AA692" i="4"/>
  <c r="AB692" i="4"/>
  <c r="AA691" i="4"/>
  <c r="AB691" i="4"/>
  <c r="AA690" i="4"/>
  <c r="AB690" i="4"/>
  <c r="AA689" i="4"/>
  <c r="AB689" i="4"/>
  <c r="AA688" i="4"/>
  <c r="AB688" i="4"/>
  <c r="AA687" i="4"/>
  <c r="AB687" i="4"/>
  <c r="AA686" i="4"/>
  <c r="AB686" i="4"/>
  <c r="AA685" i="4"/>
  <c r="AB685" i="4"/>
  <c r="AA684" i="4"/>
  <c r="AB684" i="4"/>
  <c r="AA683" i="4"/>
  <c r="AB683" i="4"/>
  <c r="AA682" i="4"/>
  <c r="AB682" i="4"/>
  <c r="AA681" i="4"/>
  <c r="AB681" i="4"/>
  <c r="AA680" i="4"/>
  <c r="AB680" i="4"/>
  <c r="AA679" i="4"/>
  <c r="AB679" i="4"/>
  <c r="AA678" i="4"/>
  <c r="AB678" i="4"/>
  <c r="AA677" i="4"/>
  <c r="AB677" i="4"/>
  <c r="AA676" i="4"/>
  <c r="AB676" i="4"/>
  <c r="AA675" i="4"/>
  <c r="AB675" i="4"/>
  <c r="AA674" i="4"/>
  <c r="AB674" i="4"/>
  <c r="AA673" i="4"/>
  <c r="AB673" i="4"/>
  <c r="AA672" i="4"/>
  <c r="AB672" i="4"/>
  <c r="AA671" i="4"/>
  <c r="AB671" i="4"/>
  <c r="AA670" i="4"/>
  <c r="AB670" i="4"/>
  <c r="AA669" i="4"/>
  <c r="AB669" i="4"/>
  <c r="AA668" i="4"/>
  <c r="AB668" i="4"/>
  <c r="AA667" i="4"/>
  <c r="AB667" i="4"/>
  <c r="AA666" i="4"/>
  <c r="AB666" i="4"/>
  <c r="AA665" i="4"/>
  <c r="AB665" i="4"/>
  <c r="AA664" i="4"/>
  <c r="AB664" i="4"/>
  <c r="AA663" i="4"/>
  <c r="AB663" i="4"/>
  <c r="AA662" i="4"/>
  <c r="AB662" i="4"/>
  <c r="AA661" i="4"/>
  <c r="AB661" i="4"/>
  <c r="AA660" i="4"/>
  <c r="AB660" i="4"/>
  <c r="AA659" i="4"/>
  <c r="AB659" i="4"/>
  <c r="AA658" i="4"/>
  <c r="AB658" i="4"/>
  <c r="AA657" i="4"/>
  <c r="AB657" i="4"/>
  <c r="AA656" i="4"/>
  <c r="AB656" i="4"/>
  <c r="AA655" i="4"/>
  <c r="AB655" i="4"/>
  <c r="AA654" i="4"/>
  <c r="AB654" i="4"/>
  <c r="AA653" i="4"/>
  <c r="AB653" i="4"/>
  <c r="AA652" i="4"/>
  <c r="AB652" i="4"/>
  <c r="AA651" i="4"/>
  <c r="AB651" i="4"/>
  <c r="AA650" i="4"/>
  <c r="AB650" i="4"/>
  <c r="AA649" i="4"/>
  <c r="AB649" i="4"/>
  <c r="AA648" i="4"/>
  <c r="AB648" i="4"/>
  <c r="AA647" i="4"/>
  <c r="AB647" i="4"/>
  <c r="AA646" i="4"/>
  <c r="AB646" i="4"/>
  <c r="AA645" i="4"/>
  <c r="AB645" i="4"/>
  <c r="AA644" i="4"/>
  <c r="AB644" i="4"/>
  <c r="AA643" i="4"/>
  <c r="AB643" i="4"/>
  <c r="AA642" i="4"/>
  <c r="AB642" i="4"/>
  <c r="AA641" i="4"/>
  <c r="AB641" i="4"/>
  <c r="AA640" i="4"/>
  <c r="AB640" i="4"/>
  <c r="AA639" i="4"/>
  <c r="AB639" i="4"/>
  <c r="AA638" i="4"/>
  <c r="AB638" i="4"/>
  <c r="AA637" i="4"/>
  <c r="AB637" i="4"/>
  <c r="AA636" i="4"/>
  <c r="AB636" i="4"/>
  <c r="AA635" i="4"/>
  <c r="AB635" i="4"/>
  <c r="AA634" i="4"/>
  <c r="AB634" i="4"/>
  <c r="AA633" i="4"/>
  <c r="AB633" i="4"/>
  <c r="AA632" i="4"/>
  <c r="AB632" i="4"/>
  <c r="AA631" i="4"/>
  <c r="AB631" i="4"/>
  <c r="AA630" i="4"/>
  <c r="AB630" i="4"/>
  <c r="AA629" i="4"/>
  <c r="AB629" i="4"/>
  <c r="AA628" i="4"/>
  <c r="AB628" i="4"/>
  <c r="AA627" i="4"/>
  <c r="AB627" i="4"/>
  <c r="AA626" i="4"/>
  <c r="AB626" i="4"/>
  <c r="AA625" i="4"/>
  <c r="AB625" i="4"/>
  <c r="AA624" i="4"/>
  <c r="AB624" i="4"/>
  <c r="AA623" i="4"/>
  <c r="AB623" i="4"/>
  <c r="AA622" i="4"/>
  <c r="AB622" i="4"/>
  <c r="AA621" i="4"/>
  <c r="AB621" i="4"/>
  <c r="AA620" i="4"/>
  <c r="AB620" i="4"/>
  <c r="AA619" i="4"/>
  <c r="AB619" i="4"/>
  <c r="AA618" i="4"/>
  <c r="AB618" i="4"/>
  <c r="AA617" i="4"/>
  <c r="AB617" i="4"/>
  <c r="AA616" i="4"/>
  <c r="AB616" i="4"/>
  <c r="AA615" i="4"/>
  <c r="AB615" i="4"/>
  <c r="AA614" i="4"/>
  <c r="AB614" i="4"/>
  <c r="AA613" i="4"/>
  <c r="AB613" i="4"/>
  <c r="AA612" i="4"/>
  <c r="AB612" i="4"/>
  <c r="AA611" i="4"/>
  <c r="AB611" i="4"/>
  <c r="AA610" i="4"/>
  <c r="AB610" i="4"/>
  <c r="AA609" i="4"/>
  <c r="AB609" i="4"/>
  <c r="AA608" i="4"/>
  <c r="AB608" i="4"/>
  <c r="AA607" i="4"/>
  <c r="AB607" i="4"/>
  <c r="AA606" i="4"/>
  <c r="AB606" i="4"/>
  <c r="AA605" i="4"/>
  <c r="AB605" i="4"/>
  <c r="AA604" i="4"/>
  <c r="AB604" i="4"/>
  <c r="AA603" i="4"/>
  <c r="AB603" i="4"/>
  <c r="AA602" i="4"/>
  <c r="AB602" i="4"/>
  <c r="AA601" i="4"/>
  <c r="AB601" i="4"/>
  <c r="AA600" i="4"/>
  <c r="AB600" i="4"/>
  <c r="AA599" i="4"/>
  <c r="AB599" i="4"/>
  <c r="AA598" i="4"/>
  <c r="AB598" i="4"/>
  <c r="AA597" i="4"/>
  <c r="AB597" i="4"/>
  <c r="AA596" i="4"/>
  <c r="AB596" i="4"/>
  <c r="AA595" i="4"/>
  <c r="AB595" i="4"/>
  <c r="AA594" i="4"/>
  <c r="AB594" i="4"/>
  <c r="AA593" i="4"/>
  <c r="AB593" i="4"/>
  <c r="AA592" i="4"/>
  <c r="AB592" i="4"/>
  <c r="AA591" i="4"/>
  <c r="AB591" i="4"/>
  <c r="AA590" i="4"/>
  <c r="AB590" i="4"/>
  <c r="AA589" i="4"/>
  <c r="AB589" i="4"/>
  <c r="AA588" i="4"/>
  <c r="AB588" i="4"/>
  <c r="AA587" i="4"/>
  <c r="AB587" i="4"/>
  <c r="AA586" i="4"/>
  <c r="AB586" i="4"/>
  <c r="AA585" i="4"/>
  <c r="AB585" i="4"/>
  <c r="AA584" i="4"/>
  <c r="AB584" i="4"/>
  <c r="AA583" i="4"/>
  <c r="AB583" i="4"/>
  <c r="AA582" i="4"/>
  <c r="AB582" i="4"/>
  <c r="AA581" i="4"/>
  <c r="AB581" i="4"/>
  <c r="AA580" i="4"/>
  <c r="AB580" i="4"/>
  <c r="AA579" i="4"/>
  <c r="AB579" i="4"/>
  <c r="AA578" i="4"/>
  <c r="AB578" i="4"/>
  <c r="AA577" i="4"/>
  <c r="AB577" i="4"/>
  <c r="AA576" i="4"/>
  <c r="AB576" i="4"/>
  <c r="AA575" i="4"/>
  <c r="AB575" i="4"/>
  <c r="AA574" i="4"/>
  <c r="AB574" i="4"/>
  <c r="AA573" i="4"/>
  <c r="AB573" i="4"/>
  <c r="AA572" i="4"/>
  <c r="AB572" i="4"/>
  <c r="AA571" i="4"/>
  <c r="AB571" i="4"/>
  <c r="AA570" i="4"/>
  <c r="AB570" i="4"/>
  <c r="AA569" i="4"/>
  <c r="AB569" i="4"/>
  <c r="AA568" i="4"/>
  <c r="AB568" i="4"/>
  <c r="AA567" i="4"/>
  <c r="AB567" i="4"/>
  <c r="AA566" i="4"/>
  <c r="AB566" i="4"/>
  <c r="AA565" i="4"/>
  <c r="AB565" i="4"/>
  <c r="AA564" i="4"/>
  <c r="AB564" i="4"/>
  <c r="AA563" i="4"/>
  <c r="AB563" i="4"/>
  <c r="AA562" i="4"/>
  <c r="AB562" i="4"/>
  <c r="AA561" i="4"/>
  <c r="AB561" i="4"/>
  <c r="AA560" i="4"/>
  <c r="AB560" i="4"/>
  <c r="AA559" i="4"/>
  <c r="AB559" i="4"/>
  <c r="AA558" i="4"/>
  <c r="AB558" i="4"/>
  <c r="AA557" i="4"/>
  <c r="AB557" i="4"/>
  <c r="AA556" i="4"/>
  <c r="AB556" i="4"/>
  <c r="AA555" i="4"/>
  <c r="AB555" i="4"/>
  <c r="AA554" i="4"/>
  <c r="AB554" i="4"/>
  <c r="AA553" i="4"/>
  <c r="AB553" i="4"/>
  <c r="AA552" i="4"/>
  <c r="AB552" i="4"/>
  <c r="AA551" i="4"/>
  <c r="AB551" i="4"/>
  <c r="AA550" i="4"/>
  <c r="AB550" i="4"/>
  <c r="AA549" i="4"/>
  <c r="AB549" i="4"/>
  <c r="AA548" i="4"/>
  <c r="AU548" i="4" s="1"/>
  <c r="AB548" i="4"/>
  <c r="AA547" i="4"/>
  <c r="AB547" i="4"/>
  <c r="AA546" i="4"/>
  <c r="AB546" i="4"/>
  <c r="AA545" i="4"/>
  <c r="AB545" i="4"/>
  <c r="AA544" i="4"/>
  <c r="AB544" i="4"/>
  <c r="AA543" i="4"/>
  <c r="AB543" i="4"/>
  <c r="AA542" i="4"/>
  <c r="AB542" i="4"/>
  <c r="AA541" i="4"/>
  <c r="AB541" i="4"/>
  <c r="AA540" i="4"/>
  <c r="AB540" i="4"/>
  <c r="AA539" i="4"/>
  <c r="AB539" i="4"/>
  <c r="AA538" i="4"/>
  <c r="AB538" i="4"/>
  <c r="AA537" i="4"/>
  <c r="AB537" i="4"/>
  <c r="AA536" i="4"/>
  <c r="AB536" i="4"/>
  <c r="AA535" i="4"/>
  <c r="AB535" i="4"/>
  <c r="AA534" i="4"/>
  <c r="AB534" i="4"/>
  <c r="AA533" i="4"/>
  <c r="AB533" i="4"/>
  <c r="AA532" i="4"/>
  <c r="AB532" i="4"/>
  <c r="AA531" i="4"/>
  <c r="AB531" i="4"/>
  <c r="AA530" i="4"/>
  <c r="AB530" i="4"/>
  <c r="AA529" i="4"/>
  <c r="AB529" i="4"/>
  <c r="AA528" i="4"/>
  <c r="AB528" i="4"/>
  <c r="AA527" i="4"/>
  <c r="AB527" i="4"/>
  <c r="AA526" i="4"/>
  <c r="AB526" i="4"/>
  <c r="AA525" i="4"/>
  <c r="AB525" i="4"/>
  <c r="AA524" i="4"/>
  <c r="AB524" i="4"/>
  <c r="AA523" i="4"/>
  <c r="AB523" i="4"/>
  <c r="AA522" i="4"/>
  <c r="AB522" i="4"/>
  <c r="AA521" i="4"/>
  <c r="AB521" i="4"/>
  <c r="AA520" i="4"/>
  <c r="AB520" i="4"/>
  <c r="AA519" i="4"/>
  <c r="AB519" i="4"/>
  <c r="AA518" i="4"/>
  <c r="AB518" i="4"/>
  <c r="AA517" i="4"/>
  <c r="AB517" i="4"/>
  <c r="AA516" i="4"/>
  <c r="AB516" i="4"/>
  <c r="AA515" i="4"/>
  <c r="AB515" i="4"/>
  <c r="AA514" i="4"/>
  <c r="AB514" i="4"/>
  <c r="AA513" i="4"/>
  <c r="AB513" i="4"/>
  <c r="AA512" i="4"/>
  <c r="AB512" i="4"/>
  <c r="AA511" i="4"/>
  <c r="AB511" i="4"/>
  <c r="AA510" i="4"/>
  <c r="AB510" i="4"/>
  <c r="AA509" i="4"/>
  <c r="AB509" i="4"/>
  <c r="AA508" i="4"/>
  <c r="AB508" i="4"/>
  <c r="AA507" i="4"/>
  <c r="AB507" i="4"/>
  <c r="AA506" i="4"/>
  <c r="AB506" i="4"/>
  <c r="AA505" i="4"/>
  <c r="AB505" i="4"/>
  <c r="AA504" i="4"/>
  <c r="AB504" i="4"/>
  <c r="AA503" i="4"/>
  <c r="AB503" i="4"/>
  <c r="AA502" i="4"/>
  <c r="AB502" i="4"/>
  <c r="AA501" i="4"/>
  <c r="AB501" i="4"/>
  <c r="AA500" i="4"/>
  <c r="AB500" i="4"/>
  <c r="AA499" i="4"/>
  <c r="AB499" i="4"/>
  <c r="AA498" i="4"/>
  <c r="AB498" i="4"/>
  <c r="AA497" i="4"/>
  <c r="AB497" i="4"/>
  <c r="AA496" i="4"/>
  <c r="AB496" i="4"/>
  <c r="AA495" i="4"/>
  <c r="AB495" i="4"/>
  <c r="AA494" i="4"/>
  <c r="AB494" i="4"/>
  <c r="AA493" i="4"/>
  <c r="AB493" i="4"/>
  <c r="AA492" i="4"/>
  <c r="AB492" i="4"/>
  <c r="AA491" i="4"/>
  <c r="AB491" i="4"/>
  <c r="AA490" i="4"/>
  <c r="AB490" i="4"/>
  <c r="AA489" i="4"/>
  <c r="AB489" i="4"/>
  <c r="AA488" i="4"/>
  <c r="AB488" i="4"/>
  <c r="AA487" i="4"/>
  <c r="AB487" i="4"/>
  <c r="AA486" i="4"/>
  <c r="AB486" i="4"/>
  <c r="AA485" i="4"/>
  <c r="AB485" i="4"/>
  <c r="AA484" i="4"/>
  <c r="AB484" i="4"/>
  <c r="AA483" i="4"/>
  <c r="AB483" i="4"/>
  <c r="AA482" i="4"/>
  <c r="AB482" i="4"/>
  <c r="AA481" i="4"/>
  <c r="AB481" i="4"/>
  <c r="AA480" i="4"/>
  <c r="AB480" i="4"/>
  <c r="AA479" i="4"/>
  <c r="AB479" i="4"/>
  <c r="AA478" i="4"/>
  <c r="AB478" i="4"/>
  <c r="AA477" i="4"/>
  <c r="AB477" i="4"/>
  <c r="AA476" i="4"/>
  <c r="AB476" i="4"/>
  <c r="AA475" i="4"/>
  <c r="AB475" i="4"/>
  <c r="AA474" i="4"/>
  <c r="AB474" i="4"/>
  <c r="AA473" i="4"/>
  <c r="AB473" i="4"/>
  <c r="AA472" i="4"/>
  <c r="AB472" i="4"/>
  <c r="AA471" i="4"/>
  <c r="AB471" i="4"/>
  <c r="AA470" i="4"/>
  <c r="AB470" i="4"/>
  <c r="AA469" i="4"/>
  <c r="AB469" i="4"/>
  <c r="AA468" i="4"/>
  <c r="AB468" i="4"/>
  <c r="AA467" i="4"/>
  <c r="AB467" i="4"/>
  <c r="AA466" i="4"/>
  <c r="AB466" i="4"/>
  <c r="AA465" i="4"/>
  <c r="AB465" i="4"/>
  <c r="AA464" i="4"/>
  <c r="AB464" i="4"/>
  <c r="AA463" i="4"/>
  <c r="AB463" i="4"/>
  <c r="AA462" i="4"/>
  <c r="AB462" i="4"/>
  <c r="AA461" i="4"/>
  <c r="AB461" i="4"/>
  <c r="AA460" i="4"/>
  <c r="AB460" i="4"/>
  <c r="AA459" i="4"/>
  <c r="AB459" i="4"/>
  <c r="AA458" i="4"/>
  <c r="AB458" i="4"/>
  <c r="AA457" i="4"/>
  <c r="AB457" i="4"/>
  <c r="AA456" i="4"/>
  <c r="AB456" i="4"/>
  <c r="AA455" i="4"/>
  <c r="AB455" i="4"/>
  <c r="AA454" i="4"/>
  <c r="AB454" i="4"/>
  <c r="AA453" i="4"/>
  <c r="AB453" i="4"/>
  <c r="AA452" i="4"/>
  <c r="AB452" i="4"/>
  <c r="AA451" i="4"/>
  <c r="AB451" i="4"/>
  <c r="AA450" i="4"/>
  <c r="AB450" i="4"/>
  <c r="AA449" i="4"/>
  <c r="AB449" i="4"/>
  <c r="AA448" i="4"/>
  <c r="AB448" i="4"/>
  <c r="AA447" i="4"/>
  <c r="AB447" i="4"/>
  <c r="AA446" i="4"/>
  <c r="AB446" i="4"/>
  <c r="AA445" i="4"/>
  <c r="AB445" i="4"/>
  <c r="AA444" i="4"/>
  <c r="AB444" i="4"/>
  <c r="AA443" i="4"/>
  <c r="AB443" i="4"/>
  <c r="AA442" i="4"/>
  <c r="AB442" i="4"/>
  <c r="AA441" i="4"/>
  <c r="AB441" i="4"/>
  <c r="AA440" i="4"/>
  <c r="AB440" i="4"/>
  <c r="AA439" i="4"/>
  <c r="AB439" i="4"/>
  <c r="AA438" i="4"/>
  <c r="AB438" i="4"/>
  <c r="AA437" i="4"/>
  <c r="AB437" i="4"/>
  <c r="AA436" i="4"/>
  <c r="AB436" i="4"/>
  <c r="AA435" i="4"/>
  <c r="AB435" i="4"/>
  <c r="AA434" i="4"/>
  <c r="AB434" i="4"/>
  <c r="AA433" i="4"/>
  <c r="AB433" i="4"/>
  <c r="AA432" i="4"/>
  <c r="AB432" i="4"/>
  <c r="AA431" i="4"/>
  <c r="AB431" i="4"/>
  <c r="AA430" i="4"/>
  <c r="AB430" i="4"/>
  <c r="AA429" i="4"/>
  <c r="AB429" i="4"/>
  <c r="AA428" i="4"/>
  <c r="AB428" i="4"/>
  <c r="AA427" i="4"/>
  <c r="AB427" i="4"/>
  <c r="AA426" i="4"/>
  <c r="AB426" i="4"/>
  <c r="AA425" i="4"/>
  <c r="AB425" i="4"/>
  <c r="AA424" i="4"/>
  <c r="AB424" i="4"/>
  <c r="AA423" i="4"/>
  <c r="AB423" i="4"/>
  <c r="AA422" i="4"/>
  <c r="AB422" i="4"/>
  <c r="AA421" i="4"/>
  <c r="AB421" i="4"/>
  <c r="AA420" i="4"/>
  <c r="AB420" i="4"/>
  <c r="AA419" i="4"/>
  <c r="AB419" i="4"/>
  <c r="AA418" i="4"/>
  <c r="AB418" i="4"/>
  <c r="AA417" i="4"/>
  <c r="AB417" i="4"/>
  <c r="AA416" i="4"/>
  <c r="AB416" i="4"/>
  <c r="AA415" i="4"/>
  <c r="AB415" i="4"/>
  <c r="AA414" i="4"/>
  <c r="AB414" i="4"/>
  <c r="AA413" i="4"/>
  <c r="AB413" i="4"/>
  <c r="AA412" i="4"/>
  <c r="AB412" i="4"/>
  <c r="AA411" i="4"/>
  <c r="AB411" i="4"/>
  <c r="AA410" i="4"/>
  <c r="AB410" i="4"/>
  <c r="AA409" i="4"/>
  <c r="AB409" i="4"/>
  <c r="AA408" i="4"/>
  <c r="AB408" i="4"/>
  <c r="AA407" i="4"/>
  <c r="AB407" i="4"/>
  <c r="AA406" i="4"/>
  <c r="AB406" i="4"/>
  <c r="AA405" i="4"/>
  <c r="AB405" i="4"/>
  <c r="AA404" i="4"/>
  <c r="AB404" i="4"/>
  <c r="AA403" i="4"/>
  <c r="AB403" i="4"/>
  <c r="AA402" i="4"/>
  <c r="AB402" i="4"/>
  <c r="AA401" i="4"/>
  <c r="AB401" i="4"/>
  <c r="AA400" i="4"/>
  <c r="AB400" i="4"/>
  <c r="AA399" i="4"/>
  <c r="AB399" i="4"/>
  <c r="AA398" i="4"/>
  <c r="AB398" i="4"/>
  <c r="AA397" i="4"/>
  <c r="AB397" i="4"/>
  <c r="AA396" i="4"/>
  <c r="AB396" i="4"/>
  <c r="AA395" i="4"/>
  <c r="AB395" i="4"/>
  <c r="AA394" i="4"/>
  <c r="AB394" i="4"/>
  <c r="AA393" i="4"/>
  <c r="AB393" i="4"/>
  <c r="AA392" i="4"/>
  <c r="AB392" i="4"/>
  <c r="AA391" i="4"/>
  <c r="AB391" i="4"/>
  <c r="AA390" i="4"/>
  <c r="AB390" i="4"/>
  <c r="AA389" i="4"/>
  <c r="AB389" i="4"/>
  <c r="AA388" i="4"/>
  <c r="AB388" i="4"/>
  <c r="AA387" i="4"/>
  <c r="AB387" i="4"/>
  <c r="AA386" i="4"/>
  <c r="AB386" i="4"/>
  <c r="AA385" i="4"/>
  <c r="AB385" i="4"/>
  <c r="AA384" i="4"/>
  <c r="AV384" i="4" s="1"/>
  <c r="AB384" i="4"/>
  <c r="AA383" i="4"/>
  <c r="AB383" i="4"/>
  <c r="AA382" i="4"/>
  <c r="AB382" i="4"/>
  <c r="AA381" i="4"/>
  <c r="AB381" i="4"/>
  <c r="AA380" i="4"/>
  <c r="AB380" i="4"/>
  <c r="AA379" i="4"/>
  <c r="AB379" i="4"/>
  <c r="AA378" i="4"/>
  <c r="AB378" i="4"/>
  <c r="AA377" i="4"/>
  <c r="AB377" i="4"/>
  <c r="AA376" i="4"/>
  <c r="AB376" i="4"/>
  <c r="AA375" i="4"/>
  <c r="AB375" i="4"/>
  <c r="AA374" i="4"/>
  <c r="AB374" i="4"/>
  <c r="AA373" i="4"/>
  <c r="AB373" i="4"/>
  <c r="AA372" i="4"/>
  <c r="AB372" i="4"/>
  <c r="AA371" i="4"/>
  <c r="AB371" i="4"/>
  <c r="AA370" i="4"/>
  <c r="AB370" i="4"/>
  <c r="AA369" i="4"/>
  <c r="AB369" i="4"/>
  <c r="AA368" i="4"/>
  <c r="AB368" i="4"/>
  <c r="AA367" i="4"/>
  <c r="AB367" i="4"/>
  <c r="AA366" i="4"/>
  <c r="AB366" i="4"/>
  <c r="AA365" i="4"/>
  <c r="AB365" i="4"/>
  <c r="AA364" i="4"/>
  <c r="AB364" i="4"/>
  <c r="AA363" i="4"/>
  <c r="AB363" i="4"/>
  <c r="AA362" i="4"/>
  <c r="AB362" i="4"/>
  <c r="AA361" i="4"/>
  <c r="AB361" i="4"/>
  <c r="AA360" i="4"/>
  <c r="AB360" i="4"/>
  <c r="AA359" i="4"/>
  <c r="AB359" i="4"/>
  <c r="AA358" i="4"/>
  <c r="AB358" i="4"/>
  <c r="AA357" i="4"/>
  <c r="AB357" i="4"/>
  <c r="AA356" i="4"/>
  <c r="AB356" i="4"/>
  <c r="AA355" i="4"/>
  <c r="AB355" i="4"/>
  <c r="AA354" i="4"/>
  <c r="AB354" i="4"/>
  <c r="AA353" i="4"/>
  <c r="AB353" i="4"/>
  <c r="AA352" i="4"/>
  <c r="AB352" i="4"/>
  <c r="AA351" i="4"/>
  <c r="AB351" i="4"/>
  <c r="AA350" i="4"/>
  <c r="AB350" i="4"/>
  <c r="AA349" i="4"/>
  <c r="AB349" i="4"/>
  <c r="AA348" i="4"/>
  <c r="AB348" i="4"/>
  <c r="AA347" i="4"/>
  <c r="AB347" i="4"/>
  <c r="AA346" i="4"/>
  <c r="AB346" i="4"/>
  <c r="AA345" i="4"/>
  <c r="AB345" i="4"/>
  <c r="AA344" i="4"/>
  <c r="AB344" i="4"/>
  <c r="AA343" i="4"/>
  <c r="AB343" i="4"/>
  <c r="AA342" i="4"/>
  <c r="AB342" i="4"/>
  <c r="AA341" i="4"/>
  <c r="AB341" i="4"/>
  <c r="AA340" i="4"/>
  <c r="AB340" i="4"/>
  <c r="AA339" i="4"/>
  <c r="AB339" i="4"/>
  <c r="AA338" i="4"/>
  <c r="AB338" i="4"/>
  <c r="AA337" i="4"/>
  <c r="AB337" i="4"/>
  <c r="AA336" i="4"/>
  <c r="AB336" i="4"/>
  <c r="AA335" i="4"/>
  <c r="AB335" i="4"/>
  <c r="AA334" i="4"/>
  <c r="AB334" i="4"/>
  <c r="AA333" i="4"/>
  <c r="AB333" i="4"/>
  <c r="AA332" i="4"/>
  <c r="AB332" i="4"/>
  <c r="AA331" i="4"/>
  <c r="AB331" i="4"/>
  <c r="AA330" i="4"/>
  <c r="AB330" i="4"/>
  <c r="AA329" i="4"/>
  <c r="AB329" i="4"/>
  <c r="AA328" i="4"/>
  <c r="AB328" i="4"/>
  <c r="AA327" i="4"/>
  <c r="AB327" i="4"/>
  <c r="AA326" i="4"/>
  <c r="AB326" i="4"/>
  <c r="AA325" i="4"/>
  <c r="AB325" i="4"/>
  <c r="AA324" i="4"/>
  <c r="AB324" i="4"/>
  <c r="AA323" i="4"/>
  <c r="AB323" i="4"/>
  <c r="AA322" i="4"/>
  <c r="AB322" i="4"/>
  <c r="AA321" i="4"/>
  <c r="AB321" i="4"/>
  <c r="AA320" i="4"/>
  <c r="AB320" i="4"/>
  <c r="AA319" i="4"/>
  <c r="AB319" i="4"/>
  <c r="AA318" i="4"/>
  <c r="AB318" i="4"/>
  <c r="AA317" i="4"/>
  <c r="AB317" i="4"/>
  <c r="AA316" i="4"/>
  <c r="AB316" i="4"/>
  <c r="AA315" i="4"/>
  <c r="AB315" i="4"/>
  <c r="AA314" i="4"/>
  <c r="AB314" i="4"/>
  <c r="AA313" i="4"/>
  <c r="AB313" i="4"/>
  <c r="AA312" i="4"/>
  <c r="AB312" i="4"/>
  <c r="AA311" i="4"/>
  <c r="AB311" i="4"/>
  <c r="AM311" i="4" s="1"/>
  <c r="AA310" i="4"/>
  <c r="AB310" i="4"/>
  <c r="AA309" i="4"/>
  <c r="AB309" i="4"/>
  <c r="AA308" i="4"/>
  <c r="AB308" i="4"/>
  <c r="AA307" i="4"/>
  <c r="AB307" i="4"/>
  <c r="AA306" i="4"/>
  <c r="AB306" i="4"/>
  <c r="AA305" i="4"/>
  <c r="AB305" i="4"/>
  <c r="AA304" i="4"/>
  <c r="AB304" i="4"/>
  <c r="AA303" i="4"/>
  <c r="AB303" i="4"/>
  <c r="AA302" i="4"/>
  <c r="AB302" i="4"/>
  <c r="AA301" i="4"/>
  <c r="AB301" i="4"/>
  <c r="AA300" i="4"/>
  <c r="AB300" i="4"/>
  <c r="AA299" i="4"/>
  <c r="AB299" i="4"/>
  <c r="AA298" i="4"/>
  <c r="AB298" i="4"/>
  <c r="AA297" i="4"/>
  <c r="AB297" i="4"/>
  <c r="AA296" i="4"/>
  <c r="AB296" i="4"/>
  <c r="AA295" i="4"/>
  <c r="AB295" i="4"/>
  <c r="AA294" i="4"/>
  <c r="AB294" i="4"/>
  <c r="AA293" i="4"/>
  <c r="AB293" i="4"/>
  <c r="AA292" i="4"/>
  <c r="AB292" i="4"/>
  <c r="AA291" i="4"/>
  <c r="AB291" i="4"/>
  <c r="AA290" i="4"/>
  <c r="AB290" i="4"/>
  <c r="AA289" i="4"/>
  <c r="AB289" i="4"/>
  <c r="AA288" i="4"/>
  <c r="AB288" i="4"/>
  <c r="AA287" i="4"/>
  <c r="AB287" i="4"/>
  <c r="AA286" i="4"/>
  <c r="AB286" i="4"/>
  <c r="AA285" i="4"/>
  <c r="AB285" i="4"/>
  <c r="AA284" i="4"/>
  <c r="AB284" i="4"/>
  <c r="AA283" i="4"/>
  <c r="AB283" i="4"/>
  <c r="AA282" i="4"/>
  <c r="AB282" i="4"/>
  <c r="AA281" i="4"/>
  <c r="AB281" i="4"/>
  <c r="AA280" i="4"/>
  <c r="AB280" i="4"/>
  <c r="AA279" i="4"/>
  <c r="AB279" i="4"/>
  <c r="AA278" i="4"/>
  <c r="AB278" i="4"/>
  <c r="AA277" i="4"/>
  <c r="AB277" i="4"/>
  <c r="AA276" i="4"/>
  <c r="AB276" i="4"/>
  <c r="AA275" i="4"/>
  <c r="AB275" i="4"/>
  <c r="AA274" i="4"/>
  <c r="AB274" i="4"/>
  <c r="AA273" i="4"/>
  <c r="AB273" i="4"/>
  <c r="AA272" i="4"/>
  <c r="AM272" i="4" s="1"/>
  <c r="AB272" i="4"/>
  <c r="AA271" i="4"/>
  <c r="AB271" i="4"/>
  <c r="AA270" i="4"/>
  <c r="AB270" i="4"/>
  <c r="AA269" i="4"/>
  <c r="AB269" i="4"/>
  <c r="AA268" i="4"/>
  <c r="AB268" i="4"/>
  <c r="AA267" i="4"/>
  <c r="AB267" i="4"/>
  <c r="AA266" i="4"/>
  <c r="AB266" i="4"/>
  <c r="AA265" i="4"/>
  <c r="AB265" i="4"/>
  <c r="AA264" i="4"/>
  <c r="AB264" i="4"/>
  <c r="AA263" i="4"/>
  <c r="AB263" i="4"/>
  <c r="AA262" i="4"/>
  <c r="AB262" i="4"/>
  <c r="AA261" i="4"/>
  <c r="AB261" i="4"/>
  <c r="AA260" i="4"/>
  <c r="AB260" i="4"/>
  <c r="AA259" i="4"/>
  <c r="AB259" i="4"/>
  <c r="AA258" i="4"/>
  <c r="AB258" i="4"/>
  <c r="AA257" i="4"/>
  <c r="AB257" i="4"/>
  <c r="AA256" i="4"/>
  <c r="AB256" i="4"/>
  <c r="AA255" i="4"/>
  <c r="AB255" i="4"/>
  <c r="AA254" i="4"/>
  <c r="AB254" i="4"/>
  <c r="AA253" i="4"/>
  <c r="AB253" i="4"/>
  <c r="AA252" i="4"/>
  <c r="AB252" i="4"/>
  <c r="AA251" i="4"/>
  <c r="AB251" i="4"/>
  <c r="AA250" i="4"/>
  <c r="AB250" i="4"/>
  <c r="AA249" i="4"/>
  <c r="AB249" i="4"/>
  <c r="AA248" i="4"/>
  <c r="AB248" i="4"/>
  <c r="AA247" i="4"/>
  <c r="AB247" i="4"/>
  <c r="AA246" i="4"/>
  <c r="AB246" i="4"/>
  <c r="AA245" i="4"/>
  <c r="AB245" i="4"/>
  <c r="AA244" i="4"/>
  <c r="AB244" i="4"/>
  <c r="AA243" i="4"/>
  <c r="AB243" i="4"/>
  <c r="AA242" i="4"/>
  <c r="AB242" i="4"/>
  <c r="AA241" i="4"/>
  <c r="AB241" i="4"/>
  <c r="AA240" i="4"/>
  <c r="AB240" i="4"/>
  <c r="AA239" i="4"/>
  <c r="AB239" i="4"/>
  <c r="AA238" i="4"/>
  <c r="AB238" i="4"/>
  <c r="AA237" i="4"/>
  <c r="AB237" i="4"/>
  <c r="AA236" i="4"/>
  <c r="AB236" i="4"/>
  <c r="AA235" i="4"/>
  <c r="AB235" i="4"/>
  <c r="AA234" i="4"/>
  <c r="AB234" i="4"/>
  <c r="AA233" i="4"/>
  <c r="AB233" i="4"/>
  <c r="AA232" i="4"/>
  <c r="AB232" i="4"/>
  <c r="AA231" i="4"/>
  <c r="AB231" i="4"/>
  <c r="AA230" i="4"/>
  <c r="AB230" i="4"/>
  <c r="AA229" i="4"/>
  <c r="AB229" i="4"/>
  <c r="AA228" i="4"/>
  <c r="AB228" i="4"/>
  <c r="AA227" i="4"/>
  <c r="AB227" i="4"/>
  <c r="AA226" i="4"/>
  <c r="AB226" i="4"/>
  <c r="AA225" i="4"/>
  <c r="AB225" i="4"/>
  <c r="AA224" i="4"/>
  <c r="AB224" i="4"/>
  <c r="AA223" i="4"/>
  <c r="AB223" i="4"/>
  <c r="AA222" i="4"/>
  <c r="AB222" i="4"/>
  <c r="AA221" i="4"/>
  <c r="AB221" i="4"/>
  <c r="AA220" i="4"/>
  <c r="AB220" i="4"/>
  <c r="AA219" i="4"/>
  <c r="AB219" i="4"/>
  <c r="AA218" i="4"/>
  <c r="AB218" i="4"/>
  <c r="AA217" i="4"/>
  <c r="AB217" i="4"/>
  <c r="AA216" i="4"/>
  <c r="AB216" i="4"/>
  <c r="AA215" i="4"/>
  <c r="AB215" i="4"/>
  <c r="AA214" i="4"/>
  <c r="AB214" i="4"/>
  <c r="AA213" i="4"/>
  <c r="AB213" i="4"/>
  <c r="AA212" i="4"/>
  <c r="AB212" i="4"/>
  <c r="AA211" i="4"/>
  <c r="AB211" i="4"/>
  <c r="AA210" i="4"/>
  <c r="AB210" i="4"/>
  <c r="AA209" i="4"/>
  <c r="AB209" i="4"/>
  <c r="AA208" i="4"/>
  <c r="AB208" i="4"/>
  <c r="AA207" i="4"/>
  <c r="AB207" i="4"/>
  <c r="AA206" i="4"/>
  <c r="AB206" i="4"/>
  <c r="AA205" i="4"/>
  <c r="AB205" i="4"/>
  <c r="AA204" i="4"/>
  <c r="AB204" i="4"/>
  <c r="AA203" i="4"/>
  <c r="AB203" i="4"/>
  <c r="AA202" i="4"/>
  <c r="AB202" i="4"/>
  <c r="AA201" i="4"/>
  <c r="AB201" i="4"/>
  <c r="AA200" i="4"/>
  <c r="AB200" i="4"/>
  <c r="AA199" i="4"/>
  <c r="AB199" i="4"/>
  <c r="AA198" i="4"/>
  <c r="AB198" i="4"/>
  <c r="AA197" i="4"/>
  <c r="AB197" i="4"/>
  <c r="AA196" i="4"/>
  <c r="AB196" i="4"/>
  <c r="AA195" i="4"/>
  <c r="AB195" i="4"/>
  <c r="AA194" i="4"/>
  <c r="AB194" i="4"/>
  <c r="AA193" i="4"/>
  <c r="AB193" i="4"/>
  <c r="AA192" i="4"/>
  <c r="AB192" i="4"/>
  <c r="AA191" i="4"/>
  <c r="AB191" i="4"/>
  <c r="AA190" i="4"/>
  <c r="AB190" i="4"/>
  <c r="AA189" i="4"/>
  <c r="AB189" i="4"/>
  <c r="AA188" i="4"/>
  <c r="AB188" i="4"/>
  <c r="AA187" i="4"/>
  <c r="AB187" i="4"/>
  <c r="AA186" i="4"/>
  <c r="AM186" i="4" s="1"/>
  <c r="AB186" i="4"/>
  <c r="AA185" i="4"/>
  <c r="AB185" i="4"/>
  <c r="AA184" i="4"/>
  <c r="AB184" i="4"/>
  <c r="AA183" i="4"/>
  <c r="AB183" i="4"/>
  <c r="AA182" i="4"/>
  <c r="AB182" i="4"/>
  <c r="AA181" i="4"/>
  <c r="AB181" i="4"/>
  <c r="AA180" i="4"/>
  <c r="AB180" i="4"/>
  <c r="AA179" i="4"/>
  <c r="AB179" i="4"/>
  <c r="AA178" i="4"/>
  <c r="AB178" i="4"/>
  <c r="AA177" i="4"/>
  <c r="AB177" i="4"/>
  <c r="AA176" i="4"/>
  <c r="AB176" i="4"/>
  <c r="AA175" i="4"/>
  <c r="AB175" i="4"/>
  <c r="AA174" i="4"/>
  <c r="AB174" i="4"/>
  <c r="AA173" i="4"/>
  <c r="AB173" i="4"/>
  <c r="AA172" i="4"/>
  <c r="AB172" i="4"/>
  <c r="AA171" i="4"/>
  <c r="AB171" i="4"/>
  <c r="AA170" i="4"/>
  <c r="AB170" i="4"/>
  <c r="AA169" i="4"/>
  <c r="AB169" i="4"/>
  <c r="AA168" i="4"/>
  <c r="AB168" i="4"/>
  <c r="AA167" i="4"/>
  <c r="AB167" i="4"/>
  <c r="AA166" i="4"/>
  <c r="AB166" i="4"/>
  <c r="AA165" i="4"/>
  <c r="AB165" i="4"/>
  <c r="AA164" i="4"/>
  <c r="AB164" i="4"/>
  <c r="AA163" i="4"/>
  <c r="AB163" i="4"/>
  <c r="AA162" i="4"/>
  <c r="AB162" i="4"/>
  <c r="AA161" i="4"/>
  <c r="AB161" i="4"/>
  <c r="AA160" i="4"/>
  <c r="AB160" i="4"/>
  <c r="AA159" i="4"/>
  <c r="AB159" i="4"/>
  <c r="AA158" i="4"/>
  <c r="AB158" i="4"/>
  <c r="AA157" i="4"/>
  <c r="AB157" i="4"/>
  <c r="AA156" i="4"/>
  <c r="AB156" i="4"/>
  <c r="AA155" i="4"/>
  <c r="AB155" i="4"/>
  <c r="AA154" i="4"/>
  <c r="AB154" i="4"/>
  <c r="AA153" i="4"/>
  <c r="AB153" i="4"/>
  <c r="AA152" i="4"/>
  <c r="AB152" i="4"/>
  <c r="AA151" i="4"/>
  <c r="AB151" i="4"/>
  <c r="AA150" i="4"/>
  <c r="AB150" i="4"/>
  <c r="AA149" i="4"/>
  <c r="AB149" i="4"/>
  <c r="AA148" i="4"/>
  <c r="AB148" i="4"/>
  <c r="AA147" i="4"/>
  <c r="AB147" i="4"/>
  <c r="AA146" i="4"/>
  <c r="AB146" i="4"/>
  <c r="AA145" i="4"/>
  <c r="AB145" i="4"/>
  <c r="AA144" i="4"/>
  <c r="AB144" i="4"/>
  <c r="AA143" i="4"/>
  <c r="AB143" i="4"/>
  <c r="AA142" i="4"/>
  <c r="AB142" i="4"/>
  <c r="AA141" i="4"/>
  <c r="AB141" i="4"/>
  <c r="AA140" i="4"/>
  <c r="AB140" i="4"/>
  <c r="AA139" i="4"/>
  <c r="AB139" i="4"/>
  <c r="AA138" i="4"/>
  <c r="AB138" i="4"/>
  <c r="AA137" i="4"/>
  <c r="AB137" i="4"/>
  <c r="AA136" i="4"/>
  <c r="AB136" i="4"/>
  <c r="AA135" i="4"/>
  <c r="AB135" i="4"/>
  <c r="AA134" i="4"/>
  <c r="AB134" i="4"/>
  <c r="AA133" i="4"/>
  <c r="AB133" i="4"/>
  <c r="AA132" i="4"/>
  <c r="AB132" i="4"/>
  <c r="AA131" i="4"/>
  <c r="AB131" i="4"/>
  <c r="AA130" i="4"/>
  <c r="AB130" i="4"/>
  <c r="AA129" i="4"/>
  <c r="AB129" i="4"/>
  <c r="AA128" i="4"/>
  <c r="AB128" i="4"/>
  <c r="AA127" i="4"/>
  <c r="AB127" i="4"/>
  <c r="AA126" i="4"/>
  <c r="AB126" i="4"/>
  <c r="AA125" i="4"/>
  <c r="AB125" i="4"/>
  <c r="AA124" i="4"/>
  <c r="AB124" i="4"/>
  <c r="AA123" i="4"/>
  <c r="AB123" i="4"/>
  <c r="AA122" i="4"/>
  <c r="AB122" i="4"/>
  <c r="AA121" i="4"/>
  <c r="AB121" i="4"/>
  <c r="AA120" i="4"/>
  <c r="AB120" i="4"/>
  <c r="AA119" i="4"/>
  <c r="AB119" i="4"/>
  <c r="AA118" i="4"/>
  <c r="AB118" i="4"/>
  <c r="AA117" i="4"/>
  <c r="AB117" i="4"/>
  <c r="AA116" i="4"/>
  <c r="AB116" i="4"/>
  <c r="AA115" i="4"/>
  <c r="AB115" i="4"/>
  <c r="AA114" i="4"/>
  <c r="AB114" i="4"/>
  <c r="AA113" i="4"/>
  <c r="AB113" i="4"/>
  <c r="AA112" i="4"/>
  <c r="AB112" i="4"/>
  <c r="AA111" i="4"/>
  <c r="AB111" i="4"/>
  <c r="AA110" i="4"/>
  <c r="AB110" i="4"/>
  <c r="AA109" i="4"/>
  <c r="AB109" i="4"/>
  <c r="AA108" i="4"/>
  <c r="AB108" i="4"/>
  <c r="AA107" i="4"/>
  <c r="AB107" i="4"/>
  <c r="AA106" i="4"/>
  <c r="AB106" i="4"/>
  <c r="AA105" i="4"/>
  <c r="AB105" i="4"/>
  <c r="AA104" i="4"/>
  <c r="AB104" i="4"/>
  <c r="AA103" i="4"/>
  <c r="AB103" i="4"/>
  <c r="AA102" i="4"/>
  <c r="AB102" i="4"/>
  <c r="AA101" i="4"/>
  <c r="AB101" i="4"/>
  <c r="AA100" i="4"/>
  <c r="AB100" i="4"/>
  <c r="AA99" i="4"/>
  <c r="AB99" i="4"/>
  <c r="AA98" i="4"/>
  <c r="AB98" i="4"/>
  <c r="AA97" i="4"/>
  <c r="AB97" i="4"/>
  <c r="AA96" i="4"/>
  <c r="AB96" i="4"/>
  <c r="AA95" i="4"/>
  <c r="AB95" i="4"/>
  <c r="AA94" i="4"/>
  <c r="AB94" i="4"/>
  <c r="AA93" i="4"/>
  <c r="AB93" i="4"/>
  <c r="AA92" i="4"/>
  <c r="AB92" i="4"/>
  <c r="AA91" i="4"/>
  <c r="AB91" i="4"/>
  <c r="AA90" i="4"/>
  <c r="AB90" i="4"/>
  <c r="AA89" i="4"/>
  <c r="AB89" i="4"/>
  <c r="AA88" i="4"/>
  <c r="AB88" i="4"/>
  <c r="AA87" i="4"/>
  <c r="AB87" i="4"/>
  <c r="AA86" i="4"/>
  <c r="AB86" i="4"/>
  <c r="AA85" i="4"/>
  <c r="AB85" i="4"/>
  <c r="AA84" i="4"/>
  <c r="AB84" i="4"/>
  <c r="AA83" i="4"/>
  <c r="AB83" i="4"/>
  <c r="AA82" i="4"/>
  <c r="AB82" i="4"/>
  <c r="AA81" i="4"/>
  <c r="AB81" i="4"/>
  <c r="AA80" i="4"/>
  <c r="AB80" i="4"/>
  <c r="AA79" i="4"/>
  <c r="AB79" i="4"/>
  <c r="AA78" i="4"/>
  <c r="AB78" i="4"/>
  <c r="AA77" i="4"/>
  <c r="AB77" i="4"/>
  <c r="AA76" i="4"/>
  <c r="AB76" i="4"/>
  <c r="AA75" i="4"/>
  <c r="AB75" i="4"/>
  <c r="AA74" i="4"/>
  <c r="AB74" i="4"/>
  <c r="AA73" i="4"/>
  <c r="AB73" i="4"/>
  <c r="AA72" i="4"/>
  <c r="AB72" i="4"/>
  <c r="AA71" i="4"/>
  <c r="AB71" i="4"/>
  <c r="AA70" i="4"/>
  <c r="AB70" i="4"/>
  <c r="AA69" i="4"/>
  <c r="AB69" i="4"/>
  <c r="AA68" i="4"/>
  <c r="AB68" i="4"/>
  <c r="AA67" i="4"/>
  <c r="AB67" i="4"/>
  <c r="AA66" i="4"/>
  <c r="AB66" i="4"/>
  <c r="AA65" i="4"/>
  <c r="AB65" i="4"/>
  <c r="AA64" i="4"/>
  <c r="AB64" i="4"/>
  <c r="AA63" i="4"/>
  <c r="AB63" i="4"/>
  <c r="AA62" i="4"/>
  <c r="AB62" i="4"/>
  <c r="AA61" i="4"/>
  <c r="AB61" i="4"/>
  <c r="AA60" i="4"/>
  <c r="AB60" i="4"/>
  <c r="AA59" i="4"/>
  <c r="AB59" i="4"/>
  <c r="AA58" i="4"/>
  <c r="AB58" i="4"/>
  <c r="AA57" i="4"/>
  <c r="AB57" i="4"/>
  <c r="AA56" i="4"/>
  <c r="AB56" i="4"/>
  <c r="AA55" i="4"/>
  <c r="AB55" i="4"/>
  <c r="AA54" i="4"/>
  <c r="AB54" i="4"/>
  <c r="AA53" i="4"/>
  <c r="AB53" i="4"/>
  <c r="AA52" i="4"/>
  <c r="AB52" i="4"/>
  <c r="AA51" i="4"/>
  <c r="AB51" i="4"/>
  <c r="AA50" i="4"/>
  <c r="AB50" i="4"/>
  <c r="P36" i="6"/>
  <c r="F11" i="9"/>
  <c r="AD9" i="10"/>
  <c r="AD10" i="10"/>
  <c r="AD11" i="10"/>
  <c r="AD12" i="10"/>
  <c r="AD13" i="10"/>
  <c r="AD14" i="10"/>
  <c r="AD16" i="10"/>
  <c r="AD17" i="10"/>
  <c r="AD18" i="10"/>
  <c r="AD19" i="10"/>
  <c r="AD20" i="10"/>
  <c r="AD21" i="10"/>
  <c r="AD22" i="10"/>
  <c r="AD23" i="10"/>
  <c r="AD24" i="10"/>
  <c r="AD25" i="10"/>
  <c r="AD26" i="10"/>
  <c r="AD27" i="10"/>
  <c r="AD28" i="10"/>
  <c r="AD29" i="10"/>
  <c r="AD30" i="10"/>
  <c r="AD31" i="10"/>
  <c r="AD32" i="10"/>
  <c r="AD33" i="10"/>
  <c r="AD34" i="10"/>
  <c r="AD35" i="10"/>
  <c r="AD36" i="10"/>
  <c r="AD37" i="10"/>
  <c r="AD38" i="10"/>
  <c r="AD39" i="10"/>
  <c r="AD40" i="10"/>
  <c r="AD41" i="10"/>
  <c r="AD42" i="10"/>
  <c r="AD43" i="10"/>
  <c r="AD44" i="10"/>
  <c r="AD45" i="10"/>
  <c r="AD46" i="10"/>
  <c r="AD47" i="10"/>
  <c r="AD48" i="10"/>
  <c r="AD49" i="10"/>
  <c r="AD50" i="10"/>
  <c r="AD51" i="10"/>
  <c r="AD52" i="10"/>
  <c r="AD53" i="10"/>
  <c r="AD54" i="10"/>
  <c r="AD55" i="10"/>
  <c r="AD56" i="10"/>
  <c r="AD57" i="10"/>
  <c r="D49" i="3"/>
  <c r="C49" i="3"/>
  <c r="B56" i="3"/>
  <c r="C50" i="3" s="1"/>
  <c r="B57" i="3"/>
  <c r="D50" i="3" s="1"/>
  <c r="F56" i="3"/>
  <c r="AA9" i="10"/>
  <c r="G46" i="3"/>
  <c r="F46" i="3"/>
  <c r="C46" i="3"/>
  <c r="B46" i="3"/>
  <c r="AP16" i="10"/>
  <c r="AP15" i="10"/>
  <c r="AU57" i="10"/>
  <c r="AU56" i="10"/>
  <c r="AU55" i="10"/>
  <c r="AU54" i="10"/>
  <c r="AU53" i="10"/>
  <c r="AU52" i="10"/>
  <c r="AU51" i="10"/>
  <c r="AU50" i="10"/>
  <c r="AU49" i="10"/>
  <c r="AU48" i="10"/>
  <c r="AU47" i="10"/>
  <c r="AU46" i="10"/>
  <c r="AU45" i="10"/>
  <c r="AU44" i="10"/>
  <c r="AU43" i="10"/>
  <c r="AU42" i="10"/>
  <c r="AU41" i="10"/>
  <c r="AU40" i="10"/>
  <c r="AU39" i="10"/>
  <c r="AU38" i="10"/>
  <c r="AU37" i="10"/>
  <c r="AU36" i="10"/>
  <c r="AU35" i="10"/>
  <c r="AU34" i="10"/>
  <c r="AU33" i="10"/>
  <c r="AU32" i="10"/>
  <c r="AU31" i="10"/>
  <c r="AU30" i="10"/>
  <c r="AU29" i="10"/>
  <c r="AU28" i="10"/>
  <c r="AU27" i="10"/>
  <c r="AU26" i="10"/>
  <c r="AU25" i="10"/>
  <c r="AU24" i="10"/>
  <c r="AU23" i="10"/>
  <c r="AU22" i="10"/>
  <c r="AU21" i="10"/>
  <c r="AU20" i="10"/>
  <c r="AU19" i="10"/>
  <c r="AU18" i="10"/>
  <c r="AU17" i="10"/>
  <c r="AU16" i="10"/>
  <c r="AU15" i="10"/>
  <c r="AU14" i="10"/>
  <c r="AU13" i="10"/>
  <c r="AU12" i="10"/>
  <c r="AU11" i="10"/>
  <c r="AU10" i="10"/>
  <c r="AU9" i="10"/>
  <c r="AU8" i="10"/>
  <c r="AO15" i="10"/>
  <c r="BD15" i="10" s="1"/>
  <c r="AC3" i="4"/>
  <c r="G45" i="3"/>
  <c r="F45" i="3"/>
  <c r="F12" i="9" s="1"/>
  <c r="C45" i="3"/>
  <c r="C14" i="9" s="1"/>
  <c r="B45" i="3"/>
  <c r="R57" i="10"/>
  <c r="S57" i="10" s="1"/>
  <c r="R56" i="10"/>
  <c r="S56" i="10" s="1"/>
  <c r="R55" i="10"/>
  <c r="S55" i="10" s="1"/>
  <c r="R54" i="10"/>
  <c r="S54" i="10" s="1"/>
  <c r="R53" i="10"/>
  <c r="S53" i="10" s="1"/>
  <c r="R52" i="10"/>
  <c r="S52" i="10" s="1"/>
  <c r="R51" i="10"/>
  <c r="S51" i="10" s="1"/>
  <c r="R50" i="10"/>
  <c r="S50" i="10" s="1"/>
  <c r="R49" i="10"/>
  <c r="S49" i="10" s="1"/>
  <c r="R48" i="10"/>
  <c r="S48" i="10" s="1"/>
  <c r="R47" i="10"/>
  <c r="S47" i="10" s="1"/>
  <c r="R46" i="10"/>
  <c r="S46" i="10" s="1"/>
  <c r="R45" i="10"/>
  <c r="S45" i="10" s="1"/>
  <c r="R44" i="10"/>
  <c r="S44" i="10" s="1"/>
  <c r="R43" i="10"/>
  <c r="S43" i="10" s="1"/>
  <c r="R42" i="10"/>
  <c r="S42" i="10" s="1"/>
  <c r="R41" i="10"/>
  <c r="S41" i="10" s="1"/>
  <c r="R40" i="10"/>
  <c r="S40" i="10" s="1"/>
  <c r="R39" i="10"/>
  <c r="S39" i="10" s="1"/>
  <c r="R38" i="10"/>
  <c r="S38" i="10" s="1"/>
  <c r="R37" i="10"/>
  <c r="S37" i="10" s="1"/>
  <c r="R36" i="10"/>
  <c r="S36" i="10" s="1"/>
  <c r="R35" i="10"/>
  <c r="S35" i="10" s="1"/>
  <c r="R34" i="10"/>
  <c r="S34" i="10" s="1"/>
  <c r="R16" i="10"/>
  <c r="R15" i="10"/>
  <c r="S15" i="10" s="1"/>
  <c r="R14" i="10"/>
  <c r="S14" i="10" s="1"/>
  <c r="R13" i="10"/>
  <c r="S13" i="10" s="1"/>
  <c r="AC10" i="10"/>
  <c r="AC11" i="10" s="1"/>
  <c r="AP57" i="10"/>
  <c r="AP56" i="10"/>
  <c r="AP55" i="10"/>
  <c r="AP54" i="10"/>
  <c r="AP53" i="10"/>
  <c r="AP52" i="10"/>
  <c r="AP51" i="10"/>
  <c r="AP50" i="10"/>
  <c r="AP49" i="10"/>
  <c r="AP48" i="10"/>
  <c r="AP47" i="10"/>
  <c r="AP46" i="10"/>
  <c r="AP45" i="10"/>
  <c r="AP44" i="10"/>
  <c r="AP43" i="10"/>
  <c r="AP42" i="10"/>
  <c r="AP41" i="10"/>
  <c r="AP40" i="10"/>
  <c r="AP39" i="10"/>
  <c r="BA39" i="10" s="1"/>
  <c r="AP38" i="10"/>
  <c r="AP37" i="10"/>
  <c r="AP36" i="10"/>
  <c r="AP35" i="10"/>
  <c r="AP34" i="10"/>
  <c r="AP14" i="10"/>
  <c r="AP13" i="10"/>
  <c r="AP12" i="10"/>
  <c r="AP11" i="10"/>
  <c r="AP10" i="10"/>
  <c r="AP9" i="10"/>
  <c r="AO57" i="10"/>
  <c r="BD57" i="10" s="1"/>
  <c r="AO56" i="10"/>
  <c r="BF56" i="10" s="1"/>
  <c r="AO55" i="10"/>
  <c r="BD55" i="10" s="1"/>
  <c r="AO54" i="10"/>
  <c r="BD54" i="10" s="1"/>
  <c r="AO53" i="10"/>
  <c r="BF53" i="10" s="1"/>
  <c r="AO52" i="10"/>
  <c r="AO51" i="10"/>
  <c r="BD51" i="10" s="1"/>
  <c r="AO50" i="10"/>
  <c r="BF50" i="10" s="1"/>
  <c r="AO49" i="10"/>
  <c r="BD49" i="10" s="1"/>
  <c r="AO48" i="10"/>
  <c r="BF48" i="10" s="1"/>
  <c r="AO47" i="10"/>
  <c r="BD47" i="10" s="1"/>
  <c r="AO46" i="10"/>
  <c r="BD46" i="10" s="1"/>
  <c r="AO45" i="10"/>
  <c r="BF45" i="10" s="1"/>
  <c r="AO44" i="10"/>
  <c r="AO43" i="10"/>
  <c r="BE43" i="10" s="1"/>
  <c r="AO42" i="10"/>
  <c r="BE42" i="10" s="1"/>
  <c r="AO41" i="10"/>
  <c r="BD41" i="10" s="1"/>
  <c r="AO40" i="10"/>
  <c r="BF40" i="10" s="1"/>
  <c r="AO39" i="10"/>
  <c r="BE39" i="10" s="1"/>
  <c r="AO38" i="10"/>
  <c r="BF38" i="10" s="1"/>
  <c r="AO37" i="10"/>
  <c r="BE37" i="10" s="1"/>
  <c r="AO36" i="10"/>
  <c r="AO35" i="10"/>
  <c r="BF35" i="10" s="1"/>
  <c r="AO34" i="10"/>
  <c r="BE34" i="10" s="1"/>
  <c r="AO14" i="10"/>
  <c r="BD14" i="10" s="1"/>
  <c r="AO13" i="10"/>
  <c r="AO12" i="10"/>
  <c r="BF12" i="10" s="1"/>
  <c r="AO11" i="10"/>
  <c r="BD11" i="10" s="1"/>
  <c r="AO10" i="10"/>
  <c r="AO9" i="10"/>
  <c r="BA11" i="10"/>
  <c r="BI11" i="10" s="1"/>
  <c r="BF47" i="10"/>
  <c r="BE49" i="10"/>
  <c r="BD43" i="10"/>
  <c r="AO17" i="10"/>
  <c r="BD17" i="10" s="1"/>
  <c r="R17" i="10"/>
  <c r="S17" i="10" s="1"/>
  <c r="AP17" i="10"/>
  <c r="AO16" i="10"/>
  <c r="BE16" i="10" s="1"/>
  <c r="D9" i="3"/>
  <c r="E9" i="3"/>
  <c r="AO18" i="10"/>
  <c r="BF18" i="10" s="1"/>
  <c r="AP18" i="10"/>
  <c r="R18" i="10"/>
  <c r="S18" i="10" s="1"/>
  <c r="AP19" i="10"/>
  <c r="R19" i="10"/>
  <c r="S19" i="10" s="1"/>
  <c r="AO19" i="10"/>
  <c r="R20" i="10"/>
  <c r="S20" i="10" s="1"/>
  <c r="AO20" i="10"/>
  <c r="BE20" i="10" s="1"/>
  <c r="AP20" i="10"/>
  <c r="AT57" i="10"/>
  <c r="AT56" i="10"/>
  <c r="AT55" i="10"/>
  <c r="AT54" i="10"/>
  <c r="AT53" i="10"/>
  <c r="AT52" i="10"/>
  <c r="AT51" i="10"/>
  <c r="AT50" i="10"/>
  <c r="AT49" i="10"/>
  <c r="AT48" i="10"/>
  <c r="AT47" i="10"/>
  <c r="AT46" i="10"/>
  <c r="AT45" i="10"/>
  <c r="AT44" i="10"/>
  <c r="AT43" i="10"/>
  <c r="AT42" i="10"/>
  <c r="AT41" i="10"/>
  <c r="AT40" i="10"/>
  <c r="AT39" i="10"/>
  <c r="AT38" i="10"/>
  <c r="AT37" i="10"/>
  <c r="AT36" i="10"/>
  <c r="AT35" i="10"/>
  <c r="AT34" i="10"/>
  <c r="AT33" i="10"/>
  <c r="AT32" i="10"/>
  <c r="AT31" i="10"/>
  <c r="AT30" i="10"/>
  <c r="AT29" i="10"/>
  <c r="AT28" i="10"/>
  <c r="AT27" i="10"/>
  <c r="AT26" i="10"/>
  <c r="AT25" i="10"/>
  <c r="AT24" i="10"/>
  <c r="AT23" i="10"/>
  <c r="AT22" i="10"/>
  <c r="AT21" i="10"/>
  <c r="AT20" i="10"/>
  <c r="AT19" i="10"/>
  <c r="AT18" i="10"/>
  <c r="AT17" i="10"/>
  <c r="AT16" i="10"/>
  <c r="AT15" i="10"/>
  <c r="AT14" i="10"/>
  <c r="AT13" i="10"/>
  <c r="AT12" i="10"/>
  <c r="AT11" i="10"/>
  <c r="AT10" i="10"/>
  <c r="AT9" i="10"/>
  <c r="AT8" i="10"/>
  <c r="I8" i="10" s="1"/>
  <c r="R21" i="10"/>
  <c r="S21" i="10" s="1"/>
  <c r="AP21" i="10"/>
  <c r="AO21" i="10"/>
  <c r="BF21" i="10" s="1"/>
  <c r="AP22" i="10"/>
  <c r="AO22" i="10"/>
  <c r="R22" i="10"/>
  <c r="S22" i="10" s="1"/>
  <c r="AP23" i="10"/>
  <c r="R23" i="10"/>
  <c r="S23" i="10" s="1"/>
  <c r="AO23" i="10"/>
  <c r="BD23" i="10" s="1"/>
  <c r="AO24" i="10"/>
  <c r="BE24" i="10" s="1"/>
  <c r="R24" i="10"/>
  <c r="S24" i="10" s="1"/>
  <c r="AP24" i="10"/>
  <c r="AO25" i="10"/>
  <c r="BD25" i="10" s="1"/>
  <c r="R25" i="10"/>
  <c r="S25" i="10" s="1"/>
  <c r="AP25" i="10"/>
  <c r="AO26" i="10"/>
  <c r="BE26" i="10" s="1"/>
  <c r="AP26" i="10"/>
  <c r="R26" i="10"/>
  <c r="S26" i="10" s="1"/>
  <c r="R27" i="10"/>
  <c r="S27" i="10" s="1"/>
  <c r="AP27" i="10"/>
  <c r="AO27" i="10"/>
  <c r="AC1002" i="4"/>
  <c r="AC1001" i="4"/>
  <c r="AC1000" i="4"/>
  <c r="AC999" i="4"/>
  <c r="AC998" i="4"/>
  <c r="AC997" i="4"/>
  <c r="AC996" i="4"/>
  <c r="AC995" i="4"/>
  <c r="AC994" i="4"/>
  <c r="AC993" i="4"/>
  <c r="AC992" i="4"/>
  <c r="AC991" i="4"/>
  <c r="AC990" i="4"/>
  <c r="AC989" i="4"/>
  <c r="AC988" i="4"/>
  <c r="AC987" i="4"/>
  <c r="AC986" i="4"/>
  <c r="AC985" i="4"/>
  <c r="AC984" i="4"/>
  <c r="AC983" i="4"/>
  <c r="AC982" i="4"/>
  <c r="AC981" i="4"/>
  <c r="AC980" i="4"/>
  <c r="AC979" i="4"/>
  <c r="AC978" i="4"/>
  <c r="AC977" i="4"/>
  <c r="AC976" i="4"/>
  <c r="AC975" i="4"/>
  <c r="AC974" i="4"/>
  <c r="AC973" i="4"/>
  <c r="AC972" i="4"/>
  <c r="AC971" i="4"/>
  <c r="AC970" i="4"/>
  <c r="AC969" i="4"/>
  <c r="AC968" i="4"/>
  <c r="AC967" i="4"/>
  <c r="AC966" i="4"/>
  <c r="AC965" i="4"/>
  <c r="AC964" i="4"/>
  <c r="AC963" i="4"/>
  <c r="AC962" i="4"/>
  <c r="AC961" i="4"/>
  <c r="AC960" i="4"/>
  <c r="AC959" i="4"/>
  <c r="AC958" i="4"/>
  <c r="AC957" i="4"/>
  <c r="AC956" i="4"/>
  <c r="AC955" i="4"/>
  <c r="AC954" i="4"/>
  <c r="AC953" i="4"/>
  <c r="AC952" i="4"/>
  <c r="AC951" i="4"/>
  <c r="AC950" i="4"/>
  <c r="AC949" i="4"/>
  <c r="AC948" i="4"/>
  <c r="AC947" i="4"/>
  <c r="AC946" i="4"/>
  <c r="AC945" i="4"/>
  <c r="AC944" i="4"/>
  <c r="AC943" i="4"/>
  <c r="AC942" i="4"/>
  <c r="AC941" i="4"/>
  <c r="AC940" i="4"/>
  <c r="AC939" i="4"/>
  <c r="AC938" i="4"/>
  <c r="AC937" i="4"/>
  <c r="AC936" i="4"/>
  <c r="AC935" i="4"/>
  <c r="AC934" i="4"/>
  <c r="AC933" i="4"/>
  <c r="AC932" i="4"/>
  <c r="AC931" i="4"/>
  <c r="AC930" i="4"/>
  <c r="AC929" i="4"/>
  <c r="AC928" i="4"/>
  <c r="AC927" i="4"/>
  <c r="AC926" i="4"/>
  <c r="AC925" i="4"/>
  <c r="AC924" i="4"/>
  <c r="AC923" i="4"/>
  <c r="AC922" i="4"/>
  <c r="AC921" i="4"/>
  <c r="AC920" i="4"/>
  <c r="AC919" i="4"/>
  <c r="AC918" i="4"/>
  <c r="AC917" i="4"/>
  <c r="AC916" i="4"/>
  <c r="AC915" i="4"/>
  <c r="AC914" i="4"/>
  <c r="AC913" i="4"/>
  <c r="AC912" i="4"/>
  <c r="AC911" i="4"/>
  <c r="AC910" i="4"/>
  <c r="AC909" i="4"/>
  <c r="AC908" i="4"/>
  <c r="AC907" i="4"/>
  <c r="AC906" i="4"/>
  <c r="AC905" i="4"/>
  <c r="AC904" i="4"/>
  <c r="AC903" i="4"/>
  <c r="AC902" i="4"/>
  <c r="AC901" i="4"/>
  <c r="AC900" i="4"/>
  <c r="AC899" i="4"/>
  <c r="AC898" i="4"/>
  <c r="AC897" i="4"/>
  <c r="AC896" i="4"/>
  <c r="AC895" i="4"/>
  <c r="AC894" i="4"/>
  <c r="AC893" i="4"/>
  <c r="AC892" i="4"/>
  <c r="AC891" i="4"/>
  <c r="AC890" i="4"/>
  <c r="AC889" i="4"/>
  <c r="AC888" i="4"/>
  <c r="AC887" i="4"/>
  <c r="AC886" i="4"/>
  <c r="AC885" i="4"/>
  <c r="AC884" i="4"/>
  <c r="AC883" i="4"/>
  <c r="AC882" i="4"/>
  <c r="AC881" i="4"/>
  <c r="AC880" i="4"/>
  <c r="AC879" i="4"/>
  <c r="AC878" i="4"/>
  <c r="AC877" i="4"/>
  <c r="AC876" i="4"/>
  <c r="AC875" i="4"/>
  <c r="AC874" i="4"/>
  <c r="AC873" i="4"/>
  <c r="AC872" i="4"/>
  <c r="AC871" i="4"/>
  <c r="AC870" i="4"/>
  <c r="AC869" i="4"/>
  <c r="AC868" i="4"/>
  <c r="AC867" i="4"/>
  <c r="AC866" i="4"/>
  <c r="AC865" i="4"/>
  <c r="AC864" i="4"/>
  <c r="AC863" i="4"/>
  <c r="AC862" i="4"/>
  <c r="AC861" i="4"/>
  <c r="AC860" i="4"/>
  <c r="AC859" i="4"/>
  <c r="AC858" i="4"/>
  <c r="AC857" i="4"/>
  <c r="AC856" i="4"/>
  <c r="AC855" i="4"/>
  <c r="AC854" i="4"/>
  <c r="AC853" i="4"/>
  <c r="AC852" i="4"/>
  <c r="AC851" i="4"/>
  <c r="AC850" i="4"/>
  <c r="AC849" i="4"/>
  <c r="AC848" i="4"/>
  <c r="AC847" i="4"/>
  <c r="AC846" i="4"/>
  <c r="AC845" i="4"/>
  <c r="AC844" i="4"/>
  <c r="AC843" i="4"/>
  <c r="AC842" i="4"/>
  <c r="AC841" i="4"/>
  <c r="AC840" i="4"/>
  <c r="AC839" i="4"/>
  <c r="AC838" i="4"/>
  <c r="AC837" i="4"/>
  <c r="AC836" i="4"/>
  <c r="AC835" i="4"/>
  <c r="AC834" i="4"/>
  <c r="AC833" i="4"/>
  <c r="AC832" i="4"/>
  <c r="AC831" i="4"/>
  <c r="AC830" i="4"/>
  <c r="AC829" i="4"/>
  <c r="AC828" i="4"/>
  <c r="AC827" i="4"/>
  <c r="AC826" i="4"/>
  <c r="AC825" i="4"/>
  <c r="AC824" i="4"/>
  <c r="AC823" i="4"/>
  <c r="AC822" i="4"/>
  <c r="AC821" i="4"/>
  <c r="AC820" i="4"/>
  <c r="AC819" i="4"/>
  <c r="AC818" i="4"/>
  <c r="AC817" i="4"/>
  <c r="AC816" i="4"/>
  <c r="AC815" i="4"/>
  <c r="AC814" i="4"/>
  <c r="AC813" i="4"/>
  <c r="AC812" i="4"/>
  <c r="AC811" i="4"/>
  <c r="AC810" i="4"/>
  <c r="AC809" i="4"/>
  <c r="AC808" i="4"/>
  <c r="AC807" i="4"/>
  <c r="AC806" i="4"/>
  <c r="AC805" i="4"/>
  <c r="AC804" i="4"/>
  <c r="AC803" i="4"/>
  <c r="AC802" i="4"/>
  <c r="AC801" i="4"/>
  <c r="AC800" i="4"/>
  <c r="AC799" i="4"/>
  <c r="AC798" i="4"/>
  <c r="AC797" i="4"/>
  <c r="AC796" i="4"/>
  <c r="AC795" i="4"/>
  <c r="AC794" i="4"/>
  <c r="AC793" i="4"/>
  <c r="AC792" i="4"/>
  <c r="AC791" i="4"/>
  <c r="AC790" i="4"/>
  <c r="AC789" i="4"/>
  <c r="AC788" i="4"/>
  <c r="AC787" i="4"/>
  <c r="AC786" i="4"/>
  <c r="AC785" i="4"/>
  <c r="AC784" i="4"/>
  <c r="AC783" i="4"/>
  <c r="AC782" i="4"/>
  <c r="AC781" i="4"/>
  <c r="AC780" i="4"/>
  <c r="AC779" i="4"/>
  <c r="AC778" i="4"/>
  <c r="AC777" i="4"/>
  <c r="AC776" i="4"/>
  <c r="AC775" i="4"/>
  <c r="AC774" i="4"/>
  <c r="AC773" i="4"/>
  <c r="AC772" i="4"/>
  <c r="AC771" i="4"/>
  <c r="AC770" i="4"/>
  <c r="AC769" i="4"/>
  <c r="AC768" i="4"/>
  <c r="AC767" i="4"/>
  <c r="AC766" i="4"/>
  <c r="AC765" i="4"/>
  <c r="AC764" i="4"/>
  <c r="AC763" i="4"/>
  <c r="AC762" i="4"/>
  <c r="AC761" i="4"/>
  <c r="AC760" i="4"/>
  <c r="AC759" i="4"/>
  <c r="AC758" i="4"/>
  <c r="AC757" i="4"/>
  <c r="AC756" i="4"/>
  <c r="AC755" i="4"/>
  <c r="AC754" i="4"/>
  <c r="AC753" i="4"/>
  <c r="AC752" i="4"/>
  <c r="AC751" i="4"/>
  <c r="AC750" i="4"/>
  <c r="AC749" i="4"/>
  <c r="AC748" i="4"/>
  <c r="AC747" i="4"/>
  <c r="AC746" i="4"/>
  <c r="AC745" i="4"/>
  <c r="AC744" i="4"/>
  <c r="AC743" i="4"/>
  <c r="AC742" i="4"/>
  <c r="AC741" i="4"/>
  <c r="AC740" i="4"/>
  <c r="AC739" i="4"/>
  <c r="AC738" i="4"/>
  <c r="AC737" i="4"/>
  <c r="AC736" i="4"/>
  <c r="AC735" i="4"/>
  <c r="AC734" i="4"/>
  <c r="AC733" i="4"/>
  <c r="AC732" i="4"/>
  <c r="AC731" i="4"/>
  <c r="AC730" i="4"/>
  <c r="AC729" i="4"/>
  <c r="AC728" i="4"/>
  <c r="AC727" i="4"/>
  <c r="AC726" i="4"/>
  <c r="AC725" i="4"/>
  <c r="AC724" i="4"/>
  <c r="AC723" i="4"/>
  <c r="AC722" i="4"/>
  <c r="AC721" i="4"/>
  <c r="AC720" i="4"/>
  <c r="AC719" i="4"/>
  <c r="AC718" i="4"/>
  <c r="AC717" i="4"/>
  <c r="AC716" i="4"/>
  <c r="AC715" i="4"/>
  <c r="AC714" i="4"/>
  <c r="AC713" i="4"/>
  <c r="AC712" i="4"/>
  <c r="AC711" i="4"/>
  <c r="AC710" i="4"/>
  <c r="AC709" i="4"/>
  <c r="AC708" i="4"/>
  <c r="AC707" i="4"/>
  <c r="AC706" i="4"/>
  <c r="AC705" i="4"/>
  <c r="AC704" i="4"/>
  <c r="AC703" i="4"/>
  <c r="AC702" i="4"/>
  <c r="AC701" i="4"/>
  <c r="AC700" i="4"/>
  <c r="AC699" i="4"/>
  <c r="AC698" i="4"/>
  <c r="AC697" i="4"/>
  <c r="AC696" i="4"/>
  <c r="AC695" i="4"/>
  <c r="AC694" i="4"/>
  <c r="AC693" i="4"/>
  <c r="AC692" i="4"/>
  <c r="AC691" i="4"/>
  <c r="AC690" i="4"/>
  <c r="AC689" i="4"/>
  <c r="AC688" i="4"/>
  <c r="AC687" i="4"/>
  <c r="AC686" i="4"/>
  <c r="AC685" i="4"/>
  <c r="AC684" i="4"/>
  <c r="AC683" i="4"/>
  <c r="AC682" i="4"/>
  <c r="AC681" i="4"/>
  <c r="AC680" i="4"/>
  <c r="AC679" i="4"/>
  <c r="AC678" i="4"/>
  <c r="AC677" i="4"/>
  <c r="AC676" i="4"/>
  <c r="AC675" i="4"/>
  <c r="AC674" i="4"/>
  <c r="AC673" i="4"/>
  <c r="AC672" i="4"/>
  <c r="AC671" i="4"/>
  <c r="AC670" i="4"/>
  <c r="AC669" i="4"/>
  <c r="AC668" i="4"/>
  <c r="AC667" i="4"/>
  <c r="AC666" i="4"/>
  <c r="AC665" i="4"/>
  <c r="AC664" i="4"/>
  <c r="AC663" i="4"/>
  <c r="AC662" i="4"/>
  <c r="AC661" i="4"/>
  <c r="AC660" i="4"/>
  <c r="AC659" i="4"/>
  <c r="AC658" i="4"/>
  <c r="AC657" i="4"/>
  <c r="AC656" i="4"/>
  <c r="AC655" i="4"/>
  <c r="AC654" i="4"/>
  <c r="AC653" i="4"/>
  <c r="AC652" i="4"/>
  <c r="AC651" i="4"/>
  <c r="AC650" i="4"/>
  <c r="AC649" i="4"/>
  <c r="AC648" i="4"/>
  <c r="AC647" i="4"/>
  <c r="AC646" i="4"/>
  <c r="AC645" i="4"/>
  <c r="AC644" i="4"/>
  <c r="AC643" i="4"/>
  <c r="AC642" i="4"/>
  <c r="AC641" i="4"/>
  <c r="AC640" i="4"/>
  <c r="AC639" i="4"/>
  <c r="AC638" i="4"/>
  <c r="AC637" i="4"/>
  <c r="AC636" i="4"/>
  <c r="AC635" i="4"/>
  <c r="AC634" i="4"/>
  <c r="AC633" i="4"/>
  <c r="AC632" i="4"/>
  <c r="AC631" i="4"/>
  <c r="AC630" i="4"/>
  <c r="AC629" i="4"/>
  <c r="AC628" i="4"/>
  <c r="AC627" i="4"/>
  <c r="AC626" i="4"/>
  <c r="AC625" i="4"/>
  <c r="AC624" i="4"/>
  <c r="AC623" i="4"/>
  <c r="AC622" i="4"/>
  <c r="AC621" i="4"/>
  <c r="AC620" i="4"/>
  <c r="AC619" i="4"/>
  <c r="AC618" i="4"/>
  <c r="AC617" i="4"/>
  <c r="AC616" i="4"/>
  <c r="AC615" i="4"/>
  <c r="AC614" i="4"/>
  <c r="AC613" i="4"/>
  <c r="AC612" i="4"/>
  <c r="AC611" i="4"/>
  <c r="AC610" i="4"/>
  <c r="AC609" i="4"/>
  <c r="AC608" i="4"/>
  <c r="AC607" i="4"/>
  <c r="AC606" i="4"/>
  <c r="AC605" i="4"/>
  <c r="AC604" i="4"/>
  <c r="AC603" i="4"/>
  <c r="AC602" i="4"/>
  <c r="AC601" i="4"/>
  <c r="AC600" i="4"/>
  <c r="AC599" i="4"/>
  <c r="AC598" i="4"/>
  <c r="AC597" i="4"/>
  <c r="AC596" i="4"/>
  <c r="AC595" i="4"/>
  <c r="AC594" i="4"/>
  <c r="AC593" i="4"/>
  <c r="AC592" i="4"/>
  <c r="AC591" i="4"/>
  <c r="AC590" i="4"/>
  <c r="AC589" i="4"/>
  <c r="AC588" i="4"/>
  <c r="AC587" i="4"/>
  <c r="AC586" i="4"/>
  <c r="AC585" i="4"/>
  <c r="AC584" i="4"/>
  <c r="AC583" i="4"/>
  <c r="AC582" i="4"/>
  <c r="AC581" i="4"/>
  <c r="AC580" i="4"/>
  <c r="AC579" i="4"/>
  <c r="AC578" i="4"/>
  <c r="AC577" i="4"/>
  <c r="AC576" i="4"/>
  <c r="AC575" i="4"/>
  <c r="AC574" i="4"/>
  <c r="AC573" i="4"/>
  <c r="AC572" i="4"/>
  <c r="AC571" i="4"/>
  <c r="AC570" i="4"/>
  <c r="AC569" i="4"/>
  <c r="AC568" i="4"/>
  <c r="AC567" i="4"/>
  <c r="AC566" i="4"/>
  <c r="AC565" i="4"/>
  <c r="AC564" i="4"/>
  <c r="AC563" i="4"/>
  <c r="AC562" i="4"/>
  <c r="AC561" i="4"/>
  <c r="AC560" i="4"/>
  <c r="AC559" i="4"/>
  <c r="AC558" i="4"/>
  <c r="AC557" i="4"/>
  <c r="AC556" i="4"/>
  <c r="AC555" i="4"/>
  <c r="AC554" i="4"/>
  <c r="AC553" i="4"/>
  <c r="AC552" i="4"/>
  <c r="AC551" i="4"/>
  <c r="AC550" i="4"/>
  <c r="AC549" i="4"/>
  <c r="AC548" i="4"/>
  <c r="AC547" i="4"/>
  <c r="AC546" i="4"/>
  <c r="AC545" i="4"/>
  <c r="AC544" i="4"/>
  <c r="AC543" i="4"/>
  <c r="AC542" i="4"/>
  <c r="AC541" i="4"/>
  <c r="AC540" i="4"/>
  <c r="AC539" i="4"/>
  <c r="AC538" i="4"/>
  <c r="AC537" i="4"/>
  <c r="AC536" i="4"/>
  <c r="AC535" i="4"/>
  <c r="AC534" i="4"/>
  <c r="AC533" i="4"/>
  <c r="AC532" i="4"/>
  <c r="AC531" i="4"/>
  <c r="AC530" i="4"/>
  <c r="AC529" i="4"/>
  <c r="AC528" i="4"/>
  <c r="AC527" i="4"/>
  <c r="AC526" i="4"/>
  <c r="AC525" i="4"/>
  <c r="AC524" i="4"/>
  <c r="AC523" i="4"/>
  <c r="AC522" i="4"/>
  <c r="AC521" i="4"/>
  <c r="AC520" i="4"/>
  <c r="AC519" i="4"/>
  <c r="AC518" i="4"/>
  <c r="AC517" i="4"/>
  <c r="AC516" i="4"/>
  <c r="AC515" i="4"/>
  <c r="AC514" i="4"/>
  <c r="AC513" i="4"/>
  <c r="AC512" i="4"/>
  <c r="AC511" i="4"/>
  <c r="AC510" i="4"/>
  <c r="AC509" i="4"/>
  <c r="AC508" i="4"/>
  <c r="AC507" i="4"/>
  <c r="AC506" i="4"/>
  <c r="AC505" i="4"/>
  <c r="AC504" i="4"/>
  <c r="AC503" i="4"/>
  <c r="AC502" i="4"/>
  <c r="AC501" i="4"/>
  <c r="AC500" i="4"/>
  <c r="AC499" i="4"/>
  <c r="AC498" i="4"/>
  <c r="AC497" i="4"/>
  <c r="AC496" i="4"/>
  <c r="AC495" i="4"/>
  <c r="AC494" i="4"/>
  <c r="AC493" i="4"/>
  <c r="AC492" i="4"/>
  <c r="AC491" i="4"/>
  <c r="AC490" i="4"/>
  <c r="AC489" i="4"/>
  <c r="AC488" i="4"/>
  <c r="AC487" i="4"/>
  <c r="AC486" i="4"/>
  <c r="AC485" i="4"/>
  <c r="AC484" i="4"/>
  <c r="AC483" i="4"/>
  <c r="AC482" i="4"/>
  <c r="AC481" i="4"/>
  <c r="AC480" i="4"/>
  <c r="AC479" i="4"/>
  <c r="AC478" i="4"/>
  <c r="AC477" i="4"/>
  <c r="AC476" i="4"/>
  <c r="AC475" i="4"/>
  <c r="AC474" i="4"/>
  <c r="AC473" i="4"/>
  <c r="R28" i="10"/>
  <c r="S28" i="10" s="1"/>
  <c r="AP28" i="10"/>
  <c r="AO28" i="10"/>
  <c r="BF28" i="10" s="1"/>
  <c r="AC28" i="4"/>
  <c r="T28" i="4" s="1"/>
  <c r="AC29" i="4"/>
  <c r="T29" i="4" s="1"/>
  <c r="BD28" i="10"/>
  <c r="R29" i="10"/>
  <c r="S29" i="10" s="1"/>
  <c r="AP29" i="10"/>
  <c r="AO29" i="10"/>
  <c r="AC35" i="4"/>
  <c r="T35" i="4" s="1"/>
  <c r="AC43" i="4"/>
  <c r="T43" i="4" s="1"/>
  <c r="AC55" i="4"/>
  <c r="T55" i="4" s="1"/>
  <c r="AC63" i="4"/>
  <c r="T63" i="4" s="1"/>
  <c r="AC71" i="4"/>
  <c r="T71" i="4" s="1"/>
  <c r="AC79" i="4"/>
  <c r="T79" i="4" s="1"/>
  <c r="AC87" i="4"/>
  <c r="T87" i="4" s="1"/>
  <c r="AC95" i="4"/>
  <c r="T95" i="4" s="1"/>
  <c r="AC107" i="4"/>
  <c r="T107" i="4" s="1"/>
  <c r="AC115" i="4"/>
  <c r="T115" i="4" s="1"/>
  <c r="AC123" i="4"/>
  <c r="T123" i="4" s="1"/>
  <c r="AC135" i="4"/>
  <c r="T135" i="4" s="1"/>
  <c r="AC143" i="4"/>
  <c r="T143" i="4" s="1"/>
  <c r="AC151" i="4"/>
  <c r="T151" i="4" s="1"/>
  <c r="AC163" i="4"/>
  <c r="T163" i="4" s="1"/>
  <c r="AC171" i="4"/>
  <c r="T171" i="4" s="1"/>
  <c r="AC179" i="4"/>
  <c r="T179" i="4" s="1"/>
  <c r="AC187" i="4"/>
  <c r="T187" i="4" s="1"/>
  <c r="AC195" i="4"/>
  <c r="T195" i="4" s="1"/>
  <c r="AC203" i="4"/>
  <c r="T203" i="4" s="1"/>
  <c r="AC207" i="4"/>
  <c r="T207" i="4" s="1"/>
  <c r="AC211" i="4"/>
  <c r="T211" i="4" s="1"/>
  <c r="AC219" i="4"/>
  <c r="T219" i="4" s="1"/>
  <c r="AC223" i="4"/>
  <c r="T223" i="4" s="1"/>
  <c r="AC227" i="4"/>
  <c r="T227" i="4" s="1"/>
  <c r="AC231" i="4"/>
  <c r="T231" i="4" s="1"/>
  <c r="AC235" i="4"/>
  <c r="T235" i="4" s="1"/>
  <c r="AC239" i="4"/>
  <c r="T239" i="4" s="1"/>
  <c r="AC243" i="4"/>
  <c r="T243" i="4" s="1"/>
  <c r="AC247" i="4"/>
  <c r="T247" i="4" s="1"/>
  <c r="AC251" i="4"/>
  <c r="T251" i="4" s="1"/>
  <c r="AC255" i="4"/>
  <c r="T255" i="4" s="1"/>
  <c r="AC259" i="4"/>
  <c r="T259" i="4" s="1"/>
  <c r="AC263" i="4"/>
  <c r="T263" i="4" s="1"/>
  <c r="AC267" i="4"/>
  <c r="T267" i="4" s="1"/>
  <c r="AC271" i="4"/>
  <c r="T271" i="4" s="1"/>
  <c r="AC275" i="4"/>
  <c r="T275" i="4" s="1"/>
  <c r="AC283" i="4"/>
  <c r="T283" i="4" s="1"/>
  <c r="AC291" i="4"/>
  <c r="T291" i="4" s="1"/>
  <c r="AC299" i="4"/>
  <c r="AC307" i="4"/>
  <c r="AC315" i="4"/>
  <c r="AC323" i="4"/>
  <c r="AC335" i="4"/>
  <c r="AC343" i="4"/>
  <c r="AC351" i="4"/>
  <c r="AC359" i="4"/>
  <c r="AC367" i="4"/>
  <c r="AC375" i="4"/>
  <c r="AC387" i="4"/>
  <c r="AC395" i="4"/>
  <c r="AC403" i="4"/>
  <c r="AC411" i="4"/>
  <c r="AC419" i="4"/>
  <c r="AC431" i="4"/>
  <c r="AC439" i="4"/>
  <c r="AC447" i="4"/>
  <c r="AC455" i="4"/>
  <c r="AC463" i="4"/>
  <c r="AC471" i="4"/>
  <c r="AC32" i="4"/>
  <c r="T32" i="4" s="1"/>
  <c r="AC44" i="4"/>
  <c r="T44" i="4" s="1"/>
  <c r="AC52" i="4"/>
  <c r="T52" i="4" s="1"/>
  <c r="AC60" i="4"/>
  <c r="T60" i="4" s="1"/>
  <c r="AC68" i="4"/>
  <c r="T68" i="4" s="1"/>
  <c r="AC76" i="4"/>
  <c r="T76" i="4" s="1"/>
  <c r="AC84" i="4"/>
  <c r="T84" i="4" s="1"/>
  <c r="AC92" i="4"/>
  <c r="T92" i="4" s="1"/>
  <c r="AC100" i="4"/>
  <c r="T100" i="4" s="1"/>
  <c r="AC112" i="4"/>
  <c r="T112" i="4" s="1"/>
  <c r="AC120" i="4"/>
  <c r="T120" i="4" s="1"/>
  <c r="AC128" i="4"/>
  <c r="T128" i="4" s="1"/>
  <c r="AC136" i="4"/>
  <c r="T136" i="4" s="1"/>
  <c r="AC144" i="4"/>
  <c r="T144" i="4" s="1"/>
  <c r="AC156" i="4"/>
  <c r="T156" i="4" s="1"/>
  <c r="AC164" i="4"/>
  <c r="T164" i="4" s="1"/>
  <c r="AC176" i="4"/>
  <c r="T176" i="4" s="1"/>
  <c r="AC184" i="4"/>
  <c r="T184" i="4" s="1"/>
  <c r="AC192" i="4"/>
  <c r="T192" i="4" s="1"/>
  <c r="AC200" i="4"/>
  <c r="T200" i="4" s="1"/>
  <c r="AC208" i="4"/>
  <c r="T208" i="4" s="1"/>
  <c r="AC216" i="4"/>
  <c r="T216" i="4" s="1"/>
  <c r="AC228" i="4"/>
  <c r="T228" i="4" s="1"/>
  <c r="AC236" i="4"/>
  <c r="T236" i="4" s="1"/>
  <c r="AC244" i="4"/>
  <c r="T244" i="4" s="1"/>
  <c r="AC252" i="4"/>
  <c r="T252" i="4" s="1"/>
  <c r="AC260" i="4"/>
  <c r="T260" i="4" s="1"/>
  <c r="AC272" i="4"/>
  <c r="T272" i="4" s="1"/>
  <c r="AC280" i="4"/>
  <c r="T280" i="4" s="1"/>
  <c r="AC288" i="4"/>
  <c r="T288" i="4" s="1"/>
  <c r="AC296" i="4"/>
  <c r="T296" i="4" s="1"/>
  <c r="AC304" i="4"/>
  <c r="T304" i="4" s="1"/>
  <c r="AC312" i="4"/>
  <c r="T312" i="4" s="1"/>
  <c r="AC320" i="4"/>
  <c r="AC328" i="4"/>
  <c r="AC340" i="4"/>
  <c r="AC348" i="4"/>
  <c r="AC356" i="4"/>
  <c r="AC368" i="4"/>
  <c r="AC392" i="4"/>
  <c r="AC464" i="4"/>
  <c r="AC472" i="4"/>
  <c r="AC37" i="4"/>
  <c r="T37" i="4" s="1"/>
  <c r="AC45" i="4"/>
  <c r="T45" i="4" s="1"/>
  <c r="AC49" i="4"/>
  <c r="T49" i="4" s="1"/>
  <c r="AC53" i="4"/>
  <c r="T53" i="4" s="1"/>
  <c r="AC57" i="4"/>
  <c r="T57" i="4" s="1"/>
  <c r="AC61" i="4"/>
  <c r="T61" i="4" s="1"/>
  <c r="AC65" i="4"/>
  <c r="T65" i="4" s="1"/>
  <c r="AC69" i="4"/>
  <c r="T69" i="4" s="1"/>
  <c r="AC73" i="4"/>
  <c r="T73" i="4" s="1"/>
  <c r="AC77" i="4"/>
  <c r="T77" i="4" s="1"/>
  <c r="AC81" i="4"/>
  <c r="T81" i="4" s="1"/>
  <c r="AC85" i="4"/>
  <c r="T85" i="4" s="1"/>
  <c r="AC89" i="4"/>
  <c r="T89" i="4" s="1"/>
  <c r="AC93" i="4"/>
  <c r="T93" i="4" s="1"/>
  <c r="AC97" i="4"/>
  <c r="T97" i="4" s="1"/>
  <c r="AC101" i="4"/>
  <c r="T101" i="4" s="1"/>
  <c r="AC105" i="4"/>
  <c r="T105" i="4" s="1"/>
  <c r="AC109" i="4"/>
  <c r="T109" i="4" s="1"/>
  <c r="AC113" i="4"/>
  <c r="T113" i="4" s="1"/>
  <c r="AC117" i="4"/>
  <c r="T117" i="4" s="1"/>
  <c r="AC121" i="4"/>
  <c r="T121" i="4" s="1"/>
  <c r="AC125" i="4"/>
  <c r="T125" i="4" s="1"/>
  <c r="AC129" i="4"/>
  <c r="T129" i="4" s="1"/>
  <c r="AC133" i="4"/>
  <c r="T133" i="4" s="1"/>
  <c r="AC137" i="4"/>
  <c r="T137" i="4" s="1"/>
  <c r="AC141" i="4"/>
  <c r="T141" i="4" s="1"/>
  <c r="AC145" i="4"/>
  <c r="T145" i="4" s="1"/>
  <c r="AC149" i="4"/>
  <c r="T149" i="4" s="1"/>
  <c r="AC153" i="4"/>
  <c r="T153" i="4" s="1"/>
  <c r="AC157" i="4"/>
  <c r="T157" i="4" s="1"/>
  <c r="AC161" i="4"/>
  <c r="T161" i="4" s="1"/>
  <c r="AC165" i="4"/>
  <c r="T165" i="4" s="1"/>
  <c r="AC169" i="4"/>
  <c r="T169" i="4" s="1"/>
  <c r="AC173" i="4"/>
  <c r="T173" i="4" s="1"/>
  <c r="AC177" i="4"/>
  <c r="T177" i="4" s="1"/>
  <c r="AC181" i="4"/>
  <c r="T181" i="4" s="1"/>
  <c r="AC185" i="4"/>
  <c r="T185" i="4" s="1"/>
  <c r="AC189" i="4"/>
  <c r="T189" i="4" s="1"/>
  <c r="AC193" i="4"/>
  <c r="T193" i="4" s="1"/>
  <c r="AC197" i="4"/>
  <c r="T197" i="4" s="1"/>
  <c r="AC201" i="4"/>
  <c r="T201" i="4" s="1"/>
  <c r="AC205" i="4"/>
  <c r="T205" i="4" s="1"/>
  <c r="AC209" i="4"/>
  <c r="T209" i="4" s="1"/>
  <c r="AC213" i="4"/>
  <c r="T213" i="4" s="1"/>
  <c r="AC217" i="4"/>
  <c r="T217" i="4" s="1"/>
  <c r="AC221" i="4"/>
  <c r="T221" i="4" s="1"/>
  <c r="AC225" i="4"/>
  <c r="T225" i="4" s="1"/>
  <c r="AC229" i="4"/>
  <c r="T229" i="4" s="1"/>
  <c r="AC233" i="4"/>
  <c r="T233" i="4" s="1"/>
  <c r="AC237" i="4"/>
  <c r="T237" i="4" s="1"/>
  <c r="AC241" i="4"/>
  <c r="T241" i="4" s="1"/>
  <c r="AC245" i="4"/>
  <c r="T245" i="4" s="1"/>
  <c r="AC249" i="4"/>
  <c r="T249" i="4" s="1"/>
  <c r="AC253" i="4"/>
  <c r="T253" i="4" s="1"/>
  <c r="AC257" i="4"/>
  <c r="T257" i="4" s="1"/>
  <c r="AC261" i="4"/>
  <c r="T261" i="4" s="1"/>
  <c r="AC265" i="4"/>
  <c r="T265" i="4" s="1"/>
  <c r="AC269" i="4"/>
  <c r="T269" i="4" s="1"/>
  <c r="AC273" i="4"/>
  <c r="T273" i="4" s="1"/>
  <c r="AC277" i="4"/>
  <c r="T277" i="4" s="1"/>
  <c r="AC281" i="4"/>
  <c r="T281" i="4" s="1"/>
  <c r="AC285" i="4"/>
  <c r="T285" i="4" s="1"/>
  <c r="AC289" i="4"/>
  <c r="T289" i="4" s="1"/>
  <c r="AC293" i="4"/>
  <c r="T293" i="4" s="1"/>
  <c r="AC297" i="4"/>
  <c r="T297" i="4" s="1"/>
  <c r="AC301" i="4"/>
  <c r="AC305" i="4"/>
  <c r="AC309" i="4"/>
  <c r="AC313" i="4"/>
  <c r="AC317" i="4"/>
  <c r="AC321" i="4"/>
  <c r="AC325" i="4"/>
  <c r="AC329" i="4"/>
  <c r="AC333" i="4"/>
  <c r="AC337" i="4"/>
  <c r="AC341" i="4"/>
  <c r="AC345" i="4"/>
  <c r="AC349" i="4"/>
  <c r="AC353" i="4"/>
  <c r="AC357" i="4"/>
  <c r="AC361" i="4"/>
  <c r="AC365" i="4"/>
  <c r="AC369" i="4"/>
  <c r="AC373" i="4"/>
  <c r="AC377" i="4"/>
  <c r="AC381" i="4"/>
  <c r="AC385" i="4"/>
  <c r="AC389" i="4"/>
  <c r="AC393" i="4"/>
  <c r="AC397" i="4"/>
  <c r="AC401" i="4"/>
  <c r="AC405" i="4"/>
  <c r="AC409" i="4"/>
  <c r="AC413" i="4"/>
  <c r="AC417" i="4"/>
  <c r="AC421" i="4"/>
  <c r="AC425" i="4"/>
  <c r="AC429" i="4"/>
  <c r="AC433" i="4"/>
  <c r="AC437" i="4"/>
  <c r="AC441" i="4"/>
  <c r="AC445" i="4"/>
  <c r="AC449" i="4"/>
  <c r="AC453" i="4"/>
  <c r="AC457" i="4"/>
  <c r="AC461" i="4"/>
  <c r="AC465" i="4"/>
  <c r="AC469" i="4"/>
  <c r="AC31" i="4"/>
  <c r="T31" i="4" s="1"/>
  <c r="AC39" i="4"/>
  <c r="T39" i="4" s="1"/>
  <c r="AC47" i="4"/>
  <c r="T47" i="4" s="1"/>
  <c r="AC51" i="4"/>
  <c r="T51" i="4" s="1"/>
  <c r="AC59" i="4"/>
  <c r="T59" i="4" s="1"/>
  <c r="AC67" i="4"/>
  <c r="T67" i="4" s="1"/>
  <c r="AC75" i="4"/>
  <c r="T75" i="4" s="1"/>
  <c r="AC83" i="4"/>
  <c r="T83" i="4" s="1"/>
  <c r="AC91" i="4"/>
  <c r="T91" i="4" s="1"/>
  <c r="AC99" i="4"/>
  <c r="T99" i="4" s="1"/>
  <c r="AC103" i="4"/>
  <c r="T103" i="4" s="1"/>
  <c r="AC111" i="4"/>
  <c r="T111" i="4" s="1"/>
  <c r="AC119" i="4"/>
  <c r="T119" i="4" s="1"/>
  <c r="AC127" i="4"/>
  <c r="T127" i="4" s="1"/>
  <c r="AC131" i="4"/>
  <c r="T131" i="4" s="1"/>
  <c r="AC139" i="4"/>
  <c r="T139" i="4" s="1"/>
  <c r="AC147" i="4"/>
  <c r="T147" i="4" s="1"/>
  <c r="AC155" i="4"/>
  <c r="T155" i="4" s="1"/>
  <c r="AC159" i="4"/>
  <c r="T159" i="4" s="1"/>
  <c r="AC167" i="4"/>
  <c r="T167" i="4" s="1"/>
  <c r="AC175" i="4"/>
  <c r="T175" i="4" s="1"/>
  <c r="AC183" i="4"/>
  <c r="T183" i="4" s="1"/>
  <c r="AC191" i="4"/>
  <c r="T191" i="4" s="1"/>
  <c r="AC199" i="4"/>
  <c r="T199" i="4" s="1"/>
  <c r="AC215" i="4"/>
  <c r="T215" i="4" s="1"/>
  <c r="AC279" i="4"/>
  <c r="T279" i="4" s="1"/>
  <c r="AC287" i="4"/>
  <c r="T287" i="4" s="1"/>
  <c r="AC295" i="4"/>
  <c r="T295" i="4" s="1"/>
  <c r="AC303" i="4"/>
  <c r="AC311" i="4"/>
  <c r="AC319" i="4"/>
  <c r="AC327" i="4"/>
  <c r="AC331" i="4"/>
  <c r="AC339" i="4"/>
  <c r="AC347" i="4"/>
  <c r="AC355" i="4"/>
  <c r="AC363" i="4"/>
  <c r="AC371" i="4"/>
  <c r="AC379" i="4"/>
  <c r="AC383" i="4"/>
  <c r="AC391" i="4"/>
  <c r="AC399" i="4"/>
  <c r="AC407" i="4"/>
  <c r="AC415" i="4"/>
  <c r="AC423" i="4"/>
  <c r="AC427" i="4"/>
  <c r="AC435" i="4"/>
  <c r="AC443" i="4"/>
  <c r="AC451" i="4"/>
  <c r="AC459" i="4"/>
  <c r="AC467" i="4"/>
  <c r="AC36" i="4"/>
  <c r="T36" i="4" s="1"/>
  <c r="AC40" i="4"/>
  <c r="T40" i="4" s="1"/>
  <c r="AC48" i="4"/>
  <c r="T48" i="4" s="1"/>
  <c r="AC56" i="4"/>
  <c r="T56" i="4" s="1"/>
  <c r="AC64" i="4"/>
  <c r="T64" i="4" s="1"/>
  <c r="AC72" i="4"/>
  <c r="T72" i="4" s="1"/>
  <c r="AC80" i="4"/>
  <c r="T80" i="4" s="1"/>
  <c r="AC88" i="4"/>
  <c r="T88" i="4" s="1"/>
  <c r="AC96" i="4"/>
  <c r="T96" i="4" s="1"/>
  <c r="AC104" i="4"/>
  <c r="T104" i="4" s="1"/>
  <c r="AC108" i="4"/>
  <c r="T108" i="4" s="1"/>
  <c r="AC116" i="4"/>
  <c r="T116" i="4" s="1"/>
  <c r="AC124" i="4"/>
  <c r="T124" i="4" s="1"/>
  <c r="AC132" i="4"/>
  <c r="T132" i="4" s="1"/>
  <c r="AC140" i="4"/>
  <c r="T140" i="4" s="1"/>
  <c r="AC148" i="4"/>
  <c r="T148" i="4" s="1"/>
  <c r="AC152" i="4"/>
  <c r="T152" i="4" s="1"/>
  <c r="AC160" i="4"/>
  <c r="T160" i="4" s="1"/>
  <c r="AC168" i="4"/>
  <c r="T168" i="4" s="1"/>
  <c r="AC172" i="4"/>
  <c r="T172" i="4" s="1"/>
  <c r="AC180" i="4"/>
  <c r="T180" i="4" s="1"/>
  <c r="AC188" i="4"/>
  <c r="T188" i="4" s="1"/>
  <c r="AC196" i="4"/>
  <c r="T196" i="4" s="1"/>
  <c r="AC204" i="4"/>
  <c r="T204" i="4" s="1"/>
  <c r="AC212" i="4"/>
  <c r="T212" i="4" s="1"/>
  <c r="AC220" i="4"/>
  <c r="T220" i="4" s="1"/>
  <c r="AC224" i="4"/>
  <c r="T224" i="4" s="1"/>
  <c r="AC232" i="4"/>
  <c r="T232" i="4" s="1"/>
  <c r="AC240" i="4"/>
  <c r="T240" i="4" s="1"/>
  <c r="AC248" i="4"/>
  <c r="T248" i="4" s="1"/>
  <c r="AC256" i="4"/>
  <c r="T256" i="4" s="1"/>
  <c r="AC264" i="4"/>
  <c r="T264" i="4" s="1"/>
  <c r="AC268" i="4"/>
  <c r="T268" i="4" s="1"/>
  <c r="AC276" i="4"/>
  <c r="T276" i="4" s="1"/>
  <c r="AC284" i="4"/>
  <c r="T284" i="4" s="1"/>
  <c r="AC292" i="4"/>
  <c r="T292" i="4" s="1"/>
  <c r="AC300" i="4"/>
  <c r="T300" i="4" s="1"/>
  <c r="AC308" i="4"/>
  <c r="T308" i="4" s="1"/>
  <c r="AC316" i="4"/>
  <c r="T316" i="4" s="1"/>
  <c r="AC324" i="4"/>
  <c r="AC332" i="4"/>
  <c r="AC336" i="4"/>
  <c r="AC344" i="4"/>
  <c r="AC352" i="4"/>
  <c r="AC360" i="4"/>
  <c r="AC364" i="4"/>
  <c r="AC372" i="4"/>
  <c r="AC376" i="4"/>
  <c r="AC380" i="4"/>
  <c r="AC384" i="4"/>
  <c r="AC388" i="4"/>
  <c r="AC396" i="4"/>
  <c r="AC400" i="4"/>
  <c r="AC404" i="4"/>
  <c r="AC408" i="4"/>
  <c r="AC412" i="4"/>
  <c r="AC416" i="4"/>
  <c r="AC420" i="4"/>
  <c r="AC424" i="4"/>
  <c r="AC428" i="4"/>
  <c r="AC432" i="4"/>
  <c r="AC436" i="4"/>
  <c r="AC440" i="4"/>
  <c r="AC444" i="4"/>
  <c r="AC448" i="4"/>
  <c r="AC452" i="4"/>
  <c r="AC456" i="4"/>
  <c r="AC460" i="4"/>
  <c r="AC468" i="4"/>
  <c r="AC33" i="4"/>
  <c r="T33" i="4" s="1"/>
  <c r="AC41" i="4"/>
  <c r="T41" i="4" s="1"/>
  <c r="AC30" i="4"/>
  <c r="T30" i="4" s="1"/>
  <c r="AC34" i="4"/>
  <c r="T34" i="4" s="1"/>
  <c r="AC38" i="4"/>
  <c r="T38" i="4" s="1"/>
  <c r="AC42" i="4"/>
  <c r="T42" i="4" s="1"/>
  <c r="AC46" i="4"/>
  <c r="T46" i="4" s="1"/>
  <c r="AC50" i="4"/>
  <c r="T50" i="4" s="1"/>
  <c r="AC54" i="4"/>
  <c r="T54" i="4" s="1"/>
  <c r="AC58" i="4"/>
  <c r="T58" i="4" s="1"/>
  <c r="AC62" i="4"/>
  <c r="T62" i="4" s="1"/>
  <c r="AC66" i="4"/>
  <c r="T66" i="4" s="1"/>
  <c r="AC70" i="4"/>
  <c r="T70" i="4" s="1"/>
  <c r="AC74" i="4"/>
  <c r="T74" i="4" s="1"/>
  <c r="AC78" i="4"/>
  <c r="T78" i="4" s="1"/>
  <c r="AC82" i="4"/>
  <c r="T82" i="4" s="1"/>
  <c r="AC86" i="4"/>
  <c r="T86" i="4" s="1"/>
  <c r="AC90" i="4"/>
  <c r="T90" i="4" s="1"/>
  <c r="AC94" i="4"/>
  <c r="T94" i="4" s="1"/>
  <c r="AC98" i="4"/>
  <c r="T98" i="4" s="1"/>
  <c r="AC102" i="4"/>
  <c r="T102" i="4" s="1"/>
  <c r="AC106" i="4"/>
  <c r="T106" i="4" s="1"/>
  <c r="AC110" i="4"/>
  <c r="T110" i="4" s="1"/>
  <c r="AC114" i="4"/>
  <c r="T114" i="4" s="1"/>
  <c r="AC118" i="4"/>
  <c r="T118" i="4" s="1"/>
  <c r="AC122" i="4"/>
  <c r="T122" i="4" s="1"/>
  <c r="AC126" i="4"/>
  <c r="T126" i="4" s="1"/>
  <c r="AC130" i="4"/>
  <c r="T130" i="4" s="1"/>
  <c r="AC134" i="4"/>
  <c r="T134" i="4" s="1"/>
  <c r="AC138" i="4"/>
  <c r="T138" i="4" s="1"/>
  <c r="AC142" i="4"/>
  <c r="T142" i="4" s="1"/>
  <c r="AC146" i="4"/>
  <c r="T146" i="4" s="1"/>
  <c r="AC150" i="4"/>
  <c r="T150" i="4" s="1"/>
  <c r="AC154" i="4"/>
  <c r="T154" i="4" s="1"/>
  <c r="AC158" i="4"/>
  <c r="T158" i="4" s="1"/>
  <c r="AC162" i="4"/>
  <c r="T162" i="4" s="1"/>
  <c r="AC166" i="4"/>
  <c r="T166" i="4" s="1"/>
  <c r="AC170" i="4"/>
  <c r="T170" i="4" s="1"/>
  <c r="AC174" i="4"/>
  <c r="T174" i="4" s="1"/>
  <c r="AC178" i="4"/>
  <c r="T178" i="4" s="1"/>
  <c r="AC182" i="4"/>
  <c r="T182" i="4" s="1"/>
  <c r="AC186" i="4"/>
  <c r="T186" i="4" s="1"/>
  <c r="AC190" i="4"/>
  <c r="T190" i="4" s="1"/>
  <c r="AC194" i="4"/>
  <c r="T194" i="4" s="1"/>
  <c r="AC198" i="4"/>
  <c r="T198" i="4" s="1"/>
  <c r="AC202" i="4"/>
  <c r="T202" i="4" s="1"/>
  <c r="AC206" i="4"/>
  <c r="T206" i="4" s="1"/>
  <c r="AC210" i="4"/>
  <c r="T210" i="4" s="1"/>
  <c r="AC214" i="4"/>
  <c r="T214" i="4" s="1"/>
  <c r="AC218" i="4"/>
  <c r="T218" i="4" s="1"/>
  <c r="AC222" i="4"/>
  <c r="T222" i="4" s="1"/>
  <c r="AC226" i="4"/>
  <c r="T226" i="4" s="1"/>
  <c r="AC230" i="4"/>
  <c r="T230" i="4" s="1"/>
  <c r="AC234" i="4"/>
  <c r="T234" i="4" s="1"/>
  <c r="AC238" i="4"/>
  <c r="T238" i="4" s="1"/>
  <c r="AC242" i="4"/>
  <c r="T242" i="4" s="1"/>
  <c r="AC246" i="4"/>
  <c r="T246" i="4" s="1"/>
  <c r="AC250" i="4"/>
  <c r="T250" i="4" s="1"/>
  <c r="AC254" i="4"/>
  <c r="T254" i="4" s="1"/>
  <c r="AC258" i="4"/>
  <c r="T258" i="4" s="1"/>
  <c r="AC262" i="4"/>
  <c r="T262" i="4" s="1"/>
  <c r="AC266" i="4"/>
  <c r="T266" i="4" s="1"/>
  <c r="AC270" i="4"/>
  <c r="T270" i="4" s="1"/>
  <c r="AC274" i="4"/>
  <c r="T274" i="4" s="1"/>
  <c r="AC278" i="4"/>
  <c r="T278" i="4" s="1"/>
  <c r="AC282" i="4"/>
  <c r="T282" i="4" s="1"/>
  <c r="AC286" i="4"/>
  <c r="T286" i="4" s="1"/>
  <c r="AC290" i="4"/>
  <c r="T290" i="4" s="1"/>
  <c r="AC294" i="4"/>
  <c r="T294" i="4" s="1"/>
  <c r="AC298" i="4"/>
  <c r="T298" i="4" s="1"/>
  <c r="AC302" i="4"/>
  <c r="T302" i="4" s="1"/>
  <c r="AC306" i="4"/>
  <c r="T306" i="4" s="1"/>
  <c r="AC310" i="4"/>
  <c r="T310" i="4" s="1"/>
  <c r="AC314" i="4"/>
  <c r="T314" i="4" s="1"/>
  <c r="AC318" i="4"/>
  <c r="T318" i="4" s="1"/>
  <c r="AC322" i="4"/>
  <c r="AC326" i="4"/>
  <c r="AC330" i="4"/>
  <c r="AC334" i="4"/>
  <c r="AC338" i="4"/>
  <c r="AC342" i="4"/>
  <c r="AC346" i="4"/>
  <c r="AC350" i="4"/>
  <c r="AC354" i="4"/>
  <c r="AC358" i="4"/>
  <c r="AC362" i="4"/>
  <c r="AC366" i="4"/>
  <c r="AC370" i="4"/>
  <c r="AC374" i="4"/>
  <c r="AC378" i="4"/>
  <c r="AC382" i="4"/>
  <c r="AC386" i="4"/>
  <c r="AC390" i="4"/>
  <c r="AC394" i="4"/>
  <c r="AC398" i="4"/>
  <c r="AC402" i="4"/>
  <c r="AC406" i="4"/>
  <c r="AC410" i="4"/>
  <c r="AC414" i="4"/>
  <c r="AC418" i="4"/>
  <c r="AC422" i="4"/>
  <c r="AC426" i="4"/>
  <c r="AC430" i="4"/>
  <c r="AC434" i="4"/>
  <c r="AC438" i="4"/>
  <c r="AC442" i="4"/>
  <c r="AC446" i="4"/>
  <c r="AC450" i="4"/>
  <c r="AC454" i="4"/>
  <c r="AC458" i="4"/>
  <c r="AC462" i="4"/>
  <c r="AC466" i="4"/>
  <c r="AC470" i="4"/>
  <c r="AC10" i="4"/>
  <c r="T10" i="4" s="1"/>
  <c r="AC22" i="4"/>
  <c r="T22" i="4" s="1"/>
  <c r="AC7" i="4"/>
  <c r="T7" i="4" s="1"/>
  <c r="AC11" i="4"/>
  <c r="T11" i="4" s="1"/>
  <c r="AC15" i="4"/>
  <c r="T15" i="4" s="1"/>
  <c r="AC19" i="4"/>
  <c r="T19" i="4" s="1"/>
  <c r="AC23" i="4"/>
  <c r="T23" i="4" s="1"/>
  <c r="AC6" i="4"/>
  <c r="T6" i="4" s="1"/>
  <c r="AC14" i="4"/>
  <c r="T14" i="4" s="1"/>
  <c r="AC18" i="4"/>
  <c r="T18" i="4" s="1"/>
  <c r="AC4" i="4"/>
  <c r="T4" i="4" s="1"/>
  <c r="AC8" i="4"/>
  <c r="T8" i="4" s="1"/>
  <c r="AC12" i="4"/>
  <c r="T12" i="4" s="1"/>
  <c r="AC16" i="4"/>
  <c r="T16" i="4" s="1"/>
  <c r="AC20" i="4"/>
  <c r="T20" i="4" s="1"/>
  <c r="AC24" i="4"/>
  <c r="T24" i="4" s="1"/>
  <c r="AC5" i="4"/>
  <c r="T5" i="4" s="1"/>
  <c r="AC9" i="4"/>
  <c r="T9" i="4" s="1"/>
  <c r="AC13" i="4"/>
  <c r="T13" i="4" s="1"/>
  <c r="AC17" i="4"/>
  <c r="T17" i="4" s="1"/>
  <c r="AC21" i="4"/>
  <c r="T21" i="4" s="1"/>
  <c r="AC25" i="4"/>
  <c r="T25" i="4" s="1"/>
  <c r="AC26" i="4"/>
  <c r="T26" i="4" s="1"/>
  <c r="AC27" i="4"/>
  <c r="T27" i="4" s="1"/>
  <c r="AP30" i="10"/>
  <c r="AO30" i="10"/>
  <c r="BD30" i="10" s="1"/>
  <c r="R30" i="10"/>
  <c r="BD29" i="10"/>
  <c r="BF29" i="10"/>
  <c r="BE29" i="10"/>
  <c r="AP31" i="10"/>
  <c r="AO31" i="10"/>
  <c r="R31" i="10"/>
  <c r="S31" i="10" s="1"/>
  <c r="S30" i="10"/>
  <c r="AO32" i="10"/>
  <c r="R32" i="10"/>
  <c r="AP32" i="10"/>
  <c r="F57" i="6"/>
  <c r="K62" i="6"/>
  <c r="K61" i="6"/>
  <c r="K60" i="6"/>
  <c r="K56" i="6"/>
  <c r="K55" i="6"/>
  <c r="K53" i="6"/>
  <c r="K52" i="6"/>
  <c r="K51" i="6"/>
  <c r="K49" i="6"/>
  <c r="K48" i="6"/>
  <c r="K47" i="6"/>
  <c r="K44" i="6"/>
  <c r="K43" i="6"/>
  <c r="K41" i="6"/>
  <c r="F51" i="6"/>
  <c r="F45" i="6"/>
  <c r="F33" i="6"/>
  <c r="F24" i="6"/>
  <c r="F6" i="6"/>
  <c r="E45" i="6"/>
  <c r="E39" i="6"/>
  <c r="E33" i="6"/>
  <c r="E57" i="6"/>
  <c r="AO33" i="10"/>
  <c r="R33" i="10"/>
  <c r="AP33" i="10"/>
  <c r="S32" i="10"/>
  <c r="E51" i="6"/>
  <c r="E24" i="6"/>
  <c r="E18" i="6"/>
  <c r="E12" i="6"/>
  <c r="E6" i="6"/>
  <c r="D45" i="6"/>
  <c r="D39" i="6"/>
  <c r="D33" i="6"/>
  <c r="D24" i="6"/>
  <c r="D18" i="6"/>
  <c r="D12" i="6"/>
  <c r="D6" i="6"/>
  <c r="S33" i="10"/>
  <c r="D51" i="6"/>
  <c r="F39" i="6"/>
  <c r="F18" i="6"/>
  <c r="F12" i="6"/>
  <c r="N10" i="4"/>
  <c r="N1002" i="4"/>
  <c r="N1001" i="4"/>
  <c r="N1000" i="4"/>
  <c r="N999" i="4"/>
  <c r="N998" i="4"/>
  <c r="N997" i="4"/>
  <c r="N996" i="4"/>
  <c r="N995" i="4"/>
  <c r="N994" i="4"/>
  <c r="N993" i="4"/>
  <c r="N992" i="4"/>
  <c r="N991" i="4"/>
  <c r="N990" i="4"/>
  <c r="N989" i="4"/>
  <c r="N988" i="4"/>
  <c r="N987" i="4"/>
  <c r="N986" i="4"/>
  <c r="N985" i="4"/>
  <c r="N984" i="4"/>
  <c r="N983" i="4"/>
  <c r="N982" i="4"/>
  <c r="N981" i="4"/>
  <c r="N980" i="4"/>
  <c r="N979" i="4"/>
  <c r="N978" i="4"/>
  <c r="N977" i="4"/>
  <c r="N976" i="4"/>
  <c r="N975" i="4"/>
  <c r="N974" i="4"/>
  <c r="N973" i="4"/>
  <c r="N972" i="4"/>
  <c r="N971" i="4"/>
  <c r="N970" i="4"/>
  <c r="N969" i="4"/>
  <c r="N968" i="4"/>
  <c r="N967" i="4"/>
  <c r="N966" i="4"/>
  <c r="N965" i="4"/>
  <c r="N964" i="4"/>
  <c r="N963" i="4"/>
  <c r="N962" i="4"/>
  <c r="N961" i="4"/>
  <c r="N960" i="4"/>
  <c r="N959" i="4"/>
  <c r="N958" i="4"/>
  <c r="N957" i="4"/>
  <c r="N956" i="4"/>
  <c r="N955" i="4"/>
  <c r="N954" i="4"/>
  <c r="N953" i="4"/>
  <c r="N952" i="4"/>
  <c r="N951" i="4"/>
  <c r="N950" i="4"/>
  <c r="N949" i="4"/>
  <c r="N948" i="4"/>
  <c r="N947" i="4"/>
  <c r="N946" i="4"/>
  <c r="N945" i="4"/>
  <c r="N944" i="4"/>
  <c r="N943" i="4"/>
  <c r="N942" i="4"/>
  <c r="N941" i="4"/>
  <c r="N940" i="4"/>
  <c r="N939" i="4"/>
  <c r="N938" i="4"/>
  <c r="N937" i="4"/>
  <c r="N936" i="4"/>
  <c r="N935" i="4"/>
  <c r="N934" i="4"/>
  <c r="N933" i="4"/>
  <c r="N932" i="4"/>
  <c r="N931" i="4"/>
  <c r="N930" i="4"/>
  <c r="N929" i="4"/>
  <c r="N928" i="4"/>
  <c r="N927" i="4"/>
  <c r="N926" i="4"/>
  <c r="N925" i="4"/>
  <c r="N924" i="4"/>
  <c r="N923" i="4"/>
  <c r="N922" i="4"/>
  <c r="N921" i="4"/>
  <c r="N920" i="4"/>
  <c r="N919" i="4"/>
  <c r="N918" i="4"/>
  <c r="N917" i="4"/>
  <c r="N916" i="4"/>
  <c r="N915" i="4"/>
  <c r="N914" i="4"/>
  <c r="N913" i="4"/>
  <c r="N912" i="4"/>
  <c r="N911" i="4"/>
  <c r="N910" i="4"/>
  <c r="N909" i="4"/>
  <c r="N908" i="4"/>
  <c r="N907" i="4"/>
  <c r="N906" i="4"/>
  <c r="N905" i="4"/>
  <c r="N904" i="4"/>
  <c r="N903" i="4"/>
  <c r="N902" i="4"/>
  <c r="N901" i="4"/>
  <c r="N900" i="4"/>
  <c r="N899" i="4"/>
  <c r="N898" i="4"/>
  <c r="N897" i="4"/>
  <c r="N896" i="4"/>
  <c r="N895" i="4"/>
  <c r="N894" i="4"/>
  <c r="N893" i="4"/>
  <c r="N892" i="4"/>
  <c r="N891" i="4"/>
  <c r="N890" i="4"/>
  <c r="N889" i="4"/>
  <c r="N888" i="4"/>
  <c r="N887" i="4"/>
  <c r="N886" i="4"/>
  <c r="N885" i="4"/>
  <c r="N884" i="4"/>
  <c r="N883" i="4"/>
  <c r="N882" i="4"/>
  <c r="N881" i="4"/>
  <c r="N880" i="4"/>
  <c r="N879" i="4"/>
  <c r="N878" i="4"/>
  <c r="N877" i="4"/>
  <c r="N876" i="4"/>
  <c r="N875" i="4"/>
  <c r="N874" i="4"/>
  <c r="N873" i="4"/>
  <c r="N872" i="4"/>
  <c r="N871" i="4"/>
  <c r="N870" i="4"/>
  <c r="N869" i="4"/>
  <c r="N868" i="4"/>
  <c r="N867" i="4"/>
  <c r="N866" i="4"/>
  <c r="N865" i="4"/>
  <c r="N864" i="4"/>
  <c r="N863" i="4"/>
  <c r="N862" i="4"/>
  <c r="N861" i="4"/>
  <c r="N860" i="4"/>
  <c r="N859" i="4"/>
  <c r="N858" i="4"/>
  <c r="N857" i="4"/>
  <c r="N856" i="4"/>
  <c r="N855" i="4"/>
  <c r="N854" i="4"/>
  <c r="N853" i="4"/>
  <c r="N852" i="4"/>
  <c r="N851" i="4"/>
  <c r="N850" i="4"/>
  <c r="N849" i="4"/>
  <c r="N848" i="4"/>
  <c r="N847" i="4"/>
  <c r="N846" i="4"/>
  <c r="N845" i="4"/>
  <c r="N844" i="4"/>
  <c r="N843" i="4"/>
  <c r="N842" i="4"/>
  <c r="N841" i="4"/>
  <c r="N840" i="4"/>
  <c r="N839" i="4"/>
  <c r="N838" i="4"/>
  <c r="N837" i="4"/>
  <c r="N836" i="4"/>
  <c r="N835" i="4"/>
  <c r="N834" i="4"/>
  <c r="N833" i="4"/>
  <c r="N832" i="4"/>
  <c r="N831" i="4"/>
  <c r="N830" i="4"/>
  <c r="N829" i="4"/>
  <c r="N828" i="4"/>
  <c r="N827" i="4"/>
  <c r="N826" i="4"/>
  <c r="N825" i="4"/>
  <c r="N824" i="4"/>
  <c r="N823" i="4"/>
  <c r="N822" i="4"/>
  <c r="N821" i="4"/>
  <c r="N820" i="4"/>
  <c r="N819" i="4"/>
  <c r="N818" i="4"/>
  <c r="N817" i="4"/>
  <c r="N816" i="4"/>
  <c r="N815" i="4"/>
  <c r="N814" i="4"/>
  <c r="N813" i="4"/>
  <c r="N812" i="4"/>
  <c r="N811" i="4"/>
  <c r="N810" i="4"/>
  <c r="N809" i="4"/>
  <c r="N808" i="4"/>
  <c r="N807" i="4"/>
  <c r="N806" i="4"/>
  <c r="N805" i="4"/>
  <c r="N804" i="4"/>
  <c r="N803" i="4"/>
  <c r="N802" i="4"/>
  <c r="N801" i="4"/>
  <c r="N800" i="4"/>
  <c r="N799" i="4"/>
  <c r="N798" i="4"/>
  <c r="N797" i="4"/>
  <c r="N796" i="4"/>
  <c r="N795" i="4"/>
  <c r="N794" i="4"/>
  <c r="N793" i="4"/>
  <c r="N792" i="4"/>
  <c r="N791" i="4"/>
  <c r="N790" i="4"/>
  <c r="N789" i="4"/>
  <c r="N788" i="4"/>
  <c r="N787" i="4"/>
  <c r="N786" i="4"/>
  <c r="N785" i="4"/>
  <c r="N784" i="4"/>
  <c r="N783" i="4"/>
  <c r="N782" i="4"/>
  <c r="N781" i="4"/>
  <c r="N780" i="4"/>
  <c r="N779" i="4"/>
  <c r="N778" i="4"/>
  <c r="N777" i="4"/>
  <c r="N776" i="4"/>
  <c r="N775" i="4"/>
  <c r="N774" i="4"/>
  <c r="N773" i="4"/>
  <c r="N772" i="4"/>
  <c r="N771" i="4"/>
  <c r="N770" i="4"/>
  <c r="N769" i="4"/>
  <c r="N768" i="4"/>
  <c r="N767" i="4"/>
  <c r="N766" i="4"/>
  <c r="N765" i="4"/>
  <c r="N764" i="4"/>
  <c r="N763" i="4"/>
  <c r="N762" i="4"/>
  <c r="N761" i="4"/>
  <c r="N760" i="4"/>
  <c r="N759" i="4"/>
  <c r="N758" i="4"/>
  <c r="N757" i="4"/>
  <c r="N756" i="4"/>
  <c r="N755" i="4"/>
  <c r="N754" i="4"/>
  <c r="N753" i="4"/>
  <c r="N752" i="4"/>
  <c r="N751" i="4"/>
  <c r="N750" i="4"/>
  <c r="N749" i="4"/>
  <c r="N748" i="4"/>
  <c r="N747" i="4"/>
  <c r="N746" i="4"/>
  <c r="N745" i="4"/>
  <c r="N744" i="4"/>
  <c r="N743" i="4"/>
  <c r="N742" i="4"/>
  <c r="N741" i="4"/>
  <c r="N740" i="4"/>
  <c r="N739" i="4"/>
  <c r="N738" i="4"/>
  <c r="N737" i="4"/>
  <c r="N736" i="4"/>
  <c r="N735" i="4"/>
  <c r="N734" i="4"/>
  <c r="N733" i="4"/>
  <c r="N732" i="4"/>
  <c r="N731" i="4"/>
  <c r="N730" i="4"/>
  <c r="N729" i="4"/>
  <c r="N728" i="4"/>
  <c r="N727" i="4"/>
  <c r="N726" i="4"/>
  <c r="N725" i="4"/>
  <c r="N724" i="4"/>
  <c r="N723" i="4"/>
  <c r="N722" i="4"/>
  <c r="N721" i="4"/>
  <c r="N720" i="4"/>
  <c r="N719" i="4"/>
  <c r="N718" i="4"/>
  <c r="N717" i="4"/>
  <c r="N716" i="4"/>
  <c r="N715" i="4"/>
  <c r="N714" i="4"/>
  <c r="N713" i="4"/>
  <c r="N712" i="4"/>
  <c r="N711" i="4"/>
  <c r="N710" i="4"/>
  <c r="N709" i="4"/>
  <c r="N708" i="4"/>
  <c r="N707" i="4"/>
  <c r="N706" i="4"/>
  <c r="N705" i="4"/>
  <c r="N704" i="4"/>
  <c r="N703" i="4"/>
  <c r="N702" i="4"/>
  <c r="N701" i="4"/>
  <c r="N700" i="4"/>
  <c r="N699" i="4"/>
  <c r="N698" i="4"/>
  <c r="N697" i="4"/>
  <c r="N696" i="4"/>
  <c r="N695" i="4"/>
  <c r="N694" i="4"/>
  <c r="N693" i="4"/>
  <c r="N692" i="4"/>
  <c r="N691" i="4"/>
  <c r="N690" i="4"/>
  <c r="N689" i="4"/>
  <c r="N688" i="4"/>
  <c r="N687" i="4"/>
  <c r="N686" i="4"/>
  <c r="N685" i="4"/>
  <c r="N684" i="4"/>
  <c r="N683" i="4"/>
  <c r="N682" i="4"/>
  <c r="N681" i="4"/>
  <c r="N680" i="4"/>
  <c r="N679" i="4"/>
  <c r="N678" i="4"/>
  <c r="N677" i="4"/>
  <c r="N676" i="4"/>
  <c r="N675" i="4"/>
  <c r="N674" i="4"/>
  <c r="N673" i="4"/>
  <c r="N672" i="4"/>
  <c r="N671" i="4"/>
  <c r="N670" i="4"/>
  <c r="N669" i="4"/>
  <c r="N668" i="4"/>
  <c r="N667" i="4"/>
  <c r="N666" i="4"/>
  <c r="N665" i="4"/>
  <c r="N664" i="4"/>
  <c r="N663" i="4"/>
  <c r="N662" i="4"/>
  <c r="N661" i="4"/>
  <c r="N660" i="4"/>
  <c r="N659" i="4"/>
  <c r="N658" i="4"/>
  <c r="N657" i="4"/>
  <c r="N656" i="4"/>
  <c r="N655" i="4"/>
  <c r="N654" i="4"/>
  <c r="N653" i="4"/>
  <c r="N652" i="4"/>
  <c r="N651" i="4"/>
  <c r="N650" i="4"/>
  <c r="N649" i="4"/>
  <c r="N648" i="4"/>
  <c r="N647" i="4"/>
  <c r="N646" i="4"/>
  <c r="N645" i="4"/>
  <c r="N644" i="4"/>
  <c r="N643" i="4"/>
  <c r="N642" i="4"/>
  <c r="N641" i="4"/>
  <c r="N640" i="4"/>
  <c r="N639" i="4"/>
  <c r="N638" i="4"/>
  <c r="N637" i="4"/>
  <c r="N636" i="4"/>
  <c r="N635" i="4"/>
  <c r="N634" i="4"/>
  <c r="N633" i="4"/>
  <c r="N632" i="4"/>
  <c r="N631" i="4"/>
  <c r="N630" i="4"/>
  <c r="N629" i="4"/>
  <c r="N628" i="4"/>
  <c r="N627" i="4"/>
  <c r="N626" i="4"/>
  <c r="N625" i="4"/>
  <c r="N624" i="4"/>
  <c r="N623" i="4"/>
  <c r="N622" i="4"/>
  <c r="N621" i="4"/>
  <c r="N620" i="4"/>
  <c r="N619" i="4"/>
  <c r="N618" i="4"/>
  <c r="N617" i="4"/>
  <c r="N616" i="4"/>
  <c r="N615" i="4"/>
  <c r="N614" i="4"/>
  <c r="N613" i="4"/>
  <c r="N612" i="4"/>
  <c r="N611" i="4"/>
  <c r="N610" i="4"/>
  <c r="N609" i="4"/>
  <c r="N608" i="4"/>
  <c r="N607" i="4"/>
  <c r="N606" i="4"/>
  <c r="N605" i="4"/>
  <c r="N604" i="4"/>
  <c r="N603" i="4"/>
  <c r="N602" i="4"/>
  <c r="N601" i="4"/>
  <c r="N600" i="4"/>
  <c r="N599" i="4"/>
  <c r="N598" i="4"/>
  <c r="N597" i="4"/>
  <c r="N596" i="4"/>
  <c r="N595" i="4"/>
  <c r="N594" i="4"/>
  <c r="N593" i="4"/>
  <c r="N592" i="4"/>
  <c r="N591" i="4"/>
  <c r="N590" i="4"/>
  <c r="N589" i="4"/>
  <c r="N588" i="4"/>
  <c r="N587" i="4"/>
  <c r="N586" i="4"/>
  <c r="N585" i="4"/>
  <c r="N584" i="4"/>
  <c r="N583" i="4"/>
  <c r="N582" i="4"/>
  <c r="N581" i="4"/>
  <c r="N580" i="4"/>
  <c r="N579" i="4"/>
  <c r="N578" i="4"/>
  <c r="N577" i="4"/>
  <c r="N576" i="4"/>
  <c r="N575" i="4"/>
  <c r="N574" i="4"/>
  <c r="N573" i="4"/>
  <c r="N572" i="4"/>
  <c r="N571" i="4"/>
  <c r="N570" i="4"/>
  <c r="N569" i="4"/>
  <c r="N568" i="4"/>
  <c r="N567" i="4"/>
  <c r="N566" i="4"/>
  <c r="N565" i="4"/>
  <c r="N564" i="4"/>
  <c r="N563" i="4"/>
  <c r="N562" i="4"/>
  <c r="N561" i="4"/>
  <c r="N560" i="4"/>
  <c r="N559" i="4"/>
  <c r="N558" i="4"/>
  <c r="N557" i="4"/>
  <c r="N556" i="4"/>
  <c r="N555" i="4"/>
  <c r="N554" i="4"/>
  <c r="N553" i="4"/>
  <c r="N552" i="4"/>
  <c r="N551" i="4"/>
  <c r="N550" i="4"/>
  <c r="N549" i="4"/>
  <c r="N548" i="4"/>
  <c r="N547" i="4"/>
  <c r="N546" i="4"/>
  <c r="N545" i="4"/>
  <c r="N544" i="4"/>
  <c r="N543" i="4"/>
  <c r="N542" i="4"/>
  <c r="N541" i="4"/>
  <c r="N540" i="4"/>
  <c r="N539" i="4"/>
  <c r="N538" i="4"/>
  <c r="N537" i="4"/>
  <c r="N536" i="4"/>
  <c r="N535" i="4"/>
  <c r="N534" i="4"/>
  <c r="N533" i="4"/>
  <c r="N532" i="4"/>
  <c r="N531" i="4"/>
  <c r="N530" i="4"/>
  <c r="N529" i="4"/>
  <c r="N528" i="4"/>
  <c r="N527" i="4"/>
  <c r="N526" i="4"/>
  <c r="N525" i="4"/>
  <c r="N524" i="4"/>
  <c r="N523" i="4"/>
  <c r="N522" i="4"/>
  <c r="N521" i="4"/>
  <c r="N520" i="4"/>
  <c r="N519" i="4"/>
  <c r="N518" i="4"/>
  <c r="N517" i="4"/>
  <c r="N516" i="4"/>
  <c r="N515" i="4"/>
  <c r="N514" i="4"/>
  <c r="N513" i="4"/>
  <c r="N512" i="4"/>
  <c r="N511" i="4"/>
  <c r="N510" i="4"/>
  <c r="N509" i="4"/>
  <c r="N508" i="4"/>
  <c r="N507" i="4"/>
  <c r="N506" i="4"/>
  <c r="N505" i="4"/>
  <c r="N504" i="4"/>
  <c r="N503" i="4"/>
  <c r="N502" i="4"/>
  <c r="N501" i="4"/>
  <c r="N500" i="4"/>
  <c r="N499" i="4"/>
  <c r="N498" i="4"/>
  <c r="N497" i="4"/>
  <c r="N496" i="4"/>
  <c r="N495" i="4"/>
  <c r="N494" i="4"/>
  <c r="N493" i="4"/>
  <c r="N492" i="4"/>
  <c r="N491" i="4"/>
  <c r="N490" i="4"/>
  <c r="N489" i="4"/>
  <c r="N488" i="4"/>
  <c r="N487" i="4"/>
  <c r="N486" i="4"/>
  <c r="N485" i="4"/>
  <c r="N484" i="4"/>
  <c r="N483" i="4"/>
  <c r="N482" i="4"/>
  <c r="N481" i="4"/>
  <c r="N480" i="4"/>
  <c r="N479" i="4"/>
  <c r="N478" i="4"/>
  <c r="N477" i="4"/>
  <c r="N476" i="4"/>
  <c r="N475" i="4"/>
  <c r="N474" i="4"/>
  <c r="N473" i="4"/>
  <c r="N472" i="4"/>
  <c r="N471" i="4"/>
  <c r="N470" i="4"/>
  <c r="N469" i="4"/>
  <c r="N468" i="4"/>
  <c r="N467" i="4"/>
  <c r="N466" i="4"/>
  <c r="N465" i="4"/>
  <c r="N464" i="4"/>
  <c r="N463" i="4"/>
  <c r="N462" i="4"/>
  <c r="N461" i="4"/>
  <c r="N460" i="4"/>
  <c r="N459" i="4"/>
  <c r="N458" i="4"/>
  <c r="N457" i="4"/>
  <c r="N456" i="4"/>
  <c r="N455" i="4"/>
  <c r="N454" i="4"/>
  <c r="N453" i="4"/>
  <c r="N452" i="4"/>
  <c r="N451" i="4"/>
  <c r="N450" i="4"/>
  <c r="N449" i="4"/>
  <c r="N448" i="4"/>
  <c r="N447" i="4"/>
  <c r="N446" i="4"/>
  <c r="N445" i="4"/>
  <c r="N444" i="4"/>
  <c r="N443" i="4"/>
  <c r="N442" i="4"/>
  <c r="N441" i="4"/>
  <c r="N440" i="4"/>
  <c r="N439" i="4"/>
  <c r="N438" i="4"/>
  <c r="N437" i="4"/>
  <c r="N436" i="4"/>
  <c r="N435" i="4"/>
  <c r="N434" i="4"/>
  <c r="N433" i="4"/>
  <c r="N225" i="4"/>
  <c r="N224" i="4"/>
  <c r="N223" i="4"/>
  <c r="N222" i="4"/>
  <c r="N221" i="4"/>
  <c r="N220" i="4"/>
  <c r="N219" i="4"/>
  <c r="N218" i="4"/>
  <c r="N9" i="4"/>
  <c r="N8" i="4"/>
  <c r="K221" i="4"/>
  <c r="K7" i="4"/>
  <c r="K219" i="4"/>
  <c r="K220" i="4"/>
  <c r="K8" i="4"/>
  <c r="K224" i="4"/>
  <c r="K9" i="4"/>
  <c r="K223" i="4"/>
  <c r="K4" i="4"/>
  <c r="K5" i="4"/>
  <c r="K6" i="4"/>
  <c r="K218" i="4"/>
  <c r="AB11" i="4"/>
  <c r="AB10" i="4"/>
  <c r="AB9" i="4"/>
  <c r="AB8" i="4"/>
  <c r="AB7" i="4"/>
  <c r="AB6" i="4"/>
  <c r="AB5" i="4"/>
  <c r="AB4" i="4"/>
  <c r="AA11" i="4"/>
  <c r="AA10" i="4"/>
  <c r="AA9" i="4"/>
  <c r="AA8" i="4"/>
  <c r="AA7" i="4"/>
  <c r="AA6" i="4"/>
  <c r="AA5" i="4"/>
  <c r="AA4" i="4"/>
  <c r="K10" i="4"/>
  <c r="N226" i="4"/>
  <c r="N11" i="4"/>
  <c r="AH3" i="4"/>
  <c r="AG3" i="4"/>
  <c r="K11" i="4"/>
  <c r="K226" i="4"/>
  <c r="N227" i="4"/>
  <c r="N12" i="4"/>
  <c r="AB12" i="4"/>
  <c r="AA12" i="4"/>
  <c r="AH1002" i="4"/>
  <c r="AG1002" i="4"/>
  <c r="AH1001" i="4"/>
  <c r="AG1001" i="4"/>
  <c r="AH1000" i="4"/>
  <c r="AG1000" i="4"/>
  <c r="AH999" i="4"/>
  <c r="AG999" i="4"/>
  <c r="AH998" i="4"/>
  <c r="AG998" i="4"/>
  <c r="AH997" i="4"/>
  <c r="AG997" i="4"/>
  <c r="AH996" i="4"/>
  <c r="AG996" i="4"/>
  <c r="AH995" i="4"/>
  <c r="AG995" i="4"/>
  <c r="AH994" i="4"/>
  <c r="AG994" i="4"/>
  <c r="AH993" i="4"/>
  <c r="AG993" i="4"/>
  <c r="AH992" i="4"/>
  <c r="AG992" i="4"/>
  <c r="AH991" i="4"/>
  <c r="AG991" i="4"/>
  <c r="AH990" i="4"/>
  <c r="AG990" i="4"/>
  <c r="AH989" i="4"/>
  <c r="AG989" i="4"/>
  <c r="AH988" i="4"/>
  <c r="AG988" i="4"/>
  <c r="AH987" i="4"/>
  <c r="AG987" i="4"/>
  <c r="AH986" i="4"/>
  <c r="AG986" i="4"/>
  <c r="AH985" i="4"/>
  <c r="AG985" i="4"/>
  <c r="AH984" i="4"/>
  <c r="AG984" i="4"/>
  <c r="AH983" i="4"/>
  <c r="AG983" i="4"/>
  <c r="AH982" i="4"/>
  <c r="AG982" i="4"/>
  <c r="AH981" i="4"/>
  <c r="AG981" i="4"/>
  <c r="AH980" i="4"/>
  <c r="AG980" i="4"/>
  <c r="AH979" i="4"/>
  <c r="AG979" i="4"/>
  <c r="AH978" i="4"/>
  <c r="AG978" i="4"/>
  <c r="AH977" i="4"/>
  <c r="AG977" i="4"/>
  <c r="AH976" i="4"/>
  <c r="AG976" i="4"/>
  <c r="AH975" i="4"/>
  <c r="AG975" i="4"/>
  <c r="AH974" i="4"/>
  <c r="AG974" i="4"/>
  <c r="AH973" i="4"/>
  <c r="AG973" i="4"/>
  <c r="AH972" i="4"/>
  <c r="AG972" i="4"/>
  <c r="AH971" i="4"/>
  <c r="AG971" i="4"/>
  <c r="AH970" i="4"/>
  <c r="AG970" i="4"/>
  <c r="AH969" i="4"/>
  <c r="AG969" i="4"/>
  <c r="AH968" i="4"/>
  <c r="AG968" i="4"/>
  <c r="AH967" i="4"/>
  <c r="AG967" i="4"/>
  <c r="AH966" i="4"/>
  <c r="AG966" i="4"/>
  <c r="AH965" i="4"/>
  <c r="AG965" i="4"/>
  <c r="AH964" i="4"/>
  <c r="AG964" i="4"/>
  <c r="AH963" i="4"/>
  <c r="AG963" i="4"/>
  <c r="AH962" i="4"/>
  <c r="AG962" i="4"/>
  <c r="AH961" i="4"/>
  <c r="AG961" i="4"/>
  <c r="AH960" i="4"/>
  <c r="AG960" i="4"/>
  <c r="AH959" i="4"/>
  <c r="AG959" i="4"/>
  <c r="AH958" i="4"/>
  <c r="AG958" i="4"/>
  <c r="AH957" i="4"/>
  <c r="AG957" i="4"/>
  <c r="AH956" i="4"/>
  <c r="AG956" i="4"/>
  <c r="AH955" i="4"/>
  <c r="AG955" i="4"/>
  <c r="AH954" i="4"/>
  <c r="AG954" i="4"/>
  <c r="AH953" i="4"/>
  <c r="AG953" i="4"/>
  <c r="AH952" i="4"/>
  <c r="AG952" i="4"/>
  <c r="AH951" i="4"/>
  <c r="AG951" i="4"/>
  <c r="AH950" i="4"/>
  <c r="AG950" i="4"/>
  <c r="AH949" i="4"/>
  <c r="AG949" i="4"/>
  <c r="AH948" i="4"/>
  <c r="AG948" i="4"/>
  <c r="AH947" i="4"/>
  <c r="AG947" i="4"/>
  <c r="AH946" i="4"/>
  <c r="AG946" i="4"/>
  <c r="AH945" i="4"/>
  <c r="AG945" i="4"/>
  <c r="AH944" i="4"/>
  <c r="AG944" i="4"/>
  <c r="AH943" i="4"/>
  <c r="AG943" i="4"/>
  <c r="AH942" i="4"/>
  <c r="AG942" i="4"/>
  <c r="AH941" i="4"/>
  <c r="AG941" i="4"/>
  <c r="AH940" i="4"/>
  <c r="AG940" i="4"/>
  <c r="AH939" i="4"/>
  <c r="AG939" i="4"/>
  <c r="AH938" i="4"/>
  <c r="AG938" i="4"/>
  <c r="AH937" i="4"/>
  <c r="AG937" i="4"/>
  <c r="AH936" i="4"/>
  <c r="AG936" i="4"/>
  <c r="AH935" i="4"/>
  <c r="AG935" i="4"/>
  <c r="AH934" i="4"/>
  <c r="AG934" i="4"/>
  <c r="AH933" i="4"/>
  <c r="AG933" i="4"/>
  <c r="AH932" i="4"/>
  <c r="AG932" i="4"/>
  <c r="AH931" i="4"/>
  <c r="AG931" i="4"/>
  <c r="AH930" i="4"/>
  <c r="AG930" i="4"/>
  <c r="AH929" i="4"/>
  <c r="AG929" i="4"/>
  <c r="AH928" i="4"/>
  <c r="AG928" i="4"/>
  <c r="AH927" i="4"/>
  <c r="AG927" i="4"/>
  <c r="AH926" i="4"/>
  <c r="AG926" i="4"/>
  <c r="AH925" i="4"/>
  <c r="AG925" i="4"/>
  <c r="AH924" i="4"/>
  <c r="AG924" i="4"/>
  <c r="AH923" i="4"/>
  <c r="AG923" i="4"/>
  <c r="AH922" i="4"/>
  <c r="AG922" i="4"/>
  <c r="AH921" i="4"/>
  <c r="AG921" i="4"/>
  <c r="AH920" i="4"/>
  <c r="AG920" i="4"/>
  <c r="AH919" i="4"/>
  <c r="AG919" i="4"/>
  <c r="AH918" i="4"/>
  <c r="AG918" i="4"/>
  <c r="AH917" i="4"/>
  <c r="AG917" i="4"/>
  <c r="AH916" i="4"/>
  <c r="AG916" i="4"/>
  <c r="AH915" i="4"/>
  <c r="AG915" i="4"/>
  <c r="AH914" i="4"/>
  <c r="AG914" i="4"/>
  <c r="AH913" i="4"/>
  <c r="AG913" i="4"/>
  <c r="AH912" i="4"/>
  <c r="AG912" i="4"/>
  <c r="AH911" i="4"/>
  <c r="AG911" i="4"/>
  <c r="AH910" i="4"/>
  <c r="AG910" i="4"/>
  <c r="AH909" i="4"/>
  <c r="AG909" i="4"/>
  <c r="AH908" i="4"/>
  <c r="AG908" i="4"/>
  <c r="AH907" i="4"/>
  <c r="AG907" i="4"/>
  <c r="AH906" i="4"/>
  <c r="AG906" i="4"/>
  <c r="AH905" i="4"/>
  <c r="AG905" i="4"/>
  <c r="AH904" i="4"/>
  <c r="AG904" i="4"/>
  <c r="AH903" i="4"/>
  <c r="AG903" i="4"/>
  <c r="AH902" i="4"/>
  <c r="AG902" i="4"/>
  <c r="AH901" i="4"/>
  <c r="AG901" i="4"/>
  <c r="AH900" i="4"/>
  <c r="AG900" i="4"/>
  <c r="AH899" i="4"/>
  <c r="AG899" i="4"/>
  <c r="AH898" i="4"/>
  <c r="AG898" i="4"/>
  <c r="AH897" i="4"/>
  <c r="AG897" i="4"/>
  <c r="AH896" i="4"/>
  <c r="AG896" i="4"/>
  <c r="AH895" i="4"/>
  <c r="AG895" i="4"/>
  <c r="AH894" i="4"/>
  <c r="AG894" i="4"/>
  <c r="AH893" i="4"/>
  <c r="AG893" i="4"/>
  <c r="AH892" i="4"/>
  <c r="AG892" i="4"/>
  <c r="AH891" i="4"/>
  <c r="AG891" i="4"/>
  <c r="AH890" i="4"/>
  <c r="AG890" i="4"/>
  <c r="AH889" i="4"/>
  <c r="AG889" i="4"/>
  <c r="AH888" i="4"/>
  <c r="AG888" i="4"/>
  <c r="AH887" i="4"/>
  <c r="AG887" i="4"/>
  <c r="AH886" i="4"/>
  <c r="AG886" i="4"/>
  <c r="AH885" i="4"/>
  <c r="AG885" i="4"/>
  <c r="AH884" i="4"/>
  <c r="AG884" i="4"/>
  <c r="AH883" i="4"/>
  <c r="AG883" i="4"/>
  <c r="AH882" i="4"/>
  <c r="AG882" i="4"/>
  <c r="AH881" i="4"/>
  <c r="AG881" i="4"/>
  <c r="AH880" i="4"/>
  <c r="AG880" i="4"/>
  <c r="AH879" i="4"/>
  <c r="AG879" i="4"/>
  <c r="AH878" i="4"/>
  <c r="AG878" i="4"/>
  <c r="AH877" i="4"/>
  <c r="AG877" i="4"/>
  <c r="AH876" i="4"/>
  <c r="AG876" i="4"/>
  <c r="AH875" i="4"/>
  <c r="AG875" i="4"/>
  <c r="AH874" i="4"/>
  <c r="AG874" i="4"/>
  <c r="AH873" i="4"/>
  <c r="AG873" i="4"/>
  <c r="AH872" i="4"/>
  <c r="AG872" i="4"/>
  <c r="AH871" i="4"/>
  <c r="AG871" i="4"/>
  <c r="AH870" i="4"/>
  <c r="AG870" i="4"/>
  <c r="AH869" i="4"/>
  <c r="AG869" i="4"/>
  <c r="AH868" i="4"/>
  <c r="AG868" i="4"/>
  <c r="AH867" i="4"/>
  <c r="AG867" i="4"/>
  <c r="AH866" i="4"/>
  <c r="AG866" i="4"/>
  <c r="AH865" i="4"/>
  <c r="AG865" i="4"/>
  <c r="AH864" i="4"/>
  <c r="AG864" i="4"/>
  <c r="AH863" i="4"/>
  <c r="AG863" i="4"/>
  <c r="AH862" i="4"/>
  <c r="AG862" i="4"/>
  <c r="AH861" i="4"/>
  <c r="AG861" i="4"/>
  <c r="AH860" i="4"/>
  <c r="AG860" i="4"/>
  <c r="AH859" i="4"/>
  <c r="AG859" i="4"/>
  <c r="AH858" i="4"/>
  <c r="AG858" i="4"/>
  <c r="AH857" i="4"/>
  <c r="AG857" i="4"/>
  <c r="AH856" i="4"/>
  <c r="AG856" i="4"/>
  <c r="AH855" i="4"/>
  <c r="AG855" i="4"/>
  <c r="AH854" i="4"/>
  <c r="AG854" i="4"/>
  <c r="AH853" i="4"/>
  <c r="AG853" i="4"/>
  <c r="AH852" i="4"/>
  <c r="AG852" i="4"/>
  <c r="AH851" i="4"/>
  <c r="AG851" i="4"/>
  <c r="AH850" i="4"/>
  <c r="AG850" i="4"/>
  <c r="AH849" i="4"/>
  <c r="AG849" i="4"/>
  <c r="AH848" i="4"/>
  <c r="AG848" i="4"/>
  <c r="AH847" i="4"/>
  <c r="AG847" i="4"/>
  <c r="AH846" i="4"/>
  <c r="AG846" i="4"/>
  <c r="AH845" i="4"/>
  <c r="AG845" i="4"/>
  <c r="AH844" i="4"/>
  <c r="AG844" i="4"/>
  <c r="AH843" i="4"/>
  <c r="AG843" i="4"/>
  <c r="AH842" i="4"/>
  <c r="AG842" i="4"/>
  <c r="AH841" i="4"/>
  <c r="AG841" i="4"/>
  <c r="AH840" i="4"/>
  <c r="AG840" i="4"/>
  <c r="AH839" i="4"/>
  <c r="AG839" i="4"/>
  <c r="AH838" i="4"/>
  <c r="AG838" i="4"/>
  <c r="AH837" i="4"/>
  <c r="AG837" i="4"/>
  <c r="AH836" i="4"/>
  <c r="AG836" i="4"/>
  <c r="AH835" i="4"/>
  <c r="AG835" i="4"/>
  <c r="AH834" i="4"/>
  <c r="AG834" i="4"/>
  <c r="AH833" i="4"/>
  <c r="AG833" i="4"/>
  <c r="AH832" i="4"/>
  <c r="AG832" i="4"/>
  <c r="AH831" i="4"/>
  <c r="AG831" i="4"/>
  <c r="AH830" i="4"/>
  <c r="AG830" i="4"/>
  <c r="AH829" i="4"/>
  <c r="AG829" i="4"/>
  <c r="AH828" i="4"/>
  <c r="AG828" i="4"/>
  <c r="AH827" i="4"/>
  <c r="AG827" i="4"/>
  <c r="AH826" i="4"/>
  <c r="AG826" i="4"/>
  <c r="AH825" i="4"/>
  <c r="AG825" i="4"/>
  <c r="AH824" i="4"/>
  <c r="AG824" i="4"/>
  <c r="AH823" i="4"/>
  <c r="AG823" i="4"/>
  <c r="AH822" i="4"/>
  <c r="AG822" i="4"/>
  <c r="AH821" i="4"/>
  <c r="AG821" i="4"/>
  <c r="AH820" i="4"/>
  <c r="AG820" i="4"/>
  <c r="AH819" i="4"/>
  <c r="AG819" i="4"/>
  <c r="AH818" i="4"/>
  <c r="AG818" i="4"/>
  <c r="AH817" i="4"/>
  <c r="AG817" i="4"/>
  <c r="AH816" i="4"/>
  <c r="AG816" i="4"/>
  <c r="AH815" i="4"/>
  <c r="AG815" i="4"/>
  <c r="AH814" i="4"/>
  <c r="AG814" i="4"/>
  <c r="AH813" i="4"/>
  <c r="AG813" i="4"/>
  <c r="AH812" i="4"/>
  <c r="AG812" i="4"/>
  <c r="AH811" i="4"/>
  <c r="AG811" i="4"/>
  <c r="AH810" i="4"/>
  <c r="AG810" i="4"/>
  <c r="AH809" i="4"/>
  <c r="AG809" i="4"/>
  <c r="AH808" i="4"/>
  <c r="AG808" i="4"/>
  <c r="AH807" i="4"/>
  <c r="AG807" i="4"/>
  <c r="AH806" i="4"/>
  <c r="AG806" i="4"/>
  <c r="AH805" i="4"/>
  <c r="AG805" i="4"/>
  <c r="AH804" i="4"/>
  <c r="AG804" i="4"/>
  <c r="AH803" i="4"/>
  <c r="AG803" i="4"/>
  <c r="AH802" i="4"/>
  <c r="AG802" i="4"/>
  <c r="AH801" i="4"/>
  <c r="AG801" i="4"/>
  <c r="AH800" i="4"/>
  <c r="AG800" i="4"/>
  <c r="AH799" i="4"/>
  <c r="AG799" i="4"/>
  <c r="AH798" i="4"/>
  <c r="AG798" i="4"/>
  <c r="AH797" i="4"/>
  <c r="AG797" i="4"/>
  <c r="AH796" i="4"/>
  <c r="AG796" i="4"/>
  <c r="AH795" i="4"/>
  <c r="AG795" i="4"/>
  <c r="AH794" i="4"/>
  <c r="AG794" i="4"/>
  <c r="AH793" i="4"/>
  <c r="AG793" i="4"/>
  <c r="AH792" i="4"/>
  <c r="AG792" i="4"/>
  <c r="AH791" i="4"/>
  <c r="AG791" i="4"/>
  <c r="AH790" i="4"/>
  <c r="AG790" i="4"/>
  <c r="AH789" i="4"/>
  <c r="AG789" i="4"/>
  <c r="AH788" i="4"/>
  <c r="AG788" i="4"/>
  <c r="AH787" i="4"/>
  <c r="AG787" i="4"/>
  <c r="AH786" i="4"/>
  <c r="AG786" i="4"/>
  <c r="AH785" i="4"/>
  <c r="AG785" i="4"/>
  <c r="AH784" i="4"/>
  <c r="AG784" i="4"/>
  <c r="AH783" i="4"/>
  <c r="AG783" i="4"/>
  <c r="AH782" i="4"/>
  <c r="AG782" i="4"/>
  <c r="AH781" i="4"/>
  <c r="AG781" i="4"/>
  <c r="AH780" i="4"/>
  <c r="AG780" i="4"/>
  <c r="AH779" i="4"/>
  <c r="AG779" i="4"/>
  <c r="AH778" i="4"/>
  <c r="AG778" i="4"/>
  <c r="AH777" i="4"/>
  <c r="AG777" i="4"/>
  <c r="AH776" i="4"/>
  <c r="AG776" i="4"/>
  <c r="AH775" i="4"/>
  <c r="AG775" i="4"/>
  <c r="AH774" i="4"/>
  <c r="AG774" i="4"/>
  <c r="AH773" i="4"/>
  <c r="AG773" i="4"/>
  <c r="AH772" i="4"/>
  <c r="AG772" i="4"/>
  <c r="AH771" i="4"/>
  <c r="AG771" i="4"/>
  <c r="AH770" i="4"/>
  <c r="AG770" i="4"/>
  <c r="AH769" i="4"/>
  <c r="AG769" i="4"/>
  <c r="AH768" i="4"/>
  <c r="AG768" i="4"/>
  <c r="AH767" i="4"/>
  <c r="AG767" i="4"/>
  <c r="AH766" i="4"/>
  <c r="AG766" i="4"/>
  <c r="AH765" i="4"/>
  <c r="AG765" i="4"/>
  <c r="AH764" i="4"/>
  <c r="AG764" i="4"/>
  <c r="AH763" i="4"/>
  <c r="AG763" i="4"/>
  <c r="AH762" i="4"/>
  <c r="AG762" i="4"/>
  <c r="AH761" i="4"/>
  <c r="AG761" i="4"/>
  <c r="AH760" i="4"/>
  <c r="AG760" i="4"/>
  <c r="AH759" i="4"/>
  <c r="AG759" i="4"/>
  <c r="AH758" i="4"/>
  <c r="AG758" i="4"/>
  <c r="AH757" i="4"/>
  <c r="AG757" i="4"/>
  <c r="AH756" i="4"/>
  <c r="AG756" i="4"/>
  <c r="AH755" i="4"/>
  <c r="AG755" i="4"/>
  <c r="AH754" i="4"/>
  <c r="AG754" i="4"/>
  <c r="AH753" i="4"/>
  <c r="AG753" i="4"/>
  <c r="AH752" i="4"/>
  <c r="AG752" i="4"/>
  <c r="AH751" i="4"/>
  <c r="AG751" i="4"/>
  <c r="AH750" i="4"/>
  <c r="AG750" i="4"/>
  <c r="AH749" i="4"/>
  <c r="AG749" i="4"/>
  <c r="AH748" i="4"/>
  <c r="AG748" i="4"/>
  <c r="AH747" i="4"/>
  <c r="AG747" i="4"/>
  <c r="AH746" i="4"/>
  <c r="AG746" i="4"/>
  <c r="AH745" i="4"/>
  <c r="AG745" i="4"/>
  <c r="AH744" i="4"/>
  <c r="AG744" i="4"/>
  <c r="AH743" i="4"/>
  <c r="AG743" i="4"/>
  <c r="AH742" i="4"/>
  <c r="AG742" i="4"/>
  <c r="AH741" i="4"/>
  <c r="AG741" i="4"/>
  <c r="AH740" i="4"/>
  <c r="AG740" i="4"/>
  <c r="AH739" i="4"/>
  <c r="AG739" i="4"/>
  <c r="AH738" i="4"/>
  <c r="AG738" i="4"/>
  <c r="AH737" i="4"/>
  <c r="AG737" i="4"/>
  <c r="AH736" i="4"/>
  <c r="AG736" i="4"/>
  <c r="AH735" i="4"/>
  <c r="AG735" i="4"/>
  <c r="AH734" i="4"/>
  <c r="AG734" i="4"/>
  <c r="AH733" i="4"/>
  <c r="AG733" i="4"/>
  <c r="AH732" i="4"/>
  <c r="AG732" i="4"/>
  <c r="AH731" i="4"/>
  <c r="AG731" i="4"/>
  <c r="AH730" i="4"/>
  <c r="AG730" i="4"/>
  <c r="AH729" i="4"/>
  <c r="AG729" i="4"/>
  <c r="AH728" i="4"/>
  <c r="AG728" i="4"/>
  <c r="AH727" i="4"/>
  <c r="AG727" i="4"/>
  <c r="AH726" i="4"/>
  <c r="AG726" i="4"/>
  <c r="AH725" i="4"/>
  <c r="AG725" i="4"/>
  <c r="AH724" i="4"/>
  <c r="AG724" i="4"/>
  <c r="AH723" i="4"/>
  <c r="AG723" i="4"/>
  <c r="AH722" i="4"/>
  <c r="AG722" i="4"/>
  <c r="AH721" i="4"/>
  <c r="AG721" i="4"/>
  <c r="AH720" i="4"/>
  <c r="AG720" i="4"/>
  <c r="AH719" i="4"/>
  <c r="AG719" i="4"/>
  <c r="AH718" i="4"/>
  <c r="AG718" i="4"/>
  <c r="AH717" i="4"/>
  <c r="AG717" i="4"/>
  <c r="AH716" i="4"/>
  <c r="AG716" i="4"/>
  <c r="AH715" i="4"/>
  <c r="AG715" i="4"/>
  <c r="AH714" i="4"/>
  <c r="AG714" i="4"/>
  <c r="AH713" i="4"/>
  <c r="AG713" i="4"/>
  <c r="AH712" i="4"/>
  <c r="AG712" i="4"/>
  <c r="AH711" i="4"/>
  <c r="AG711" i="4"/>
  <c r="AH710" i="4"/>
  <c r="AG710" i="4"/>
  <c r="AH709" i="4"/>
  <c r="AG709" i="4"/>
  <c r="AH708" i="4"/>
  <c r="AG708" i="4"/>
  <c r="AH707" i="4"/>
  <c r="AG707" i="4"/>
  <c r="AH706" i="4"/>
  <c r="AG706" i="4"/>
  <c r="AH705" i="4"/>
  <c r="AG705" i="4"/>
  <c r="AH704" i="4"/>
  <c r="AG704" i="4"/>
  <c r="AH703" i="4"/>
  <c r="AG703" i="4"/>
  <c r="AH702" i="4"/>
  <c r="AG702" i="4"/>
  <c r="AH701" i="4"/>
  <c r="AG701" i="4"/>
  <c r="AH700" i="4"/>
  <c r="AG700" i="4"/>
  <c r="AH699" i="4"/>
  <c r="AG699" i="4"/>
  <c r="AH698" i="4"/>
  <c r="AG698" i="4"/>
  <c r="AH697" i="4"/>
  <c r="AG697" i="4"/>
  <c r="AH696" i="4"/>
  <c r="AG696" i="4"/>
  <c r="AH695" i="4"/>
  <c r="AG695" i="4"/>
  <c r="AH694" i="4"/>
  <c r="AG694" i="4"/>
  <c r="AH693" i="4"/>
  <c r="AG693" i="4"/>
  <c r="AH692" i="4"/>
  <c r="AG692" i="4"/>
  <c r="AH691" i="4"/>
  <c r="AG691" i="4"/>
  <c r="AH690" i="4"/>
  <c r="AG690" i="4"/>
  <c r="AH689" i="4"/>
  <c r="AG689" i="4"/>
  <c r="AH688" i="4"/>
  <c r="AG688" i="4"/>
  <c r="AH687" i="4"/>
  <c r="AG687" i="4"/>
  <c r="AH686" i="4"/>
  <c r="AG686" i="4"/>
  <c r="AH685" i="4"/>
  <c r="AG685" i="4"/>
  <c r="AH684" i="4"/>
  <c r="AG684" i="4"/>
  <c r="AH683" i="4"/>
  <c r="AG683" i="4"/>
  <c r="AH682" i="4"/>
  <c r="AG682" i="4"/>
  <c r="AH681" i="4"/>
  <c r="AG681" i="4"/>
  <c r="AH680" i="4"/>
  <c r="AG680" i="4"/>
  <c r="AH679" i="4"/>
  <c r="AG679" i="4"/>
  <c r="AH678" i="4"/>
  <c r="AG678" i="4"/>
  <c r="AH677" i="4"/>
  <c r="AG677" i="4"/>
  <c r="AH676" i="4"/>
  <c r="AG676" i="4"/>
  <c r="AH675" i="4"/>
  <c r="AG675" i="4"/>
  <c r="AH674" i="4"/>
  <c r="AG674" i="4"/>
  <c r="AH673" i="4"/>
  <c r="AG673" i="4"/>
  <c r="AH672" i="4"/>
  <c r="AG672" i="4"/>
  <c r="AH671" i="4"/>
  <c r="AG671" i="4"/>
  <c r="AH670" i="4"/>
  <c r="AG670" i="4"/>
  <c r="AH669" i="4"/>
  <c r="AG669" i="4"/>
  <c r="AH668" i="4"/>
  <c r="AG668" i="4"/>
  <c r="AH667" i="4"/>
  <c r="AG667" i="4"/>
  <c r="AH666" i="4"/>
  <c r="AG666" i="4"/>
  <c r="AH665" i="4"/>
  <c r="AG665" i="4"/>
  <c r="AH664" i="4"/>
  <c r="AG664" i="4"/>
  <c r="AH663" i="4"/>
  <c r="AG663" i="4"/>
  <c r="AH662" i="4"/>
  <c r="AG662" i="4"/>
  <c r="AH661" i="4"/>
  <c r="AG661" i="4"/>
  <c r="AH660" i="4"/>
  <c r="AG660" i="4"/>
  <c r="AH659" i="4"/>
  <c r="AG659" i="4"/>
  <c r="AH658" i="4"/>
  <c r="AG658" i="4"/>
  <c r="AH657" i="4"/>
  <c r="AG657" i="4"/>
  <c r="AH656" i="4"/>
  <c r="AG656" i="4"/>
  <c r="AH655" i="4"/>
  <c r="AG655" i="4"/>
  <c r="AH654" i="4"/>
  <c r="AG654" i="4"/>
  <c r="AH653" i="4"/>
  <c r="AG653" i="4"/>
  <c r="AH652" i="4"/>
  <c r="AG652" i="4"/>
  <c r="AH651" i="4"/>
  <c r="AG651" i="4"/>
  <c r="AH650" i="4"/>
  <c r="AG650" i="4"/>
  <c r="AH649" i="4"/>
  <c r="AG649" i="4"/>
  <c r="AH648" i="4"/>
  <c r="AG648" i="4"/>
  <c r="AH647" i="4"/>
  <c r="AG647" i="4"/>
  <c r="AH646" i="4"/>
  <c r="AG646" i="4"/>
  <c r="AH645" i="4"/>
  <c r="AG645" i="4"/>
  <c r="AH644" i="4"/>
  <c r="AG644" i="4"/>
  <c r="AH643" i="4"/>
  <c r="AG643" i="4"/>
  <c r="AH642" i="4"/>
  <c r="AG642" i="4"/>
  <c r="AH641" i="4"/>
  <c r="AG641" i="4"/>
  <c r="AH640" i="4"/>
  <c r="AG640" i="4"/>
  <c r="AH639" i="4"/>
  <c r="AG639" i="4"/>
  <c r="AH638" i="4"/>
  <c r="AG638" i="4"/>
  <c r="AH637" i="4"/>
  <c r="AG637" i="4"/>
  <c r="AH636" i="4"/>
  <c r="AG636" i="4"/>
  <c r="AH635" i="4"/>
  <c r="AG635" i="4"/>
  <c r="AH634" i="4"/>
  <c r="AG634" i="4"/>
  <c r="AH633" i="4"/>
  <c r="AG633" i="4"/>
  <c r="AH632" i="4"/>
  <c r="AG632" i="4"/>
  <c r="AH631" i="4"/>
  <c r="AG631" i="4"/>
  <c r="AH630" i="4"/>
  <c r="AG630" i="4"/>
  <c r="AH629" i="4"/>
  <c r="AG629" i="4"/>
  <c r="AH628" i="4"/>
  <c r="AG628" i="4"/>
  <c r="AH627" i="4"/>
  <c r="AG627" i="4"/>
  <c r="AH626" i="4"/>
  <c r="AG626" i="4"/>
  <c r="AH625" i="4"/>
  <c r="AG625" i="4"/>
  <c r="AH624" i="4"/>
  <c r="AG624" i="4"/>
  <c r="AH623" i="4"/>
  <c r="AG623" i="4"/>
  <c r="AH622" i="4"/>
  <c r="AG622" i="4"/>
  <c r="AH621" i="4"/>
  <c r="AG621" i="4"/>
  <c r="AH620" i="4"/>
  <c r="AG620" i="4"/>
  <c r="AH619" i="4"/>
  <c r="AG619" i="4"/>
  <c r="AH618" i="4"/>
  <c r="AG618" i="4"/>
  <c r="AH617" i="4"/>
  <c r="AG617" i="4"/>
  <c r="AH616" i="4"/>
  <c r="AG616" i="4"/>
  <c r="AH615" i="4"/>
  <c r="AG615" i="4"/>
  <c r="AH614" i="4"/>
  <c r="AG614" i="4"/>
  <c r="AH613" i="4"/>
  <c r="AG613" i="4"/>
  <c r="AH612" i="4"/>
  <c r="AG612" i="4"/>
  <c r="AH611" i="4"/>
  <c r="AG611" i="4"/>
  <c r="AH610" i="4"/>
  <c r="AG610" i="4"/>
  <c r="AH609" i="4"/>
  <c r="AG609" i="4"/>
  <c r="AH608" i="4"/>
  <c r="AG608" i="4"/>
  <c r="AH607" i="4"/>
  <c r="AG607" i="4"/>
  <c r="AH606" i="4"/>
  <c r="AG606" i="4"/>
  <c r="AH605" i="4"/>
  <c r="AG605" i="4"/>
  <c r="AH604" i="4"/>
  <c r="AG604" i="4"/>
  <c r="AH603" i="4"/>
  <c r="AG603" i="4"/>
  <c r="AH602" i="4"/>
  <c r="AG602" i="4"/>
  <c r="AH601" i="4"/>
  <c r="AG601" i="4"/>
  <c r="AH600" i="4"/>
  <c r="AG600" i="4"/>
  <c r="AH599" i="4"/>
  <c r="AG599" i="4"/>
  <c r="AH598" i="4"/>
  <c r="AG598" i="4"/>
  <c r="AH597" i="4"/>
  <c r="AG597" i="4"/>
  <c r="AH596" i="4"/>
  <c r="AG596" i="4"/>
  <c r="AH595" i="4"/>
  <c r="AG595" i="4"/>
  <c r="AH594" i="4"/>
  <c r="AG594" i="4"/>
  <c r="AH593" i="4"/>
  <c r="AG593" i="4"/>
  <c r="AH592" i="4"/>
  <c r="AG592" i="4"/>
  <c r="AH591" i="4"/>
  <c r="AG591" i="4"/>
  <c r="AH590" i="4"/>
  <c r="AG590" i="4"/>
  <c r="AH589" i="4"/>
  <c r="AG589" i="4"/>
  <c r="AH588" i="4"/>
  <c r="AG588" i="4"/>
  <c r="AH587" i="4"/>
  <c r="AG587" i="4"/>
  <c r="AH586" i="4"/>
  <c r="AG586" i="4"/>
  <c r="AH585" i="4"/>
  <c r="AG585" i="4"/>
  <c r="AH584" i="4"/>
  <c r="AG584" i="4"/>
  <c r="AH583" i="4"/>
  <c r="AG583" i="4"/>
  <c r="AH582" i="4"/>
  <c r="AG582" i="4"/>
  <c r="AH581" i="4"/>
  <c r="AG581" i="4"/>
  <c r="AH580" i="4"/>
  <c r="AG580" i="4"/>
  <c r="AH579" i="4"/>
  <c r="AG579" i="4"/>
  <c r="AH578" i="4"/>
  <c r="AG578" i="4"/>
  <c r="AH577" i="4"/>
  <c r="AG577" i="4"/>
  <c r="AH576" i="4"/>
  <c r="AG576" i="4"/>
  <c r="AH575" i="4"/>
  <c r="AG575" i="4"/>
  <c r="AH574" i="4"/>
  <c r="AG574" i="4"/>
  <c r="AH573" i="4"/>
  <c r="AG573" i="4"/>
  <c r="AH572" i="4"/>
  <c r="AG572" i="4"/>
  <c r="AH571" i="4"/>
  <c r="AG571" i="4"/>
  <c r="AH570" i="4"/>
  <c r="AG570" i="4"/>
  <c r="AH569" i="4"/>
  <c r="AG569" i="4"/>
  <c r="AH568" i="4"/>
  <c r="AG568" i="4"/>
  <c r="AH567" i="4"/>
  <c r="AG567" i="4"/>
  <c r="AH566" i="4"/>
  <c r="AG566" i="4"/>
  <c r="AH565" i="4"/>
  <c r="AG565" i="4"/>
  <c r="AH564" i="4"/>
  <c r="AG564" i="4"/>
  <c r="AH563" i="4"/>
  <c r="AG563" i="4"/>
  <c r="AH562" i="4"/>
  <c r="AG562" i="4"/>
  <c r="AH561" i="4"/>
  <c r="AG561" i="4"/>
  <c r="AH560" i="4"/>
  <c r="AG560" i="4"/>
  <c r="AH559" i="4"/>
  <c r="AG559" i="4"/>
  <c r="AH558" i="4"/>
  <c r="AG558" i="4"/>
  <c r="AH557" i="4"/>
  <c r="AG557" i="4"/>
  <c r="AH556" i="4"/>
  <c r="AG556" i="4"/>
  <c r="AH555" i="4"/>
  <c r="AG555" i="4"/>
  <c r="AH554" i="4"/>
  <c r="AG554" i="4"/>
  <c r="AH553" i="4"/>
  <c r="AG553" i="4"/>
  <c r="AH552" i="4"/>
  <c r="AG552" i="4"/>
  <c r="AH551" i="4"/>
  <c r="AG551" i="4"/>
  <c r="AH550" i="4"/>
  <c r="AG550" i="4"/>
  <c r="AH549" i="4"/>
  <c r="AG549" i="4"/>
  <c r="AH548" i="4"/>
  <c r="AG548" i="4"/>
  <c r="AH547" i="4"/>
  <c r="AG547" i="4"/>
  <c r="AH546" i="4"/>
  <c r="AG546" i="4"/>
  <c r="AH545" i="4"/>
  <c r="AG545" i="4"/>
  <c r="AH544" i="4"/>
  <c r="AG544" i="4"/>
  <c r="AH543" i="4"/>
  <c r="AG543" i="4"/>
  <c r="AH542" i="4"/>
  <c r="AG542" i="4"/>
  <c r="AH541" i="4"/>
  <c r="AG541" i="4"/>
  <c r="AH540" i="4"/>
  <c r="AG540" i="4"/>
  <c r="AH539" i="4"/>
  <c r="AG539" i="4"/>
  <c r="AH538" i="4"/>
  <c r="AG538" i="4"/>
  <c r="AH537" i="4"/>
  <c r="AG537" i="4"/>
  <c r="AH536" i="4"/>
  <c r="AG536" i="4"/>
  <c r="AH535" i="4"/>
  <c r="AG535" i="4"/>
  <c r="AH534" i="4"/>
  <c r="AG534" i="4"/>
  <c r="AH533" i="4"/>
  <c r="AG533" i="4"/>
  <c r="AH532" i="4"/>
  <c r="AG532" i="4"/>
  <c r="AH531" i="4"/>
  <c r="AG531" i="4"/>
  <c r="AH530" i="4"/>
  <c r="AG530" i="4"/>
  <c r="AH529" i="4"/>
  <c r="AG529" i="4"/>
  <c r="AH528" i="4"/>
  <c r="AG528" i="4"/>
  <c r="AH527" i="4"/>
  <c r="AG527" i="4"/>
  <c r="AH526" i="4"/>
  <c r="AG526" i="4"/>
  <c r="AH525" i="4"/>
  <c r="AG525" i="4"/>
  <c r="AH524" i="4"/>
  <c r="AG524" i="4"/>
  <c r="AH523" i="4"/>
  <c r="AG523" i="4"/>
  <c r="AH522" i="4"/>
  <c r="AG522" i="4"/>
  <c r="AH521" i="4"/>
  <c r="AG521" i="4"/>
  <c r="AH520" i="4"/>
  <c r="AG520" i="4"/>
  <c r="AH519" i="4"/>
  <c r="AG519" i="4"/>
  <c r="AH518" i="4"/>
  <c r="AG518" i="4"/>
  <c r="AH517" i="4"/>
  <c r="AG517" i="4"/>
  <c r="AH516" i="4"/>
  <c r="AG516" i="4"/>
  <c r="AH515" i="4"/>
  <c r="AG515" i="4"/>
  <c r="AH514" i="4"/>
  <c r="AG514" i="4"/>
  <c r="AH513" i="4"/>
  <c r="AG513" i="4"/>
  <c r="AH512" i="4"/>
  <c r="AG512" i="4"/>
  <c r="AH511" i="4"/>
  <c r="AG511" i="4"/>
  <c r="AH510" i="4"/>
  <c r="AG510" i="4"/>
  <c r="AH509" i="4"/>
  <c r="AG509" i="4"/>
  <c r="AH508" i="4"/>
  <c r="AG508" i="4"/>
  <c r="AH507" i="4"/>
  <c r="AG507" i="4"/>
  <c r="AH506" i="4"/>
  <c r="AG506" i="4"/>
  <c r="AH505" i="4"/>
  <c r="AG505" i="4"/>
  <c r="AH504" i="4"/>
  <c r="AG504" i="4"/>
  <c r="AH503" i="4"/>
  <c r="AG503" i="4"/>
  <c r="AH502" i="4"/>
  <c r="AG502" i="4"/>
  <c r="AH501" i="4"/>
  <c r="AG501" i="4"/>
  <c r="AH500" i="4"/>
  <c r="AG500" i="4"/>
  <c r="AH499" i="4"/>
  <c r="AG499" i="4"/>
  <c r="AH498" i="4"/>
  <c r="AG498" i="4"/>
  <c r="AH497" i="4"/>
  <c r="AG497" i="4"/>
  <c r="AH496" i="4"/>
  <c r="AG496" i="4"/>
  <c r="AH495" i="4"/>
  <c r="AG495" i="4"/>
  <c r="AH494" i="4"/>
  <c r="AG494" i="4"/>
  <c r="AH493" i="4"/>
  <c r="AG493" i="4"/>
  <c r="AH492" i="4"/>
  <c r="AG492" i="4"/>
  <c r="AH491" i="4"/>
  <c r="AG491" i="4"/>
  <c r="AH490" i="4"/>
  <c r="AG490" i="4"/>
  <c r="AH489" i="4"/>
  <c r="AG489" i="4"/>
  <c r="AH488" i="4"/>
  <c r="AG488" i="4"/>
  <c r="AH487" i="4"/>
  <c r="AG487" i="4"/>
  <c r="AH486" i="4"/>
  <c r="AG486" i="4"/>
  <c r="AH485" i="4"/>
  <c r="AG485" i="4"/>
  <c r="AH484" i="4"/>
  <c r="AG484" i="4"/>
  <c r="AH483" i="4"/>
  <c r="AG483" i="4"/>
  <c r="AH482" i="4"/>
  <c r="AG482" i="4"/>
  <c r="AH481" i="4"/>
  <c r="AG481" i="4"/>
  <c r="AH480" i="4"/>
  <c r="AG480" i="4"/>
  <c r="AH479" i="4"/>
  <c r="AG479" i="4"/>
  <c r="AH478" i="4"/>
  <c r="AG478" i="4"/>
  <c r="AH477" i="4"/>
  <c r="AG477" i="4"/>
  <c r="AH476" i="4"/>
  <c r="AG476" i="4"/>
  <c r="AH475" i="4"/>
  <c r="AG475" i="4"/>
  <c r="AH474" i="4"/>
  <c r="AG474" i="4"/>
  <c r="AH473" i="4"/>
  <c r="AG473" i="4"/>
  <c r="AH472" i="4"/>
  <c r="AG472" i="4"/>
  <c r="AH471" i="4"/>
  <c r="AG471" i="4"/>
  <c r="AH470" i="4"/>
  <c r="AG470" i="4"/>
  <c r="AH469" i="4"/>
  <c r="AG469" i="4"/>
  <c r="AH468" i="4"/>
  <c r="AG468" i="4"/>
  <c r="AH467" i="4"/>
  <c r="AG467" i="4"/>
  <c r="AH466" i="4"/>
  <c r="AG466" i="4"/>
  <c r="AH465" i="4"/>
  <c r="AG465" i="4"/>
  <c r="AH464" i="4"/>
  <c r="AG464" i="4"/>
  <c r="AH463" i="4"/>
  <c r="AG463" i="4"/>
  <c r="AH462" i="4"/>
  <c r="AG462" i="4"/>
  <c r="AH461" i="4"/>
  <c r="AG461" i="4"/>
  <c r="AH460" i="4"/>
  <c r="AG460" i="4"/>
  <c r="AH459" i="4"/>
  <c r="AG459" i="4"/>
  <c r="AH458" i="4"/>
  <c r="AG458" i="4"/>
  <c r="AH457" i="4"/>
  <c r="AG457" i="4"/>
  <c r="AH456" i="4"/>
  <c r="AG456" i="4"/>
  <c r="AH455" i="4"/>
  <c r="AG455" i="4"/>
  <c r="AH454" i="4"/>
  <c r="AG454" i="4"/>
  <c r="AH453" i="4"/>
  <c r="AG453" i="4"/>
  <c r="AH452" i="4"/>
  <c r="AG452" i="4"/>
  <c r="AH451" i="4"/>
  <c r="AG451" i="4"/>
  <c r="AH450" i="4"/>
  <c r="AG450" i="4"/>
  <c r="AH449" i="4"/>
  <c r="AG449" i="4"/>
  <c r="AH448" i="4"/>
  <c r="AG448" i="4"/>
  <c r="AH447" i="4"/>
  <c r="AG447" i="4"/>
  <c r="AH446" i="4"/>
  <c r="AG446" i="4"/>
  <c r="AH445" i="4"/>
  <c r="AG445" i="4"/>
  <c r="AH444" i="4"/>
  <c r="AG444" i="4"/>
  <c r="AH443" i="4"/>
  <c r="AG443" i="4"/>
  <c r="AH442" i="4"/>
  <c r="AG442" i="4"/>
  <c r="AH441" i="4"/>
  <c r="AG441" i="4"/>
  <c r="AH440" i="4"/>
  <c r="AG440" i="4"/>
  <c r="AH439" i="4"/>
  <c r="AG439" i="4"/>
  <c r="AH438" i="4"/>
  <c r="AG438" i="4"/>
  <c r="AH437" i="4"/>
  <c r="AG437" i="4"/>
  <c r="AH436" i="4"/>
  <c r="AG436" i="4"/>
  <c r="AH435" i="4"/>
  <c r="AG435" i="4"/>
  <c r="AH434" i="4"/>
  <c r="AG434" i="4"/>
  <c r="AH433" i="4"/>
  <c r="AG433" i="4"/>
  <c r="AH432" i="4"/>
  <c r="AG432" i="4"/>
  <c r="AH431" i="4"/>
  <c r="AG431" i="4"/>
  <c r="AH430" i="4"/>
  <c r="AG430" i="4"/>
  <c r="AH429" i="4"/>
  <c r="AG429" i="4"/>
  <c r="AH428" i="4"/>
  <c r="AG428" i="4"/>
  <c r="AH427" i="4"/>
  <c r="AG427" i="4"/>
  <c r="AH426" i="4"/>
  <c r="AG426" i="4"/>
  <c r="AH425" i="4"/>
  <c r="AG425" i="4"/>
  <c r="AH424" i="4"/>
  <c r="AG424" i="4"/>
  <c r="AH423" i="4"/>
  <c r="AG423" i="4"/>
  <c r="AH422" i="4"/>
  <c r="AG422" i="4"/>
  <c r="AH421" i="4"/>
  <c r="AG421" i="4"/>
  <c r="AH420" i="4"/>
  <c r="AG420" i="4"/>
  <c r="AH419" i="4"/>
  <c r="AG419" i="4"/>
  <c r="AH418" i="4"/>
  <c r="AG418" i="4"/>
  <c r="AH417" i="4"/>
  <c r="AG417" i="4"/>
  <c r="AH416" i="4"/>
  <c r="AG416" i="4"/>
  <c r="AH415" i="4"/>
  <c r="AG415" i="4"/>
  <c r="AH414" i="4"/>
  <c r="AG414" i="4"/>
  <c r="AH413" i="4"/>
  <c r="AG413" i="4"/>
  <c r="AH412" i="4"/>
  <c r="AG412" i="4"/>
  <c r="AH411" i="4"/>
  <c r="AG411" i="4"/>
  <c r="AH410" i="4"/>
  <c r="AG410" i="4"/>
  <c r="AH409" i="4"/>
  <c r="AG409" i="4"/>
  <c r="AH408" i="4"/>
  <c r="AG408" i="4"/>
  <c r="AH407" i="4"/>
  <c r="AG407" i="4"/>
  <c r="AH406" i="4"/>
  <c r="AG406" i="4"/>
  <c r="AH405" i="4"/>
  <c r="AG405" i="4"/>
  <c r="AH404" i="4"/>
  <c r="AG404" i="4"/>
  <c r="AH403" i="4"/>
  <c r="AG403" i="4"/>
  <c r="AH402" i="4"/>
  <c r="AG402" i="4"/>
  <c r="AH401" i="4"/>
  <c r="AG401" i="4"/>
  <c r="AH400" i="4"/>
  <c r="AG400" i="4"/>
  <c r="AH399" i="4"/>
  <c r="AG399" i="4"/>
  <c r="AH398" i="4"/>
  <c r="AG398" i="4"/>
  <c r="AH397" i="4"/>
  <c r="AG397" i="4"/>
  <c r="AH396" i="4"/>
  <c r="AG396" i="4"/>
  <c r="AH395" i="4"/>
  <c r="AG395" i="4"/>
  <c r="AH394" i="4"/>
  <c r="AG394" i="4"/>
  <c r="AH393" i="4"/>
  <c r="AG393" i="4"/>
  <c r="AH392" i="4"/>
  <c r="AG392" i="4"/>
  <c r="AH391" i="4"/>
  <c r="AG391" i="4"/>
  <c r="AH390" i="4"/>
  <c r="AG390" i="4"/>
  <c r="AH389" i="4"/>
  <c r="AG389" i="4"/>
  <c r="AH388" i="4"/>
  <c r="AG388" i="4"/>
  <c r="AH387" i="4"/>
  <c r="AG387" i="4"/>
  <c r="AH386" i="4"/>
  <c r="AG386" i="4"/>
  <c r="AH385" i="4"/>
  <c r="AG385" i="4"/>
  <c r="AH384" i="4"/>
  <c r="AG384" i="4"/>
  <c r="AH383" i="4"/>
  <c r="AG383" i="4"/>
  <c r="AH382" i="4"/>
  <c r="AG382" i="4"/>
  <c r="AH381" i="4"/>
  <c r="AG381" i="4"/>
  <c r="AH380" i="4"/>
  <c r="AG380" i="4"/>
  <c r="AH379" i="4"/>
  <c r="AG379" i="4"/>
  <c r="AH378" i="4"/>
  <c r="AG378" i="4"/>
  <c r="AH377" i="4"/>
  <c r="AG377" i="4"/>
  <c r="AH376" i="4"/>
  <c r="AG376" i="4"/>
  <c r="AH375" i="4"/>
  <c r="AG375" i="4"/>
  <c r="AH374" i="4"/>
  <c r="AG374" i="4"/>
  <c r="AH373" i="4"/>
  <c r="AG373" i="4"/>
  <c r="AH372" i="4"/>
  <c r="AG372" i="4"/>
  <c r="AH371" i="4"/>
  <c r="AG371" i="4"/>
  <c r="AH370" i="4"/>
  <c r="AG370" i="4"/>
  <c r="AH369" i="4"/>
  <c r="AG369" i="4"/>
  <c r="AH368" i="4"/>
  <c r="AG368" i="4"/>
  <c r="AH367" i="4"/>
  <c r="AG367" i="4"/>
  <c r="AH366" i="4"/>
  <c r="AG366" i="4"/>
  <c r="AH365" i="4"/>
  <c r="AG365" i="4"/>
  <c r="AH364" i="4"/>
  <c r="AG364" i="4"/>
  <c r="AH363" i="4"/>
  <c r="AG363" i="4"/>
  <c r="AH362" i="4"/>
  <c r="AG362" i="4"/>
  <c r="AH361" i="4"/>
  <c r="AG361" i="4"/>
  <c r="AH360" i="4"/>
  <c r="AG360" i="4"/>
  <c r="AH359" i="4"/>
  <c r="AG359" i="4"/>
  <c r="AH358" i="4"/>
  <c r="AG358" i="4"/>
  <c r="AH357" i="4"/>
  <c r="AG357" i="4"/>
  <c r="AH356" i="4"/>
  <c r="AG356" i="4"/>
  <c r="AH355" i="4"/>
  <c r="AG355" i="4"/>
  <c r="AH354" i="4"/>
  <c r="AG354" i="4"/>
  <c r="AH353" i="4"/>
  <c r="AG353" i="4"/>
  <c r="AH352" i="4"/>
  <c r="AG352" i="4"/>
  <c r="AH351" i="4"/>
  <c r="AG351" i="4"/>
  <c r="AH350" i="4"/>
  <c r="AG350" i="4"/>
  <c r="AH349" i="4"/>
  <c r="AG349" i="4"/>
  <c r="AH348" i="4"/>
  <c r="AG348" i="4"/>
  <c r="AH347" i="4"/>
  <c r="AG347" i="4"/>
  <c r="AH346" i="4"/>
  <c r="AG346" i="4"/>
  <c r="AH345" i="4"/>
  <c r="AG345" i="4"/>
  <c r="AH344" i="4"/>
  <c r="AG344" i="4"/>
  <c r="AH343" i="4"/>
  <c r="AG343" i="4"/>
  <c r="AH342" i="4"/>
  <c r="AG342" i="4"/>
  <c r="AH341" i="4"/>
  <c r="AG341" i="4"/>
  <c r="AH340" i="4"/>
  <c r="AG340" i="4"/>
  <c r="AH339" i="4"/>
  <c r="AG339" i="4"/>
  <c r="AH338" i="4"/>
  <c r="AG338" i="4"/>
  <c r="AH337" i="4"/>
  <c r="AG337" i="4"/>
  <c r="AH336" i="4"/>
  <c r="AG336" i="4"/>
  <c r="AH335" i="4"/>
  <c r="AG335" i="4"/>
  <c r="AH334" i="4"/>
  <c r="AG334" i="4"/>
  <c r="AH333" i="4"/>
  <c r="AG333" i="4"/>
  <c r="AH332" i="4"/>
  <c r="AG332" i="4"/>
  <c r="AH331" i="4"/>
  <c r="AG331" i="4"/>
  <c r="AH330" i="4"/>
  <c r="AG330" i="4"/>
  <c r="AH329" i="4"/>
  <c r="AG329" i="4"/>
  <c r="AH328" i="4"/>
  <c r="AG328" i="4"/>
  <c r="AH327" i="4"/>
  <c r="AG327" i="4"/>
  <c r="AH326" i="4"/>
  <c r="AG326" i="4"/>
  <c r="AH325" i="4"/>
  <c r="AG325" i="4"/>
  <c r="AH324" i="4"/>
  <c r="AG324" i="4"/>
  <c r="AH323" i="4"/>
  <c r="AG323" i="4"/>
  <c r="AH322" i="4"/>
  <c r="AG322" i="4"/>
  <c r="AH321" i="4"/>
  <c r="AG321" i="4"/>
  <c r="AH320" i="4"/>
  <c r="AG320" i="4"/>
  <c r="AH319" i="4"/>
  <c r="AG319" i="4"/>
  <c r="AH318" i="4"/>
  <c r="AG318" i="4"/>
  <c r="AH317" i="4"/>
  <c r="AG317" i="4"/>
  <c r="AH316" i="4"/>
  <c r="AG316" i="4"/>
  <c r="AH315" i="4"/>
  <c r="AG315" i="4"/>
  <c r="AH314" i="4"/>
  <c r="AG314" i="4"/>
  <c r="AH313" i="4"/>
  <c r="AG313" i="4"/>
  <c r="AH312" i="4"/>
  <c r="AG312" i="4"/>
  <c r="AH311" i="4"/>
  <c r="AG311" i="4"/>
  <c r="AH310" i="4"/>
  <c r="AG310" i="4"/>
  <c r="AH309" i="4"/>
  <c r="AG309" i="4"/>
  <c r="AH308" i="4"/>
  <c r="AG308" i="4"/>
  <c r="AH307" i="4"/>
  <c r="AG307" i="4"/>
  <c r="AH306" i="4"/>
  <c r="AG306" i="4"/>
  <c r="AH305" i="4"/>
  <c r="AG305" i="4"/>
  <c r="AH304" i="4"/>
  <c r="AG304" i="4"/>
  <c r="AH303" i="4"/>
  <c r="AG303" i="4"/>
  <c r="AH302" i="4"/>
  <c r="AG302" i="4"/>
  <c r="AH301" i="4"/>
  <c r="AG301" i="4"/>
  <c r="AH300" i="4"/>
  <c r="AG300" i="4"/>
  <c r="AH299" i="4"/>
  <c r="AG299" i="4"/>
  <c r="AH298" i="4"/>
  <c r="AG298" i="4"/>
  <c r="AH297" i="4"/>
  <c r="AG297" i="4"/>
  <c r="AH296" i="4"/>
  <c r="AG296" i="4"/>
  <c r="AH295" i="4"/>
  <c r="AG295" i="4"/>
  <c r="AH294" i="4"/>
  <c r="AG294" i="4"/>
  <c r="AH293" i="4"/>
  <c r="AG293" i="4"/>
  <c r="AH292" i="4"/>
  <c r="AG292" i="4"/>
  <c r="AH291" i="4"/>
  <c r="AG291" i="4"/>
  <c r="AH290" i="4"/>
  <c r="AG290" i="4"/>
  <c r="AH289" i="4"/>
  <c r="AG289" i="4"/>
  <c r="AH288" i="4"/>
  <c r="AG288" i="4"/>
  <c r="AH287" i="4"/>
  <c r="AG287" i="4"/>
  <c r="AH286" i="4"/>
  <c r="AG286" i="4"/>
  <c r="AH285" i="4"/>
  <c r="AG285" i="4"/>
  <c r="AH284" i="4"/>
  <c r="AG284" i="4"/>
  <c r="AH283" i="4"/>
  <c r="AG283" i="4"/>
  <c r="AH282" i="4"/>
  <c r="AG282" i="4"/>
  <c r="AH281" i="4"/>
  <c r="AG281" i="4"/>
  <c r="AH280" i="4"/>
  <c r="AG280" i="4"/>
  <c r="AH279" i="4"/>
  <c r="AG279" i="4"/>
  <c r="AH278" i="4"/>
  <c r="AG278" i="4"/>
  <c r="AH277" i="4"/>
  <c r="AG277" i="4"/>
  <c r="AH276" i="4"/>
  <c r="AG276" i="4"/>
  <c r="AH275" i="4"/>
  <c r="AG275" i="4"/>
  <c r="AH274" i="4"/>
  <c r="AG274" i="4"/>
  <c r="AH273" i="4"/>
  <c r="AG273" i="4"/>
  <c r="AH272" i="4"/>
  <c r="AG272" i="4"/>
  <c r="AH271" i="4"/>
  <c r="AG271" i="4"/>
  <c r="AH270" i="4"/>
  <c r="AG270" i="4"/>
  <c r="AH269" i="4"/>
  <c r="AG269" i="4"/>
  <c r="AH268" i="4"/>
  <c r="AG268" i="4"/>
  <c r="AH267" i="4"/>
  <c r="AG267" i="4"/>
  <c r="AH266" i="4"/>
  <c r="AG266" i="4"/>
  <c r="AH265" i="4"/>
  <c r="AG265" i="4"/>
  <c r="AH264" i="4"/>
  <c r="AG264" i="4"/>
  <c r="AH263" i="4"/>
  <c r="AG263" i="4"/>
  <c r="AH262" i="4"/>
  <c r="AG262" i="4"/>
  <c r="AH261" i="4"/>
  <c r="AG261" i="4"/>
  <c r="AH260" i="4"/>
  <c r="AG260" i="4"/>
  <c r="AH259" i="4"/>
  <c r="AG259" i="4"/>
  <c r="AH258" i="4"/>
  <c r="AG258" i="4"/>
  <c r="AH257" i="4"/>
  <c r="AG257" i="4"/>
  <c r="AH256" i="4"/>
  <c r="AG256" i="4"/>
  <c r="AH255" i="4"/>
  <c r="AG255" i="4"/>
  <c r="AH254" i="4"/>
  <c r="AG254" i="4"/>
  <c r="AH253" i="4"/>
  <c r="AG253" i="4"/>
  <c r="AH252" i="4"/>
  <c r="AG252" i="4"/>
  <c r="AH251" i="4"/>
  <c r="AG251" i="4"/>
  <c r="AH250" i="4"/>
  <c r="AG250" i="4"/>
  <c r="AH249" i="4"/>
  <c r="AG249" i="4"/>
  <c r="AH248" i="4"/>
  <c r="AG248" i="4"/>
  <c r="AH247" i="4"/>
  <c r="AG247" i="4"/>
  <c r="AH246" i="4"/>
  <c r="AG246" i="4"/>
  <c r="AH245" i="4"/>
  <c r="AG245" i="4"/>
  <c r="AH244" i="4"/>
  <c r="AG244" i="4"/>
  <c r="AH243" i="4"/>
  <c r="AG243" i="4"/>
  <c r="AH242" i="4"/>
  <c r="AG242" i="4"/>
  <c r="AH241" i="4"/>
  <c r="AG241" i="4"/>
  <c r="AH240" i="4"/>
  <c r="AG240" i="4"/>
  <c r="AH239" i="4"/>
  <c r="AG239" i="4"/>
  <c r="AH238" i="4"/>
  <c r="AG238" i="4"/>
  <c r="AH237" i="4"/>
  <c r="AG237" i="4"/>
  <c r="AH236" i="4"/>
  <c r="AG236" i="4"/>
  <c r="AH235" i="4"/>
  <c r="AG235" i="4"/>
  <c r="AH234" i="4"/>
  <c r="AG234" i="4"/>
  <c r="AH233" i="4"/>
  <c r="AG233" i="4"/>
  <c r="AH232" i="4"/>
  <c r="AG232" i="4"/>
  <c r="AH231" i="4"/>
  <c r="AG231" i="4"/>
  <c r="AH230" i="4"/>
  <c r="AG230" i="4"/>
  <c r="AH229" i="4"/>
  <c r="AG229" i="4"/>
  <c r="AH228" i="4"/>
  <c r="AG228" i="4"/>
  <c r="AH227" i="4"/>
  <c r="AG227" i="4"/>
  <c r="AH226" i="4"/>
  <c r="AG226" i="4"/>
  <c r="AH225" i="4"/>
  <c r="AG225" i="4"/>
  <c r="AH224" i="4"/>
  <c r="AG224" i="4"/>
  <c r="AH223" i="4"/>
  <c r="AG223" i="4"/>
  <c r="AH222" i="4"/>
  <c r="AG222" i="4"/>
  <c r="AH221" i="4"/>
  <c r="AG221" i="4"/>
  <c r="AH220" i="4"/>
  <c r="AG220" i="4"/>
  <c r="AH219" i="4"/>
  <c r="AG219" i="4"/>
  <c r="AH218" i="4"/>
  <c r="AG218" i="4"/>
  <c r="AH217" i="4"/>
  <c r="AG217" i="4"/>
  <c r="AH216" i="4"/>
  <c r="AG216" i="4"/>
  <c r="AH215" i="4"/>
  <c r="AG215" i="4"/>
  <c r="AH214" i="4"/>
  <c r="AG214" i="4"/>
  <c r="AH213" i="4"/>
  <c r="AG213" i="4"/>
  <c r="AH212" i="4"/>
  <c r="AG212" i="4"/>
  <c r="AH211" i="4"/>
  <c r="AG211" i="4"/>
  <c r="AH210" i="4"/>
  <c r="AG210" i="4"/>
  <c r="AH209" i="4"/>
  <c r="AG209" i="4"/>
  <c r="AH208" i="4"/>
  <c r="AG208" i="4"/>
  <c r="AH207" i="4"/>
  <c r="AG207" i="4"/>
  <c r="AH206" i="4"/>
  <c r="AG206" i="4"/>
  <c r="AH205" i="4"/>
  <c r="AG205" i="4"/>
  <c r="AH204" i="4"/>
  <c r="AG204" i="4"/>
  <c r="AH203" i="4"/>
  <c r="AG203" i="4"/>
  <c r="AH202" i="4"/>
  <c r="AG202" i="4"/>
  <c r="AH201" i="4"/>
  <c r="AG201" i="4"/>
  <c r="AH200" i="4"/>
  <c r="AG200" i="4"/>
  <c r="AH199" i="4"/>
  <c r="AG199" i="4"/>
  <c r="AH198" i="4"/>
  <c r="AG198" i="4"/>
  <c r="AH197" i="4"/>
  <c r="AG197" i="4"/>
  <c r="AH196" i="4"/>
  <c r="AG196" i="4"/>
  <c r="AH195" i="4"/>
  <c r="AG195" i="4"/>
  <c r="AH194" i="4"/>
  <c r="AG194" i="4"/>
  <c r="AH193" i="4"/>
  <c r="AG193" i="4"/>
  <c r="AH192" i="4"/>
  <c r="AG192" i="4"/>
  <c r="AH191" i="4"/>
  <c r="AG191" i="4"/>
  <c r="AH190" i="4"/>
  <c r="AG190" i="4"/>
  <c r="AH189" i="4"/>
  <c r="AG189" i="4"/>
  <c r="AH188" i="4"/>
  <c r="AG188" i="4"/>
  <c r="AH187" i="4"/>
  <c r="AG187" i="4"/>
  <c r="AH186" i="4"/>
  <c r="AG186" i="4"/>
  <c r="AH185" i="4"/>
  <c r="AG185" i="4"/>
  <c r="AH184" i="4"/>
  <c r="AG184" i="4"/>
  <c r="AH183" i="4"/>
  <c r="AG183" i="4"/>
  <c r="AH182" i="4"/>
  <c r="AG182" i="4"/>
  <c r="AH181" i="4"/>
  <c r="AG181" i="4"/>
  <c r="AH180" i="4"/>
  <c r="AG180" i="4"/>
  <c r="AH179" i="4"/>
  <c r="AG179" i="4"/>
  <c r="AH178" i="4"/>
  <c r="AG178" i="4"/>
  <c r="AH177" i="4"/>
  <c r="AG177" i="4"/>
  <c r="AH176" i="4"/>
  <c r="AG176" i="4"/>
  <c r="AH175" i="4"/>
  <c r="AG175" i="4"/>
  <c r="AH174" i="4"/>
  <c r="AG174" i="4"/>
  <c r="AH173" i="4"/>
  <c r="AG173" i="4"/>
  <c r="AH172" i="4"/>
  <c r="AG172" i="4"/>
  <c r="AH171" i="4"/>
  <c r="AG171" i="4"/>
  <c r="AH170" i="4"/>
  <c r="AG170" i="4"/>
  <c r="AH169" i="4"/>
  <c r="AG169" i="4"/>
  <c r="AH168" i="4"/>
  <c r="AG168" i="4"/>
  <c r="AH167" i="4"/>
  <c r="AG167" i="4"/>
  <c r="AH166" i="4"/>
  <c r="AG166" i="4"/>
  <c r="AH165" i="4"/>
  <c r="AG165" i="4"/>
  <c r="AH164" i="4"/>
  <c r="AG164" i="4"/>
  <c r="AH163" i="4"/>
  <c r="AG163" i="4"/>
  <c r="AH162" i="4"/>
  <c r="AG162" i="4"/>
  <c r="AH161" i="4"/>
  <c r="AG161" i="4"/>
  <c r="AH160" i="4"/>
  <c r="AG160" i="4"/>
  <c r="AH159" i="4"/>
  <c r="AG159" i="4"/>
  <c r="AH158" i="4"/>
  <c r="AG158" i="4"/>
  <c r="AH157" i="4"/>
  <c r="AG157" i="4"/>
  <c r="AH156" i="4"/>
  <c r="AG156" i="4"/>
  <c r="AH155" i="4"/>
  <c r="AG155" i="4"/>
  <c r="AH154" i="4"/>
  <c r="AG154" i="4"/>
  <c r="AH153" i="4"/>
  <c r="AG153" i="4"/>
  <c r="AH152" i="4"/>
  <c r="AG152" i="4"/>
  <c r="AH151" i="4"/>
  <c r="AG151" i="4"/>
  <c r="AH150" i="4"/>
  <c r="AG150" i="4"/>
  <c r="AH149" i="4"/>
  <c r="AG149" i="4"/>
  <c r="AH148" i="4"/>
  <c r="AG148" i="4"/>
  <c r="AH147" i="4"/>
  <c r="AG147" i="4"/>
  <c r="AH146" i="4"/>
  <c r="AG146" i="4"/>
  <c r="AH145" i="4"/>
  <c r="AG145" i="4"/>
  <c r="AH144" i="4"/>
  <c r="AG144" i="4"/>
  <c r="AH143" i="4"/>
  <c r="AG143" i="4"/>
  <c r="AH142" i="4"/>
  <c r="AG142" i="4"/>
  <c r="AH141" i="4"/>
  <c r="AG141" i="4"/>
  <c r="AH140" i="4"/>
  <c r="AG140" i="4"/>
  <c r="AH139" i="4"/>
  <c r="AG139" i="4"/>
  <c r="AH138" i="4"/>
  <c r="AG138" i="4"/>
  <c r="AH137" i="4"/>
  <c r="AG137" i="4"/>
  <c r="AH136" i="4"/>
  <c r="AG136" i="4"/>
  <c r="AH135" i="4"/>
  <c r="AG135" i="4"/>
  <c r="AH134" i="4"/>
  <c r="AG134" i="4"/>
  <c r="AH133" i="4"/>
  <c r="AG133" i="4"/>
  <c r="AH132" i="4"/>
  <c r="AG132" i="4"/>
  <c r="AH131" i="4"/>
  <c r="AG131" i="4"/>
  <c r="AH130" i="4"/>
  <c r="AG130" i="4"/>
  <c r="AH129" i="4"/>
  <c r="AG129" i="4"/>
  <c r="AH128" i="4"/>
  <c r="AG128" i="4"/>
  <c r="AH127" i="4"/>
  <c r="AG127" i="4"/>
  <c r="AH126" i="4"/>
  <c r="AG126" i="4"/>
  <c r="AH125" i="4"/>
  <c r="AG125" i="4"/>
  <c r="AH124" i="4"/>
  <c r="AG124" i="4"/>
  <c r="AH123" i="4"/>
  <c r="AG123" i="4"/>
  <c r="AH122" i="4"/>
  <c r="AG122" i="4"/>
  <c r="AH121" i="4"/>
  <c r="AG121" i="4"/>
  <c r="AH120" i="4"/>
  <c r="AG120" i="4"/>
  <c r="AH119" i="4"/>
  <c r="AG119" i="4"/>
  <c r="AH118" i="4"/>
  <c r="AG118" i="4"/>
  <c r="AH117" i="4"/>
  <c r="AG117" i="4"/>
  <c r="AH116" i="4"/>
  <c r="AG116" i="4"/>
  <c r="AH115" i="4"/>
  <c r="AG115" i="4"/>
  <c r="AH114" i="4"/>
  <c r="AG114" i="4"/>
  <c r="AH113" i="4"/>
  <c r="AG113" i="4"/>
  <c r="AH112" i="4"/>
  <c r="AG112" i="4"/>
  <c r="AH111" i="4"/>
  <c r="AG111" i="4"/>
  <c r="AH110" i="4"/>
  <c r="AG110" i="4"/>
  <c r="AH109" i="4"/>
  <c r="AG109" i="4"/>
  <c r="AH108" i="4"/>
  <c r="AG108" i="4"/>
  <c r="AH107" i="4"/>
  <c r="AG107" i="4"/>
  <c r="AH106" i="4"/>
  <c r="AG106" i="4"/>
  <c r="AH105" i="4"/>
  <c r="AG105" i="4"/>
  <c r="AH104" i="4"/>
  <c r="AG104" i="4"/>
  <c r="AH103" i="4"/>
  <c r="AG103" i="4"/>
  <c r="K227" i="4"/>
  <c r="K12" i="4"/>
  <c r="N228" i="4"/>
  <c r="N13" i="4"/>
  <c r="AB13" i="4"/>
  <c r="AA13" i="4"/>
  <c r="N7" i="4"/>
  <c r="N6" i="4"/>
  <c r="N5" i="4"/>
  <c r="N4" i="4"/>
  <c r="AH102" i="4"/>
  <c r="AG102" i="4"/>
  <c r="AH101" i="4"/>
  <c r="AG101" i="4"/>
  <c r="AH100" i="4"/>
  <c r="AG100" i="4"/>
  <c r="AH99" i="4"/>
  <c r="AG99" i="4"/>
  <c r="AH98" i="4"/>
  <c r="AG98" i="4"/>
  <c r="AH97" i="4"/>
  <c r="AG97" i="4"/>
  <c r="AH96" i="4"/>
  <c r="AG96" i="4"/>
  <c r="AH95" i="4"/>
  <c r="AG95" i="4"/>
  <c r="AH94" i="4"/>
  <c r="AG94" i="4"/>
  <c r="AH93" i="4"/>
  <c r="AG93" i="4"/>
  <c r="AH92" i="4"/>
  <c r="AG92" i="4"/>
  <c r="AH91" i="4"/>
  <c r="AG91" i="4"/>
  <c r="AH90" i="4"/>
  <c r="AG90" i="4"/>
  <c r="AH89" i="4"/>
  <c r="AG89" i="4"/>
  <c r="AH88" i="4"/>
  <c r="AG88" i="4"/>
  <c r="AH87" i="4"/>
  <c r="AG87" i="4"/>
  <c r="AH86" i="4"/>
  <c r="AG86" i="4"/>
  <c r="AH85" i="4"/>
  <c r="AG85" i="4"/>
  <c r="AH84" i="4"/>
  <c r="AG84" i="4"/>
  <c r="AH83" i="4"/>
  <c r="AG83" i="4"/>
  <c r="AH82" i="4"/>
  <c r="AG82" i="4"/>
  <c r="AH81" i="4"/>
  <c r="AG81" i="4"/>
  <c r="AH80" i="4"/>
  <c r="AG80" i="4"/>
  <c r="AH79" i="4"/>
  <c r="AG79" i="4"/>
  <c r="AH78" i="4"/>
  <c r="AG78" i="4"/>
  <c r="AH77" i="4"/>
  <c r="AG77" i="4"/>
  <c r="AH76" i="4"/>
  <c r="AG76" i="4"/>
  <c r="AH75" i="4"/>
  <c r="AG75" i="4"/>
  <c r="AH74" i="4"/>
  <c r="AG74" i="4"/>
  <c r="AH73" i="4"/>
  <c r="AG73" i="4"/>
  <c r="AH72" i="4"/>
  <c r="AG72" i="4"/>
  <c r="AH71" i="4"/>
  <c r="AG71" i="4"/>
  <c r="AH70" i="4"/>
  <c r="AG70" i="4"/>
  <c r="AH69" i="4"/>
  <c r="AG69" i="4"/>
  <c r="AH68" i="4"/>
  <c r="AG68" i="4"/>
  <c r="AH67" i="4"/>
  <c r="AG67" i="4"/>
  <c r="AH66" i="4"/>
  <c r="AG66" i="4"/>
  <c r="AH65" i="4"/>
  <c r="AG65" i="4"/>
  <c r="AH64" i="4"/>
  <c r="AG64" i="4"/>
  <c r="AH63" i="4"/>
  <c r="AG63" i="4"/>
  <c r="AH62" i="4"/>
  <c r="AG62" i="4"/>
  <c r="AH61" i="4"/>
  <c r="AG61" i="4"/>
  <c r="AH60" i="4"/>
  <c r="AG60" i="4"/>
  <c r="AH59" i="4"/>
  <c r="AG59" i="4"/>
  <c r="AH58" i="4"/>
  <c r="AG58" i="4"/>
  <c r="AH57" i="4"/>
  <c r="AG57" i="4"/>
  <c r="AH56" i="4"/>
  <c r="AG56" i="4"/>
  <c r="AH55" i="4"/>
  <c r="AG55" i="4"/>
  <c r="AH54" i="4"/>
  <c r="AG54" i="4"/>
  <c r="AH53" i="4"/>
  <c r="AG53" i="4"/>
  <c r="AH52" i="4"/>
  <c r="AG52" i="4"/>
  <c r="AH51" i="4"/>
  <c r="AG51" i="4"/>
  <c r="AH50" i="4"/>
  <c r="AG50" i="4"/>
  <c r="AH49" i="4"/>
  <c r="AG49" i="4"/>
  <c r="AH48" i="4"/>
  <c r="AG48" i="4"/>
  <c r="AH47" i="4"/>
  <c r="AG47" i="4"/>
  <c r="AH46" i="4"/>
  <c r="AG46" i="4"/>
  <c r="AH45" i="4"/>
  <c r="AG45" i="4"/>
  <c r="AH44" i="4"/>
  <c r="AG44" i="4"/>
  <c r="AH43" i="4"/>
  <c r="AG43" i="4"/>
  <c r="AH42" i="4"/>
  <c r="AG42" i="4"/>
  <c r="AH41" i="4"/>
  <c r="AG41" i="4"/>
  <c r="AH40" i="4"/>
  <c r="AG40" i="4"/>
  <c r="AH39" i="4"/>
  <c r="AG39" i="4"/>
  <c r="AH38" i="4"/>
  <c r="AG38" i="4"/>
  <c r="AH37" i="4"/>
  <c r="AG37" i="4"/>
  <c r="AH36" i="4"/>
  <c r="AG36" i="4"/>
  <c r="AH35" i="4"/>
  <c r="AG35" i="4"/>
  <c r="AH34" i="4"/>
  <c r="AG34" i="4"/>
  <c r="AH33" i="4"/>
  <c r="AG33" i="4"/>
  <c r="AH32" i="4"/>
  <c r="AG32" i="4"/>
  <c r="AH31" i="4"/>
  <c r="AG31" i="4"/>
  <c r="AH30" i="4"/>
  <c r="AG30" i="4"/>
  <c r="AH29" i="4"/>
  <c r="AG29" i="4"/>
  <c r="AH28" i="4"/>
  <c r="AG28" i="4"/>
  <c r="AH27" i="4"/>
  <c r="AG27" i="4"/>
  <c r="AH26" i="4"/>
  <c r="AG26" i="4"/>
  <c r="AH25" i="4"/>
  <c r="AG25" i="4"/>
  <c r="AH24" i="4"/>
  <c r="AG24" i="4"/>
  <c r="AH23" i="4"/>
  <c r="AG23" i="4"/>
  <c r="AH22" i="4"/>
  <c r="AG22" i="4"/>
  <c r="AH21" i="4"/>
  <c r="AG21" i="4"/>
  <c r="AH20" i="4"/>
  <c r="AG20" i="4"/>
  <c r="AH19" i="4"/>
  <c r="AG19" i="4"/>
  <c r="AH18" i="4"/>
  <c r="AG18" i="4"/>
  <c r="AH17" i="4"/>
  <c r="AG17" i="4"/>
  <c r="AH16" i="4"/>
  <c r="AG16" i="4"/>
  <c r="AH15" i="4"/>
  <c r="AG15" i="4"/>
  <c r="AH14" i="4"/>
  <c r="AG14" i="4"/>
  <c r="AH13" i="4"/>
  <c r="AG13" i="4"/>
  <c r="AH12" i="4"/>
  <c r="AG12" i="4"/>
  <c r="AH11" i="4"/>
  <c r="AG11" i="4"/>
  <c r="AH10" i="4"/>
  <c r="AG10" i="4"/>
  <c r="AH9" i="4"/>
  <c r="AG9" i="4"/>
  <c r="AH8" i="4"/>
  <c r="AG8" i="4"/>
  <c r="AH7" i="4"/>
  <c r="AG7" i="4"/>
  <c r="AH6" i="4"/>
  <c r="AG6" i="4"/>
  <c r="AH5" i="4"/>
  <c r="AG5" i="4"/>
  <c r="AH4" i="4"/>
  <c r="AG4" i="4"/>
  <c r="K13" i="4"/>
  <c r="K228" i="4"/>
  <c r="N229" i="4"/>
  <c r="N14" i="4"/>
  <c r="AB14" i="4"/>
  <c r="AA14" i="4"/>
  <c r="D32" i="3"/>
  <c r="D31" i="3"/>
  <c r="D30" i="3"/>
  <c r="D25" i="3"/>
  <c r="D24" i="3"/>
  <c r="D23" i="3"/>
  <c r="E18" i="3"/>
  <c r="D18" i="3"/>
  <c r="E17" i="3"/>
  <c r="D17" i="3"/>
  <c r="E15" i="3"/>
  <c r="D15" i="3"/>
  <c r="E14" i="3"/>
  <c r="D14" i="3"/>
  <c r="D11" i="3"/>
  <c r="D10" i="3"/>
  <c r="D7" i="3"/>
  <c r="D6" i="3"/>
  <c r="E5" i="3"/>
  <c r="F5" i="3"/>
  <c r="D5" i="3"/>
  <c r="AX11" i="10"/>
  <c r="K229" i="4"/>
  <c r="K14" i="4"/>
  <c r="N230" i="4"/>
  <c r="N15" i="4"/>
  <c r="AB15" i="4"/>
  <c r="AA15" i="4"/>
  <c r="K230" i="4"/>
  <c r="K15" i="4"/>
  <c r="N231" i="4"/>
  <c r="N16" i="4"/>
  <c r="AB16" i="4"/>
  <c r="AA16" i="4"/>
  <c r="K231" i="4"/>
  <c r="N232" i="4"/>
  <c r="N17" i="4"/>
  <c r="AB17" i="4"/>
  <c r="AA17" i="4"/>
  <c r="K17" i="4"/>
  <c r="N233" i="4"/>
  <c r="N18" i="4"/>
  <c r="AB18" i="4"/>
  <c r="AA18" i="4"/>
  <c r="K233" i="4"/>
  <c r="N234" i="4"/>
  <c r="N19" i="4"/>
  <c r="AA19" i="4"/>
  <c r="AB19" i="4"/>
  <c r="K234" i="4"/>
  <c r="N235" i="4"/>
  <c r="N20" i="4"/>
  <c r="AB20" i="4"/>
  <c r="AA20" i="4"/>
  <c r="K20" i="4"/>
  <c r="K235" i="4"/>
  <c r="N236" i="4"/>
  <c r="N21" i="4"/>
  <c r="AB21" i="4"/>
  <c r="AA21" i="4"/>
  <c r="K21" i="4"/>
  <c r="K236" i="4"/>
  <c r="N237" i="4"/>
  <c r="N22" i="4"/>
  <c r="AB22" i="4"/>
  <c r="AA22" i="4"/>
  <c r="K22" i="4"/>
  <c r="K237" i="4"/>
  <c r="N238" i="4"/>
  <c r="N23" i="4"/>
  <c r="AB23" i="4"/>
  <c r="AA23" i="4"/>
  <c r="K23" i="4"/>
  <c r="K238" i="4"/>
  <c r="N239" i="4"/>
  <c r="N24" i="4"/>
  <c r="AB24" i="4"/>
  <c r="AA24" i="4"/>
  <c r="K239" i="4"/>
  <c r="K24" i="4"/>
  <c r="N240" i="4"/>
  <c r="N25" i="4"/>
  <c r="AB25" i="4"/>
  <c r="AA25" i="4"/>
  <c r="K240" i="4"/>
  <c r="N241" i="4"/>
  <c r="N26" i="4"/>
  <c r="AB26" i="4"/>
  <c r="AA26" i="4"/>
  <c r="K26" i="4"/>
  <c r="K241" i="4"/>
  <c r="N242" i="4"/>
  <c r="N27" i="4"/>
  <c r="AA27" i="4"/>
  <c r="AB27" i="4"/>
  <c r="K27" i="4"/>
  <c r="K242" i="4"/>
  <c r="N243" i="4"/>
  <c r="N28" i="4"/>
  <c r="AB28" i="4"/>
  <c r="AA28" i="4"/>
  <c r="K243" i="4"/>
  <c r="K28" i="4"/>
  <c r="N244" i="4"/>
  <c r="N29" i="4"/>
  <c r="AB29" i="4"/>
  <c r="AA29" i="4"/>
  <c r="K29" i="4"/>
  <c r="N245" i="4"/>
  <c r="N30" i="4"/>
  <c r="AB30" i="4"/>
  <c r="AA30" i="4"/>
  <c r="K245" i="4"/>
  <c r="K30" i="4"/>
  <c r="N246" i="4"/>
  <c r="N31" i="4"/>
  <c r="AB31" i="4"/>
  <c r="AA31" i="4"/>
  <c r="K31" i="4"/>
  <c r="K246" i="4"/>
  <c r="N247" i="4"/>
  <c r="N32" i="4"/>
  <c r="AB32" i="4"/>
  <c r="AA32" i="4"/>
  <c r="K32" i="4"/>
  <c r="K247" i="4"/>
  <c r="N248" i="4"/>
  <c r="N33" i="4"/>
  <c r="AB33" i="4"/>
  <c r="AA33" i="4"/>
  <c r="K248" i="4"/>
  <c r="K33" i="4"/>
  <c r="N249" i="4"/>
  <c r="N34" i="4"/>
  <c r="AB34" i="4"/>
  <c r="AA34" i="4"/>
  <c r="K249" i="4"/>
  <c r="K34" i="4"/>
  <c r="N250" i="4"/>
  <c r="N35" i="4"/>
  <c r="AA35" i="4"/>
  <c r="AB35" i="4"/>
  <c r="K250" i="4"/>
  <c r="N251" i="4"/>
  <c r="N36" i="4"/>
  <c r="AB36" i="4"/>
  <c r="AA36" i="4"/>
  <c r="K36" i="4"/>
  <c r="K251" i="4"/>
  <c r="N252" i="4"/>
  <c r="N37" i="4"/>
  <c r="AB37" i="4"/>
  <c r="AA37" i="4"/>
  <c r="K37" i="4"/>
  <c r="K252" i="4"/>
  <c r="N253" i="4"/>
  <c r="N38" i="4"/>
  <c r="AB38" i="4"/>
  <c r="AA38" i="4"/>
  <c r="K38" i="4"/>
  <c r="K253" i="4"/>
  <c r="N254" i="4"/>
  <c r="N39" i="4"/>
  <c r="AB39" i="4"/>
  <c r="AA39" i="4"/>
  <c r="K39" i="4"/>
  <c r="N255" i="4"/>
  <c r="N40" i="4"/>
  <c r="AB40" i="4"/>
  <c r="AA40" i="4"/>
  <c r="K40" i="4"/>
  <c r="K255" i="4"/>
  <c r="N256" i="4"/>
  <c r="N41" i="4"/>
  <c r="AB41" i="4"/>
  <c r="AA41" i="4"/>
  <c r="K256" i="4"/>
  <c r="K41" i="4"/>
  <c r="N257" i="4"/>
  <c r="N42" i="4"/>
  <c r="AB42" i="4"/>
  <c r="AA42" i="4"/>
  <c r="K42" i="4"/>
  <c r="K257" i="4"/>
  <c r="N258" i="4"/>
  <c r="N43" i="4"/>
  <c r="AA43" i="4"/>
  <c r="AB43" i="4"/>
  <c r="K258" i="4"/>
  <c r="K43" i="4"/>
  <c r="N259" i="4"/>
  <c r="N44" i="4"/>
  <c r="AB44" i="4"/>
  <c r="AA44" i="4"/>
  <c r="K44" i="4"/>
  <c r="K259" i="4"/>
  <c r="N260" i="4"/>
  <c r="N45" i="4"/>
  <c r="AB45" i="4"/>
  <c r="AA45" i="4"/>
  <c r="K45" i="4"/>
  <c r="K260" i="4"/>
  <c r="N261" i="4"/>
  <c r="N46" i="4"/>
  <c r="AB46" i="4"/>
  <c r="AA46" i="4"/>
  <c r="K261" i="4"/>
  <c r="N262" i="4"/>
  <c r="N47" i="4"/>
  <c r="AB47" i="4"/>
  <c r="AA47" i="4"/>
  <c r="K262" i="4"/>
  <c r="K47" i="4"/>
  <c r="N263" i="4"/>
  <c r="N48" i="4"/>
  <c r="AB48" i="4"/>
  <c r="AA48" i="4"/>
  <c r="K48" i="4"/>
  <c r="K263" i="4"/>
  <c r="N264" i="4"/>
  <c r="N49" i="4"/>
  <c r="AB49" i="4"/>
  <c r="AA49" i="4"/>
  <c r="K49" i="4"/>
  <c r="N265" i="4"/>
  <c r="N50" i="4"/>
  <c r="K265" i="4"/>
  <c r="K50" i="4"/>
  <c r="N266" i="4"/>
  <c r="N51" i="4"/>
  <c r="K51" i="4"/>
  <c r="K266" i="4"/>
  <c r="N267" i="4"/>
  <c r="N52" i="4"/>
  <c r="K52" i="4"/>
  <c r="K267" i="4"/>
  <c r="N268" i="4"/>
  <c r="N53" i="4"/>
  <c r="K268" i="4"/>
  <c r="K53" i="4"/>
  <c r="N269" i="4"/>
  <c r="N54" i="4"/>
  <c r="K269" i="4"/>
  <c r="K54" i="4"/>
  <c r="N270" i="4"/>
  <c r="N55" i="4"/>
  <c r="K270" i="4"/>
  <c r="K55" i="4"/>
  <c r="N271" i="4"/>
  <c r="N56" i="4"/>
  <c r="K271" i="4"/>
  <c r="N272" i="4"/>
  <c r="N57" i="4"/>
  <c r="K272" i="4"/>
  <c r="K57" i="4"/>
  <c r="N273" i="4"/>
  <c r="N58" i="4"/>
  <c r="K58" i="4"/>
  <c r="K273" i="4"/>
  <c r="N274" i="4"/>
  <c r="N59" i="4"/>
  <c r="K59" i="4"/>
  <c r="K274" i="4"/>
  <c r="N275" i="4"/>
  <c r="N60" i="4"/>
  <c r="K60" i="4"/>
  <c r="K275" i="4"/>
  <c r="N276" i="4"/>
  <c r="N61" i="4"/>
  <c r="K276" i="4"/>
  <c r="K61" i="4"/>
  <c r="N277" i="4"/>
  <c r="N62" i="4"/>
  <c r="K277" i="4"/>
  <c r="K62" i="4"/>
  <c r="N278" i="4"/>
  <c r="N63" i="4"/>
  <c r="K278" i="4"/>
  <c r="K63" i="4"/>
  <c r="N279" i="4"/>
  <c r="N64" i="4"/>
  <c r="K64" i="4"/>
  <c r="K279" i="4"/>
  <c r="N280" i="4"/>
  <c r="N65" i="4"/>
  <c r="K280" i="4"/>
  <c r="N281" i="4"/>
  <c r="N66" i="4"/>
  <c r="K281" i="4"/>
  <c r="K66" i="4"/>
  <c r="N282" i="4"/>
  <c r="N67" i="4"/>
  <c r="K67" i="4"/>
  <c r="K282" i="4"/>
  <c r="N283" i="4"/>
  <c r="N68" i="4"/>
  <c r="K68" i="4"/>
  <c r="K283" i="4"/>
  <c r="N284" i="4"/>
  <c r="N69" i="4"/>
  <c r="K69" i="4"/>
  <c r="K284" i="4"/>
  <c r="N285" i="4"/>
  <c r="N70" i="4"/>
  <c r="K285" i="4"/>
  <c r="K70" i="4"/>
  <c r="N286" i="4"/>
  <c r="N71" i="4"/>
  <c r="K286" i="4"/>
  <c r="N287" i="4"/>
  <c r="N72" i="4"/>
  <c r="K72" i="4"/>
  <c r="N288" i="4"/>
  <c r="N73" i="4"/>
  <c r="K288" i="4"/>
  <c r="K73" i="4"/>
  <c r="N289" i="4"/>
  <c r="N74" i="4"/>
  <c r="K289" i="4"/>
  <c r="K74" i="4"/>
  <c r="N290" i="4"/>
  <c r="N75" i="4"/>
  <c r="K75" i="4"/>
  <c r="K290" i="4"/>
  <c r="N291" i="4"/>
  <c r="N76" i="4"/>
  <c r="K291" i="4"/>
  <c r="K76" i="4"/>
  <c r="N292" i="4"/>
  <c r="N77" i="4"/>
  <c r="K77" i="4"/>
  <c r="K292" i="4"/>
  <c r="N293" i="4"/>
  <c r="N78" i="4"/>
  <c r="K293" i="4"/>
  <c r="K78" i="4"/>
  <c r="N294" i="4"/>
  <c r="N79" i="4"/>
  <c r="K79" i="4"/>
  <c r="K294" i="4"/>
  <c r="N295" i="4"/>
  <c r="N80" i="4"/>
  <c r="K80" i="4"/>
  <c r="K295" i="4"/>
  <c r="N296" i="4"/>
  <c r="N81" i="4"/>
  <c r="K81" i="4"/>
  <c r="K296" i="4"/>
  <c r="N297" i="4"/>
  <c r="N82" i="4"/>
  <c r="K82" i="4"/>
  <c r="K297" i="4"/>
  <c r="N298" i="4"/>
  <c r="N83" i="4"/>
  <c r="K83" i="4"/>
  <c r="K298" i="4"/>
  <c r="N299" i="4"/>
  <c r="N84" i="4"/>
  <c r="K84" i="4"/>
  <c r="N300" i="4"/>
  <c r="N85" i="4"/>
  <c r="K85" i="4"/>
  <c r="K300" i="4"/>
  <c r="N301" i="4"/>
  <c r="N86" i="4"/>
  <c r="K86" i="4"/>
  <c r="N302" i="4"/>
  <c r="N87" i="4"/>
  <c r="K87" i="4"/>
  <c r="N303" i="4"/>
  <c r="N88" i="4"/>
  <c r="K88" i="4"/>
  <c r="N304" i="4"/>
  <c r="N89" i="4"/>
  <c r="K89" i="4"/>
  <c r="K304" i="4"/>
  <c r="N305" i="4"/>
  <c r="N90" i="4"/>
  <c r="K90" i="4"/>
  <c r="N306" i="4"/>
  <c r="N91" i="4"/>
  <c r="K91" i="4"/>
  <c r="K306" i="4"/>
  <c r="N307" i="4"/>
  <c r="N92" i="4"/>
  <c r="K92" i="4"/>
  <c r="N308" i="4"/>
  <c r="N93" i="4"/>
  <c r="K308" i="4"/>
  <c r="K93" i="4"/>
  <c r="N309" i="4"/>
  <c r="N94" i="4"/>
  <c r="N310" i="4"/>
  <c r="N95" i="4"/>
  <c r="K95" i="4"/>
  <c r="K310" i="4"/>
  <c r="N311" i="4"/>
  <c r="N96" i="4"/>
  <c r="K96" i="4"/>
  <c r="N312" i="4"/>
  <c r="N97" i="4"/>
  <c r="K312" i="4"/>
  <c r="K97" i="4"/>
  <c r="N313" i="4"/>
  <c r="N98" i="4"/>
  <c r="K98" i="4"/>
  <c r="N314" i="4"/>
  <c r="N99" i="4"/>
  <c r="K314" i="4"/>
  <c r="K99" i="4"/>
  <c r="N315" i="4"/>
  <c r="N100" i="4"/>
  <c r="K100" i="4"/>
  <c r="N316" i="4"/>
  <c r="N101" i="4"/>
  <c r="K101" i="4"/>
  <c r="K316" i="4"/>
  <c r="N317" i="4"/>
  <c r="N102" i="4"/>
  <c r="K102" i="4"/>
  <c r="N318" i="4"/>
  <c r="N103" i="4"/>
  <c r="K103" i="4"/>
  <c r="N319" i="4"/>
  <c r="N104" i="4"/>
  <c r="K104" i="4"/>
  <c r="N320" i="4"/>
  <c r="N105" i="4"/>
  <c r="K105" i="4"/>
  <c r="N321" i="4"/>
  <c r="N106" i="4"/>
  <c r="K106" i="4"/>
  <c r="N322" i="4"/>
  <c r="N107" i="4"/>
  <c r="K107" i="4"/>
  <c r="N323" i="4"/>
  <c r="N108" i="4"/>
  <c r="K108" i="4"/>
  <c r="N324" i="4"/>
  <c r="N109" i="4"/>
  <c r="K109" i="4"/>
  <c r="N325" i="4"/>
  <c r="N110" i="4"/>
  <c r="N326" i="4"/>
  <c r="N111" i="4"/>
  <c r="K111" i="4"/>
  <c r="N327" i="4"/>
  <c r="N112" i="4"/>
  <c r="K112" i="4"/>
  <c r="N328" i="4"/>
  <c r="N113" i="4"/>
  <c r="K113" i="4"/>
  <c r="N329" i="4"/>
  <c r="N114" i="4"/>
  <c r="K114" i="4"/>
  <c r="N330" i="4"/>
  <c r="N115" i="4"/>
  <c r="K115" i="4"/>
  <c r="N331" i="4"/>
  <c r="N116" i="4"/>
  <c r="K116" i="4"/>
  <c r="N332" i="4"/>
  <c r="N117" i="4"/>
  <c r="K117" i="4"/>
  <c r="N333" i="4"/>
  <c r="N118" i="4"/>
  <c r="K118" i="4"/>
  <c r="N334" i="4"/>
  <c r="N119" i="4"/>
  <c r="K119" i="4"/>
  <c r="N335" i="4"/>
  <c r="N120" i="4"/>
  <c r="K120" i="4"/>
  <c r="N336" i="4"/>
  <c r="N121" i="4"/>
  <c r="K121" i="4"/>
  <c r="N337" i="4"/>
  <c r="N122" i="4"/>
  <c r="K122" i="4"/>
  <c r="N338" i="4"/>
  <c r="N123" i="4"/>
  <c r="K123" i="4"/>
  <c r="N339" i="4"/>
  <c r="N124" i="4"/>
  <c r="K124" i="4"/>
  <c r="N340" i="4"/>
  <c r="N125" i="4"/>
  <c r="K125" i="4"/>
  <c r="N341" i="4"/>
  <c r="N126" i="4"/>
  <c r="N342" i="4"/>
  <c r="N127" i="4"/>
  <c r="K127" i="4"/>
  <c r="N343" i="4"/>
  <c r="N128" i="4"/>
  <c r="K128" i="4"/>
  <c r="N344" i="4"/>
  <c r="N129" i="4"/>
  <c r="N345" i="4"/>
  <c r="N130" i="4"/>
  <c r="K130" i="4"/>
  <c r="N346" i="4"/>
  <c r="N131" i="4"/>
  <c r="N347" i="4"/>
  <c r="N132" i="4"/>
  <c r="K132" i="4"/>
  <c r="N348" i="4"/>
  <c r="N133" i="4"/>
  <c r="K133" i="4"/>
  <c r="N349" i="4"/>
  <c r="N134" i="4"/>
  <c r="K134" i="4"/>
  <c r="N350" i="4"/>
  <c r="N135" i="4"/>
  <c r="K135" i="4"/>
  <c r="N351" i="4"/>
  <c r="N136" i="4"/>
  <c r="K136" i="4"/>
  <c r="N352" i="4"/>
  <c r="N137" i="4"/>
  <c r="K137" i="4"/>
  <c r="N353" i="4"/>
  <c r="N138" i="4"/>
  <c r="K138" i="4"/>
  <c r="N354" i="4"/>
  <c r="N139" i="4"/>
  <c r="K139" i="4"/>
  <c r="N355" i="4"/>
  <c r="N140" i="4"/>
  <c r="K140" i="4"/>
  <c r="N356" i="4"/>
  <c r="N141" i="4"/>
  <c r="K141" i="4"/>
  <c r="N357" i="4"/>
  <c r="N142" i="4"/>
  <c r="N358" i="4"/>
  <c r="N143" i="4"/>
  <c r="K143" i="4"/>
  <c r="N359" i="4"/>
  <c r="N144" i="4"/>
  <c r="K144" i="4"/>
  <c r="N360" i="4"/>
  <c r="N145" i="4"/>
  <c r="N361" i="4"/>
  <c r="N146" i="4"/>
  <c r="K146" i="4"/>
  <c r="N362" i="4"/>
  <c r="N147" i="4"/>
  <c r="K147" i="4"/>
  <c r="N363" i="4"/>
  <c r="N148" i="4"/>
  <c r="K148" i="4"/>
  <c r="N364" i="4"/>
  <c r="N149" i="4"/>
  <c r="K149" i="4"/>
  <c r="N365" i="4"/>
  <c r="N150" i="4"/>
  <c r="K150" i="4"/>
  <c r="N366" i="4"/>
  <c r="N151" i="4"/>
  <c r="K151" i="4"/>
  <c r="N367" i="4"/>
  <c r="N152" i="4"/>
  <c r="K152" i="4"/>
  <c r="N368" i="4"/>
  <c r="N153" i="4"/>
  <c r="K153" i="4"/>
  <c r="N369" i="4"/>
  <c r="N154" i="4"/>
  <c r="K154" i="4"/>
  <c r="N370" i="4"/>
  <c r="N155" i="4"/>
  <c r="K155" i="4"/>
  <c r="N371" i="4"/>
  <c r="N156" i="4"/>
  <c r="K156" i="4"/>
  <c r="N372" i="4"/>
  <c r="N157" i="4"/>
  <c r="K157" i="4"/>
  <c r="N373" i="4"/>
  <c r="N158" i="4"/>
  <c r="K158" i="4"/>
  <c r="N374" i="4"/>
  <c r="N159" i="4"/>
  <c r="K159" i="4"/>
  <c r="N375" i="4"/>
  <c r="N160" i="4"/>
  <c r="K160" i="4"/>
  <c r="N376" i="4"/>
  <c r="N161" i="4"/>
  <c r="N377" i="4"/>
  <c r="N162" i="4"/>
  <c r="K162" i="4"/>
  <c r="N378" i="4"/>
  <c r="N163" i="4"/>
  <c r="K163" i="4"/>
  <c r="N379" i="4"/>
  <c r="N164" i="4"/>
  <c r="K164" i="4"/>
  <c r="N380" i="4"/>
  <c r="N165" i="4"/>
  <c r="K165" i="4"/>
  <c r="N381" i="4"/>
  <c r="N166" i="4"/>
  <c r="K166" i="4"/>
  <c r="N382" i="4"/>
  <c r="N167" i="4"/>
  <c r="K167" i="4"/>
  <c r="N383" i="4"/>
  <c r="N168" i="4"/>
  <c r="K168" i="4"/>
  <c r="N384" i="4"/>
  <c r="N169" i="4"/>
  <c r="K169" i="4"/>
  <c r="N385" i="4"/>
  <c r="N170" i="4"/>
  <c r="K170" i="4"/>
  <c r="N386" i="4"/>
  <c r="N171" i="4"/>
  <c r="K171" i="4"/>
  <c r="N387" i="4"/>
  <c r="N172" i="4"/>
  <c r="K172" i="4"/>
  <c r="N388" i="4"/>
  <c r="N173" i="4"/>
  <c r="K173" i="4"/>
  <c r="N389" i="4"/>
  <c r="N174" i="4"/>
  <c r="N390" i="4"/>
  <c r="N175" i="4"/>
  <c r="K175" i="4"/>
  <c r="N391" i="4"/>
  <c r="N176" i="4"/>
  <c r="K176" i="4"/>
  <c r="N392" i="4"/>
  <c r="N177" i="4"/>
  <c r="K177" i="4"/>
  <c r="N393" i="4"/>
  <c r="N178" i="4"/>
  <c r="K178" i="4"/>
  <c r="N394" i="4"/>
  <c r="N179" i="4"/>
  <c r="K179" i="4"/>
  <c r="N395" i="4"/>
  <c r="N180" i="4"/>
  <c r="K180" i="4"/>
  <c r="N396" i="4"/>
  <c r="N181" i="4"/>
  <c r="K181" i="4"/>
  <c r="N397" i="4"/>
  <c r="N182" i="4"/>
  <c r="K182" i="4"/>
  <c r="N398" i="4"/>
  <c r="N183" i="4"/>
  <c r="K183" i="4"/>
  <c r="N399" i="4"/>
  <c r="N184" i="4"/>
  <c r="K184" i="4"/>
  <c r="N400" i="4"/>
  <c r="N185" i="4"/>
  <c r="K185" i="4"/>
  <c r="N401" i="4"/>
  <c r="N186" i="4"/>
  <c r="K186" i="4"/>
  <c r="N402" i="4"/>
  <c r="N187" i="4"/>
  <c r="K187" i="4"/>
  <c r="N403" i="4"/>
  <c r="N188" i="4"/>
  <c r="K188" i="4"/>
  <c r="N404" i="4"/>
  <c r="N189" i="4"/>
  <c r="K189" i="4"/>
  <c r="N405" i="4"/>
  <c r="N190" i="4"/>
  <c r="K190" i="4"/>
  <c r="N406" i="4"/>
  <c r="N191" i="4"/>
  <c r="K191" i="4"/>
  <c r="N407" i="4"/>
  <c r="N192" i="4"/>
  <c r="K192" i="4"/>
  <c r="N408" i="4"/>
  <c r="N193" i="4"/>
  <c r="N409" i="4"/>
  <c r="N194" i="4"/>
  <c r="K194" i="4"/>
  <c r="N410" i="4"/>
  <c r="N195" i="4"/>
  <c r="K195" i="4"/>
  <c r="N411" i="4"/>
  <c r="N196" i="4"/>
  <c r="K196" i="4"/>
  <c r="N412" i="4"/>
  <c r="N197" i="4"/>
  <c r="K197" i="4"/>
  <c r="N413" i="4"/>
  <c r="N198" i="4"/>
  <c r="K198" i="4"/>
  <c r="N414" i="4"/>
  <c r="N199" i="4"/>
  <c r="K199" i="4"/>
  <c r="N415" i="4"/>
  <c r="N200" i="4"/>
  <c r="K200" i="4"/>
  <c r="N416" i="4"/>
  <c r="N201" i="4"/>
  <c r="K201" i="4"/>
  <c r="N417" i="4"/>
  <c r="N202" i="4"/>
  <c r="K202" i="4"/>
  <c r="N418" i="4"/>
  <c r="N203" i="4"/>
  <c r="K203" i="4"/>
  <c r="N419" i="4"/>
  <c r="N204" i="4"/>
  <c r="N420" i="4"/>
  <c r="N205" i="4"/>
  <c r="K205" i="4"/>
  <c r="N421" i="4"/>
  <c r="N206" i="4"/>
  <c r="N422" i="4"/>
  <c r="N207" i="4"/>
  <c r="K207" i="4"/>
  <c r="N423" i="4"/>
  <c r="N208" i="4"/>
  <c r="K208" i="4"/>
  <c r="N424" i="4"/>
  <c r="N209" i="4"/>
  <c r="K209" i="4"/>
  <c r="N425" i="4"/>
  <c r="N210" i="4"/>
  <c r="K210" i="4"/>
  <c r="N426" i="4"/>
  <c r="N211" i="4"/>
  <c r="K211" i="4"/>
  <c r="N427" i="4"/>
  <c r="N212" i="4"/>
  <c r="K212" i="4"/>
  <c r="N428" i="4"/>
  <c r="N213" i="4"/>
  <c r="K213" i="4"/>
  <c r="N429" i="4"/>
  <c r="N214" i="4"/>
  <c r="K214" i="4"/>
  <c r="N430" i="4"/>
  <c r="N215" i="4"/>
  <c r="K215" i="4"/>
  <c r="N431" i="4"/>
  <c r="N216" i="4"/>
  <c r="K216" i="4"/>
  <c r="N432" i="4"/>
  <c r="N217" i="4"/>
  <c r="K217" i="4"/>
  <c r="BJ39" i="10" l="1"/>
  <c r="AX39" i="10"/>
  <c r="AO311" i="4"/>
  <c r="AQ311" i="4"/>
  <c r="AP311" i="4"/>
  <c r="BF41" i="10"/>
  <c r="AM235" i="4"/>
  <c r="AM283" i="4"/>
  <c r="AL283" i="4" s="1"/>
  <c r="AM299" i="4"/>
  <c r="BF42" i="10"/>
  <c r="BA53" i="10"/>
  <c r="BE21" i="10"/>
  <c r="BD12" i="10"/>
  <c r="BE57" i="10"/>
  <c r="BE55" i="10"/>
  <c r="C18" i="9"/>
  <c r="C17" i="9"/>
  <c r="C12" i="9"/>
  <c r="AM11" i="4"/>
  <c r="AJ11" i="4" s="1"/>
  <c r="BE11" i="10"/>
  <c r="BF43" i="10"/>
  <c r="BD50" i="10"/>
  <c r="BF55" i="10"/>
  <c r="BA47" i="10"/>
  <c r="AZ39" i="10"/>
  <c r="BF11" i="10"/>
  <c r="BE51" i="10"/>
  <c r="BD35" i="10"/>
  <c r="BD39" i="10"/>
  <c r="BE50" i="10"/>
  <c r="BA55" i="10"/>
  <c r="BH55" i="10" s="1"/>
  <c r="BF54" i="10"/>
  <c r="BH39" i="10"/>
  <c r="BF51" i="10"/>
  <c r="BE35" i="10"/>
  <c r="BF39" i="10"/>
  <c r="BE47" i="10"/>
  <c r="S16" i="10"/>
  <c r="BF14" i="10"/>
  <c r="S12" i="10"/>
  <c r="S11" i="10"/>
  <c r="BA33" i="10"/>
  <c r="BA17" i="10"/>
  <c r="AX17" i="10" s="1"/>
  <c r="BD42" i="10"/>
  <c r="BF34" i="10"/>
  <c r="BE54" i="10"/>
  <c r="BD38" i="10"/>
  <c r="BA29" i="10"/>
  <c r="AX29" i="10" s="1"/>
  <c r="BE46" i="10"/>
  <c r="BE25" i="10"/>
  <c r="BE23" i="10"/>
  <c r="BA22" i="10"/>
  <c r="BI22" i="10" s="1"/>
  <c r="BF20" i="10"/>
  <c r="BD34" i="10"/>
  <c r="BF46" i="10"/>
  <c r="BA13" i="10"/>
  <c r="BA36" i="10"/>
  <c r="BA44" i="10"/>
  <c r="BA52" i="10"/>
  <c r="AX52" i="10" s="1"/>
  <c r="S8" i="10"/>
  <c r="H8" i="10"/>
  <c r="J3" i="4"/>
  <c r="T3" i="4"/>
  <c r="AA10" i="10"/>
  <c r="S10" i="10"/>
  <c r="H10" i="10"/>
  <c r="K10" i="10"/>
  <c r="J10" i="10"/>
  <c r="H9" i="10"/>
  <c r="K9" i="10"/>
  <c r="J9" i="10"/>
  <c r="S9" i="10"/>
  <c r="BF10" i="10"/>
  <c r="AJ311" i="4"/>
  <c r="AM247" i="4"/>
  <c r="AO247" i="4" s="1"/>
  <c r="AM295" i="4"/>
  <c r="AQ295" i="4" s="1"/>
  <c r="AM13" i="4"/>
  <c r="AP13" i="4" s="1"/>
  <c r="AK311" i="4"/>
  <c r="AP283" i="4"/>
  <c r="AM47" i="4"/>
  <c r="AO47" i="4" s="1"/>
  <c r="AM286" i="4"/>
  <c r="AM290" i="4"/>
  <c r="AM302" i="4"/>
  <c r="AM306" i="4"/>
  <c r="AM12" i="4"/>
  <c r="AM316" i="4"/>
  <c r="AL316" i="4" s="1"/>
  <c r="AM318" i="4"/>
  <c r="AM320" i="4"/>
  <c r="BD26" i="10"/>
  <c r="BE22" i="10"/>
  <c r="BA34" i="10"/>
  <c r="BA38" i="10"/>
  <c r="AX38" i="10" s="1"/>
  <c r="BA42" i="10"/>
  <c r="AX42" i="10" s="1"/>
  <c r="BA46" i="10"/>
  <c r="BI46" i="10" s="1"/>
  <c r="BA50" i="10"/>
  <c r="BA54" i="10"/>
  <c r="BH54" i="10" s="1"/>
  <c r="BA27" i="10"/>
  <c r="BA26" i="10"/>
  <c r="AX26" i="10" s="1"/>
  <c r="BE38" i="10"/>
  <c r="BA12" i="10"/>
  <c r="BJ12" i="10" s="1"/>
  <c r="BA35" i="10"/>
  <c r="BA43" i="10"/>
  <c r="BI43" i="10" s="1"/>
  <c r="BA51" i="10"/>
  <c r="AZ50" i="10"/>
  <c r="BA32" i="10"/>
  <c r="BA25" i="10"/>
  <c r="BH25" i="10" s="1"/>
  <c r="AJ247" i="4"/>
  <c r="AP247" i="4"/>
  <c r="AO186" i="4"/>
  <c r="AJ186" i="4"/>
  <c r="AP186" i="4"/>
  <c r="AQ186" i="4"/>
  <c r="AK186" i="4"/>
  <c r="AO272" i="4"/>
  <c r="AP272" i="4"/>
  <c r="AL272" i="4"/>
  <c r="AK272" i="4"/>
  <c r="AJ272" i="4"/>
  <c r="AQ272" i="4"/>
  <c r="AO299" i="4"/>
  <c r="AK299" i="4"/>
  <c r="AP299" i="4"/>
  <c r="AQ299" i="4"/>
  <c r="AJ299" i="4"/>
  <c r="J19" i="4"/>
  <c r="U19" i="4"/>
  <c r="J9" i="4"/>
  <c r="U9" i="4"/>
  <c r="M9" i="4"/>
  <c r="L9" i="4"/>
  <c r="M18" i="4"/>
  <c r="L18" i="4"/>
  <c r="M22" i="4"/>
  <c r="L22" i="4"/>
  <c r="T446" i="4"/>
  <c r="T414" i="4"/>
  <c r="T382" i="4"/>
  <c r="T350" i="4"/>
  <c r="M318" i="4"/>
  <c r="L318" i="4"/>
  <c r="M286" i="4"/>
  <c r="L286" i="4"/>
  <c r="M254" i="4"/>
  <c r="L254" i="4"/>
  <c r="M222" i="4"/>
  <c r="L222" i="4"/>
  <c r="M190" i="4"/>
  <c r="L190" i="4"/>
  <c r="M158" i="4"/>
  <c r="L158" i="4"/>
  <c r="M126" i="4"/>
  <c r="L126" i="4"/>
  <c r="M94" i="4"/>
  <c r="L94" i="4"/>
  <c r="M62" i="4"/>
  <c r="L62" i="4"/>
  <c r="M30" i="4"/>
  <c r="L30" i="4"/>
  <c r="T444" i="4"/>
  <c r="T412" i="4"/>
  <c r="T376" i="4"/>
  <c r="T324" i="4"/>
  <c r="M264" i="4"/>
  <c r="L264" i="4"/>
  <c r="M204" i="4"/>
  <c r="L204" i="4"/>
  <c r="M148" i="4"/>
  <c r="L148" i="4"/>
  <c r="M88" i="4"/>
  <c r="L88" i="4"/>
  <c r="T467" i="4"/>
  <c r="T407" i="4"/>
  <c r="T347" i="4"/>
  <c r="M287" i="4"/>
  <c r="L287" i="4"/>
  <c r="M159" i="4"/>
  <c r="L159" i="4"/>
  <c r="M103" i="4"/>
  <c r="L103" i="4"/>
  <c r="M47" i="4"/>
  <c r="L47" i="4"/>
  <c r="T433" i="4"/>
  <c r="T401" i="4"/>
  <c r="T369" i="4"/>
  <c r="T337" i="4"/>
  <c r="T305" i="4"/>
  <c r="M273" i="4"/>
  <c r="L273" i="4"/>
  <c r="M257" i="4"/>
  <c r="L257" i="4"/>
  <c r="M241" i="4"/>
  <c r="L241" i="4"/>
  <c r="M225" i="4"/>
  <c r="L225" i="4"/>
  <c r="M209" i="4"/>
  <c r="L209" i="4"/>
  <c r="M193" i="4"/>
  <c r="L193" i="4"/>
  <c r="M177" i="4"/>
  <c r="L177" i="4"/>
  <c r="M161" i="4"/>
  <c r="L161" i="4"/>
  <c r="M145" i="4"/>
  <c r="L145" i="4"/>
  <c r="M129" i="4"/>
  <c r="L129" i="4"/>
  <c r="M113" i="4"/>
  <c r="L113" i="4"/>
  <c r="M97" i="4"/>
  <c r="L97" i="4"/>
  <c r="M81" i="4"/>
  <c r="L81" i="4"/>
  <c r="M65" i="4"/>
  <c r="L65" i="4"/>
  <c r="T464" i="4"/>
  <c r="T348" i="4"/>
  <c r="M312" i="4"/>
  <c r="L312" i="4"/>
  <c r="M280" i="4"/>
  <c r="L280" i="4"/>
  <c r="M244" i="4"/>
  <c r="L244" i="4"/>
  <c r="M208" i="4"/>
  <c r="L208" i="4"/>
  <c r="M176" i="4"/>
  <c r="L176" i="4"/>
  <c r="M136" i="4"/>
  <c r="L136" i="4"/>
  <c r="M100" i="4"/>
  <c r="L100" i="4"/>
  <c r="M68" i="4"/>
  <c r="L68" i="4"/>
  <c r="M32" i="4"/>
  <c r="L32" i="4"/>
  <c r="T447" i="4"/>
  <c r="T411" i="4"/>
  <c r="T375" i="4"/>
  <c r="T343" i="4"/>
  <c r="T307" i="4"/>
  <c r="M275" i="4"/>
  <c r="L275" i="4"/>
  <c r="M259" i="4"/>
  <c r="L259" i="4"/>
  <c r="M243" i="4"/>
  <c r="L243" i="4"/>
  <c r="M227" i="4"/>
  <c r="L227" i="4"/>
  <c r="M207" i="4"/>
  <c r="L207" i="4"/>
  <c r="M179" i="4"/>
  <c r="L179" i="4"/>
  <c r="M143" i="4"/>
  <c r="L143" i="4"/>
  <c r="M107" i="4"/>
  <c r="L107" i="4"/>
  <c r="M71" i="4"/>
  <c r="L71" i="4"/>
  <c r="M35" i="4"/>
  <c r="L35" i="4"/>
  <c r="T475" i="4"/>
  <c r="T479" i="4"/>
  <c r="T483" i="4"/>
  <c r="T487" i="4"/>
  <c r="T491" i="4"/>
  <c r="T495" i="4"/>
  <c r="T499" i="4"/>
  <c r="T503" i="4"/>
  <c r="T507" i="4"/>
  <c r="T511" i="4"/>
  <c r="T515" i="4"/>
  <c r="T519" i="4"/>
  <c r="T523" i="4"/>
  <c r="T527" i="4"/>
  <c r="T531" i="4"/>
  <c r="T535" i="4"/>
  <c r="T539" i="4"/>
  <c r="T543" i="4"/>
  <c r="T547" i="4"/>
  <c r="T551" i="4"/>
  <c r="T555" i="4"/>
  <c r="T559" i="4"/>
  <c r="T563" i="4"/>
  <c r="T567" i="4"/>
  <c r="T571" i="4"/>
  <c r="T575" i="4"/>
  <c r="T579" i="4"/>
  <c r="T583" i="4"/>
  <c r="T587" i="4"/>
  <c r="T591" i="4"/>
  <c r="T595" i="4"/>
  <c r="T599" i="4"/>
  <c r="T603" i="4"/>
  <c r="T607" i="4"/>
  <c r="T611" i="4"/>
  <c r="T615" i="4"/>
  <c r="T619" i="4"/>
  <c r="T623" i="4"/>
  <c r="T627" i="4"/>
  <c r="T631" i="4"/>
  <c r="T635" i="4"/>
  <c r="T639" i="4"/>
  <c r="T643" i="4"/>
  <c r="T647" i="4"/>
  <c r="T651" i="4"/>
  <c r="T655" i="4"/>
  <c r="T659" i="4"/>
  <c r="T663" i="4"/>
  <c r="T667" i="4"/>
  <c r="T671" i="4"/>
  <c r="T675" i="4"/>
  <c r="T679" i="4"/>
  <c r="T683" i="4"/>
  <c r="T687" i="4"/>
  <c r="T691" i="4"/>
  <c r="T695" i="4"/>
  <c r="T699" i="4"/>
  <c r="T703" i="4"/>
  <c r="T707" i="4"/>
  <c r="T711" i="4"/>
  <c r="T715" i="4"/>
  <c r="T719" i="4"/>
  <c r="T723" i="4"/>
  <c r="T727" i="4"/>
  <c r="T731" i="4"/>
  <c r="T735" i="4"/>
  <c r="T739" i="4"/>
  <c r="T743" i="4"/>
  <c r="T747" i="4"/>
  <c r="T751" i="4"/>
  <c r="T755" i="4"/>
  <c r="T759" i="4"/>
  <c r="T763" i="4"/>
  <c r="T767" i="4"/>
  <c r="T771" i="4"/>
  <c r="T775" i="4"/>
  <c r="T779" i="4"/>
  <c r="T783" i="4"/>
  <c r="T787" i="4"/>
  <c r="T791" i="4"/>
  <c r="T795" i="4"/>
  <c r="T799" i="4"/>
  <c r="T803" i="4"/>
  <c r="T807" i="4"/>
  <c r="T811" i="4"/>
  <c r="T815" i="4"/>
  <c r="T819" i="4"/>
  <c r="T823" i="4"/>
  <c r="T827" i="4"/>
  <c r="T831" i="4"/>
  <c r="T835" i="4"/>
  <c r="T839" i="4"/>
  <c r="T843" i="4"/>
  <c r="T847" i="4"/>
  <c r="T851" i="4"/>
  <c r="T855" i="4"/>
  <c r="T859" i="4"/>
  <c r="T863" i="4"/>
  <c r="T867" i="4"/>
  <c r="T871" i="4"/>
  <c r="T875" i="4"/>
  <c r="T879" i="4"/>
  <c r="T883" i="4"/>
  <c r="T887" i="4"/>
  <c r="T891" i="4"/>
  <c r="T895" i="4"/>
  <c r="T899" i="4"/>
  <c r="T903" i="4"/>
  <c r="T907" i="4"/>
  <c r="T911" i="4"/>
  <c r="T915" i="4"/>
  <c r="T919" i="4"/>
  <c r="T923" i="4"/>
  <c r="T927" i="4"/>
  <c r="T931" i="4"/>
  <c r="T935" i="4"/>
  <c r="T939" i="4"/>
  <c r="T943" i="4"/>
  <c r="T947" i="4"/>
  <c r="T951" i="4"/>
  <c r="T955" i="4"/>
  <c r="T959" i="4"/>
  <c r="T963" i="4"/>
  <c r="T967" i="4"/>
  <c r="T971" i="4"/>
  <c r="T975" i="4"/>
  <c r="T979" i="4"/>
  <c r="T983" i="4"/>
  <c r="T987" i="4"/>
  <c r="T991" i="4"/>
  <c r="T995" i="4"/>
  <c r="T999" i="4"/>
  <c r="J50" i="4"/>
  <c r="U50" i="4"/>
  <c r="J52" i="4"/>
  <c r="U52" i="4"/>
  <c r="J54" i="4"/>
  <c r="U54" i="4"/>
  <c r="J56" i="4"/>
  <c r="U56" i="4"/>
  <c r="J58" i="4"/>
  <c r="U58" i="4"/>
  <c r="J60" i="4"/>
  <c r="U60" i="4"/>
  <c r="J62" i="4"/>
  <c r="U62" i="4"/>
  <c r="J64" i="4"/>
  <c r="U64" i="4"/>
  <c r="J66" i="4"/>
  <c r="U66" i="4"/>
  <c r="AU68" i="4"/>
  <c r="J68" i="4"/>
  <c r="U68" i="4"/>
  <c r="J70" i="4"/>
  <c r="U70" i="4"/>
  <c r="J72" i="4"/>
  <c r="U72" i="4"/>
  <c r="J74" i="4"/>
  <c r="U74" i="4"/>
  <c r="J76" i="4"/>
  <c r="U76" i="4"/>
  <c r="J78" i="4"/>
  <c r="U78" i="4"/>
  <c r="J80" i="4"/>
  <c r="U80" i="4"/>
  <c r="J82" i="4"/>
  <c r="U82" i="4"/>
  <c r="J84" i="4"/>
  <c r="U84" i="4"/>
  <c r="J86" i="4"/>
  <c r="U86" i="4"/>
  <c r="J88" i="4"/>
  <c r="U88" i="4"/>
  <c r="J90" i="4"/>
  <c r="U90" i="4"/>
  <c r="J92" i="4"/>
  <c r="U92" i="4"/>
  <c r="J94" i="4"/>
  <c r="U94" i="4"/>
  <c r="J96" i="4"/>
  <c r="U96" i="4"/>
  <c r="J98" i="4"/>
  <c r="U98" i="4"/>
  <c r="AU100" i="4"/>
  <c r="J100" i="4"/>
  <c r="U100" i="4"/>
  <c r="J102" i="4"/>
  <c r="U102" i="4"/>
  <c r="J104" i="4"/>
  <c r="U104" i="4"/>
  <c r="J106" i="4"/>
  <c r="U106" i="4"/>
  <c r="J108" i="4"/>
  <c r="U108" i="4"/>
  <c r="J110" i="4"/>
  <c r="U110" i="4"/>
  <c r="J112" i="4"/>
  <c r="U112" i="4"/>
  <c r="J114" i="4"/>
  <c r="U114" i="4"/>
  <c r="J116" i="4"/>
  <c r="U116" i="4"/>
  <c r="J118" i="4"/>
  <c r="U118" i="4"/>
  <c r="J120" i="4"/>
  <c r="U120" i="4"/>
  <c r="J122" i="4"/>
  <c r="U122" i="4"/>
  <c r="J124" i="4"/>
  <c r="U124" i="4"/>
  <c r="J126" i="4"/>
  <c r="U126" i="4"/>
  <c r="J128" i="4"/>
  <c r="U128" i="4"/>
  <c r="J130" i="4"/>
  <c r="U130" i="4"/>
  <c r="AU132" i="4"/>
  <c r="J132" i="4"/>
  <c r="U132" i="4"/>
  <c r="J134" i="4"/>
  <c r="U134" i="4"/>
  <c r="J136" i="4"/>
  <c r="U136" i="4"/>
  <c r="J138" i="4"/>
  <c r="U138" i="4"/>
  <c r="J140" i="4"/>
  <c r="U140" i="4"/>
  <c r="J142" i="4"/>
  <c r="U142" i="4"/>
  <c r="J144" i="4"/>
  <c r="U144" i="4"/>
  <c r="J146" i="4"/>
  <c r="U146" i="4"/>
  <c r="J148" i="4"/>
  <c r="U148" i="4"/>
  <c r="J150" i="4"/>
  <c r="U150" i="4"/>
  <c r="J152" i="4"/>
  <c r="U152" i="4"/>
  <c r="J154" i="4"/>
  <c r="U154" i="4"/>
  <c r="J156" i="4"/>
  <c r="U156" i="4"/>
  <c r="J158" i="4"/>
  <c r="U158" i="4"/>
  <c r="J160" i="4"/>
  <c r="U160" i="4"/>
  <c r="J162" i="4"/>
  <c r="U162" i="4"/>
  <c r="AU164" i="4"/>
  <c r="J164" i="4"/>
  <c r="U164" i="4"/>
  <c r="J166" i="4"/>
  <c r="U166" i="4"/>
  <c r="J168" i="4"/>
  <c r="U168" i="4"/>
  <c r="J170" i="4"/>
  <c r="U170" i="4"/>
  <c r="J172" i="4"/>
  <c r="U172" i="4"/>
  <c r="J174" i="4"/>
  <c r="U174" i="4"/>
  <c r="J176" i="4"/>
  <c r="U176" i="4"/>
  <c r="AM178" i="4"/>
  <c r="AO178" i="4" s="1"/>
  <c r="J178" i="4"/>
  <c r="U178" i="4"/>
  <c r="J180" i="4"/>
  <c r="U180" i="4"/>
  <c r="J187" i="4"/>
  <c r="U187" i="4"/>
  <c r="J189" i="4"/>
  <c r="U189" i="4"/>
  <c r="J191" i="4"/>
  <c r="U191" i="4"/>
  <c r="J193" i="4"/>
  <c r="U193" i="4"/>
  <c r="J195" i="4"/>
  <c r="U195" i="4"/>
  <c r="J197" i="4"/>
  <c r="U197" i="4"/>
  <c r="AM199" i="4"/>
  <c r="J199" i="4"/>
  <c r="U199" i="4"/>
  <c r="J201" i="4"/>
  <c r="U201" i="4"/>
  <c r="AU203" i="4"/>
  <c r="J203" i="4"/>
  <c r="U203" i="4"/>
  <c r="J205" i="4"/>
  <c r="U205" i="4"/>
  <c r="J207" i="4"/>
  <c r="U207" i="4"/>
  <c r="J209" i="4"/>
  <c r="U209" i="4"/>
  <c r="J211" i="4"/>
  <c r="U211" i="4"/>
  <c r="J213" i="4"/>
  <c r="U213" i="4"/>
  <c r="AM215" i="4"/>
  <c r="J215" i="4"/>
  <c r="U215" i="4"/>
  <c r="J217" i="4"/>
  <c r="U217" i="4"/>
  <c r="AU219" i="4"/>
  <c r="J219" i="4"/>
  <c r="U219" i="4"/>
  <c r="J221" i="4"/>
  <c r="U221" i="4"/>
  <c r="J223" i="4"/>
  <c r="U223" i="4"/>
  <c r="J225" i="4"/>
  <c r="U225" i="4"/>
  <c r="J227" i="4"/>
  <c r="U227" i="4"/>
  <c r="J229" i="4"/>
  <c r="U229" i="4"/>
  <c r="J248" i="4"/>
  <c r="U248" i="4"/>
  <c r="J250" i="4"/>
  <c r="U250" i="4"/>
  <c r="J252" i="4"/>
  <c r="U252" i="4"/>
  <c r="J254" i="4"/>
  <c r="U254" i="4"/>
  <c r="AV256" i="4"/>
  <c r="J256" i="4"/>
  <c r="U256" i="4"/>
  <c r="J258" i="4"/>
  <c r="U258" i="4"/>
  <c r="J260" i="4"/>
  <c r="U260" i="4"/>
  <c r="J262" i="4"/>
  <c r="U262" i="4"/>
  <c r="J273" i="4"/>
  <c r="U273" i="4"/>
  <c r="J275" i="4"/>
  <c r="U275" i="4"/>
  <c r="J277" i="4"/>
  <c r="U277" i="4"/>
  <c r="J279" i="4"/>
  <c r="U279" i="4"/>
  <c r="J296" i="4"/>
  <c r="U296" i="4"/>
  <c r="J298" i="4"/>
  <c r="U298" i="4"/>
  <c r="Q311" i="4"/>
  <c r="J311" i="4"/>
  <c r="U311" i="4"/>
  <c r="J313" i="4"/>
  <c r="U313" i="4"/>
  <c r="J38" i="4"/>
  <c r="U38" i="4"/>
  <c r="J30" i="4"/>
  <c r="U30" i="4"/>
  <c r="J25" i="4"/>
  <c r="U25" i="4"/>
  <c r="J22" i="4"/>
  <c r="U22" i="4"/>
  <c r="AU5" i="4"/>
  <c r="J5" i="4"/>
  <c r="U5" i="4"/>
  <c r="M25" i="4"/>
  <c r="L25" i="4"/>
  <c r="M16" i="4"/>
  <c r="L16" i="4"/>
  <c r="M19" i="4"/>
  <c r="L19" i="4"/>
  <c r="T462" i="4"/>
  <c r="T430" i="4"/>
  <c r="T398" i="4"/>
  <c r="T366" i="4"/>
  <c r="T334" i="4"/>
  <c r="M302" i="4"/>
  <c r="L302" i="4"/>
  <c r="M270" i="4"/>
  <c r="L270" i="4"/>
  <c r="M238" i="4"/>
  <c r="L238" i="4"/>
  <c r="M206" i="4"/>
  <c r="L206" i="4"/>
  <c r="M174" i="4"/>
  <c r="L174" i="4"/>
  <c r="M142" i="4"/>
  <c r="L142" i="4"/>
  <c r="M110" i="4"/>
  <c r="L110" i="4"/>
  <c r="M78" i="4"/>
  <c r="L78" i="4"/>
  <c r="M46" i="4"/>
  <c r="L46" i="4"/>
  <c r="T460" i="4"/>
  <c r="T428" i="4"/>
  <c r="T396" i="4"/>
  <c r="T352" i="4"/>
  <c r="M292" i="4"/>
  <c r="L292" i="4"/>
  <c r="M232" i="4"/>
  <c r="L232" i="4"/>
  <c r="M172" i="4"/>
  <c r="L172" i="4"/>
  <c r="M116" i="4"/>
  <c r="L116" i="4"/>
  <c r="M56" i="4"/>
  <c r="L56" i="4"/>
  <c r="T435" i="4"/>
  <c r="T379" i="4"/>
  <c r="T319" i="4"/>
  <c r="M191" i="4"/>
  <c r="L191" i="4"/>
  <c r="M131" i="4"/>
  <c r="L131" i="4"/>
  <c r="M75" i="4"/>
  <c r="L75" i="4"/>
  <c r="T465" i="4"/>
  <c r="T449" i="4"/>
  <c r="T417" i="4"/>
  <c r="T385" i="4"/>
  <c r="T353" i="4"/>
  <c r="T321" i="4"/>
  <c r="M289" i="4"/>
  <c r="L289" i="4"/>
  <c r="M49" i="4"/>
  <c r="L49" i="4"/>
  <c r="K206" i="4"/>
  <c r="K204" i="4"/>
  <c r="K193" i="4"/>
  <c r="K161" i="4"/>
  <c r="K145" i="4"/>
  <c r="K142" i="4"/>
  <c r="K131" i="4"/>
  <c r="K129" i="4"/>
  <c r="K126" i="4"/>
  <c r="K110" i="4"/>
  <c r="K94" i="4"/>
  <c r="K302" i="4"/>
  <c r="K287" i="4"/>
  <c r="K71" i="4"/>
  <c r="K65" i="4"/>
  <c r="K56" i="4"/>
  <c r="K264" i="4"/>
  <c r="K46" i="4"/>
  <c r="AM45" i="4"/>
  <c r="J43" i="4"/>
  <c r="U43" i="4"/>
  <c r="J39" i="4"/>
  <c r="U39" i="4"/>
  <c r="AM36" i="4"/>
  <c r="K35" i="4"/>
  <c r="K244" i="4"/>
  <c r="AM28" i="4"/>
  <c r="J26" i="4"/>
  <c r="U26" i="4"/>
  <c r="K25" i="4"/>
  <c r="J23" i="4"/>
  <c r="U23" i="4"/>
  <c r="J20" i="4"/>
  <c r="U20" i="4"/>
  <c r="K19" i="4"/>
  <c r="J18" i="4"/>
  <c r="U18" i="4"/>
  <c r="K232" i="4"/>
  <c r="K16" i="4"/>
  <c r="J15" i="4"/>
  <c r="U15" i="4"/>
  <c r="J6" i="4"/>
  <c r="U6" i="4"/>
  <c r="J10" i="4"/>
  <c r="U10" i="4"/>
  <c r="M21" i="4"/>
  <c r="L21" i="4"/>
  <c r="M5" i="4"/>
  <c r="L5" i="4"/>
  <c r="M12" i="4"/>
  <c r="L12" i="4"/>
  <c r="M14" i="4"/>
  <c r="L14" i="4"/>
  <c r="M15" i="4"/>
  <c r="L15" i="4"/>
  <c r="M10" i="4"/>
  <c r="L10" i="4"/>
  <c r="T458" i="4"/>
  <c r="T442" i="4"/>
  <c r="T426" i="4"/>
  <c r="T410" i="4"/>
  <c r="T394" i="4"/>
  <c r="T378" i="4"/>
  <c r="T362" i="4"/>
  <c r="T346" i="4"/>
  <c r="T330" i="4"/>
  <c r="M314" i="4"/>
  <c r="L314" i="4"/>
  <c r="M298" i="4"/>
  <c r="L298" i="4"/>
  <c r="M282" i="4"/>
  <c r="L282" i="4"/>
  <c r="M266" i="4"/>
  <c r="L266" i="4"/>
  <c r="M250" i="4"/>
  <c r="L250" i="4"/>
  <c r="M234" i="4"/>
  <c r="L234" i="4"/>
  <c r="M218" i="4"/>
  <c r="L218" i="4"/>
  <c r="M202" i="4"/>
  <c r="L202" i="4"/>
  <c r="M186" i="4"/>
  <c r="L186" i="4"/>
  <c r="M170" i="4"/>
  <c r="L170" i="4"/>
  <c r="M154" i="4"/>
  <c r="L154" i="4"/>
  <c r="M138" i="4"/>
  <c r="L138" i="4"/>
  <c r="M122" i="4"/>
  <c r="L122" i="4"/>
  <c r="M106" i="4"/>
  <c r="L106" i="4"/>
  <c r="M90" i="4"/>
  <c r="L90" i="4"/>
  <c r="M74" i="4"/>
  <c r="L74" i="4"/>
  <c r="M58" i="4"/>
  <c r="L58" i="4"/>
  <c r="M42" i="4"/>
  <c r="L42" i="4"/>
  <c r="M41" i="4"/>
  <c r="L41" i="4"/>
  <c r="T456" i="4"/>
  <c r="T440" i="4"/>
  <c r="T424" i="4"/>
  <c r="T408" i="4"/>
  <c r="T388" i="4"/>
  <c r="T372" i="4"/>
  <c r="T344" i="4"/>
  <c r="M316" i="4"/>
  <c r="L316" i="4"/>
  <c r="M284" i="4"/>
  <c r="L284" i="4"/>
  <c r="M256" i="4"/>
  <c r="L256" i="4"/>
  <c r="M224" i="4"/>
  <c r="L224" i="4"/>
  <c r="M196" i="4"/>
  <c r="L196" i="4"/>
  <c r="M168" i="4"/>
  <c r="L168" i="4"/>
  <c r="M140" i="4"/>
  <c r="L140" i="4"/>
  <c r="M108" i="4"/>
  <c r="L108" i="4"/>
  <c r="M80" i="4"/>
  <c r="L80" i="4"/>
  <c r="M48" i="4"/>
  <c r="L48" i="4"/>
  <c r="T459" i="4"/>
  <c r="T427" i="4"/>
  <c r="T399" i="4"/>
  <c r="T371" i="4"/>
  <c r="T339" i="4"/>
  <c r="T311" i="4"/>
  <c r="M279" i="4"/>
  <c r="L279" i="4"/>
  <c r="M183" i="4"/>
  <c r="L183" i="4"/>
  <c r="M155" i="4"/>
  <c r="L155" i="4"/>
  <c r="M127" i="4"/>
  <c r="L127" i="4"/>
  <c r="M99" i="4"/>
  <c r="L99" i="4"/>
  <c r="M67" i="4"/>
  <c r="L67" i="4"/>
  <c r="M39" i="4"/>
  <c r="L39" i="4"/>
  <c r="T461" i="4"/>
  <c r="T445" i="4"/>
  <c r="T429" i="4"/>
  <c r="T413" i="4"/>
  <c r="T397" i="4"/>
  <c r="T381" i="4"/>
  <c r="T365" i="4"/>
  <c r="T349" i="4"/>
  <c r="T333" i="4"/>
  <c r="T317" i="4"/>
  <c r="T301" i="4"/>
  <c r="M285" i="4"/>
  <c r="L285" i="4"/>
  <c r="M269" i="4"/>
  <c r="L269" i="4"/>
  <c r="M253" i="4"/>
  <c r="L253" i="4"/>
  <c r="M237" i="4"/>
  <c r="L237" i="4"/>
  <c r="M221" i="4"/>
  <c r="L221" i="4"/>
  <c r="M205" i="4"/>
  <c r="L205" i="4"/>
  <c r="M189" i="4"/>
  <c r="L189" i="4"/>
  <c r="M173" i="4"/>
  <c r="L173" i="4"/>
  <c r="M157" i="4"/>
  <c r="L157" i="4"/>
  <c r="M141" i="4"/>
  <c r="L141" i="4"/>
  <c r="M125" i="4"/>
  <c r="L125" i="4"/>
  <c r="M109" i="4"/>
  <c r="L109" i="4"/>
  <c r="M93" i="4"/>
  <c r="L93" i="4"/>
  <c r="M77" i="4"/>
  <c r="L77" i="4"/>
  <c r="M61" i="4"/>
  <c r="L61" i="4"/>
  <c r="M45" i="4"/>
  <c r="L45" i="4"/>
  <c r="T392" i="4"/>
  <c r="T340" i="4"/>
  <c r="M304" i="4"/>
  <c r="L304" i="4"/>
  <c r="M272" i="4"/>
  <c r="L272" i="4"/>
  <c r="M236" i="4"/>
  <c r="L236" i="4"/>
  <c r="M200" i="4"/>
  <c r="L200" i="4"/>
  <c r="M164" i="4"/>
  <c r="L164" i="4"/>
  <c r="M128" i="4"/>
  <c r="L128" i="4"/>
  <c r="M92" i="4"/>
  <c r="L92" i="4"/>
  <c r="M60" i="4"/>
  <c r="L60" i="4"/>
  <c r="T471" i="4"/>
  <c r="T439" i="4"/>
  <c r="T403" i="4"/>
  <c r="T367" i="4"/>
  <c r="T335" i="4"/>
  <c r="T299" i="4"/>
  <c r="M271" i="4"/>
  <c r="L271" i="4"/>
  <c r="M255" i="4"/>
  <c r="L255" i="4"/>
  <c r="M239" i="4"/>
  <c r="L239" i="4"/>
  <c r="M223" i="4"/>
  <c r="L223" i="4"/>
  <c r="M203" i="4"/>
  <c r="L203" i="4"/>
  <c r="M171" i="4"/>
  <c r="L171" i="4"/>
  <c r="M135" i="4"/>
  <c r="L135" i="4"/>
  <c r="M95" i="4"/>
  <c r="L95" i="4"/>
  <c r="M63" i="4"/>
  <c r="L63" i="4"/>
  <c r="M29" i="4"/>
  <c r="L29" i="4"/>
  <c r="T476" i="4"/>
  <c r="T480" i="4"/>
  <c r="T484" i="4"/>
  <c r="T488" i="4"/>
  <c r="T492" i="4"/>
  <c r="T496" i="4"/>
  <c r="T500" i="4"/>
  <c r="T504" i="4"/>
  <c r="T508" i="4"/>
  <c r="T512" i="4"/>
  <c r="T516" i="4"/>
  <c r="T520" i="4"/>
  <c r="T524" i="4"/>
  <c r="T528" i="4"/>
  <c r="T532" i="4"/>
  <c r="T536" i="4"/>
  <c r="T540" i="4"/>
  <c r="T544" i="4"/>
  <c r="T548" i="4"/>
  <c r="T552" i="4"/>
  <c r="T556" i="4"/>
  <c r="T560" i="4"/>
  <c r="T564" i="4"/>
  <c r="T568" i="4"/>
  <c r="T572" i="4"/>
  <c r="T576" i="4"/>
  <c r="T580" i="4"/>
  <c r="T584" i="4"/>
  <c r="T588" i="4"/>
  <c r="T592" i="4"/>
  <c r="T596" i="4"/>
  <c r="T600" i="4"/>
  <c r="T604" i="4"/>
  <c r="T608" i="4"/>
  <c r="T612" i="4"/>
  <c r="T616" i="4"/>
  <c r="T620" i="4"/>
  <c r="T624" i="4"/>
  <c r="T628" i="4"/>
  <c r="T632" i="4"/>
  <c r="T636" i="4"/>
  <c r="T640" i="4"/>
  <c r="T644" i="4"/>
  <c r="T648" i="4"/>
  <c r="T652" i="4"/>
  <c r="T656" i="4"/>
  <c r="T660" i="4"/>
  <c r="T664" i="4"/>
  <c r="T668" i="4"/>
  <c r="T672" i="4"/>
  <c r="T676" i="4"/>
  <c r="T680" i="4"/>
  <c r="T684" i="4"/>
  <c r="T688" i="4"/>
  <c r="T692" i="4"/>
  <c r="T696" i="4"/>
  <c r="T700" i="4"/>
  <c r="T704" i="4"/>
  <c r="T708" i="4"/>
  <c r="T712" i="4"/>
  <c r="T716" i="4"/>
  <c r="T720" i="4"/>
  <c r="T724" i="4"/>
  <c r="T728" i="4"/>
  <c r="T732" i="4"/>
  <c r="T736" i="4"/>
  <c r="T740" i="4"/>
  <c r="T744" i="4"/>
  <c r="T748" i="4"/>
  <c r="T752" i="4"/>
  <c r="T756" i="4"/>
  <c r="T760" i="4"/>
  <c r="T764" i="4"/>
  <c r="T768" i="4"/>
  <c r="T772" i="4"/>
  <c r="T776" i="4"/>
  <c r="T780" i="4"/>
  <c r="T784" i="4"/>
  <c r="T788" i="4"/>
  <c r="T792" i="4"/>
  <c r="T796" i="4"/>
  <c r="T800" i="4"/>
  <c r="T804" i="4"/>
  <c r="T808" i="4"/>
  <c r="T812" i="4"/>
  <c r="T816" i="4"/>
  <c r="T820" i="4"/>
  <c r="T824" i="4"/>
  <c r="T828" i="4"/>
  <c r="T832" i="4"/>
  <c r="T836" i="4"/>
  <c r="T840" i="4"/>
  <c r="T844" i="4"/>
  <c r="T848" i="4"/>
  <c r="T852" i="4"/>
  <c r="T856" i="4"/>
  <c r="T860" i="4"/>
  <c r="T864" i="4"/>
  <c r="T868" i="4"/>
  <c r="T872" i="4"/>
  <c r="T876" i="4"/>
  <c r="T880" i="4"/>
  <c r="T884" i="4"/>
  <c r="T888" i="4"/>
  <c r="T892" i="4"/>
  <c r="T896" i="4"/>
  <c r="T900" i="4"/>
  <c r="T904" i="4"/>
  <c r="T908" i="4"/>
  <c r="T912" i="4"/>
  <c r="T916" i="4"/>
  <c r="T920" i="4"/>
  <c r="T924" i="4"/>
  <c r="T928" i="4"/>
  <c r="T932" i="4"/>
  <c r="T936" i="4"/>
  <c r="T940" i="4"/>
  <c r="T944" i="4"/>
  <c r="T948" i="4"/>
  <c r="T952" i="4"/>
  <c r="T956" i="4"/>
  <c r="T960" i="4"/>
  <c r="T964" i="4"/>
  <c r="T968" i="4"/>
  <c r="T972" i="4"/>
  <c r="T976" i="4"/>
  <c r="T980" i="4"/>
  <c r="T984" i="4"/>
  <c r="T988" i="4"/>
  <c r="T992" i="4"/>
  <c r="T996" i="4"/>
  <c r="T1000" i="4"/>
  <c r="AM169" i="4"/>
  <c r="AM171" i="4"/>
  <c r="AM173" i="4"/>
  <c r="AM175" i="4"/>
  <c r="AM177" i="4"/>
  <c r="J182" i="4"/>
  <c r="U182" i="4"/>
  <c r="J184" i="4"/>
  <c r="U184" i="4"/>
  <c r="AM196" i="4"/>
  <c r="AM204" i="4"/>
  <c r="AL204" i="4" s="1"/>
  <c r="AM212" i="4"/>
  <c r="AL212" i="4" s="1"/>
  <c r="J231" i="4"/>
  <c r="U231" i="4"/>
  <c r="J233" i="4"/>
  <c r="U233" i="4"/>
  <c r="AU235" i="4"/>
  <c r="Q235" i="4"/>
  <c r="J235" i="4"/>
  <c r="U235" i="4"/>
  <c r="O235" i="4"/>
  <c r="P235" i="4"/>
  <c r="J237" i="4"/>
  <c r="U237" i="4"/>
  <c r="J239" i="4"/>
  <c r="U239" i="4"/>
  <c r="J241" i="4"/>
  <c r="U241" i="4"/>
  <c r="J243" i="4"/>
  <c r="U243" i="4"/>
  <c r="J245" i="4"/>
  <c r="U245" i="4"/>
  <c r="J264" i="4"/>
  <c r="U264" i="4"/>
  <c r="J266" i="4"/>
  <c r="U266" i="4"/>
  <c r="J268" i="4"/>
  <c r="U268" i="4"/>
  <c r="J270" i="4"/>
  <c r="U270" i="4"/>
  <c r="J281" i="4"/>
  <c r="U281" i="4"/>
  <c r="AU283" i="4"/>
  <c r="Q283" i="4"/>
  <c r="J283" i="4"/>
  <c r="U283" i="4"/>
  <c r="J285" i="4"/>
  <c r="U285" i="4"/>
  <c r="AM287" i="4"/>
  <c r="J287" i="4"/>
  <c r="U287" i="4"/>
  <c r="J289" i="4"/>
  <c r="U289" i="4"/>
  <c r="AM291" i="4"/>
  <c r="J291" i="4"/>
  <c r="U291" i="4"/>
  <c r="J293" i="4"/>
  <c r="U293" i="4"/>
  <c r="J300" i="4"/>
  <c r="U300" i="4"/>
  <c r="Q302" i="4"/>
  <c r="J302" i="4"/>
  <c r="U302" i="4"/>
  <c r="J304" i="4"/>
  <c r="U304" i="4"/>
  <c r="Q306" i="4"/>
  <c r="J306" i="4"/>
  <c r="U306" i="4"/>
  <c r="J308" i="4"/>
  <c r="U308" i="4"/>
  <c r="AT310" i="4"/>
  <c r="J310" i="4"/>
  <c r="U310" i="4"/>
  <c r="J315" i="4"/>
  <c r="U315" i="4"/>
  <c r="J317" i="4"/>
  <c r="U317" i="4"/>
  <c r="AM319" i="4"/>
  <c r="J319" i="4"/>
  <c r="U319" i="4"/>
  <c r="J321" i="4"/>
  <c r="U321" i="4"/>
  <c r="J323" i="4"/>
  <c r="U323" i="4"/>
  <c r="J325" i="4"/>
  <c r="U325" i="4"/>
  <c r="J327" i="4"/>
  <c r="U327" i="4"/>
  <c r="J329" i="4"/>
  <c r="U329" i="4"/>
  <c r="J331" i="4"/>
  <c r="U331" i="4"/>
  <c r="J333" i="4"/>
  <c r="U333" i="4"/>
  <c r="J335" i="4"/>
  <c r="U335" i="4"/>
  <c r="J337" i="4"/>
  <c r="U337" i="4"/>
  <c r="J339" i="4"/>
  <c r="U339" i="4"/>
  <c r="J341" i="4"/>
  <c r="U341" i="4"/>
  <c r="J343" i="4"/>
  <c r="U343" i="4"/>
  <c r="J345" i="4"/>
  <c r="U345" i="4"/>
  <c r="J347" i="4"/>
  <c r="U347" i="4"/>
  <c r="J349" i="4"/>
  <c r="U349" i="4"/>
  <c r="J351" i="4"/>
  <c r="U351" i="4"/>
  <c r="J353" i="4"/>
  <c r="U353" i="4"/>
  <c r="J355" i="4"/>
  <c r="U355" i="4"/>
  <c r="J357" i="4"/>
  <c r="U357" i="4"/>
  <c r="J359" i="4"/>
  <c r="U359" i="4"/>
  <c r="J361" i="4"/>
  <c r="U361" i="4"/>
  <c r="AU363" i="4"/>
  <c r="J363" i="4"/>
  <c r="U363" i="4"/>
  <c r="J365" i="4"/>
  <c r="U365" i="4"/>
  <c r="J367" i="4"/>
  <c r="U367" i="4"/>
  <c r="J369" i="4"/>
  <c r="U369" i="4"/>
  <c r="J371" i="4"/>
  <c r="U371" i="4"/>
  <c r="J373" i="4"/>
  <c r="U373" i="4"/>
  <c r="J375" i="4"/>
  <c r="U375" i="4"/>
  <c r="J377" i="4"/>
  <c r="U377" i="4"/>
  <c r="J379" i="4"/>
  <c r="U379" i="4"/>
  <c r="J381" i="4"/>
  <c r="U381" i="4"/>
  <c r="J383" i="4"/>
  <c r="U383" i="4"/>
  <c r="J385" i="4"/>
  <c r="U385" i="4"/>
  <c r="J387" i="4"/>
  <c r="U387" i="4"/>
  <c r="J389" i="4"/>
  <c r="U389" i="4"/>
  <c r="J391" i="4"/>
  <c r="U391" i="4"/>
  <c r="J393" i="4"/>
  <c r="U393" i="4"/>
  <c r="J395" i="4"/>
  <c r="U395" i="4"/>
  <c r="J397" i="4"/>
  <c r="U397" i="4"/>
  <c r="J399" i="4"/>
  <c r="U399" i="4"/>
  <c r="J401" i="4"/>
  <c r="U401" i="4"/>
  <c r="J403" i="4"/>
  <c r="U403" i="4"/>
  <c r="J405" i="4"/>
  <c r="U405" i="4"/>
  <c r="J407" i="4"/>
  <c r="U407" i="4"/>
  <c r="J409" i="4"/>
  <c r="U409" i="4"/>
  <c r="J411" i="4"/>
  <c r="U411" i="4"/>
  <c r="J413" i="4"/>
  <c r="U413" i="4"/>
  <c r="J415" i="4"/>
  <c r="U415" i="4"/>
  <c r="J417" i="4"/>
  <c r="U417" i="4"/>
  <c r="J419" i="4"/>
  <c r="U419" i="4"/>
  <c r="J421" i="4"/>
  <c r="U421" i="4"/>
  <c r="J423" i="4"/>
  <c r="U423" i="4"/>
  <c r="J425" i="4"/>
  <c r="U425" i="4"/>
  <c r="J427" i="4"/>
  <c r="U427" i="4"/>
  <c r="J429" i="4"/>
  <c r="U429" i="4"/>
  <c r="J431" i="4"/>
  <c r="U431" i="4"/>
  <c r="J433" i="4"/>
  <c r="U433" i="4"/>
  <c r="J435" i="4"/>
  <c r="U435" i="4"/>
  <c r="J437" i="4"/>
  <c r="U437" i="4"/>
  <c r="J439" i="4"/>
  <c r="U439" i="4"/>
  <c r="J441" i="4"/>
  <c r="U441" i="4"/>
  <c r="J443" i="4"/>
  <c r="U443" i="4"/>
  <c r="J445" i="4"/>
  <c r="U445" i="4"/>
  <c r="J447" i="4"/>
  <c r="U447" i="4"/>
  <c r="J449" i="4"/>
  <c r="U449" i="4"/>
  <c r="J451" i="4"/>
  <c r="U451" i="4"/>
  <c r="J453" i="4"/>
  <c r="U453" i="4"/>
  <c r="J455" i="4"/>
  <c r="U455" i="4"/>
  <c r="J457" i="4"/>
  <c r="U457" i="4"/>
  <c r="J459" i="4"/>
  <c r="U459" i="4"/>
  <c r="J461" i="4"/>
  <c r="U461" i="4"/>
  <c r="J463" i="4"/>
  <c r="U463" i="4"/>
  <c r="J465" i="4"/>
  <c r="U465" i="4"/>
  <c r="J467" i="4"/>
  <c r="U467" i="4"/>
  <c r="J469" i="4"/>
  <c r="U469" i="4"/>
  <c r="J471" i="4"/>
  <c r="U471" i="4"/>
  <c r="J473" i="4"/>
  <c r="U473" i="4"/>
  <c r="J475" i="4"/>
  <c r="U475" i="4"/>
  <c r="J477" i="4"/>
  <c r="U477" i="4"/>
  <c r="J479" i="4"/>
  <c r="U479" i="4"/>
  <c r="J481" i="4"/>
  <c r="U481" i="4"/>
  <c r="J483" i="4"/>
  <c r="U483" i="4"/>
  <c r="J485" i="4"/>
  <c r="U485" i="4"/>
  <c r="J487" i="4"/>
  <c r="U487" i="4"/>
  <c r="J489" i="4"/>
  <c r="U489" i="4"/>
  <c r="AU491" i="4"/>
  <c r="J491" i="4"/>
  <c r="U491" i="4"/>
  <c r="J493" i="4"/>
  <c r="U493" i="4"/>
  <c r="J495" i="4"/>
  <c r="U495" i="4"/>
  <c r="J497" i="4"/>
  <c r="U497" i="4"/>
  <c r="J499" i="4"/>
  <c r="U499" i="4"/>
  <c r="J501" i="4"/>
  <c r="U501" i="4"/>
  <c r="J503" i="4"/>
  <c r="U503" i="4"/>
  <c r="J505" i="4"/>
  <c r="U505" i="4"/>
  <c r="J507" i="4"/>
  <c r="U507" i="4"/>
  <c r="J509" i="4"/>
  <c r="U509" i="4"/>
  <c r="J511" i="4"/>
  <c r="U511" i="4"/>
  <c r="J513" i="4"/>
  <c r="U513" i="4"/>
  <c r="J515" i="4"/>
  <c r="U515" i="4"/>
  <c r="J517" i="4"/>
  <c r="U517" i="4"/>
  <c r="J519" i="4"/>
  <c r="U519" i="4"/>
  <c r="J521" i="4"/>
  <c r="U521" i="4"/>
  <c r="J523" i="4"/>
  <c r="U523" i="4"/>
  <c r="J525" i="4"/>
  <c r="U525" i="4"/>
  <c r="J527" i="4"/>
  <c r="U527" i="4"/>
  <c r="J529" i="4"/>
  <c r="U529" i="4"/>
  <c r="J531" i="4"/>
  <c r="U531" i="4"/>
  <c r="J533" i="4"/>
  <c r="U533" i="4"/>
  <c r="J535" i="4"/>
  <c r="U535" i="4"/>
  <c r="J537" i="4"/>
  <c r="U537" i="4"/>
  <c r="J539" i="4"/>
  <c r="U539" i="4"/>
  <c r="J541" i="4"/>
  <c r="U541" i="4"/>
  <c r="J543" i="4"/>
  <c r="U543" i="4"/>
  <c r="J545" i="4"/>
  <c r="U545" i="4"/>
  <c r="J547" i="4"/>
  <c r="U547" i="4"/>
  <c r="J549" i="4"/>
  <c r="U549" i="4"/>
  <c r="J551" i="4"/>
  <c r="U551" i="4"/>
  <c r="J553" i="4"/>
  <c r="U553" i="4"/>
  <c r="J555" i="4"/>
  <c r="U555" i="4"/>
  <c r="J557" i="4"/>
  <c r="U557" i="4"/>
  <c r="J559" i="4"/>
  <c r="U559" i="4"/>
  <c r="J561" i="4"/>
  <c r="U561" i="4"/>
  <c r="J563" i="4"/>
  <c r="U563" i="4"/>
  <c r="J565" i="4"/>
  <c r="U565" i="4"/>
  <c r="J567" i="4"/>
  <c r="U567" i="4"/>
  <c r="J569" i="4"/>
  <c r="U569" i="4"/>
  <c r="J571" i="4"/>
  <c r="U571" i="4"/>
  <c r="J573" i="4"/>
  <c r="U573" i="4"/>
  <c r="J575" i="4"/>
  <c r="U575" i="4"/>
  <c r="J577" i="4"/>
  <c r="U577" i="4"/>
  <c r="J579" i="4"/>
  <c r="U579" i="4"/>
  <c r="J581" i="4"/>
  <c r="U581" i="4"/>
  <c r="J583" i="4"/>
  <c r="U583" i="4"/>
  <c r="J585" i="4"/>
  <c r="U585" i="4"/>
  <c r="J587" i="4"/>
  <c r="U587" i="4"/>
  <c r="J589" i="4"/>
  <c r="U589" i="4"/>
  <c r="J591" i="4"/>
  <c r="U591" i="4"/>
  <c r="J593" i="4"/>
  <c r="U593" i="4"/>
  <c r="J595" i="4"/>
  <c r="U595" i="4"/>
  <c r="J597" i="4"/>
  <c r="U597" i="4"/>
  <c r="J599" i="4"/>
  <c r="U599" i="4"/>
  <c r="J601" i="4"/>
  <c r="U601" i="4"/>
  <c r="J603" i="4"/>
  <c r="U603" i="4"/>
  <c r="J605" i="4"/>
  <c r="U605" i="4"/>
  <c r="J607" i="4"/>
  <c r="U607" i="4"/>
  <c r="J609" i="4"/>
  <c r="U609" i="4"/>
  <c r="J611" i="4"/>
  <c r="U611" i="4"/>
  <c r="J613" i="4"/>
  <c r="U613" i="4"/>
  <c r="J615" i="4"/>
  <c r="U615" i="4"/>
  <c r="J617" i="4"/>
  <c r="U617" i="4"/>
  <c r="J619" i="4"/>
  <c r="U619" i="4"/>
  <c r="J621" i="4"/>
  <c r="U621" i="4"/>
  <c r="J623" i="4"/>
  <c r="U623" i="4"/>
  <c r="J625" i="4"/>
  <c r="U625" i="4"/>
  <c r="J627" i="4"/>
  <c r="U627" i="4"/>
  <c r="J629" i="4"/>
  <c r="U629" i="4"/>
  <c r="J631" i="4"/>
  <c r="U631" i="4"/>
  <c r="AV633" i="4"/>
  <c r="J633" i="4"/>
  <c r="U633" i="4"/>
  <c r="J635" i="4"/>
  <c r="U635" i="4"/>
  <c r="J637" i="4"/>
  <c r="U637" i="4"/>
  <c r="J639" i="4"/>
  <c r="U639" i="4"/>
  <c r="J641" i="4"/>
  <c r="U641" i="4"/>
  <c r="J643" i="4"/>
  <c r="U643" i="4"/>
  <c r="J645" i="4"/>
  <c r="U645" i="4"/>
  <c r="J647" i="4"/>
  <c r="U647" i="4"/>
  <c r="J649" i="4"/>
  <c r="U649" i="4"/>
  <c r="J651" i="4"/>
  <c r="U651" i="4"/>
  <c r="J653" i="4"/>
  <c r="U653" i="4"/>
  <c r="J655" i="4"/>
  <c r="U655" i="4"/>
  <c r="J657" i="4"/>
  <c r="U657" i="4"/>
  <c r="J659" i="4"/>
  <c r="U659" i="4"/>
  <c r="J661" i="4"/>
  <c r="U661" i="4"/>
  <c r="J663" i="4"/>
  <c r="U663" i="4"/>
  <c r="J665" i="4"/>
  <c r="U665" i="4"/>
  <c r="J667" i="4"/>
  <c r="U667" i="4"/>
  <c r="J669" i="4"/>
  <c r="U669" i="4"/>
  <c r="J671" i="4"/>
  <c r="U671" i="4"/>
  <c r="J673" i="4"/>
  <c r="U673" i="4"/>
  <c r="J675" i="4"/>
  <c r="U675" i="4"/>
  <c r="J677" i="4"/>
  <c r="U677" i="4"/>
  <c r="J679" i="4"/>
  <c r="U679" i="4"/>
  <c r="J681" i="4"/>
  <c r="U681" i="4"/>
  <c r="J683" i="4"/>
  <c r="U683" i="4"/>
  <c r="J685" i="4"/>
  <c r="U685" i="4"/>
  <c r="J687" i="4"/>
  <c r="U687" i="4"/>
  <c r="J689" i="4"/>
  <c r="U689" i="4"/>
  <c r="J691" i="4"/>
  <c r="U691" i="4"/>
  <c r="J693" i="4"/>
  <c r="U693" i="4"/>
  <c r="J695" i="4"/>
  <c r="U695" i="4"/>
  <c r="J697" i="4"/>
  <c r="U697" i="4"/>
  <c r="J699" i="4"/>
  <c r="U699" i="4"/>
  <c r="J701" i="4"/>
  <c r="U701" i="4"/>
  <c r="J703" i="4"/>
  <c r="U703" i="4"/>
  <c r="J705" i="4"/>
  <c r="U705" i="4"/>
  <c r="J707" i="4"/>
  <c r="U707" i="4"/>
  <c r="J709" i="4"/>
  <c r="U709" i="4"/>
  <c r="J711" i="4"/>
  <c r="U711" i="4"/>
  <c r="J713" i="4"/>
  <c r="U713" i="4"/>
  <c r="J715" i="4"/>
  <c r="U715" i="4"/>
  <c r="J717" i="4"/>
  <c r="U717" i="4"/>
  <c r="J719" i="4"/>
  <c r="U719" i="4"/>
  <c r="J721" i="4"/>
  <c r="U721" i="4"/>
  <c r="J723" i="4"/>
  <c r="U723" i="4"/>
  <c r="J725" i="4"/>
  <c r="U725" i="4"/>
  <c r="J727" i="4"/>
  <c r="U727" i="4"/>
  <c r="J729" i="4"/>
  <c r="U729" i="4"/>
  <c r="J731" i="4"/>
  <c r="U731" i="4"/>
  <c r="J733" i="4"/>
  <c r="U733" i="4"/>
  <c r="J735" i="4"/>
  <c r="U735" i="4"/>
  <c r="J737" i="4"/>
  <c r="U737" i="4"/>
  <c r="J739" i="4"/>
  <c r="U739" i="4"/>
  <c r="J741" i="4"/>
  <c r="U741" i="4"/>
  <c r="J743" i="4"/>
  <c r="U743" i="4"/>
  <c r="J745" i="4"/>
  <c r="U745" i="4"/>
  <c r="J747" i="4"/>
  <c r="U747" i="4"/>
  <c r="J749" i="4"/>
  <c r="U749" i="4"/>
  <c r="J751" i="4"/>
  <c r="U751" i="4"/>
  <c r="J753" i="4"/>
  <c r="U753" i="4"/>
  <c r="J755" i="4"/>
  <c r="U755" i="4"/>
  <c r="J757" i="4"/>
  <c r="U757" i="4"/>
  <c r="J759" i="4"/>
  <c r="U759" i="4"/>
  <c r="AU761" i="4"/>
  <c r="J761" i="4"/>
  <c r="U761" i="4"/>
  <c r="J763" i="4"/>
  <c r="U763" i="4"/>
  <c r="J765" i="4"/>
  <c r="U765" i="4"/>
  <c r="J767" i="4"/>
  <c r="U767" i="4"/>
  <c r="J769" i="4"/>
  <c r="U769" i="4"/>
  <c r="J771" i="4"/>
  <c r="U771" i="4"/>
  <c r="J773" i="4"/>
  <c r="U773" i="4"/>
  <c r="J775" i="4"/>
  <c r="U775" i="4"/>
  <c r="J777" i="4"/>
  <c r="U777" i="4"/>
  <c r="J779" i="4"/>
  <c r="U779" i="4"/>
  <c r="J781" i="4"/>
  <c r="U781" i="4"/>
  <c r="J783" i="4"/>
  <c r="U783" i="4"/>
  <c r="J785" i="4"/>
  <c r="U785" i="4"/>
  <c r="J787" i="4"/>
  <c r="U787" i="4"/>
  <c r="J789" i="4"/>
  <c r="U789" i="4"/>
  <c r="J791" i="4"/>
  <c r="U791" i="4"/>
  <c r="J793" i="4"/>
  <c r="U793" i="4"/>
  <c r="J795" i="4"/>
  <c r="U795" i="4"/>
  <c r="J797" i="4"/>
  <c r="U797" i="4"/>
  <c r="J799" i="4"/>
  <c r="U799" i="4"/>
  <c r="J801" i="4"/>
  <c r="U801" i="4"/>
  <c r="J803" i="4"/>
  <c r="U803" i="4"/>
  <c r="J805" i="4"/>
  <c r="U805" i="4"/>
  <c r="J807" i="4"/>
  <c r="U807" i="4"/>
  <c r="J809" i="4"/>
  <c r="U809" i="4"/>
  <c r="J811" i="4"/>
  <c r="U811" i="4"/>
  <c r="J813" i="4"/>
  <c r="U813" i="4"/>
  <c r="J815" i="4"/>
  <c r="U815" i="4"/>
  <c r="J817" i="4"/>
  <c r="U817" i="4"/>
  <c r="J819" i="4"/>
  <c r="U819" i="4"/>
  <c r="J821" i="4"/>
  <c r="U821" i="4"/>
  <c r="J823" i="4"/>
  <c r="U823" i="4"/>
  <c r="J825" i="4"/>
  <c r="U825" i="4"/>
  <c r="J827" i="4"/>
  <c r="U827" i="4"/>
  <c r="J829" i="4"/>
  <c r="U829" i="4"/>
  <c r="J831" i="4"/>
  <c r="U831" i="4"/>
  <c r="J833" i="4"/>
  <c r="U833" i="4"/>
  <c r="J835" i="4"/>
  <c r="U835" i="4"/>
  <c r="J837" i="4"/>
  <c r="U837" i="4"/>
  <c r="J839" i="4"/>
  <c r="U839" i="4"/>
  <c r="J841" i="4"/>
  <c r="U841" i="4"/>
  <c r="J843" i="4"/>
  <c r="U843" i="4"/>
  <c r="J845" i="4"/>
  <c r="U845" i="4"/>
  <c r="J847" i="4"/>
  <c r="U847" i="4"/>
  <c r="J849" i="4"/>
  <c r="U849" i="4"/>
  <c r="J851" i="4"/>
  <c r="U851" i="4"/>
  <c r="J853" i="4"/>
  <c r="U853" i="4"/>
  <c r="J855" i="4"/>
  <c r="U855" i="4"/>
  <c r="J857" i="4"/>
  <c r="U857" i="4"/>
  <c r="J859" i="4"/>
  <c r="U859" i="4"/>
  <c r="J861" i="4"/>
  <c r="U861" i="4"/>
  <c r="J863" i="4"/>
  <c r="U863" i="4"/>
  <c r="J865" i="4"/>
  <c r="U865" i="4"/>
  <c r="J867" i="4"/>
  <c r="U867" i="4"/>
  <c r="J869" i="4"/>
  <c r="U869" i="4"/>
  <c r="J871" i="4"/>
  <c r="U871" i="4"/>
  <c r="J873" i="4"/>
  <c r="U873" i="4"/>
  <c r="J875" i="4"/>
  <c r="U875" i="4"/>
  <c r="J877" i="4"/>
  <c r="U877" i="4"/>
  <c r="J879" i="4"/>
  <c r="U879" i="4"/>
  <c r="J881" i="4"/>
  <c r="U881" i="4"/>
  <c r="J883" i="4"/>
  <c r="U883" i="4"/>
  <c r="J885" i="4"/>
  <c r="U885" i="4"/>
  <c r="J887" i="4"/>
  <c r="U887" i="4"/>
  <c r="AV889" i="4"/>
  <c r="J889" i="4"/>
  <c r="U889" i="4"/>
  <c r="J891" i="4"/>
  <c r="U891" i="4"/>
  <c r="J893" i="4"/>
  <c r="U893" i="4"/>
  <c r="J895" i="4"/>
  <c r="U895" i="4"/>
  <c r="J897" i="4"/>
  <c r="U897" i="4"/>
  <c r="J899" i="4"/>
  <c r="U899" i="4"/>
  <c r="J901" i="4"/>
  <c r="U901" i="4"/>
  <c r="J903" i="4"/>
  <c r="U903" i="4"/>
  <c r="J905" i="4"/>
  <c r="U905" i="4"/>
  <c r="J907" i="4"/>
  <c r="U907" i="4"/>
  <c r="J909" i="4"/>
  <c r="U909" i="4"/>
  <c r="J911" i="4"/>
  <c r="U911" i="4"/>
  <c r="J913" i="4"/>
  <c r="U913" i="4"/>
  <c r="J915" i="4"/>
  <c r="U915" i="4"/>
  <c r="J917" i="4"/>
  <c r="U917" i="4"/>
  <c r="J919" i="4"/>
  <c r="U919" i="4"/>
  <c r="J921" i="4"/>
  <c r="U921" i="4"/>
  <c r="J923" i="4"/>
  <c r="U923" i="4"/>
  <c r="J925" i="4"/>
  <c r="U925" i="4"/>
  <c r="J927" i="4"/>
  <c r="U927" i="4"/>
  <c r="J929" i="4"/>
  <c r="U929" i="4"/>
  <c r="J931" i="4"/>
  <c r="U931" i="4"/>
  <c r="J933" i="4"/>
  <c r="U933" i="4"/>
  <c r="J935" i="4"/>
  <c r="U935" i="4"/>
  <c r="J937" i="4"/>
  <c r="U937" i="4"/>
  <c r="J939" i="4"/>
  <c r="U939" i="4"/>
  <c r="J941" i="4"/>
  <c r="U941" i="4"/>
  <c r="J943" i="4"/>
  <c r="U943" i="4"/>
  <c r="J945" i="4"/>
  <c r="U945" i="4"/>
  <c r="J947" i="4"/>
  <c r="U947" i="4"/>
  <c r="J949" i="4"/>
  <c r="U949" i="4"/>
  <c r="J951" i="4"/>
  <c r="U951" i="4"/>
  <c r="J953" i="4"/>
  <c r="U953" i="4"/>
  <c r="J955" i="4"/>
  <c r="U955" i="4"/>
  <c r="J957" i="4"/>
  <c r="U957" i="4"/>
  <c r="J959" i="4"/>
  <c r="U959" i="4"/>
  <c r="J961" i="4"/>
  <c r="U961" i="4"/>
  <c r="J963" i="4"/>
  <c r="U963" i="4"/>
  <c r="J965" i="4"/>
  <c r="U965" i="4"/>
  <c r="J967" i="4"/>
  <c r="U967" i="4"/>
  <c r="J969" i="4"/>
  <c r="U969" i="4"/>
  <c r="J971" i="4"/>
  <c r="U971" i="4"/>
  <c r="J973" i="4"/>
  <c r="U973" i="4"/>
  <c r="J975" i="4"/>
  <c r="U975" i="4"/>
  <c r="J977" i="4"/>
  <c r="U977" i="4"/>
  <c r="J979" i="4"/>
  <c r="U979" i="4"/>
  <c r="J981" i="4"/>
  <c r="U981" i="4"/>
  <c r="J983" i="4"/>
  <c r="U983" i="4"/>
  <c r="J985" i="4"/>
  <c r="U985" i="4"/>
  <c r="J987" i="4"/>
  <c r="U987" i="4"/>
  <c r="J989" i="4"/>
  <c r="U989" i="4"/>
  <c r="J991" i="4"/>
  <c r="U991" i="4"/>
  <c r="J993" i="4"/>
  <c r="U993" i="4"/>
  <c r="J995" i="4"/>
  <c r="U995" i="4"/>
  <c r="J997" i="4"/>
  <c r="U997" i="4"/>
  <c r="J999" i="4"/>
  <c r="U999" i="4"/>
  <c r="J1001" i="4"/>
  <c r="U1001" i="4"/>
  <c r="J34" i="4"/>
  <c r="U34" i="4"/>
  <c r="J32" i="4"/>
  <c r="U32" i="4"/>
  <c r="J46" i="4"/>
  <c r="U46" i="4"/>
  <c r="J42" i="4"/>
  <c r="U42" i="4"/>
  <c r="J37" i="4"/>
  <c r="U37" i="4"/>
  <c r="J31" i="4"/>
  <c r="U31" i="4"/>
  <c r="J29" i="4"/>
  <c r="U29" i="4"/>
  <c r="J16" i="4"/>
  <c r="U16" i="4"/>
  <c r="J12" i="4"/>
  <c r="U12" i="4"/>
  <c r="J7" i="4"/>
  <c r="U7" i="4"/>
  <c r="J11" i="4"/>
  <c r="U11" i="4"/>
  <c r="K222" i="4"/>
  <c r="M27" i="4"/>
  <c r="L27" i="4"/>
  <c r="M17" i="4"/>
  <c r="L17" i="4"/>
  <c r="M24" i="4"/>
  <c r="L24" i="4"/>
  <c r="M8" i="4"/>
  <c r="L8" i="4"/>
  <c r="M6" i="4"/>
  <c r="L6" i="4"/>
  <c r="M11" i="4"/>
  <c r="L11" i="4"/>
  <c r="T470" i="4"/>
  <c r="T454" i="4"/>
  <c r="T438" i="4"/>
  <c r="T422" i="4"/>
  <c r="T406" i="4"/>
  <c r="T390" i="4"/>
  <c r="T374" i="4"/>
  <c r="T358" i="4"/>
  <c r="T342" i="4"/>
  <c r="T326" i="4"/>
  <c r="M310" i="4"/>
  <c r="L310" i="4"/>
  <c r="M294" i="4"/>
  <c r="L294" i="4"/>
  <c r="M278" i="4"/>
  <c r="L278" i="4"/>
  <c r="M262" i="4"/>
  <c r="L262" i="4"/>
  <c r="M246" i="4"/>
  <c r="L246" i="4"/>
  <c r="M230" i="4"/>
  <c r="L230" i="4"/>
  <c r="M214" i="4"/>
  <c r="L214" i="4"/>
  <c r="M198" i="4"/>
  <c r="L198" i="4"/>
  <c r="M182" i="4"/>
  <c r="L182" i="4"/>
  <c r="M166" i="4"/>
  <c r="L166" i="4"/>
  <c r="M150" i="4"/>
  <c r="L150" i="4"/>
  <c r="M134" i="4"/>
  <c r="L134" i="4"/>
  <c r="M118" i="4"/>
  <c r="L118" i="4"/>
  <c r="M102" i="4"/>
  <c r="L102" i="4"/>
  <c r="M86" i="4"/>
  <c r="L86" i="4"/>
  <c r="M70" i="4"/>
  <c r="L70" i="4"/>
  <c r="M54" i="4"/>
  <c r="L54" i="4"/>
  <c r="M38" i="4"/>
  <c r="L38" i="4"/>
  <c r="M33" i="4"/>
  <c r="L33" i="4"/>
  <c r="T452" i="4"/>
  <c r="T436" i="4"/>
  <c r="T420" i="4"/>
  <c r="T404" i="4"/>
  <c r="T384" i="4"/>
  <c r="T364" i="4"/>
  <c r="T336" i="4"/>
  <c r="M308" i="4"/>
  <c r="L308" i="4"/>
  <c r="M276" i="4"/>
  <c r="L276" i="4"/>
  <c r="M248" i="4"/>
  <c r="L248" i="4"/>
  <c r="M220" i="4"/>
  <c r="L220" i="4"/>
  <c r="M188" i="4"/>
  <c r="L188" i="4"/>
  <c r="M160" i="4"/>
  <c r="L160" i="4"/>
  <c r="M132" i="4"/>
  <c r="L132" i="4"/>
  <c r="M104" i="4"/>
  <c r="L104" i="4"/>
  <c r="M72" i="4"/>
  <c r="L72" i="4"/>
  <c r="M40" i="4"/>
  <c r="L40" i="4"/>
  <c r="T451" i="4"/>
  <c r="T423" i="4"/>
  <c r="T391" i="4"/>
  <c r="T363" i="4"/>
  <c r="T331" i="4"/>
  <c r="T303" i="4"/>
  <c r="M215" i="4"/>
  <c r="L215" i="4"/>
  <c r="M175" i="4"/>
  <c r="L175" i="4"/>
  <c r="M147" i="4"/>
  <c r="L147" i="4"/>
  <c r="M119" i="4"/>
  <c r="L119" i="4"/>
  <c r="M91" i="4"/>
  <c r="L91" i="4"/>
  <c r="M59" i="4"/>
  <c r="L59" i="4"/>
  <c r="M31" i="4"/>
  <c r="L31" i="4"/>
  <c r="T457" i="4"/>
  <c r="T441" i="4"/>
  <c r="T425" i="4"/>
  <c r="T409" i="4"/>
  <c r="T393" i="4"/>
  <c r="T377" i="4"/>
  <c r="T361" i="4"/>
  <c r="T345" i="4"/>
  <c r="T329" i="4"/>
  <c r="T313" i="4"/>
  <c r="M297" i="4"/>
  <c r="L297" i="4"/>
  <c r="M281" i="4"/>
  <c r="L281" i="4"/>
  <c r="M265" i="4"/>
  <c r="L265" i="4"/>
  <c r="M249" i="4"/>
  <c r="L249" i="4"/>
  <c r="M233" i="4"/>
  <c r="L233" i="4"/>
  <c r="M217" i="4"/>
  <c r="L217" i="4"/>
  <c r="M201" i="4"/>
  <c r="L201" i="4"/>
  <c r="M185" i="4"/>
  <c r="L185" i="4"/>
  <c r="M169" i="4"/>
  <c r="L169" i="4"/>
  <c r="M153" i="4"/>
  <c r="L153" i="4"/>
  <c r="M137" i="4"/>
  <c r="L137" i="4"/>
  <c r="M121" i="4"/>
  <c r="L121" i="4"/>
  <c r="M105" i="4"/>
  <c r="L105" i="4"/>
  <c r="M89" i="4"/>
  <c r="L89" i="4"/>
  <c r="M73" i="4"/>
  <c r="L73" i="4"/>
  <c r="M57" i="4"/>
  <c r="L57" i="4"/>
  <c r="M37" i="4"/>
  <c r="L37" i="4"/>
  <c r="T368" i="4"/>
  <c r="T328" i="4"/>
  <c r="M296" i="4"/>
  <c r="L296" i="4"/>
  <c r="M260" i="4"/>
  <c r="L260" i="4"/>
  <c r="M228" i="4"/>
  <c r="L228" i="4"/>
  <c r="M192" i="4"/>
  <c r="L192" i="4"/>
  <c r="M156" i="4"/>
  <c r="L156" i="4"/>
  <c r="M120" i="4"/>
  <c r="L120" i="4"/>
  <c r="M84" i="4"/>
  <c r="L84" i="4"/>
  <c r="M52" i="4"/>
  <c r="L52" i="4"/>
  <c r="T463" i="4"/>
  <c r="T431" i="4"/>
  <c r="T395" i="4"/>
  <c r="T359" i="4"/>
  <c r="T323" i="4"/>
  <c r="M291" i="4"/>
  <c r="L291" i="4"/>
  <c r="M267" i="4"/>
  <c r="L267" i="4"/>
  <c r="M251" i="4"/>
  <c r="L251" i="4"/>
  <c r="M235" i="4"/>
  <c r="L235" i="4"/>
  <c r="M219" i="4"/>
  <c r="L219" i="4"/>
  <c r="M195" i="4"/>
  <c r="L195" i="4"/>
  <c r="M163" i="4"/>
  <c r="L163" i="4"/>
  <c r="M123" i="4"/>
  <c r="L123" i="4"/>
  <c r="M87" i="4"/>
  <c r="L87" i="4"/>
  <c r="M55" i="4"/>
  <c r="L55" i="4"/>
  <c r="M28" i="4"/>
  <c r="L28" i="4"/>
  <c r="T473" i="4"/>
  <c r="T477" i="4"/>
  <c r="T481" i="4"/>
  <c r="T485" i="4"/>
  <c r="T489" i="4"/>
  <c r="T493" i="4"/>
  <c r="T497" i="4"/>
  <c r="T501" i="4"/>
  <c r="T505" i="4"/>
  <c r="T509" i="4"/>
  <c r="T513" i="4"/>
  <c r="T517" i="4"/>
  <c r="T521" i="4"/>
  <c r="T525" i="4"/>
  <c r="T529" i="4"/>
  <c r="T533" i="4"/>
  <c r="T537" i="4"/>
  <c r="T541" i="4"/>
  <c r="T545" i="4"/>
  <c r="T549" i="4"/>
  <c r="T553" i="4"/>
  <c r="T557" i="4"/>
  <c r="T561" i="4"/>
  <c r="T565" i="4"/>
  <c r="T569" i="4"/>
  <c r="T573" i="4"/>
  <c r="T577" i="4"/>
  <c r="T581" i="4"/>
  <c r="T585" i="4"/>
  <c r="T589" i="4"/>
  <c r="T593" i="4"/>
  <c r="T597" i="4"/>
  <c r="T601" i="4"/>
  <c r="T605" i="4"/>
  <c r="T609" i="4"/>
  <c r="T613" i="4"/>
  <c r="T617" i="4"/>
  <c r="T621" i="4"/>
  <c r="T625" i="4"/>
  <c r="T629" i="4"/>
  <c r="T633" i="4"/>
  <c r="T637" i="4"/>
  <c r="T641" i="4"/>
  <c r="T645" i="4"/>
  <c r="T649" i="4"/>
  <c r="T653" i="4"/>
  <c r="T657" i="4"/>
  <c r="T661" i="4"/>
  <c r="T665" i="4"/>
  <c r="T669" i="4"/>
  <c r="T673" i="4"/>
  <c r="T677" i="4"/>
  <c r="T681" i="4"/>
  <c r="T685" i="4"/>
  <c r="T689" i="4"/>
  <c r="T693" i="4"/>
  <c r="T697" i="4"/>
  <c r="T701" i="4"/>
  <c r="T705" i="4"/>
  <c r="T709" i="4"/>
  <c r="T713" i="4"/>
  <c r="T717" i="4"/>
  <c r="T721" i="4"/>
  <c r="T725" i="4"/>
  <c r="T729" i="4"/>
  <c r="T733" i="4"/>
  <c r="T737" i="4"/>
  <c r="T741" i="4"/>
  <c r="T745" i="4"/>
  <c r="T749" i="4"/>
  <c r="T753" i="4"/>
  <c r="T757" i="4"/>
  <c r="T761" i="4"/>
  <c r="T765" i="4"/>
  <c r="T769" i="4"/>
  <c r="T773" i="4"/>
  <c r="T777" i="4"/>
  <c r="T781" i="4"/>
  <c r="T785" i="4"/>
  <c r="T789" i="4"/>
  <c r="T793" i="4"/>
  <c r="T797" i="4"/>
  <c r="T801" i="4"/>
  <c r="T805" i="4"/>
  <c r="T809" i="4"/>
  <c r="T813" i="4"/>
  <c r="T817" i="4"/>
  <c r="T821" i="4"/>
  <c r="T825" i="4"/>
  <c r="T829" i="4"/>
  <c r="T833" i="4"/>
  <c r="T837" i="4"/>
  <c r="T841" i="4"/>
  <c r="T845" i="4"/>
  <c r="T849" i="4"/>
  <c r="T853" i="4"/>
  <c r="T857" i="4"/>
  <c r="T861" i="4"/>
  <c r="T865" i="4"/>
  <c r="T869" i="4"/>
  <c r="T873" i="4"/>
  <c r="T877" i="4"/>
  <c r="T881" i="4"/>
  <c r="T885" i="4"/>
  <c r="T889" i="4"/>
  <c r="T893" i="4"/>
  <c r="T897" i="4"/>
  <c r="T901" i="4"/>
  <c r="T905" i="4"/>
  <c r="T909" i="4"/>
  <c r="T913" i="4"/>
  <c r="T917" i="4"/>
  <c r="T921" i="4"/>
  <c r="T925" i="4"/>
  <c r="T929" i="4"/>
  <c r="T933" i="4"/>
  <c r="R933" i="4"/>
  <c r="T937" i="4"/>
  <c r="T941" i="4"/>
  <c r="T945" i="4"/>
  <c r="T949" i="4"/>
  <c r="T953" i="4"/>
  <c r="T957" i="4"/>
  <c r="T961" i="4"/>
  <c r="T965" i="4"/>
  <c r="T969" i="4"/>
  <c r="T973" i="4"/>
  <c r="T977" i="4"/>
  <c r="T981" i="4"/>
  <c r="T985" i="4"/>
  <c r="T989" i="4"/>
  <c r="T993" i="4"/>
  <c r="T997" i="4"/>
  <c r="T1001" i="4"/>
  <c r="J51" i="4"/>
  <c r="U51" i="4"/>
  <c r="J53" i="4"/>
  <c r="U53" i="4"/>
  <c r="J55" i="4"/>
  <c r="U55" i="4"/>
  <c r="AV57" i="4"/>
  <c r="J57" i="4"/>
  <c r="U57" i="4"/>
  <c r="J59" i="4"/>
  <c r="U59" i="4"/>
  <c r="J61" i="4"/>
  <c r="U61" i="4"/>
  <c r="J63" i="4"/>
  <c r="U63" i="4"/>
  <c r="J65" i="4"/>
  <c r="U65" i="4"/>
  <c r="J67" i="4"/>
  <c r="U67" i="4"/>
  <c r="J69" i="4"/>
  <c r="U69" i="4"/>
  <c r="J71" i="4"/>
  <c r="U71" i="4"/>
  <c r="J73" i="4"/>
  <c r="U73" i="4"/>
  <c r="J75" i="4"/>
  <c r="U75" i="4"/>
  <c r="J77" i="4"/>
  <c r="U77" i="4"/>
  <c r="AT79" i="4"/>
  <c r="J79" i="4"/>
  <c r="U79" i="4"/>
  <c r="J81" i="4"/>
  <c r="U81" i="4"/>
  <c r="J83" i="4"/>
  <c r="U83" i="4"/>
  <c r="J85" i="4"/>
  <c r="U85" i="4"/>
  <c r="J87" i="4"/>
  <c r="U87" i="4"/>
  <c r="AV89" i="4"/>
  <c r="J89" i="4"/>
  <c r="U89" i="4"/>
  <c r="J91" i="4"/>
  <c r="U91" i="4"/>
  <c r="J93" i="4"/>
  <c r="U93" i="4"/>
  <c r="J95" i="4"/>
  <c r="U95" i="4"/>
  <c r="J97" i="4"/>
  <c r="U97" i="4"/>
  <c r="J99" i="4"/>
  <c r="U99" i="4"/>
  <c r="J101" i="4"/>
  <c r="U101" i="4"/>
  <c r="J103" i="4"/>
  <c r="U103" i="4"/>
  <c r="J105" i="4"/>
  <c r="U105" i="4"/>
  <c r="J107" i="4"/>
  <c r="U107" i="4"/>
  <c r="J109" i="4"/>
  <c r="U109" i="4"/>
  <c r="AT111" i="4"/>
  <c r="J111" i="4"/>
  <c r="U111" i="4"/>
  <c r="J113" i="4"/>
  <c r="U113" i="4"/>
  <c r="J115" i="4"/>
  <c r="U115" i="4"/>
  <c r="J117" i="4"/>
  <c r="U117" i="4"/>
  <c r="J119" i="4"/>
  <c r="U119" i="4"/>
  <c r="AV121" i="4"/>
  <c r="J121" i="4"/>
  <c r="U121" i="4"/>
  <c r="J123" i="4"/>
  <c r="U123" i="4"/>
  <c r="J125" i="4"/>
  <c r="U125" i="4"/>
  <c r="AT127" i="4"/>
  <c r="J127" i="4"/>
  <c r="U127" i="4"/>
  <c r="J129" i="4"/>
  <c r="U129" i="4"/>
  <c r="J131" i="4"/>
  <c r="U131" i="4"/>
  <c r="J133" i="4"/>
  <c r="U133" i="4"/>
  <c r="AT135" i="4"/>
  <c r="J135" i="4"/>
  <c r="U135" i="4"/>
  <c r="AV137" i="4"/>
  <c r="J137" i="4"/>
  <c r="U137" i="4"/>
  <c r="J139" i="4"/>
  <c r="U139" i="4"/>
  <c r="J141" i="4"/>
  <c r="U141" i="4"/>
  <c r="AT143" i="4"/>
  <c r="J143" i="4"/>
  <c r="U143" i="4"/>
  <c r="AV145" i="4"/>
  <c r="J145" i="4"/>
  <c r="U145" i="4"/>
  <c r="J147" i="4"/>
  <c r="U147" i="4"/>
  <c r="J149" i="4"/>
  <c r="U149" i="4"/>
  <c r="J151" i="4"/>
  <c r="U151" i="4"/>
  <c r="AV153" i="4"/>
  <c r="J153" i="4"/>
  <c r="U153" i="4"/>
  <c r="J155" i="4"/>
  <c r="U155" i="4"/>
  <c r="J157" i="4"/>
  <c r="U157" i="4"/>
  <c r="AT159" i="4"/>
  <c r="J159" i="4"/>
  <c r="U159" i="4"/>
  <c r="J161" i="4"/>
  <c r="U161" i="4"/>
  <c r="J163" i="4"/>
  <c r="U163" i="4"/>
  <c r="J165" i="4"/>
  <c r="U165" i="4"/>
  <c r="AT167" i="4"/>
  <c r="J167" i="4"/>
  <c r="U167" i="4"/>
  <c r="AV169" i="4"/>
  <c r="J169" i="4"/>
  <c r="U169" i="4"/>
  <c r="J171" i="4"/>
  <c r="U171" i="4"/>
  <c r="J173" i="4"/>
  <c r="U173" i="4"/>
  <c r="AT175" i="4"/>
  <c r="J175" i="4"/>
  <c r="U175" i="4"/>
  <c r="AV177" i="4"/>
  <c r="J177" i="4"/>
  <c r="U177" i="4"/>
  <c r="J179" i="4"/>
  <c r="U179" i="4"/>
  <c r="J181" i="4"/>
  <c r="U181" i="4"/>
  <c r="Q186" i="4"/>
  <c r="J186" i="4"/>
  <c r="U186" i="4"/>
  <c r="J188" i="4"/>
  <c r="U188" i="4"/>
  <c r="AM190" i="4"/>
  <c r="J190" i="4"/>
  <c r="U190" i="4"/>
  <c r="J192" i="4"/>
  <c r="U192" i="4"/>
  <c r="AM194" i="4"/>
  <c r="AK194" i="4" s="1"/>
  <c r="J194" i="4"/>
  <c r="U194" i="4"/>
  <c r="J196" i="4"/>
  <c r="U196" i="4"/>
  <c r="AT198" i="4"/>
  <c r="J198" i="4"/>
  <c r="U198" i="4"/>
  <c r="J200" i="4"/>
  <c r="U200" i="4"/>
  <c r="J202" i="4"/>
  <c r="U202" i="4"/>
  <c r="J204" i="4"/>
  <c r="U204" i="4"/>
  <c r="J206" i="4"/>
  <c r="U206" i="4"/>
  <c r="J208" i="4"/>
  <c r="U208" i="4"/>
  <c r="J210" i="4"/>
  <c r="U210" i="4"/>
  <c r="J212" i="4"/>
  <c r="U212" i="4"/>
  <c r="AT214" i="4"/>
  <c r="J214" i="4"/>
  <c r="U214" i="4"/>
  <c r="J216" i="4"/>
  <c r="U216" i="4"/>
  <c r="J218" i="4"/>
  <c r="U218" i="4"/>
  <c r="J220" i="4"/>
  <c r="U220" i="4"/>
  <c r="J222" i="4"/>
  <c r="U222" i="4"/>
  <c r="J224" i="4"/>
  <c r="U224" i="4"/>
  <c r="J226" i="4"/>
  <c r="U226" i="4"/>
  <c r="J228" i="4"/>
  <c r="U228" i="4"/>
  <c r="J230" i="4"/>
  <c r="U230" i="4"/>
  <c r="Q247" i="4"/>
  <c r="J247" i="4"/>
  <c r="U247" i="4"/>
  <c r="J249" i="4"/>
  <c r="U249" i="4"/>
  <c r="J251" i="4"/>
  <c r="U251" i="4"/>
  <c r="J253" i="4"/>
  <c r="U253" i="4"/>
  <c r="J255" i="4"/>
  <c r="U255" i="4"/>
  <c r="J257" i="4"/>
  <c r="U257" i="4"/>
  <c r="J259" i="4"/>
  <c r="U259" i="4"/>
  <c r="J261" i="4"/>
  <c r="U261" i="4"/>
  <c r="J263" i="4"/>
  <c r="U263" i="4"/>
  <c r="Q272" i="4"/>
  <c r="J272" i="4"/>
  <c r="U272" i="4"/>
  <c r="O272" i="4"/>
  <c r="P272" i="4"/>
  <c r="J274" i="4"/>
  <c r="U274" i="4"/>
  <c r="J276" i="4"/>
  <c r="U276" i="4"/>
  <c r="AT278" i="4"/>
  <c r="J278" i="4"/>
  <c r="U278" i="4"/>
  <c r="J280" i="4"/>
  <c r="U280" i="4"/>
  <c r="Q295" i="4"/>
  <c r="J295" i="4"/>
  <c r="U295" i="4"/>
  <c r="J297" i="4"/>
  <c r="U297" i="4"/>
  <c r="J312" i="4"/>
  <c r="U312" i="4"/>
  <c r="J314" i="4"/>
  <c r="U314" i="4"/>
  <c r="S62" i="4"/>
  <c r="S94" i="4"/>
  <c r="S134" i="4"/>
  <c r="S166" i="4"/>
  <c r="S254" i="4"/>
  <c r="S278" i="4"/>
  <c r="J47" i="4"/>
  <c r="U47" i="4"/>
  <c r="J45" i="4"/>
  <c r="U45" i="4"/>
  <c r="J41" i="4"/>
  <c r="U41" i="4"/>
  <c r="J36" i="4"/>
  <c r="U36" i="4"/>
  <c r="J28" i="4"/>
  <c r="U28" i="4"/>
  <c r="J48" i="4"/>
  <c r="U48" i="4"/>
  <c r="J44" i="4"/>
  <c r="U44" i="4"/>
  <c r="J40" i="4"/>
  <c r="U40" i="4"/>
  <c r="J33" i="4"/>
  <c r="U33" i="4"/>
  <c r="J24" i="4"/>
  <c r="U24" i="4"/>
  <c r="J21" i="4"/>
  <c r="U21" i="4"/>
  <c r="AM16" i="4"/>
  <c r="J14" i="4"/>
  <c r="U14" i="4"/>
  <c r="K174" i="4"/>
  <c r="K318" i="4"/>
  <c r="AM49" i="4"/>
  <c r="AP49" i="4" s="1"/>
  <c r="J49" i="4"/>
  <c r="U49" i="4"/>
  <c r="K254" i="4"/>
  <c r="AM37" i="4"/>
  <c r="AK37" i="4" s="1"/>
  <c r="J35" i="4"/>
  <c r="U35" i="4"/>
  <c r="J27" i="4"/>
  <c r="U27" i="4"/>
  <c r="AJ13" i="4"/>
  <c r="K18" i="4"/>
  <c r="J17" i="4"/>
  <c r="U17" i="4"/>
  <c r="J13" i="4"/>
  <c r="U13" i="4"/>
  <c r="J8" i="4"/>
  <c r="U8" i="4"/>
  <c r="K225" i="4"/>
  <c r="M26" i="4"/>
  <c r="L26" i="4"/>
  <c r="M13" i="4"/>
  <c r="L13" i="4"/>
  <c r="M20" i="4"/>
  <c r="L20" i="4"/>
  <c r="M23" i="4"/>
  <c r="L23" i="4"/>
  <c r="M7" i="4"/>
  <c r="L7" i="4"/>
  <c r="T466" i="4"/>
  <c r="T450" i="4"/>
  <c r="T434" i="4"/>
  <c r="T418" i="4"/>
  <c r="T402" i="4"/>
  <c r="T386" i="4"/>
  <c r="T370" i="4"/>
  <c r="T354" i="4"/>
  <c r="T338" i="4"/>
  <c r="T322" i="4"/>
  <c r="M306" i="4"/>
  <c r="L306" i="4"/>
  <c r="M290" i="4"/>
  <c r="L290" i="4"/>
  <c r="M274" i="4"/>
  <c r="L274" i="4"/>
  <c r="M258" i="4"/>
  <c r="L258" i="4"/>
  <c r="M242" i="4"/>
  <c r="L242" i="4"/>
  <c r="M226" i="4"/>
  <c r="L226" i="4"/>
  <c r="M210" i="4"/>
  <c r="L210" i="4"/>
  <c r="M194" i="4"/>
  <c r="L194" i="4"/>
  <c r="M178" i="4"/>
  <c r="L178" i="4"/>
  <c r="M162" i="4"/>
  <c r="L162" i="4"/>
  <c r="M146" i="4"/>
  <c r="L146" i="4"/>
  <c r="M130" i="4"/>
  <c r="L130" i="4"/>
  <c r="M114" i="4"/>
  <c r="L114" i="4"/>
  <c r="M98" i="4"/>
  <c r="L98" i="4"/>
  <c r="M82" i="4"/>
  <c r="L82" i="4"/>
  <c r="M66" i="4"/>
  <c r="L66" i="4"/>
  <c r="M50" i="4"/>
  <c r="L50" i="4"/>
  <c r="M34" i="4"/>
  <c r="L34" i="4"/>
  <c r="T468" i="4"/>
  <c r="T448" i="4"/>
  <c r="T432" i="4"/>
  <c r="T416" i="4"/>
  <c r="T400" i="4"/>
  <c r="T380" i="4"/>
  <c r="T360" i="4"/>
  <c r="T332" i="4"/>
  <c r="M300" i="4"/>
  <c r="L300" i="4"/>
  <c r="M268" i="4"/>
  <c r="L268" i="4"/>
  <c r="M240" i="4"/>
  <c r="L240" i="4"/>
  <c r="M212" i="4"/>
  <c r="L212" i="4"/>
  <c r="M180" i="4"/>
  <c r="L180" i="4"/>
  <c r="M152" i="4"/>
  <c r="L152" i="4"/>
  <c r="M124" i="4"/>
  <c r="L124" i="4"/>
  <c r="M96" i="4"/>
  <c r="L96" i="4"/>
  <c r="M64" i="4"/>
  <c r="L64" i="4"/>
  <c r="M36" i="4"/>
  <c r="L36" i="4"/>
  <c r="T443" i="4"/>
  <c r="T415" i="4"/>
  <c r="T383" i="4"/>
  <c r="T355" i="4"/>
  <c r="T327" i="4"/>
  <c r="M295" i="4"/>
  <c r="L295" i="4"/>
  <c r="M199" i="4"/>
  <c r="L199" i="4"/>
  <c r="M167" i="4"/>
  <c r="L167" i="4"/>
  <c r="M139" i="4"/>
  <c r="L139" i="4"/>
  <c r="M111" i="4"/>
  <c r="L111" i="4"/>
  <c r="M83" i="4"/>
  <c r="L83" i="4"/>
  <c r="M51" i="4"/>
  <c r="L51" i="4"/>
  <c r="T469" i="4"/>
  <c r="T453" i="4"/>
  <c r="T437" i="4"/>
  <c r="T421" i="4"/>
  <c r="T405" i="4"/>
  <c r="T389" i="4"/>
  <c r="S389" i="4"/>
  <c r="T373" i="4"/>
  <c r="T357" i="4"/>
  <c r="T341" i="4"/>
  <c r="T325" i="4"/>
  <c r="S325" i="4"/>
  <c r="T309" i="4"/>
  <c r="M293" i="4"/>
  <c r="L293" i="4"/>
  <c r="M277" i="4"/>
  <c r="L277" i="4"/>
  <c r="M261" i="4"/>
  <c r="L261" i="4"/>
  <c r="M245" i="4"/>
  <c r="L245" i="4"/>
  <c r="M229" i="4"/>
  <c r="L229" i="4"/>
  <c r="M213" i="4"/>
  <c r="L213" i="4"/>
  <c r="M197" i="4"/>
  <c r="L197" i="4"/>
  <c r="M181" i="4"/>
  <c r="L181" i="4"/>
  <c r="M165" i="4"/>
  <c r="L165" i="4"/>
  <c r="M149" i="4"/>
  <c r="L149" i="4"/>
  <c r="M133" i="4"/>
  <c r="L133" i="4"/>
  <c r="M117" i="4"/>
  <c r="L117" i="4"/>
  <c r="M101" i="4"/>
  <c r="L101" i="4"/>
  <c r="M85" i="4"/>
  <c r="L85" i="4"/>
  <c r="M69" i="4"/>
  <c r="L69" i="4"/>
  <c r="M53" i="4"/>
  <c r="L53" i="4"/>
  <c r="T472" i="4"/>
  <c r="T356" i="4"/>
  <c r="T320" i="4"/>
  <c r="M288" i="4"/>
  <c r="L288" i="4"/>
  <c r="M252" i="4"/>
  <c r="L252" i="4"/>
  <c r="M216" i="4"/>
  <c r="L216" i="4"/>
  <c r="M184" i="4"/>
  <c r="L184" i="4"/>
  <c r="M144" i="4"/>
  <c r="L144" i="4"/>
  <c r="M112" i="4"/>
  <c r="L112" i="4"/>
  <c r="M76" i="4"/>
  <c r="L76" i="4"/>
  <c r="M44" i="4"/>
  <c r="L44" i="4"/>
  <c r="T455" i="4"/>
  <c r="T419" i="4"/>
  <c r="T387" i="4"/>
  <c r="T351" i="4"/>
  <c r="T315" i="4"/>
  <c r="M283" i="4"/>
  <c r="L283" i="4"/>
  <c r="M263" i="4"/>
  <c r="L263" i="4"/>
  <c r="M247" i="4"/>
  <c r="L247" i="4"/>
  <c r="M231" i="4"/>
  <c r="L231" i="4"/>
  <c r="M211" i="4"/>
  <c r="L211" i="4"/>
  <c r="M187" i="4"/>
  <c r="L187" i="4"/>
  <c r="M151" i="4"/>
  <c r="L151" i="4"/>
  <c r="M115" i="4"/>
  <c r="L115" i="4"/>
  <c r="M79" i="4"/>
  <c r="L79" i="4"/>
  <c r="M43" i="4"/>
  <c r="L43" i="4"/>
  <c r="T474" i="4"/>
  <c r="T478" i="4"/>
  <c r="T482" i="4"/>
  <c r="T486" i="4"/>
  <c r="T490" i="4"/>
  <c r="T494" i="4"/>
  <c r="T498" i="4"/>
  <c r="T502" i="4"/>
  <c r="T506" i="4"/>
  <c r="T510" i="4"/>
  <c r="T514" i="4"/>
  <c r="T518" i="4"/>
  <c r="T522" i="4"/>
  <c r="T526" i="4"/>
  <c r="T530" i="4"/>
  <c r="T534" i="4"/>
  <c r="T538" i="4"/>
  <c r="T542" i="4"/>
  <c r="T546" i="4"/>
  <c r="T550" i="4"/>
  <c r="T554" i="4"/>
  <c r="T558" i="4"/>
  <c r="T562" i="4"/>
  <c r="T566" i="4"/>
  <c r="T570" i="4"/>
  <c r="T574" i="4"/>
  <c r="T578" i="4"/>
  <c r="T582" i="4"/>
  <c r="T586" i="4"/>
  <c r="T590" i="4"/>
  <c r="T594" i="4"/>
  <c r="T598" i="4"/>
  <c r="T602" i="4"/>
  <c r="T606" i="4"/>
  <c r="T610" i="4"/>
  <c r="T614" i="4"/>
  <c r="T618" i="4"/>
  <c r="T622" i="4"/>
  <c r="T626" i="4"/>
  <c r="T630" i="4"/>
  <c r="T634" i="4"/>
  <c r="T638" i="4"/>
  <c r="T642" i="4"/>
  <c r="T646" i="4"/>
  <c r="T650" i="4"/>
  <c r="T654" i="4"/>
  <c r="T658" i="4"/>
  <c r="T662" i="4"/>
  <c r="T666" i="4"/>
  <c r="T670" i="4"/>
  <c r="T674" i="4"/>
  <c r="T678" i="4"/>
  <c r="T682" i="4"/>
  <c r="T686" i="4"/>
  <c r="T690" i="4"/>
  <c r="T694" i="4"/>
  <c r="T698" i="4"/>
  <c r="T702" i="4"/>
  <c r="T706" i="4"/>
  <c r="T710" i="4"/>
  <c r="T714" i="4"/>
  <c r="T718" i="4"/>
  <c r="T722" i="4"/>
  <c r="T726" i="4"/>
  <c r="T730" i="4"/>
  <c r="T734" i="4"/>
  <c r="T738" i="4"/>
  <c r="T742" i="4"/>
  <c r="T746" i="4"/>
  <c r="T750" i="4"/>
  <c r="T754" i="4"/>
  <c r="T758" i="4"/>
  <c r="T762" i="4"/>
  <c r="T766" i="4"/>
  <c r="T770" i="4"/>
  <c r="T774" i="4"/>
  <c r="T778" i="4"/>
  <c r="T782" i="4"/>
  <c r="T786" i="4"/>
  <c r="T790" i="4"/>
  <c r="T794" i="4"/>
  <c r="T798" i="4"/>
  <c r="T802" i="4"/>
  <c r="T806" i="4"/>
  <c r="T810" i="4"/>
  <c r="T814" i="4"/>
  <c r="T818" i="4"/>
  <c r="T822" i="4"/>
  <c r="T826" i="4"/>
  <c r="T830" i="4"/>
  <c r="T834" i="4"/>
  <c r="T838" i="4"/>
  <c r="T842" i="4"/>
  <c r="T846" i="4"/>
  <c r="T850" i="4"/>
  <c r="T854" i="4"/>
  <c r="T858" i="4"/>
  <c r="T862" i="4"/>
  <c r="T866" i="4"/>
  <c r="T870" i="4"/>
  <c r="T874" i="4"/>
  <c r="T878" i="4"/>
  <c r="T882" i="4"/>
  <c r="T886" i="4"/>
  <c r="T890" i="4"/>
  <c r="T894" i="4"/>
  <c r="T898" i="4"/>
  <c r="T902" i="4"/>
  <c r="T906" i="4"/>
  <c r="T910" i="4"/>
  <c r="T914" i="4"/>
  <c r="T918" i="4"/>
  <c r="T922" i="4"/>
  <c r="T926" i="4"/>
  <c r="T930" i="4"/>
  <c r="T934" i="4"/>
  <c r="T938" i="4"/>
  <c r="T942" i="4"/>
  <c r="T946" i="4"/>
  <c r="T950" i="4"/>
  <c r="T954" i="4"/>
  <c r="T958" i="4"/>
  <c r="T962" i="4"/>
  <c r="T966" i="4"/>
  <c r="T970" i="4"/>
  <c r="T974" i="4"/>
  <c r="T978" i="4"/>
  <c r="T982" i="4"/>
  <c r="T986" i="4"/>
  <c r="T990" i="4"/>
  <c r="T994" i="4"/>
  <c r="T998" i="4"/>
  <c r="T1002" i="4"/>
  <c r="AM182" i="4"/>
  <c r="J183" i="4"/>
  <c r="U183" i="4"/>
  <c r="J185" i="4"/>
  <c r="U185" i="4"/>
  <c r="AM189" i="4"/>
  <c r="AM193" i="4"/>
  <c r="AM219" i="4"/>
  <c r="AM231" i="4"/>
  <c r="J232" i="4"/>
  <c r="U232" i="4"/>
  <c r="J234" i="4"/>
  <c r="U234" i="4"/>
  <c r="J236" i="4"/>
  <c r="U236" i="4"/>
  <c r="J238" i="4"/>
  <c r="U238" i="4"/>
  <c r="AV240" i="4"/>
  <c r="J240" i="4"/>
  <c r="U240" i="4"/>
  <c r="J242" i="4"/>
  <c r="U242" i="4"/>
  <c r="J244" i="4"/>
  <c r="U244" i="4"/>
  <c r="AT246" i="4"/>
  <c r="J246" i="4"/>
  <c r="U246" i="4"/>
  <c r="AM252" i="4"/>
  <c r="AM264" i="4"/>
  <c r="J265" i="4"/>
  <c r="U265" i="4"/>
  <c r="J267" i="4"/>
  <c r="U267" i="4"/>
  <c r="J269" i="4"/>
  <c r="U269" i="4"/>
  <c r="J271" i="4"/>
  <c r="U271" i="4"/>
  <c r="AM277" i="4"/>
  <c r="AL277" i="4" s="1"/>
  <c r="AM281" i="4"/>
  <c r="J282" i="4"/>
  <c r="U282" i="4"/>
  <c r="AM284" i="4"/>
  <c r="AQ284" i="4" s="1"/>
  <c r="J284" i="4"/>
  <c r="U284" i="4"/>
  <c r="Q286" i="4"/>
  <c r="J286" i="4"/>
  <c r="U286" i="4"/>
  <c r="J288" i="4"/>
  <c r="U288" i="4"/>
  <c r="Q290" i="4"/>
  <c r="J290" i="4"/>
  <c r="U290" i="4"/>
  <c r="O290" i="4"/>
  <c r="P290" i="4"/>
  <c r="J292" i="4"/>
  <c r="U292" i="4"/>
  <c r="J294" i="4"/>
  <c r="U294" i="4"/>
  <c r="AU299" i="4"/>
  <c r="Q299" i="4"/>
  <c r="J299" i="4"/>
  <c r="U299" i="4"/>
  <c r="J301" i="4"/>
  <c r="U301" i="4"/>
  <c r="AM303" i="4"/>
  <c r="J303" i="4"/>
  <c r="U303" i="4"/>
  <c r="J305" i="4"/>
  <c r="U305" i="4"/>
  <c r="AM307" i="4"/>
  <c r="AL307" i="4" s="1"/>
  <c r="J307" i="4"/>
  <c r="U307" i="4"/>
  <c r="J309" i="4"/>
  <c r="U309" i="4"/>
  <c r="AM315" i="4"/>
  <c r="Q316" i="4"/>
  <c r="J316" i="4"/>
  <c r="U316" i="4"/>
  <c r="Q318" i="4"/>
  <c r="J318" i="4"/>
  <c r="U318" i="4"/>
  <c r="AV320" i="4"/>
  <c r="S320" i="4" s="1"/>
  <c r="Q320" i="4"/>
  <c r="J320" i="4"/>
  <c r="U320" i="4"/>
  <c r="O320" i="4"/>
  <c r="P320" i="4"/>
  <c r="J322" i="4"/>
  <c r="U322" i="4"/>
  <c r="J324" i="4"/>
  <c r="U324" i="4"/>
  <c r="AT326" i="4"/>
  <c r="J326" i="4"/>
  <c r="U326" i="4"/>
  <c r="J328" i="4"/>
  <c r="U328" i="4"/>
  <c r="J330" i="4"/>
  <c r="U330" i="4"/>
  <c r="J332" i="4"/>
  <c r="U332" i="4"/>
  <c r="J334" i="4"/>
  <c r="U334" i="4"/>
  <c r="J336" i="4"/>
  <c r="U336" i="4"/>
  <c r="J338" i="4"/>
  <c r="U338" i="4"/>
  <c r="J340" i="4"/>
  <c r="U340" i="4"/>
  <c r="AT342" i="4"/>
  <c r="J342" i="4"/>
  <c r="U342" i="4"/>
  <c r="J344" i="4"/>
  <c r="U344" i="4"/>
  <c r="J346" i="4"/>
  <c r="U346" i="4"/>
  <c r="J348" i="4"/>
  <c r="U348" i="4"/>
  <c r="J350" i="4"/>
  <c r="U350" i="4"/>
  <c r="J352" i="4"/>
  <c r="U352" i="4"/>
  <c r="J354" i="4"/>
  <c r="U354" i="4"/>
  <c r="J356" i="4"/>
  <c r="U356" i="4"/>
  <c r="J358" i="4"/>
  <c r="U358" i="4"/>
  <c r="J360" i="4"/>
  <c r="U360" i="4"/>
  <c r="J362" i="4"/>
  <c r="U362" i="4"/>
  <c r="J364" i="4"/>
  <c r="U364" i="4"/>
  <c r="J366" i="4"/>
  <c r="U366" i="4"/>
  <c r="J368" i="4"/>
  <c r="U368" i="4"/>
  <c r="J370" i="4"/>
  <c r="U370" i="4"/>
  <c r="J372" i="4"/>
  <c r="U372" i="4"/>
  <c r="J374" i="4"/>
  <c r="U374" i="4"/>
  <c r="J376" i="4"/>
  <c r="U376" i="4"/>
  <c r="J378" i="4"/>
  <c r="U378" i="4"/>
  <c r="J380" i="4"/>
  <c r="U380" i="4"/>
  <c r="J382" i="4"/>
  <c r="U382" i="4"/>
  <c r="J384" i="4"/>
  <c r="U384" i="4"/>
  <c r="J386" i="4"/>
  <c r="U386" i="4"/>
  <c r="J388" i="4"/>
  <c r="U388" i="4"/>
  <c r="AT390" i="4"/>
  <c r="J390" i="4"/>
  <c r="U390" i="4"/>
  <c r="J392" i="4"/>
  <c r="U392" i="4"/>
  <c r="J394" i="4"/>
  <c r="U394" i="4"/>
  <c r="J396" i="4"/>
  <c r="U396" i="4"/>
  <c r="J398" i="4"/>
  <c r="U398" i="4"/>
  <c r="J400" i="4"/>
  <c r="U400" i="4"/>
  <c r="J402" i="4"/>
  <c r="U402" i="4"/>
  <c r="J404" i="4"/>
  <c r="U404" i="4"/>
  <c r="AT406" i="4"/>
  <c r="J406" i="4"/>
  <c r="U406" i="4"/>
  <c r="J408" i="4"/>
  <c r="U408" i="4"/>
  <c r="J410" i="4"/>
  <c r="U410" i="4"/>
  <c r="J412" i="4"/>
  <c r="U412" i="4"/>
  <c r="J414" i="4"/>
  <c r="U414" i="4"/>
  <c r="AV416" i="4"/>
  <c r="J416" i="4"/>
  <c r="U416" i="4"/>
  <c r="J418" i="4"/>
  <c r="U418" i="4"/>
  <c r="J420" i="4"/>
  <c r="U420" i="4"/>
  <c r="J422" i="4"/>
  <c r="U422" i="4"/>
  <c r="J424" i="4"/>
  <c r="U424" i="4"/>
  <c r="J426" i="4"/>
  <c r="U426" i="4"/>
  <c r="J428" i="4"/>
  <c r="U428" i="4"/>
  <c r="J430" i="4"/>
  <c r="U430" i="4"/>
  <c r="J432" i="4"/>
  <c r="U432" i="4"/>
  <c r="J434" i="4"/>
  <c r="U434" i="4"/>
  <c r="J436" i="4"/>
  <c r="U436" i="4"/>
  <c r="J438" i="4"/>
  <c r="U438" i="4"/>
  <c r="J440" i="4"/>
  <c r="U440" i="4"/>
  <c r="J442" i="4"/>
  <c r="U442" i="4"/>
  <c r="J444" i="4"/>
  <c r="U444" i="4"/>
  <c r="J446" i="4"/>
  <c r="U446" i="4"/>
  <c r="AV448" i="4"/>
  <c r="J448" i="4"/>
  <c r="U448" i="4"/>
  <c r="J450" i="4"/>
  <c r="U450" i="4"/>
  <c r="J452" i="4"/>
  <c r="U452" i="4"/>
  <c r="J454" i="4"/>
  <c r="U454" i="4"/>
  <c r="J456" i="4"/>
  <c r="U456" i="4"/>
  <c r="J458" i="4"/>
  <c r="U458" i="4"/>
  <c r="J460" i="4"/>
  <c r="U460" i="4"/>
  <c r="J462" i="4"/>
  <c r="U462" i="4"/>
  <c r="J464" i="4"/>
  <c r="U464" i="4"/>
  <c r="J466" i="4"/>
  <c r="U466" i="4"/>
  <c r="J468" i="4"/>
  <c r="U468" i="4"/>
  <c r="AT470" i="4"/>
  <c r="J470" i="4"/>
  <c r="U470" i="4"/>
  <c r="J472" i="4"/>
  <c r="U472" i="4"/>
  <c r="J474" i="4"/>
  <c r="U474" i="4"/>
  <c r="J476" i="4"/>
  <c r="U476" i="4"/>
  <c r="J478" i="4"/>
  <c r="U478" i="4"/>
  <c r="J480" i="4"/>
  <c r="U480" i="4"/>
  <c r="J482" i="4"/>
  <c r="U482" i="4"/>
  <c r="J484" i="4"/>
  <c r="U484" i="4"/>
  <c r="J486" i="4"/>
  <c r="U486" i="4"/>
  <c r="J488" i="4"/>
  <c r="U488" i="4"/>
  <c r="J490" i="4"/>
  <c r="U490" i="4"/>
  <c r="J492" i="4"/>
  <c r="U492" i="4"/>
  <c r="J494" i="4"/>
  <c r="U494" i="4"/>
  <c r="J496" i="4"/>
  <c r="U496" i="4"/>
  <c r="J498" i="4"/>
  <c r="U498" i="4"/>
  <c r="J500" i="4"/>
  <c r="U500" i="4"/>
  <c r="AT502" i="4"/>
  <c r="J502" i="4"/>
  <c r="U502" i="4"/>
  <c r="J504" i="4"/>
  <c r="U504" i="4"/>
  <c r="J506" i="4"/>
  <c r="U506" i="4"/>
  <c r="J508" i="4"/>
  <c r="U508" i="4"/>
  <c r="J510" i="4"/>
  <c r="U510" i="4"/>
  <c r="AV512" i="4"/>
  <c r="J512" i="4"/>
  <c r="U512" i="4"/>
  <c r="J514" i="4"/>
  <c r="U514" i="4"/>
  <c r="J516" i="4"/>
  <c r="U516" i="4"/>
  <c r="J518" i="4"/>
  <c r="U518" i="4"/>
  <c r="J520" i="4"/>
  <c r="U520" i="4"/>
  <c r="J522" i="4"/>
  <c r="U522" i="4"/>
  <c r="J524" i="4"/>
  <c r="U524" i="4"/>
  <c r="J526" i="4"/>
  <c r="U526" i="4"/>
  <c r="J528" i="4"/>
  <c r="U528" i="4"/>
  <c r="J530" i="4"/>
  <c r="U530" i="4"/>
  <c r="J532" i="4"/>
  <c r="U532" i="4"/>
  <c r="J534" i="4"/>
  <c r="U534" i="4"/>
  <c r="J536" i="4"/>
  <c r="U536" i="4"/>
  <c r="J538" i="4"/>
  <c r="U538" i="4"/>
  <c r="J540" i="4"/>
  <c r="U540" i="4"/>
  <c r="J542" i="4"/>
  <c r="U542" i="4"/>
  <c r="J544" i="4"/>
  <c r="U544" i="4"/>
  <c r="J546" i="4"/>
  <c r="U546" i="4"/>
  <c r="J548" i="4"/>
  <c r="U548" i="4"/>
  <c r="J550" i="4"/>
  <c r="U550" i="4"/>
  <c r="J552" i="4"/>
  <c r="U552" i="4"/>
  <c r="J554" i="4"/>
  <c r="U554" i="4"/>
  <c r="J556" i="4"/>
  <c r="U556" i="4"/>
  <c r="J558" i="4"/>
  <c r="U558" i="4"/>
  <c r="J560" i="4"/>
  <c r="U560" i="4"/>
  <c r="J562" i="4"/>
  <c r="U562" i="4"/>
  <c r="J564" i="4"/>
  <c r="U564" i="4"/>
  <c r="J566" i="4"/>
  <c r="U566" i="4"/>
  <c r="J568" i="4"/>
  <c r="U568" i="4"/>
  <c r="J570" i="4"/>
  <c r="U570" i="4"/>
  <c r="J572" i="4"/>
  <c r="U572" i="4"/>
  <c r="J574" i="4"/>
  <c r="U574" i="4"/>
  <c r="J576" i="4"/>
  <c r="U576" i="4"/>
  <c r="J578" i="4"/>
  <c r="U578" i="4"/>
  <c r="J580" i="4"/>
  <c r="U580" i="4"/>
  <c r="J582" i="4"/>
  <c r="U582" i="4"/>
  <c r="J584" i="4"/>
  <c r="U584" i="4"/>
  <c r="J586" i="4"/>
  <c r="U586" i="4"/>
  <c r="J588" i="4"/>
  <c r="U588" i="4"/>
  <c r="J590" i="4"/>
  <c r="U590" i="4"/>
  <c r="J592" i="4"/>
  <c r="U592" i="4"/>
  <c r="J594" i="4"/>
  <c r="U594" i="4"/>
  <c r="J596" i="4"/>
  <c r="U596" i="4"/>
  <c r="J598" i="4"/>
  <c r="U598" i="4"/>
  <c r="J600" i="4"/>
  <c r="U600" i="4"/>
  <c r="J602" i="4"/>
  <c r="U602" i="4"/>
  <c r="J604" i="4"/>
  <c r="U604" i="4"/>
  <c r="J606" i="4"/>
  <c r="U606" i="4"/>
  <c r="J608" i="4"/>
  <c r="U608" i="4"/>
  <c r="J610" i="4"/>
  <c r="U610" i="4"/>
  <c r="J612" i="4"/>
  <c r="U612" i="4"/>
  <c r="J614" i="4"/>
  <c r="U614" i="4"/>
  <c r="J616" i="4"/>
  <c r="U616" i="4"/>
  <c r="J618" i="4"/>
  <c r="U618" i="4"/>
  <c r="J620" i="4"/>
  <c r="U620" i="4"/>
  <c r="J622" i="4"/>
  <c r="U622" i="4"/>
  <c r="J624" i="4"/>
  <c r="U624" i="4"/>
  <c r="J626" i="4"/>
  <c r="U626" i="4"/>
  <c r="J628" i="4"/>
  <c r="U628" i="4"/>
  <c r="J630" i="4"/>
  <c r="U630" i="4"/>
  <c r="J632" i="4"/>
  <c r="U632" i="4"/>
  <c r="J634" i="4"/>
  <c r="U634" i="4"/>
  <c r="J636" i="4"/>
  <c r="U636" i="4"/>
  <c r="J638" i="4"/>
  <c r="U638" i="4"/>
  <c r="J640" i="4"/>
  <c r="U640" i="4"/>
  <c r="J642" i="4"/>
  <c r="U642" i="4"/>
  <c r="J644" i="4"/>
  <c r="U644" i="4"/>
  <c r="J646" i="4"/>
  <c r="U646" i="4"/>
  <c r="J648" i="4"/>
  <c r="U648" i="4"/>
  <c r="J650" i="4"/>
  <c r="U650" i="4"/>
  <c r="J652" i="4"/>
  <c r="U652" i="4"/>
  <c r="J654" i="4"/>
  <c r="U654" i="4"/>
  <c r="J656" i="4"/>
  <c r="U656" i="4"/>
  <c r="J658" i="4"/>
  <c r="U658" i="4"/>
  <c r="J660" i="4"/>
  <c r="U660" i="4"/>
  <c r="J662" i="4"/>
  <c r="U662" i="4"/>
  <c r="J664" i="4"/>
  <c r="U664" i="4"/>
  <c r="J666" i="4"/>
  <c r="U666" i="4"/>
  <c r="J668" i="4"/>
  <c r="U668" i="4"/>
  <c r="J670" i="4"/>
  <c r="U670" i="4"/>
  <c r="J672" i="4"/>
  <c r="U672" i="4"/>
  <c r="J674" i="4"/>
  <c r="U674" i="4"/>
  <c r="AT676" i="4"/>
  <c r="J676" i="4"/>
  <c r="U676" i="4"/>
  <c r="J678" i="4"/>
  <c r="U678" i="4"/>
  <c r="J680" i="4"/>
  <c r="U680" i="4"/>
  <c r="J682" i="4"/>
  <c r="U682" i="4"/>
  <c r="J684" i="4"/>
  <c r="U684" i="4"/>
  <c r="J686" i="4"/>
  <c r="U686" i="4"/>
  <c r="J688" i="4"/>
  <c r="U688" i="4"/>
  <c r="J690" i="4"/>
  <c r="U690" i="4"/>
  <c r="J692" i="4"/>
  <c r="U692" i="4"/>
  <c r="J694" i="4"/>
  <c r="U694" i="4"/>
  <c r="J696" i="4"/>
  <c r="U696" i="4"/>
  <c r="J698" i="4"/>
  <c r="U698" i="4"/>
  <c r="J700" i="4"/>
  <c r="U700" i="4"/>
  <c r="J702" i="4"/>
  <c r="U702" i="4"/>
  <c r="J704" i="4"/>
  <c r="U704" i="4"/>
  <c r="J706" i="4"/>
  <c r="U706" i="4"/>
  <c r="J708" i="4"/>
  <c r="U708" i="4"/>
  <c r="J710" i="4"/>
  <c r="U710" i="4"/>
  <c r="J712" i="4"/>
  <c r="U712" i="4"/>
  <c r="J714" i="4"/>
  <c r="U714" i="4"/>
  <c r="J716" i="4"/>
  <c r="U716" i="4"/>
  <c r="AV718" i="4"/>
  <c r="J718" i="4"/>
  <c r="U718" i="4"/>
  <c r="J720" i="4"/>
  <c r="U720" i="4"/>
  <c r="J722" i="4"/>
  <c r="U722" i="4"/>
  <c r="J724" i="4"/>
  <c r="U724" i="4"/>
  <c r="J726" i="4"/>
  <c r="U726" i="4"/>
  <c r="J728" i="4"/>
  <c r="U728" i="4"/>
  <c r="J730" i="4"/>
  <c r="U730" i="4"/>
  <c r="J732" i="4"/>
  <c r="U732" i="4"/>
  <c r="J734" i="4"/>
  <c r="U734" i="4"/>
  <c r="J736" i="4"/>
  <c r="U736" i="4"/>
  <c r="J738" i="4"/>
  <c r="U738" i="4"/>
  <c r="AT740" i="4"/>
  <c r="J740" i="4"/>
  <c r="U740" i="4"/>
  <c r="J742" i="4"/>
  <c r="U742" i="4"/>
  <c r="J744" i="4"/>
  <c r="U744" i="4"/>
  <c r="J746" i="4"/>
  <c r="U746" i="4"/>
  <c r="J748" i="4"/>
  <c r="U748" i="4"/>
  <c r="J750" i="4"/>
  <c r="U750" i="4"/>
  <c r="J752" i="4"/>
  <c r="U752" i="4"/>
  <c r="J754" i="4"/>
  <c r="U754" i="4"/>
  <c r="J756" i="4"/>
  <c r="U756" i="4"/>
  <c r="J758" i="4"/>
  <c r="U758" i="4"/>
  <c r="J760" i="4"/>
  <c r="U760" i="4"/>
  <c r="J762" i="4"/>
  <c r="U762" i="4"/>
  <c r="J764" i="4"/>
  <c r="U764" i="4"/>
  <c r="J766" i="4"/>
  <c r="U766" i="4"/>
  <c r="J768" i="4"/>
  <c r="U768" i="4"/>
  <c r="J770" i="4"/>
  <c r="U770" i="4"/>
  <c r="AT772" i="4"/>
  <c r="J772" i="4"/>
  <c r="U772" i="4"/>
  <c r="J774" i="4"/>
  <c r="U774" i="4"/>
  <c r="J776" i="4"/>
  <c r="U776" i="4"/>
  <c r="J778" i="4"/>
  <c r="U778" i="4"/>
  <c r="J780" i="4"/>
  <c r="U780" i="4"/>
  <c r="AV782" i="4"/>
  <c r="J782" i="4"/>
  <c r="U782" i="4"/>
  <c r="J784" i="4"/>
  <c r="U784" i="4"/>
  <c r="J786" i="4"/>
  <c r="U786" i="4"/>
  <c r="J788" i="4"/>
  <c r="U788" i="4"/>
  <c r="J790" i="4"/>
  <c r="U790" i="4"/>
  <c r="J792" i="4"/>
  <c r="U792" i="4"/>
  <c r="J794" i="4"/>
  <c r="U794" i="4"/>
  <c r="J796" i="4"/>
  <c r="U796" i="4"/>
  <c r="J798" i="4"/>
  <c r="U798" i="4"/>
  <c r="J800" i="4"/>
  <c r="U800" i="4"/>
  <c r="J802" i="4"/>
  <c r="U802" i="4"/>
  <c r="J804" i="4"/>
  <c r="U804" i="4"/>
  <c r="J806" i="4"/>
  <c r="U806" i="4"/>
  <c r="J808" i="4"/>
  <c r="U808" i="4"/>
  <c r="J810" i="4"/>
  <c r="U810" i="4"/>
  <c r="J812" i="4"/>
  <c r="U812" i="4"/>
  <c r="J814" i="4"/>
  <c r="U814" i="4"/>
  <c r="J816" i="4"/>
  <c r="U816" i="4"/>
  <c r="J818" i="4"/>
  <c r="U818" i="4"/>
  <c r="J820" i="4"/>
  <c r="U820" i="4"/>
  <c r="J822" i="4"/>
  <c r="U822" i="4"/>
  <c r="J824" i="4"/>
  <c r="U824" i="4"/>
  <c r="J826" i="4"/>
  <c r="U826" i="4"/>
  <c r="J828" i="4"/>
  <c r="U828" i="4"/>
  <c r="J830" i="4"/>
  <c r="U830" i="4"/>
  <c r="J832" i="4"/>
  <c r="U832" i="4"/>
  <c r="J834" i="4"/>
  <c r="U834" i="4"/>
  <c r="J836" i="4"/>
  <c r="U836" i="4"/>
  <c r="J838" i="4"/>
  <c r="U838" i="4"/>
  <c r="J840" i="4"/>
  <c r="U840" i="4"/>
  <c r="J842" i="4"/>
  <c r="U842" i="4"/>
  <c r="J844" i="4"/>
  <c r="U844" i="4"/>
  <c r="J846" i="4"/>
  <c r="U846" i="4"/>
  <c r="J848" i="4"/>
  <c r="U848" i="4"/>
  <c r="J850" i="4"/>
  <c r="U850" i="4"/>
  <c r="J852" i="4"/>
  <c r="U852" i="4"/>
  <c r="J854" i="4"/>
  <c r="U854" i="4"/>
  <c r="J856" i="4"/>
  <c r="U856" i="4"/>
  <c r="J858" i="4"/>
  <c r="U858" i="4"/>
  <c r="J860" i="4"/>
  <c r="U860" i="4"/>
  <c r="J862" i="4"/>
  <c r="U862" i="4"/>
  <c r="J864" i="4"/>
  <c r="U864" i="4"/>
  <c r="J866" i="4"/>
  <c r="U866" i="4"/>
  <c r="J868" i="4"/>
  <c r="U868" i="4"/>
  <c r="J870" i="4"/>
  <c r="U870" i="4"/>
  <c r="J872" i="4"/>
  <c r="U872" i="4"/>
  <c r="J874" i="4"/>
  <c r="U874" i="4"/>
  <c r="J876" i="4"/>
  <c r="U876" i="4"/>
  <c r="J878" i="4"/>
  <c r="U878" i="4"/>
  <c r="J880" i="4"/>
  <c r="U880" i="4"/>
  <c r="J882" i="4"/>
  <c r="U882" i="4"/>
  <c r="J884" i="4"/>
  <c r="U884" i="4"/>
  <c r="J886" i="4"/>
  <c r="U886" i="4"/>
  <c r="J888" i="4"/>
  <c r="U888" i="4"/>
  <c r="J890" i="4"/>
  <c r="U890" i="4"/>
  <c r="J892" i="4"/>
  <c r="U892" i="4"/>
  <c r="J894" i="4"/>
  <c r="U894" i="4"/>
  <c r="J896" i="4"/>
  <c r="U896" i="4"/>
  <c r="J898" i="4"/>
  <c r="U898" i="4"/>
  <c r="J900" i="4"/>
  <c r="U900" i="4"/>
  <c r="J902" i="4"/>
  <c r="U902" i="4"/>
  <c r="J904" i="4"/>
  <c r="U904" i="4"/>
  <c r="J906" i="4"/>
  <c r="U906" i="4"/>
  <c r="J908" i="4"/>
  <c r="U908" i="4"/>
  <c r="J910" i="4"/>
  <c r="U910" i="4"/>
  <c r="J912" i="4"/>
  <c r="U912" i="4"/>
  <c r="J914" i="4"/>
  <c r="U914" i="4"/>
  <c r="J916" i="4"/>
  <c r="U916" i="4"/>
  <c r="J918" i="4"/>
  <c r="U918" i="4"/>
  <c r="J920" i="4"/>
  <c r="U920" i="4"/>
  <c r="J922" i="4"/>
  <c r="U922" i="4"/>
  <c r="J924" i="4"/>
  <c r="U924" i="4"/>
  <c r="J926" i="4"/>
  <c r="U926" i="4"/>
  <c r="J928" i="4"/>
  <c r="U928" i="4"/>
  <c r="J930" i="4"/>
  <c r="U930" i="4"/>
  <c r="J932" i="4"/>
  <c r="U932" i="4"/>
  <c r="J934" i="4"/>
  <c r="U934" i="4"/>
  <c r="J936" i="4"/>
  <c r="U936" i="4"/>
  <c r="J938" i="4"/>
  <c r="U938" i="4"/>
  <c r="J940" i="4"/>
  <c r="U940" i="4"/>
  <c r="J942" i="4"/>
  <c r="U942" i="4"/>
  <c r="J944" i="4"/>
  <c r="U944" i="4"/>
  <c r="J946" i="4"/>
  <c r="U946" i="4"/>
  <c r="J948" i="4"/>
  <c r="U948" i="4"/>
  <c r="J950" i="4"/>
  <c r="U950" i="4"/>
  <c r="J952" i="4"/>
  <c r="U952" i="4"/>
  <c r="J954" i="4"/>
  <c r="U954" i="4"/>
  <c r="J956" i="4"/>
  <c r="U956" i="4"/>
  <c r="J958" i="4"/>
  <c r="U958" i="4"/>
  <c r="J960" i="4"/>
  <c r="U960" i="4"/>
  <c r="J962" i="4"/>
  <c r="U962" i="4"/>
  <c r="J964" i="4"/>
  <c r="U964" i="4"/>
  <c r="J966" i="4"/>
  <c r="U966" i="4"/>
  <c r="J968" i="4"/>
  <c r="U968" i="4"/>
  <c r="J970" i="4"/>
  <c r="U970" i="4"/>
  <c r="J972" i="4"/>
  <c r="U972" i="4"/>
  <c r="J974" i="4"/>
  <c r="U974" i="4"/>
  <c r="J976" i="4"/>
  <c r="U976" i="4"/>
  <c r="J978" i="4"/>
  <c r="U978" i="4"/>
  <c r="J980" i="4"/>
  <c r="U980" i="4"/>
  <c r="J982" i="4"/>
  <c r="U982" i="4"/>
  <c r="J984" i="4"/>
  <c r="U984" i="4"/>
  <c r="J986" i="4"/>
  <c r="U986" i="4"/>
  <c r="J988" i="4"/>
  <c r="U988" i="4"/>
  <c r="J990" i="4"/>
  <c r="U990" i="4"/>
  <c r="J992" i="4"/>
  <c r="U992" i="4"/>
  <c r="J994" i="4"/>
  <c r="U994" i="4"/>
  <c r="J996" i="4"/>
  <c r="U996" i="4"/>
  <c r="J998" i="4"/>
  <c r="U998" i="4"/>
  <c r="J1000" i="4"/>
  <c r="U1000" i="4"/>
  <c r="J1002" i="4"/>
  <c r="U1002" i="4"/>
  <c r="R19" i="4"/>
  <c r="R27" i="4"/>
  <c r="R59" i="4"/>
  <c r="R91" i="4"/>
  <c r="R195" i="4"/>
  <c r="AT4" i="4"/>
  <c r="J4" i="4"/>
  <c r="U4" i="4"/>
  <c r="M4" i="4"/>
  <c r="L4" i="4"/>
  <c r="U3" i="4"/>
  <c r="AJ194" i="4"/>
  <c r="AP12" i="4"/>
  <c r="AK12" i="4"/>
  <c r="AL12" i="4"/>
  <c r="AO284" i="4"/>
  <c r="AO303" i="4"/>
  <c r="AP303" i="4"/>
  <c r="AK303" i="4"/>
  <c r="AK307" i="4"/>
  <c r="BD31" i="10"/>
  <c r="BF31" i="10"/>
  <c r="AL178" i="4"/>
  <c r="BJ33" i="10"/>
  <c r="AX33" i="10"/>
  <c r="AZ33" i="10"/>
  <c r="BF33" i="10"/>
  <c r="BE33" i="10"/>
  <c r="AO287" i="4"/>
  <c r="AQ287" i="4"/>
  <c r="AJ287" i="4"/>
  <c r="AO291" i="4"/>
  <c r="AK291" i="4"/>
  <c r="AP291" i="4"/>
  <c r="AO319" i="4"/>
  <c r="AP319" i="4"/>
  <c r="AJ319" i="4"/>
  <c r="AL306" i="4"/>
  <c r="AM42" i="4"/>
  <c r="AZ44" i="10"/>
  <c r="AZ42" i="10"/>
  <c r="AZ53" i="10"/>
  <c r="AZ29" i="10"/>
  <c r="BA9" i="10"/>
  <c r="BD9" i="10"/>
  <c r="BE9" i="10"/>
  <c r="AX13" i="10"/>
  <c r="AX36" i="10"/>
  <c r="AX44" i="10"/>
  <c r="AX34" i="10"/>
  <c r="AX50" i="10"/>
  <c r="AZ54" i="10"/>
  <c r="BF23" i="10"/>
  <c r="BF22" i="10"/>
  <c r="BE56" i="10"/>
  <c r="BA10" i="10"/>
  <c r="AY10" i="10" s="1"/>
  <c r="BE10" i="10"/>
  <c r="BD10" i="10"/>
  <c r="BF8" i="10"/>
  <c r="BE8" i="10"/>
  <c r="BD8" i="10"/>
  <c r="AM33" i="4"/>
  <c r="AO33" i="4" s="1"/>
  <c r="AJ16" i="4"/>
  <c r="AM18" i="4"/>
  <c r="AM15" i="4"/>
  <c r="AL15" i="4" s="1"/>
  <c r="AZ25" i="10"/>
  <c r="AM14" i="4"/>
  <c r="BD22" i="10"/>
  <c r="BD18" i="10"/>
  <c r="BE14" i="10"/>
  <c r="AY39" i="10"/>
  <c r="BF16" i="10"/>
  <c r="BE12" i="10"/>
  <c r="BA16" i="10"/>
  <c r="AY16" i="10" s="1"/>
  <c r="BJ47" i="10"/>
  <c r="BJ53" i="10"/>
  <c r="BE52" i="10"/>
  <c r="BA14" i="10"/>
  <c r="AY14" i="10" s="1"/>
  <c r="BD45" i="10"/>
  <c r="AM181" i="4"/>
  <c r="AM220" i="4"/>
  <c r="AM228" i="4"/>
  <c r="AL228" i="4" s="1"/>
  <c r="AM251" i="4"/>
  <c r="AM263" i="4"/>
  <c r="AM278" i="4"/>
  <c r="AM280" i="4"/>
  <c r="AM294" i="4"/>
  <c r="AM310" i="4"/>
  <c r="BA23" i="10"/>
  <c r="BF17" i="10"/>
  <c r="AY11" i="10"/>
  <c r="BD20" i="10"/>
  <c r="BF9" i="10"/>
  <c r="BA20" i="10"/>
  <c r="AY20" i="10" s="1"/>
  <c r="BA19" i="10"/>
  <c r="AX19" i="10" s="1"/>
  <c r="BJ11" i="10"/>
  <c r="BE36" i="10"/>
  <c r="BF57" i="10"/>
  <c r="BF37" i="10"/>
  <c r="AM170" i="4"/>
  <c r="AM172" i="4"/>
  <c r="AL172" i="4" s="1"/>
  <c r="AM174" i="4"/>
  <c r="AM176" i="4"/>
  <c r="AM185" i="4"/>
  <c r="AM203" i="4"/>
  <c r="AM236" i="4"/>
  <c r="AM244" i="4"/>
  <c r="AM271" i="4"/>
  <c r="AL271" i="4" s="1"/>
  <c r="AM298" i="4"/>
  <c r="AL298" i="4" s="1"/>
  <c r="AM314" i="4"/>
  <c r="B71" i="6"/>
  <c r="C68" i="6" s="1"/>
  <c r="B83" i="6"/>
  <c r="D80" i="6" s="1"/>
  <c r="B49" i="3"/>
  <c r="B59" i="3" s="1"/>
  <c r="H7" i="9" s="1"/>
  <c r="F42" i="3"/>
  <c r="D56" i="3"/>
  <c r="B42" i="3"/>
  <c r="D39" i="3" s="1"/>
  <c r="K3" i="4"/>
  <c r="AT3" i="4"/>
  <c r="AM3" i="4"/>
  <c r="AU3" i="4"/>
  <c r="AV3" i="4"/>
  <c r="AM44" i="4"/>
  <c r="AV44" i="4"/>
  <c r="AT44" i="4"/>
  <c r="AU44" i="4"/>
  <c r="S44" i="4" s="1"/>
  <c r="AU38" i="4"/>
  <c r="AT38" i="4"/>
  <c r="AV38" i="4"/>
  <c r="S38" i="4" s="1"/>
  <c r="AM32" i="4"/>
  <c r="AL32" i="4" s="1"/>
  <c r="AV32" i="4"/>
  <c r="AU32" i="4"/>
  <c r="AT32" i="4"/>
  <c r="AV31" i="4"/>
  <c r="AU31" i="4"/>
  <c r="S31" i="4" s="1"/>
  <c r="AT31" i="4"/>
  <c r="AM31" i="4"/>
  <c r="AO31" i="4" s="1"/>
  <c r="AV47" i="4"/>
  <c r="AU47" i="4"/>
  <c r="S47" i="4" s="1"/>
  <c r="AT47" i="4"/>
  <c r="AT45" i="4"/>
  <c r="AV45" i="4"/>
  <c r="AU45" i="4"/>
  <c r="AU42" i="4"/>
  <c r="AT42" i="4"/>
  <c r="AV42" i="4"/>
  <c r="AV36" i="4"/>
  <c r="AT36" i="4"/>
  <c r="AU36" i="4"/>
  <c r="AM35" i="4"/>
  <c r="AK35" i="4" s="1"/>
  <c r="AV35" i="4"/>
  <c r="AU35" i="4"/>
  <c r="AT35" i="4"/>
  <c r="R35" i="4" s="1"/>
  <c r="AP28" i="4"/>
  <c r="AO28" i="4"/>
  <c r="AO13" i="4"/>
  <c r="AK13" i="4"/>
  <c r="AM41" i="4"/>
  <c r="AJ41" i="4" s="1"/>
  <c r="AT41" i="4"/>
  <c r="AU41" i="4"/>
  <c r="AV41" i="4"/>
  <c r="AU22" i="4"/>
  <c r="AT22" i="4"/>
  <c r="AV22" i="4"/>
  <c r="S22" i="4" s="1"/>
  <c r="AM20" i="4"/>
  <c r="AV20" i="4"/>
  <c r="AT20" i="4"/>
  <c r="AU20" i="4"/>
  <c r="AQ47" i="4"/>
  <c r="AM48" i="4"/>
  <c r="AP48" i="4" s="1"/>
  <c r="Q48" i="4" s="1"/>
  <c r="AV48" i="4"/>
  <c r="AU48" i="4"/>
  <c r="AT48" i="4"/>
  <c r="AM46" i="4"/>
  <c r="AU46" i="4"/>
  <c r="AT46" i="4"/>
  <c r="S46" i="4" s="1"/>
  <c r="AV46" i="4"/>
  <c r="AV43" i="4"/>
  <c r="AU43" i="4"/>
  <c r="AT43" i="4"/>
  <c r="R43" i="4" s="1"/>
  <c r="AT29" i="4"/>
  <c r="AV29" i="4"/>
  <c r="AU29" i="4"/>
  <c r="S29" i="4" s="1"/>
  <c r="AM29" i="4"/>
  <c r="AM17" i="4"/>
  <c r="AT17" i="4"/>
  <c r="AU17" i="4"/>
  <c r="AV17" i="4"/>
  <c r="AV16" i="4"/>
  <c r="AU16" i="4"/>
  <c r="AT16" i="4"/>
  <c r="AT49" i="4"/>
  <c r="AU49" i="4"/>
  <c r="R49" i="4" s="1"/>
  <c r="AV49" i="4"/>
  <c r="AM34" i="4"/>
  <c r="AU34" i="4"/>
  <c r="AT34" i="4"/>
  <c r="AV34" i="4"/>
  <c r="AT33" i="4"/>
  <c r="AU33" i="4"/>
  <c r="AV33" i="4"/>
  <c r="AU30" i="4"/>
  <c r="AT30" i="4"/>
  <c r="AV30" i="4"/>
  <c r="S30" i="4" s="1"/>
  <c r="AM30" i="4"/>
  <c r="AM27" i="4"/>
  <c r="AO27" i="4" s="1"/>
  <c r="AM25" i="4"/>
  <c r="AQ25" i="4" s="1"/>
  <c r="AT25" i="4"/>
  <c r="AU25" i="4"/>
  <c r="R25" i="4" s="1"/>
  <c r="AV25" i="4"/>
  <c r="AV15" i="4"/>
  <c r="AU15" i="4"/>
  <c r="AT15" i="4"/>
  <c r="AV27" i="4"/>
  <c r="AU27" i="4"/>
  <c r="AT27" i="4"/>
  <c r="AM23" i="4"/>
  <c r="AV23" i="4"/>
  <c r="AU23" i="4"/>
  <c r="AT23" i="4"/>
  <c r="AT21" i="4"/>
  <c r="AV21" i="4"/>
  <c r="AU21" i="4"/>
  <c r="S21" i="4" s="1"/>
  <c r="AT13" i="4"/>
  <c r="AV13" i="4"/>
  <c r="AU13" i="4"/>
  <c r="AV12" i="4"/>
  <c r="AT12" i="4"/>
  <c r="AU12" i="4"/>
  <c r="S12" i="4" s="1"/>
  <c r="AP11" i="4"/>
  <c r="AO11" i="4"/>
  <c r="AV7" i="4"/>
  <c r="AU7" i="4"/>
  <c r="R7" i="4" s="1"/>
  <c r="AT7" i="4"/>
  <c r="AM7" i="4"/>
  <c r="AT9" i="4"/>
  <c r="AU9" i="4"/>
  <c r="R9" i="4" s="1"/>
  <c r="AV9" i="4"/>
  <c r="AM9" i="4"/>
  <c r="AQ9" i="4" s="1"/>
  <c r="AM40" i="4"/>
  <c r="AQ40" i="4" s="1"/>
  <c r="AV40" i="4"/>
  <c r="AU40" i="4"/>
  <c r="AT40" i="4"/>
  <c r="AM39" i="4"/>
  <c r="AQ39" i="4" s="1"/>
  <c r="AV39" i="4"/>
  <c r="AU39" i="4"/>
  <c r="AT39" i="4"/>
  <c r="AM38" i="4"/>
  <c r="AQ38" i="4" s="1"/>
  <c r="AT37" i="4"/>
  <c r="AV37" i="4"/>
  <c r="AU37" i="4"/>
  <c r="S37" i="4" s="1"/>
  <c r="AV28" i="4"/>
  <c r="AT28" i="4"/>
  <c r="AU28" i="4"/>
  <c r="AM26" i="4"/>
  <c r="AP26" i="4" s="1"/>
  <c r="AU26" i="4"/>
  <c r="AT26" i="4"/>
  <c r="AV26" i="4"/>
  <c r="AM24" i="4"/>
  <c r="AL24" i="4" s="1"/>
  <c r="AV24" i="4"/>
  <c r="AU24" i="4"/>
  <c r="AT24" i="4"/>
  <c r="AM22" i="4"/>
  <c r="AL22" i="4" s="1"/>
  <c r="AM21" i="4"/>
  <c r="AQ21" i="4" s="1"/>
  <c r="AV19" i="4"/>
  <c r="AU19" i="4"/>
  <c r="AT19" i="4"/>
  <c r="AU18" i="4"/>
  <c r="AT18" i="4"/>
  <c r="AV18" i="4"/>
  <c r="AU14" i="4"/>
  <c r="AT14" i="4"/>
  <c r="S14" i="4" s="1"/>
  <c r="AV14" i="4"/>
  <c r="AQ11" i="4"/>
  <c r="AU122" i="4"/>
  <c r="AT122" i="4"/>
  <c r="AV122" i="4"/>
  <c r="AM124" i="4"/>
  <c r="AV124" i="4"/>
  <c r="AT124" i="4"/>
  <c r="AU180" i="4"/>
  <c r="S180" i="4" s="1"/>
  <c r="AT180" i="4"/>
  <c r="AV180" i="4"/>
  <c r="AU184" i="4"/>
  <c r="AT184" i="4"/>
  <c r="AV184" i="4"/>
  <c r="AU188" i="4"/>
  <c r="AT188" i="4"/>
  <c r="AV188" i="4"/>
  <c r="AU192" i="4"/>
  <c r="AT192" i="4"/>
  <c r="AU200" i="4"/>
  <c r="AT200" i="4"/>
  <c r="AV200" i="4"/>
  <c r="AM202" i="4"/>
  <c r="AV202" i="4"/>
  <c r="AT202" i="4"/>
  <c r="AU202" i="4"/>
  <c r="AT207" i="4"/>
  <c r="AU207" i="4"/>
  <c r="AV207" i="4"/>
  <c r="AM209" i="4"/>
  <c r="AV209" i="4"/>
  <c r="AU209" i="4"/>
  <c r="AT209" i="4"/>
  <c r="AU216" i="4"/>
  <c r="AT216" i="4"/>
  <c r="AV216" i="4"/>
  <c r="AM218" i="4"/>
  <c r="AV218" i="4"/>
  <c r="AT218" i="4"/>
  <c r="AU218" i="4"/>
  <c r="AT223" i="4"/>
  <c r="AU223" i="4"/>
  <c r="AV223" i="4"/>
  <c r="AM225" i="4"/>
  <c r="AL225" i="4" s="1"/>
  <c r="AV225" i="4"/>
  <c r="AU225" i="4"/>
  <c r="R225" i="4" s="1"/>
  <c r="AT225" i="4"/>
  <c r="AU232" i="4"/>
  <c r="AT232" i="4"/>
  <c r="AV232" i="4"/>
  <c r="AM234" i="4"/>
  <c r="AL234" i="4" s="1"/>
  <c r="AV234" i="4"/>
  <c r="AT234" i="4"/>
  <c r="AU234" i="4"/>
  <c r="AT239" i="4"/>
  <c r="AU239" i="4"/>
  <c r="AV239" i="4"/>
  <c r="AM241" i="4"/>
  <c r="AV241" i="4"/>
  <c r="AU241" i="4"/>
  <c r="AT241" i="4"/>
  <c r="AU248" i="4"/>
  <c r="AT248" i="4"/>
  <c r="AV248" i="4"/>
  <c r="AM250" i="4"/>
  <c r="AV250" i="4"/>
  <c r="AT250" i="4"/>
  <c r="AU250" i="4"/>
  <c r="AT255" i="4"/>
  <c r="AU255" i="4"/>
  <c r="AV255" i="4"/>
  <c r="AV257" i="4"/>
  <c r="AU257" i="4"/>
  <c r="AT257" i="4"/>
  <c r="AU260" i="4"/>
  <c r="AT260" i="4"/>
  <c r="AV260" i="4"/>
  <c r="AV262" i="4"/>
  <c r="AU262" i="4"/>
  <c r="AV265" i="4"/>
  <c r="AU265" i="4"/>
  <c r="AT265" i="4"/>
  <c r="AU268" i="4"/>
  <c r="AT268" i="4"/>
  <c r="AV268" i="4"/>
  <c r="AV270" i="4"/>
  <c r="AU270" i="4"/>
  <c r="AT270" i="4"/>
  <c r="S270" i="4" s="1"/>
  <c r="AV273" i="4"/>
  <c r="AU273" i="4"/>
  <c r="R273" i="4" s="1"/>
  <c r="AT273" i="4"/>
  <c r="AU276" i="4"/>
  <c r="AT276" i="4"/>
  <c r="AV276" i="4"/>
  <c r="AT279" i="4"/>
  <c r="AU279" i="4"/>
  <c r="AV279" i="4"/>
  <c r="AV282" i="4"/>
  <c r="AT282" i="4"/>
  <c r="AU282" i="4"/>
  <c r="AV289" i="4"/>
  <c r="AU289" i="4"/>
  <c r="R289" i="4" s="1"/>
  <c r="AT289" i="4"/>
  <c r="AV293" i="4"/>
  <c r="AU293" i="4"/>
  <c r="AT293" i="4"/>
  <c r="AV297" i="4"/>
  <c r="AU297" i="4"/>
  <c r="AT297" i="4"/>
  <c r="AV301" i="4"/>
  <c r="AU301" i="4"/>
  <c r="AT301" i="4"/>
  <c r="AV305" i="4"/>
  <c r="AU305" i="4"/>
  <c r="AT305" i="4"/>
  <c r="AV309" i="4"/>
  <c r="R309" i="4" s="1"/>
  <c r="AU309" i="4"/>
  <c r="AT309" i="4"/>
  <c r="AV313" i="4"/>
  <c r="AU313" i="4"/>
  <c r="AT313" i="4"/>
  <c r="AV317" i="4"/>
  <c r="AU317" i="4"/>
  <c r="AT317" i="4"/>
  <c r="AV325" i="4"/>
  <c r="AU325" i="4"/>
  <c r="R325" i="4" s="1"/>
  <c r="AT325" i="4"/>
  <c r="AT327" i="4"/>
  <c r="S327" i="4" s="1"/>
  <c r="AU327" i="4"/>
  <c r="AV327" i="4"/>
  <c r="AM332" i="4"/>
  <c r="AL332" i="4" s="1"/>
  <c r="AU332" i="4"/>
  <c r="AT332" i="4"/>
  <c r="AV332" i="4"/>
  <c r="AM334" i="4"/>
  <c r="AV334" i="4"/>
  <c r="AU334" i="4"/>
  <c r="AT334" i="4"/>
  <c r="AV341" i="4"/>
  <c r="AU341" i="4"/>
  <c r="AT341" i="4"/>
  <c r="AT343" i="4"/>
  <c r="AU343" i="4"/>
  <c r="AV343" i="4"/>
  <c r="AM348" i="4"/>
  <c r="AU348" i="4"/>
  <c r="AT348" i="4"/>
  <c r="AV348" i="4"/>
  <c r="AM350" i="4"/>
  <c r="AV350" i="4"/>
  <c r="AU350" i="4"/>
  <c r="AT350" i="4"/>
  <c r="AV357" i="4"/>
  <c r="AU357" i="4"/>
  <c r="S357" i="4" s="1"/>
  <c r="AT357" i="4"/>
  <c r="AT359" i="4"/>
  <c r="AU359" i="4"/>
  <c r="AV359" i="4"/>
  <c r="AM364" i="4"/>
  <c r="AU364" i="4"/>
  <c r="AT364" i="4"/>
  <c r="AV364" i="4"/>
  <c r="AM366" i="4"/>
  <c r="AV366" i="4"/>
  <c r="AU366" i="4"/>
  <c r="AT366" i="4"/>
  <c r="AV373" i="4"/>
  <c r="AU373" i="4"/>
  <c r="S373" i="4" s="1"/>
  <c r="AT373" i="4"/>
  <c r="AT375" i="4"/>
  <c r="AU375" i="4"/>
  <c r="AV375" i="4"/>
  <c r="AM380" i="4"/>
  <c r="AU380" i="4"/>
  <c r="AT380" i="4"/>
  <c r="AV380" i="4"/>
  <c r="R380" i="4" s="1"/>
  <c r="AM382" i="4"/>
  <c r="AV382" i="4"/>
  <c r="AU382" i="4"/>
  <c r="AT382" i="4"/>
  <c r="AV389" i="4"/>
  <c r="AU389" i="4"/>
  <c r="R389" i="4" s="1"/>
  <c r="AT389" i="4"/>
  <c r="AT391" i="4"/>
  <c r="AU391" i="4"/>
  <c r="AV391" i="4"/>
  <c r="AM396" i="4"/>
  <c r="AL396" i="4" s="1"/>
  <c r="AU396" i="4"/>
  <c r="AT396" i="4"/>
  <c r="AV396" i="4"/>
  <c r="AM398" i="4"/>
  <c r="AV398" i="4"/>
  <c r="AU398" i="4"/>
  <c r="AT398" i="4"/>
  <c r="AV405" i="4"/>
  <c r="AU405" i="4"/>
  <c r="AT405" i="4"/>
  <c r="AT407" i="4"/>
  <c r="AV407" i="4"/>
  <c r="AU407" i="4"/>
  <c r="AM712" i="4"/>
  <c r="AV712" i="4"/>
  <c r="AT712" i="4"/>
  <c r="AU712" i="4"/>
  <c r="AM714" i="4"/>
  <c r="AU714" i="4"/>
  <c r="AT714" i="4"/>
  <c r="AV714" i="4"/>
  <c r="AM717" i="4"/>
  <c r="AT717" i="4"/>
  <c r="AU717" i="4"/>
  <c r="AV717" i="4"/>
  <c r="AM727" i="4"/>
  <c r="AV727" i="4"/>
  <c r="AU727" i="4"/>
  <c r="AT727" i="4"/>
  <c r="AM906" i="4"/>
  <c r="AV906" i="4"/>
  <c r="AU906" i="4"/>
  <c r="AT906" i="4"/>
  <c r="AM908" i="4"/>
  <c r="AU908" i="4"/>
  <c r="AT908" i="4"/>
  <c r="AV908" i="4"/>
  <c r="AT931" i="4"/>
  <c r="AV931" i="4"/>
  <c r="AU931" i="4"/>
  <c r="AM933" i="4"/>
  <c r="AV933" i="4"/>
  <c r="AU933" i="4"/>
  <c r="S933" i="4" s="1"/>
  <c r="AT933" i="4"/>
  <c r="AM970" i="4"/>
  <c r="AL970" i="4" s="1"/>
  <c r="AV970" i="4"/>
  <c r="AU970" i="4"/>
  <c r="S970" i="4" s="1"/>
  <c r="AT970" i="4"/>
  <c r="AM972" i="4"/>
  <c r="AL972" i="4" s="1"/>
  <c r="AU972" i="4"/>
  <c r="AT972" i="4"/>
  <c r="AV972" i="4"/>
  <c r="AV192" i="4"/>
  <c r="AM10" i="4"/>
  <c r="AU10" i="4"/>
  <c r="AT10" i="4"/>
  <c r="AV10" i="4"/>
  <c r="AU50" i="4"/>
  <c r="S50" i="4" s="1"/>
  <c r="AT50" i="4"/>
  <c r="AV50" i="4"/>
  <c r="AV51" i="4"/>
  <c r="R51" i="4" s="1"/>
  <c r="AU51" i="4"/>
  <c r="AT51" i="4"/>
  <c r="AV52" i="4"/>
  <c r="AT52" i="4"/>
  <c r="AT53" i="4"/>
  <c r="AV53" i="4"/>
  <c r="AU53" i="4"/>
  <c r="AU54" i="4"/>
  <c r="R54" i="4" s="1"/>
  <c r="AT54" i="4"/>
  <c r="AV54" i="4"/>
  <c r="AV55" i="4"/>
  <c r="AU55" i="4"/>
  <c r="AV56" i="4"/>
  <c r="AU56" i="4"/>
  <c r="R56" i="4" s="1"/>
  <c r="AT56" i="4"/>
  <c r="AT57" i="4"/>
  <c r="AU57" i="4"/>
  <c r="AU58" i="4"/>
  <c r="AT58" i="4"/>
  <c r="AV58" i="4"/>
  <c r="AV59" i="4"/>
  <c r="AU59" i="4"/>
  <c r="S59" i="4" s="1"/>
  <c r="AT59" i="4"/>
  <c r="AV60" i="4"/>
  <c r="AT60" i="4"/>
  <c r="AT61" i="4"/>
  <c r="AV61" i="4"/>
  <c r="AU61" i="4"/>
  <c r="AU62" i="4"/>
  <c r="AT62" i="4"/>
  <c r="AV62" i="4"/>
  <c r="AV63" i="4"/>
  <c r="AU63" i="4"/>
  <c r="AV64" i="4"/>
  <c r="AU64" i="4"/>
  <c r="AT64" i="4"/>
  <c r="AT65" i="4"/>
  <c r="AU65" i="4"/>
  <c r="AU66" i="4"/>
  <c r="AT66" i="4"/>
  <c r="AV66" i="4"/>
  <c r="AV67" i="4"/>
  <c r="AU67" i="4"/>
  <c r="AT67" i="4"/>
  <c r="R67" i="4" s="1"/>
  <c r="AV68" i="4"/>
  <c r="AT68" i="4"/>
  <c r="R68" i="4" s="1"/>
  <c r="AT69" i="4"/>
  <c r="AV69" i="4"/>
  <c r="AU69" i="4"/>
  <c r="AU70" i="4"/>
  <c r="AT70" i="4"/>
  <c r="AV70" i="4"/>
  <c r="S70" i="4" s="1"/>
  <c r="AV71" i="4"/>
  <c r="AU71" i="4"/>
  <c r="AV72" i="4"/>
  <c r="AU72" i="4"/>
  <c r="AT72" i="4"/>
  <c r="AT73" i="4"/>
  <c r="AU73" i="4"/>
  <c r="AU74" i="4"/>
  <c r="AT74" i="4"/>
  <c r="AV74" i="4"/>
  <c r="AV75" i="4"/>
  <c r="AU75" i="4"/>
  <c r="S75" i="4" s="1"/>
  <c r="AT75" i="4"/>
  <c r="AV76" i="4"/>
  <c r="AT76" i="4"/>
  <c r="AT77" i="4"/>
  <c r="AV77" i="4"/>
  <c r="AU77" i="4"/>
  <c r="AU78" i="4"/>
  <c r="AT78" i="4"/>
  <c r="S78" i="4" s="1"/>
  <c r="AV78" i="4"/>
  <c r="AV79" i="4"/>
  <c r="AU79" i="4"/>
  <c r="AV80" i="4"/>
  <c r="AU80" i="4"/>
  <c r="AT80" i="4"/>
  <c r="AT81" i="4"/>
  <c r="AU81" i="4"/>
  <c r="AU82" i="4"/>
  <c r="S82" i="4" s="1"/>
  <c r="AT82" i="4"/>
  <c r="AV82" i="4"/>
  <c r="AV83" i="4"/>
  <c r="R83" i="4" s="1"/>
  <c r="AU83" i="4"/>
  <c r="AT83" i="4"/>
  <c r="AV84" i="4"/>
  <c r="AT84" i="4"/>
  <c r="AT85" i="4"/>
  <c r="AV85" i="4"/>
  <c r="AU85" i="4"/>
  <c r="AU86" i="4"/>
  <c r="R86" i="4" s="1"/>
  <c r="AT86" i="4"/>
  <c r="AV86" i="4"/>
  <c r="AV87" i="4"/>
  <c r="AU87" i="4"/>
  <c r="AV88" i="4"/>
  <c r="AU88" i="4"/>
  <c r="R88" i="4" s="1"/>
  <c r="AT88" i="4"/>
  <c r="AT89" i="4"/>
  <c r="AU89" i="4"/>
  <c r="AU90" i="4"/>
  <c r="AT90" i="4"/>
  <c r="AV90" i="4"/>
  <c r="AV91" i="4"/>
  <c r="AU91" i="4"/>
  <c r="S91" i="4" s="1"/>
  <c r="AT91" i="4"/>
  <c r="AV92" i="4"/>
  <c r="AT92" i="4"/>
  <c r="AT93" i="4"/>
  <c r="AV93" i="4"/>
  <c r="AU93" i="4"/>
  <c r="AU94" i="4"/>
  <c r="AT94" i="4"/>
  <c r="AV94" i="4"/>
  <c r="AV95" i="4"/>
  <c r="AU95" i="4"/>
  <c r="AV96" i="4"/>
  <c r="AU96" i="4"/>
  <c r="AT96" i="4"/>
  <c r="AT97" i="4"/>
  <c r="AU97" i="4"/>
  <c r="AU98" i="4"/>
  <c r="AT98" i="4"/>
  <c r="AV98" i="4"/>
  <c r="AV99" i="4"/>
  <c r="AU99" i="4"/>
  <c r="AT99" i="4"/>
  <c r="R99" i="4" s="1"/>
  <c r="AV100" i="4"/>
  <c r="AT100" i="4"/>
  <c r="S100" i="4" s="1"/>
  <c r="AT101" i="4"/>
  <c r="AV101" i="4"/>
  <c r="AU101" i="4"/>
  <c r="AU102" i="4"/>
  <c r="AT102" i="4"/>
  <c r="AV102" i="4"/>
  <c r="S102" i="4" s="1"/>
  <c r="AV103" i="4"/>
  <c r="AU103" i="4"/>
  <c r="AV104" i="4"/>
  <c r="AU104" i="4"/>
  <c r="AT104" i="4"/>
  <c r="AT105" i="4"/>
  <c r="AU105" i="4"/>
  <c r="AU106" i="4"/>
  <c r="AT106" i="4"/>
  <c r="AV106" i="4"/>
  <c r="AV107" i="4"/>
  <c r="AU107" i="4"/>
  <c r="S107" i="4" s="1"/>
  <c r="AT107" i="4"/>
  <c r="AV108" i="4"/>
  <c r="AT108" i="4"/>
  <c r="AT109" i="4"/>
  <c r="AV109" i="4"/>
  <c r="AU109" i="4"/>
  <c r="AU110" i="4"/>
  <c r="AT110" i="4"/>
  <c r="S110" i="4" s="1"/>
  <c r="AV110" i="4"/>
  <c r="AV111" i="4"/>
  <c r="AU111" i="4"/>
  <c r="AV112" i="4"/>
  <c r="AU112" i="4"/>
  <c r="AT112" i="4"/>
  <c r="AT113" i="4"/>
  <c r="AU113" i="4"/>
  <c r="AU114" i="4"/>
  <c r="R114" i="4" s="1"/>
  <c r="AT114" i="4"/>
  <c r="AV114" i="4"/>
  <c r="AV115" i="4"/>
  <c r="R115" i="4" s="1"/>
  <c r="AU115" i="4"/>
  <c r="AT115" i="4"/>
  <c r="AV116" i="4"/>
  <c r="AT116" i="4"/>
  <c r="AT117" i="4"/>
  <c r="AV117" i="4"/>
  <c r="AU117" i="4"/>
  <c r="AV119" i="4"/>
  <c r="AU119" i="4"/>
  <c r="AU126" i="4"/>
  <c r="AT126" i="4"/>
  <c r="AV126" i="4"/>
  <c r="S126" i="4" s="1"/>
  <c r="AV128" i="4"/>
  <c r="AU128" i="4"/>
  <c r="AT128" i="4"/>
  <c r="AU130" i="4"/>
  <c r="AT130" i="4"/>
  <c r="AV130" i="4"/>
  <c r="AV132" i="4"/>
  <c r="AT132" i="4"/>
  <c r="AU134" i="4"/>
  <c r="R134" i="4" s="1"/>
  <c r="AT134" i="4"/>
  <c r="AV134" i="4"/>
  <c r="AV136" i="4"/>
  <c r="AU136" i="4"/>
  <c r="AT136" i="4"/>
  <c r="AU138" i="4"/>
  <c r="AT138" i="4"/>
  <c r="AV138" i="4"/>
  <c r="AV140" i="4"/>
  <c r="AT140" i="4"/>
  <c r="AU142" i="4"/>
  <c r="R142" i="4" s="1"/>
  <c r="AT142" i="4"/>
  <c r="AV142" i="4"/>
  <c r="AV144" i="4"/>
  <c r="AU144" i="4"/>
  <c r="AT144" i="4"/>
  <c r="AU146" i="4"/>
  <c r="AT146" i="4"/>
  <c r="AV146" i="4"/>
  <c r="AV148" i="4"/>
  <c r="AT148" i="4"/>
  <c r="AU150" i="4"/>
  <c r="AT150" i="4"/>
  <c r="S150" i="4" s="1"/>
  <c r="AV150" i="4"/>
  <c r="AV152" i="4"/>
  <c r="AU152" i="4"/>
  <c r="AT152" i="4"/>
  <c r="AU154" i="4"/>
  <c r="R154" i="4" s="1"/>
  <c r="AT154" i="4"/>
  <c r="AV154" i="4"/>
  <c r="AV156" i="4"/>
  <c r="AT156" i="4"/>
  <c r="AU158" i="4"/>
  <c r="AT158" i="4"/>
  <c r="AV158" i="4"/>
  <c r="S158" i="4" s="1"/>
  <c r="AV160" i="4"/>
  <c r="AU160" i="4"/>
  <c r="AT160" i="4"/>
  <c r="AU162" i="4"/>
  <c r="AT162" i="4"/>
  <c r="AV162" i="4"/>
  <c r="AV164" i="4"/>
  <c r="AT164" i="4"/>
  <c r="AU166" i="4"/>
  <c r="R166" i="4" s="1"/>
  <c r="AT166" i="4"/>
  <c r="AV166" i="4"/>
  <c r="AV168" i="4"/>
  <c r="AU168" i="4"/>
  <c r="AT168" i="4"/>
  <c r="AU170" i="4"/>
  <c r="AT170" i="4"/>
  <c r="AV170" i="4"/>
  <c r="AV172" i="4"/>
  <c r="AT172" i="4"/>
  <c r="AU174" i="4"/>
  <c r="R174" i="4" s="1"/>
  <c r="AT174" i="4"/>
  <c r="AV174" i="4"/>
  <c r="AV176" i="4"/>
  <c r="AU176" i="4"/>
  <c r="AT176" i="4"/>
  <c r="AT179" i="4"/>
  <c r="AV179" i="4"/>
  <c r="AU179" i="4"/>
  <c r="S179" i="4" s="1"/>
  <c r="AT183" i="4"/>
  <c r="AU183" i="4"/>
  <c r="AV183" i="4"/>
  <c r="AT187" i="4"/>
  <c r="AV187" i="4"/>
  <c r="AT191" i="4"/>
  <c r="AU191" i="4"/>
  <c r="AV191" i="4"/>
  <c r="AT195" i="4"/>
  <c r="AV195" i="4"/>
  <c r="AU195" i="4"/>
  <c r="AM197" i="4"/>
  <c r="AV197" i="4"/>
  <c r="AU197" i="4"/>
  <c r="AT197" i="4"/>
  <c r="AU204" i="4"/>
  <c r="AT204" i="4"/>
  <c r="AV204" i="4"/>
  <c r="AM206" i="4"/>
  <c r="AV206" i="4"/>
  <c r="S206" i="4" s="1"/>
  <c r="AU206" i="4"/>
  <c r="AT206" i="4"/>
  <c r="AM208" i="4"/>
  <c r="AL208" i="4" s="1"/>
  <c r="AT211" i="4"/>
  <c r="R211" i="4" s="1"/>
  <c r="AV211" i="4"/>
  <c r="AU211" i="4"/>
  <c r="AM213" i="4"/>
  <c r="AL213" i="4" s="1"/>
  <c r="AV213" i="4"/>
  <c r="AU213" i="4"/>
  <c r="AT213" i="4"/>
  <c r="AU220" i="4"/>
  <c r="AT220" i="4"/>
  <c r="AV220" i="4"/>
  <c r="AM222" i="4"/>
  <c r="AL222" i="4" s="1"/>
  <c r="AV222" i="4"/>
  <c r="AU222" i="4"/>
  <c r="R222" i="4" s="1"/>
  <c r="AT222" i="4"/>
  <c r="AM224" i="4"/>
  <c r="AL224" i="4" s="1"/>
  <c r="AT227" i="4"/>
  <c r="AV227" i="4"/>
  <c r="R227" i="4" s="1"/>
  <c r="AU227" i="4"/>
  <c r="AM229" i="4"/>
  <c r="AL229" i="4" s="1"/>
  <c r="AV229" i="4"/>
  <c r="AU229" i="4"/>
  <c r="AT229" i="4"/>
  <c r="AU236" i="4"/>
  <c r="AT236" i="4"/>
  <c r="AV236" i="4"/>
  <c r="AM238" i="4"/>
  <c r="AV238" i="4"/>
  <c r="AU238" i="4"/>
  <c r="AT238" i="4"/>
  <c r="S238" i="4" s="1"/>
  <c r="AM240" i="4"/>
  <c r="AT243" i="4"/>
  <c r="AV243" i="4"/>
  <c r="AU243" i="4"/>
  <c r="S243" i="4" s="1"/>
  <c r="AM245" i="4"/>
  <c r="AV245" i="4"/>
  <c r="AU245" i="4"/>
  <c r="AT245" i="4"/>
  <c r="AU252" i="4"/>
  <c r="R252" i="4" s="1"/>
  <c r="AT252" i="4"/>
  <c r="AV252" i="4"/>
  <c r="AM254" i="4"/>
  <c r="AL254" i="4" s="1"/>
  <c r="AV254" i="4"/>
  <c r="AU254" i="4"/>
  <c r="AT254" i="4"/>
  <c r="AM256" i="4"/>
  <c r="AM258" i="4"/>
  <c r="AT259" i="4"/>
  <c r="AV259" i="4"/>
  <c r="AU259" i="4"/>
  <c r="S259" i="4" s="1"/>
  <c r="AM261" i="4"/>
  <c r="AM266" i="4"/>
  <c r="AL266" i="4" s="1"/>
  <c r="AT267" i="4"/>
  <c r="AV267" i="4"/>
  <c r="AM269" i="4"/>
  <c r="AM274" i="4"/>
  <c r="AL274" i="4" s="1"/>
  <c r="AT275" i="4"/>
  <c r="AV275" i="4"/>
  <c r="R275" i="4" s="1"/>
  <c r="AU275" i="4"/>
  <c r="AV278" i="4"/>
  <c r="AU278" i="4"/>
  <c r="R278" i="4" s="1"/>
  <c r="AV285" i="4"/>
  <c r="AU285" i="4"/>
  <c r="AT285" i="4"/>
  <c r="AU288" i="4"/>
  <c r="AT288" i="4"/>
  <c r="AU292" i="4"/>
  <c r="R292" i="4" s="1"/>
  <c r="AT292" i="4"/>
  <c r="AV292" i="4"/>
  <c r="AU296" i="4"/>
  <c r="AT296" i="4"/>
  <c r="AV296" i="4"/>
  <c r="AU300" i="4"/>
  <c r="AT300" i="4"/>
  <c r="R300" i="4" s="1"/>
  <c r="AV300" i="4"/>
  <c r="AU304" i="4"/>
  <c r="AT304" i="4"/>
  <c r="AU308" i="4"/>
  <c r="AT308" i="4"/>
  <c r="AV308" i="4"/>
  <c r="AU312" i="4"/>
  <c r="AT312" i="4"/>
  <c r="AV312" i="4"/>
  <c r="AU316" i="4"/>
  <c r="AT316" i="4"/>
  <c r="AV316" i="4"/>
  <c r="R316" i="4" s="1"/>
  <c r="AU320" i="4"/>
  <c r="R320" i="4" s="1"/>
  <c r="AT320" i="4"/>
  <c r="AM322" i="4"/>
  <c r="AV322" i="4"/>
  <c r="AT322" i="4"/>
  <c r="AU322" i="4"/>
  <c r="AV329" i="4"/>
  <c r="AU329" i="4"/>
  <c r="AT329" i="4"/>
  <c r="AT331" i="4"/>
  <c r="AV331" i="4"/>
  <c r="AM336" i="4"/>
  <c r="AL336" i="4" s="1"/>
  <c r="AU336" i="4"/>
  <c r="AT336" i="4"/>
  <c r="AM338" i="4"/>
  <c r="AL338" i="4" s="1"/>
  <c r="AV338" i="4"/>
  <c r="AT338" i="4"/>
  <c r="AU338" i="4"/>
  <c r="AV345" i="4"/>
  <c r="AU345" i="4"/>
  <c r="AT345" i="4"/>
  <c r="AT347" i="4"/>
  <c r="AV347" i="4"/>
  <c r="AM352" i="4"/>
  <c r="AL352" i="4" s="1"/>
  <c r="AU352" i="4"/>
  <c r="AT352" i="4"/>
  <c r="AM354" i="4"/>
  <c r="AL354" i="4" s="1"/>
  <c r="AV354" i="4"/>
  <c r="R354" i="4" s="1"/>
  <c r="AT354" i="4"/>
  <c r="AU354" i="4"/>
  <c r="AV361" i="4"/>
  <c r="AU361" i="4"/>
  <c r="AT361" i="4"/>
  <c r="AT363" i="4"/>
  <c r="AV363" i="4"/>
  <c r="AM368" i="4"/>
  <c r="AU368" i="4"/>
  <c r="AT368" i="4"/>
  <c r="AM370" i="4"/>
  <c r="AL370" i="4" s="1"/>
  <c r="AV370" i="4"/>
  <c r="S370" i="4" s="1"/>
  <c r="AT370" i="4"/>
  <c r="AU370" i="4"/>
  <c r="AV377" i="4"/>
  <c r="AU377" i="4"/>
  <c r="AT377" i="4"/>
  <c r="AT379" i="4"/>
  <c r="AV379" i="4"/>
  <c r="AM384" i="4"/>
  <c r="AL384" i="4" s="1"/>
  <c r="AU384" i="4"/>
  <c r="AT384" i="4"/>
  <c r="AM386" i="4"/>
  <c r="AV386" i="4"/>
  <c r="AT386" i="4"/>
  <c r="AU386" i="4"/>
  <c r="AV393" i="4"/>
  <c r="AU393" i="4"/>
  <c r="AT393" i="4"/>
  <c r="AT395" i="4"/>
  <c r="AV395" i="4"/>
  <c r="AM400" i="4"/>
  <c r="AL400" i="4" s="1"/>
  <c r="AU400" i="4"/>
  <c r="AT400" i="4"/>
  <c r="AM402" i="4"/>
  <c r="AV402" i="4"/>
  <c r="AT402" i="4"/>
  <c r="AU402" i="4"/>
  <c r="AV409" i="4"/>
  <c r="AU409" i="4"/>
  <c r="AT409" i="4"/>
  <c r="AM411" i="4"/>
  <c r="AT411" i="4"/>
  <c r="AV411" i="4"/>
  <c r="AU411" i="4"/>
  <c r="AM413" i="4"/>
  <c r="AV413" i="4"/>
  <c r="AU413" i="4"/>
  <c r="AT413" i="4"/>
  <c r="AM415" i="4"/>
  <c r="AL415" i="4" s="1"/>
  <c r="AT415" i="4"/>
  <c r="AV415" i="4"/>
  <c r="R415" i="4" s="1"/>
  <c r="AU415" i="4"/>
  <c r="AM417" i="4"/>
  <c r="AL417" i="4" s="1"/>
  <c r="AV417" i="4"/>
  <c r="AU417" i="4"/>
  <c r="AT417" i="4"/>
  <c r="AM419" i="4"/>
  <c r="AL419" i="4" s="1"/>
  <c r="AT419" i="4"/>
  <c r="AV419" i="4"/>
  <c r="AU419" i="4"/>
  <c r="AM421" i="4"/>
  <c r="AL421" i="4" s="1"/>
  <c r="AV421" i="4"/>
  <c r="AU421" i="4"/>
  <c r="AT421" i="4"/>
  <c r="AM423" i="4"/>
  <c r="AL423" i="4" s="1"/>
  <c r="AT423" i="4"/>
  <c r="AV423" i="4"/>
  <c r="AU423" i="4"/>
  <c r="AM425" i="4"/>
  <c r="AL425" i="4" s="1"/>
  <c r="AV425" i="4"/>
  <c r="AU425" i="4"/>
  <c r="AT425" i="4"/>
  <c r="AM427" i="4"/>
  <c r="AL427" i="4" s="1"/>
  <c r="AT427" i="4"/>
  <c r="AV427" i="4"/>
  <c r="AM429" i="4"/>
  <c r="AV429" i="4"/>
  <c r="AU429" i="4"/>
  <c r="AT429" i="4"/>
  <c r="AM431" i="4"/>
  <c r="AT431" i="4"/>
  <c r="AV431" i="4"/>
  <c r="AU431" i="4"/>
  <c r="AM433" i="4"/>
  <c r="AV433" i="4"/>
  <c r="AU433" i="4"/>
  <c r="AT433" i="4"/>
  <c r="AM435" i="4"/>
  <c r="AT435" i="4"/>
  <c r="AV435" i="4"/>
  <c r="AU435" i="4"/>
  <c r="AM437" i="4"/>
  <c r="AV437" i="4"/>
  <c r="AU437" i="4"/>
  <c r="AT437" i="4"/>
  <c r="R437" i="4" s="1"/>
  <c r="AM439" i="4"/>
  <c r="AT439" i="4"/>
  <c r="AV439" i="4"/>
  <c r="AU439" i="4"/>
  <c r="AM441" i="4"/>
  <c r="AV441" i="4"/>
  <c r="AU441" i="4"/>
  <c r="AT441" i="4"/>
  <c r="AM443" i="4"/>
  <c r="AT443" i="4"/>
  <c r="AV443" i="4"/>
  <c r="AU443" i="4"/>
  <c r="R443" i="4" s="1"/>
  <c r="AM445" i="4"/>
  <c r="AV445" i="4"/>
  <c r="AU445" i="4"/>
  <c r="AT445" i="4"/>
  <c r="AM447" i="4"/>
  <c r="AT447" i="4"/>
  <c r="AV447" i="4"/>
  <c r="AU447" i="4"/>
  <c r="AM449" i="4"/>
  <c r="AV449" i="4"/>
  <c r="AU449" i="4"/>
  <c r="AT449" i="4"/>
  <c r="AM451" i="4"/>
  <c r="AT451" i="4"/>
  <c r="AV451" i="4"/>
  <c r="AU451" i="4"/>
  <c r="AM453" i="4"/>
  <c r="AV453" i="4"/>
  <c r="AU453" i="4"/>
  <c r="AT453" i="4"/>
  <c r="S453" i="4" s="1"/>
  <c r="AM455" i="4"/>
  <c r="AT455" i="4"/>
  <c r="AV455" i="4"/>
  <c r="AU455" i="4"/>
  <c r="AM457" i="4"/>
  <c r="AV457" i="4"/>
  <c r="AU457" i="4"/>
  <c r="AT457" i="4"/>
  <c r="AM459" i="4"/>
  <c r="AT459" i="4"/>
  <c r="AV459" i="4"/>
  <c r="AM461" i="4"/>
  <c r="AV461" i="4"/>
  <c r="AU461" i="4"/>
  <c r="AT461" i="4"/>
  <c r="AM463" i="4"/>
  <c r="AT463" i="4"/>
  <c r="AV463" i="4"/>
  <c r="AU463" i="4"/>
  <c r="R463" i="4" s="1"/>
  <c r="AM465" i="4"/>
  <c r="AL465" i="4" s="1"/>
  <c r="AV465" i="4"/>
  <c r="AU465" i="4"/>
  <c r="AT465" i="4"/>
  <c r="AM467" i="4"/>
  <c r="AL467" i="4" s="1"/>
  <c r="AT467" i="4"/>
  <c r="AV467" i="4"/>
  <c r="AU467" i="4"/>
  <c r="AM469" i="4"/>
  <c r="AL469" i="4" s="1"/>
  <c r="AV469" i="4"/>
  <c r="AU469" i="4"/>
  <c r="S469" i="4" s="1"/>
  <c r="AT469" i="4"/>
  <c r="AM471" i="4"/>
  <c r="AL471" i="4" s="1"/>
  <c r="AT471" i="4"/>
  <c r="AV471" i="4"/>
  <c r="AU471" i="4"/>
  <c r="AM473" i="4"/>
  <c r="AL473" i="4" s="1"/>
  <c r="AV473" i="4"/>
  <c r="AU473" i="4"/>
  <c r="R473" i="4" s="1"/>
  <c r="AT473" i="4"/>
  <c r="AM475" i="4"/>
  <c r="AT475" i="4"/>
  <c r="AV475" i="4"/>
  <c r="AU475" i="4"/>
  <c r="AM477" i="4"/>
  <c r="AL477" i="4" s="1"/>
  <c r="AV477" i="4"/>
  <c r="AU477" i="4"/>
  <c r="AT477" i="4"/>
  <c r="AM479" i="4"/>
  <c r="AT479" i="4"/>
  <c r="AV479" i="4"/>
  <c r="AU479" i="4"/>
  <c r="AM481" i="4"/>
  <c r="AV481" i="4"/>
  <c r="AU481" i="4"/>
  <c r="R481" i="4" s="1"/>
  <c r="AT481" i="4"/>
  <c r="AM483" i="4"/>
  <c r="AT483" i="4"/>
  <c r="AV483" i="4"/>
  <c r="AU483" i="4"/>
  <c r="AM485" i="4"/>
  <c r="AL485" i="4" s="1"/>
  <c r="AV485" i="4"/>
  <c r="AU485" i="4"/>
  <c r="S485" i="4" s="1"/>
  <c r="AT485" i="4"/>
  <c r="AM487" i="4"/>
  <c r="AL487" i="4" s="1"/>
  <c r="AT487" i="4"/>
  <c r="AV487" i="4"/>
  <c r="AU487" i="4"/>
  <c r="AM489" i="4"/>
  <c r="AL489" i="4" s="1"/>
  <c r="AV489" i="4"/>
  <c r="AU489" i="4"/>
  <c r="S489" i="4" s="1"/>
  <c r="AT489" i="4"/>
  <c r="AM491" i="4"/>
  <c r="AL491" i="4" s="1"/>
  <c r="AT491" i="4"/>
  <c r="AV491" i="4"/>
  <c r="AM493" i="4"/>
  <c r="AV493" i="4"/>
  <c r="AU493" i="4"/>
  <c r="AT493" i="4"/>
  <c r="AM495" i="4"/>
  <c r="AL495" i="4" s="1"/>
  <c r="AT495" i="4"/>
  <c r="AV495" i="4"/>
  <c r="AU495" i="4"/>
  <c r="AM497" i="4"/>
  <c r="AL497" i="4" s="1"/>
  <c r="AV497" i="4"/>
  <c r="AU497" i="4"/>
  <c r="AT497" i="4"/>
  <c r="AM499" i="4"/>
  <c r="AL499" i="4" s="1"/>
  <c r="AT499" i="4"/>
  <c r="AV499" i="4"/>
  <c r="AU499" i="4"/>
  <c r="AM501" i="4"/>
  <c r="AV501" i="4"/>
  <c r="AU501" i="4"/>
  <c r="AT501" i="4"/>
  <c r="AM503" i="4"/>
  <c r="AT503" i="4"/>
  <c r="AV503" i="4"/>
  <c r="AU503" i="4"/>
  <c r="AM505" i="4"/>
  <c r="AL505" i="4" s="1"/>
  <c r="AV505" i="4"/>
  <c r="AU505" i="4"/>
  <c r="AT505" i="4"/>
  <c r="AM507" i="4"/>
  <c r="AL507" i="4" s="1"/>
  <c r="AT507" i="4"/>
  <c r="AV507" i="4"/>
  <c r="AU507" i="4"/>
  <c r="AM509" i="4"/>
  <c r="AL509" i="4" s="1"/>
  <c r="AV509" i="4"/>
  <c r="AU509" i="4"/>
  <c r="AT509" i="4"/>
  <c r="AM511" i="4"/>
  <c r="AL511" i="4" s="1"/>
  <c r="AT511" i="4"/>
  <c r="AV511" i="4"/>
  <c r="AU511" i="4"/>
  <c r="AM513" i="4"/>
  <c r="AL513" i="4" s="1"/>
  <c r="AV513" i="4"/>
  <c r="AU513" i="4"/>
  <c r="AT513" i="4"/>
  <c r="AM515" i="4"/>
  <c r="AL515" i="4" s="1"/>
  <c r="AT515" i="4"/>
  <c r="AV515" i="4"/>
  <c r="AU515" i="4"/>
  <c r="AM517" i="4"/>
  <c r="AL517" i="4" s="1"/>
  <c r="AV517" i="4"/>
  <c r="AU517" i="4"/>
  <c r="AT517" i="4"/>
  <c r="AM519" i="4"/>
  <c r="AL519" i="4" s="1"/>
  <c r="AU519" i="4"/>
  <c r="AT519" i="4"/>
  <c r="AV519" i="4"/>
  <c r="AM521" i="4"/>
  <c r="AL521" i="4" s="1"/>
  <c r="AT521" i="4"/>
  <c r="AU521" i="4"/>
  <c r="AV521" i="4"/>
  <c r="AM523" i="4"/>
  <c r="AL523" i="4" s="1"/>
  <c r="AV523" i="4"/>
  <c r="AU523" i="4"/>
  <c r="AT523" i="4"/>
  <c r="AM525" i="4"/>
  <c r="AL525" i="4" s="1"/>
  <c r="AT525" i="4"/>
  <c r="AV525" i="4"/>
  <c r="AU525" i="4"/>
  <c r="AM527" i="4"/>
  <c r="AL527" i="4" s="1"/>
  <c r="AV527" i="4"/>
  <c r="AU527" i="4"/>
  <c r="AM529" i="4"/>
  <c r="AT529" i="4"/>
  <c r="AU529" i="4"/>
  <c r="AV529" i="4"/>
  <c r="AM531" i="4"/>
  <c r="AV531" i="4"/>
  <c r="AU531" i="4"/>
  <c r="AT531" i="4"/>
  <c r="AM533" i="4"/>
  <c r="AL533" i="4" s="1"/>
  <c r="AT533" i="4"/>
  <c r="AV533" i="4"/>
  <c r="AU533" i="4"/>
  <c r="AM535" i="4"/>
  <c r="AL535" i="4" s="1"/>
  <c r="AV535" i="4"/>
  <c r="AU535" i="4"/>
  <c r="AT535" i="4"/>
  <c r="AM537" i="4"/>
  <c r="AL537" i="4" s="1"/>
  <c r="AT537" i="4"/>
  <c r="AU537" i="4"/>
  <c r="AV537" i="4"/>
  <c r="AM539" i="4"/>
  <c r="AL539" i="4" s="1"/>
  <c r="AV539" i="4"/>
  <c r="AU539" i="4"/>
  <c r="AT539" i="4"/>
  <c r="AM541" i="4"/>
  <c r="AL541" i="4" s="1"/>
  <c r="AT541" i="4"/>
  <c r="AV541" i="4"/>
  <c r="AU541" i="4"/>
  <c r="AM543" i="4"/>
  <c r="AL543" i="4" s="1"/>
  <c r="AV543" i="4"/>
  <c r="AU543" i="4"/>
  <c r="AT543" i="4"/>
  <c r="AM545" i="4"/>
  <c r="AL545" i="4" s="1"/>
  <c r="AT545" i="4"/>
  <c r="AU545" i="4"/>
  <c r="AV545" i="4"/>
  <c r="AM547" i="4"/>
  <c r="AL547" i="4" s="1"/>
  <c r="AV547" i="4"/>
  <c r="AU547" i="4"/>
  <c r="AT547" i="4"/>
  <c r="AM549" i="4"/>
  <c r="AL549" i="4" s="1"/>
  <c r="AT549" i="4"/>
  <c r="AV549" i="4"/>
  <c r="AU549" i="4"/>
  <c r="AM551" i="4"/>
  <c r="AL551" i="4" s="1"/>
  <c r="AV551" i="4"/>
  <c r="AU551" i="4"/>
  <c r="AT551" i="4"/>
  <c r="AM553" i="4"/>
  <c r="AL553" i="4" s="1"/>
  <c r="AT553" i="4"/>
  <c r="AU553" i="4"/>
  <c r="AV553" i="4"/>
  <c r="AM555" i="4"/>
  <c r="AV555" i="4"/>
  <c r="AU555" i="4"/>
  <c r="AT555" i="4"/>
  <c r="AM557" i="4"/>
  <c r="AL557" i="4" s="1"/>
  <c r="AT557" i="4"/>
  <c r="AV557" i="4"/>
  <c r="AU557" i="4"/>
  <c r="AM559" i="4"/>
  <c r="AV559" i="4"/>
  <c r="AU559" i="4"/>
  <c r="AT559" i="4"/>
  <c r="AM561" i="4"/>
  <c r="AL561" i="4" s="1"/>
  <c r="AT561" i="4"/>
  <c r="AU561" i="4"/>
  <c r="AV561" i="4"/>
  <c r="AM563" i="4"/>
  <c r="AL563" i="4" s="1"/>
  <c r="AV563" i="4"/>
  <c r="AU563" i="4"/>
  <c r="AT563" i="4"/>
  <c r="AM565" i="4"/>
  <c r="AL565" i="4" s="1"/>
  <c r="AT565" i="4"/>
  <c r="AV565" i="4"/>
  <c r="AU565" i="4"/>
  <c r="AM567" i="4"/>
  <c r="AL567" i="4" s="1"/>
  <c r="AV567" i="4"/>
  <c r="AU567" i="4"/>
  <c r="AT567" i="4"/>
  <c r="AM569" i="4"/>
  <c r="AT569" i="4"/>
  <c r="AU569" i="4"/>
  <c r="AM571" i="4"/>
  <c r="AV571" i="4"/>
  <c r="AU571" i="4"/>
  <c r="AT571" i="4"/>
  <c r="AM573" i="4"/>
  <c r="AT573" i="4"/>
  <c r="AV573" i="4"/>
  <c r="AU573" i="4"/>
  <c r="AM575" i="4"/>
  <c r="AV575" i="4"/>
  <c r="AU575" i="4"/>
  <c r="AT575" i="4"/>
  <c r="AM577" i="4"/>
  <c r="AT577" i="4"/>
  <c r="AU577" i="4"/>
  <c r="AV577" i="4"/>
  <c r="AM579" i="4"/>
  <c r="AV579" i="4"/>
  <c r="AU579" i="4"/>
  <c r="AT579" i="4"/>
  <c r="AM581" i="4"/>
  <c r="AT581" i="4"/>
  <c r="AV581" i="4"/>
  <c r="AU581" i="4"/>
  <c r="AM583" i="4"/>
  <c r="AV583" i="4"/>
  <c r="AU583" i="4"/>
  <c r="AT583" i="4"/>
  <c r="AM585" i="4"/>
  <c r="AT585" i="4"/>
  <c r="AU585" i="4"/>
  <c r="AV585" i="4"/>
  <c r="AM587" i="4"/>
  <c r="AV587" i="4"/>
  <c r="AU587" i="4"/>
  <c r="AT587" i="4"/>
  <c r="AM589" i="4"/>
  <c r="AT589" i="4"/>
  <c r="AV589" i="4"/>
  <c r="AU589" i="4"/>
  <c r="AM591" i="4"/>
  <c r="AV591" i="4"/>
  <c r="AU591" i="4"/>
  <c r="AM593" i="4"/>
  <c r="AL593" i="4" s="1"/>
  <c r="AT593" i="4"/>
  <c r="AU593" i="4"/>
  <c r="AV593" i="4"/>
  <c r="AM595" i="4"/>
  <c r="AV595" i="4"/>
  <c r="AU595" i="4"/>
  <c r="AT595" i="4"/>
  <c r="AM597" i="4"/>
  <c r="AT597" i="4"/>
  <c r="AV597" i="4"/>
  <c r="AU597" i="4"/>
  <c r="AM599" i="4"/>
  <c r="AV599" i="4"/>
  <c r="AU599" i="4"/>
  <c r="AT599" i="4"/>
  <c r="AM601" i="4"/>
  <c r="AL601" i="4" s="1"/>
  <c r="AT601" i="4"/>
  <c r="AU601" i="4"/>
  <c r="AV601" i="4"/>
  <c r="AV603" i="4"/>
  <c r="AU603" i="4"/>
  <c r="AT603" i="4"/>
  <c r="AT605" i="4"/>
  <c r="AV605" i="4"/>
  <c r="AU605" i="4"/>
  <c r="AV607" i="4"/>
  <c r="AU607" i="4"/>
  <c r="AT607" i="4"/>
  <c r="AT609" i="4"/>
  <c r="AU609" i="4"/>
  <c r="AV609" i="4"/>
  <c r="AV611" i="4"/>
  <c r="AU611" i="4"/>
  <c r="AT611" i="4"/>
  <c r="AT613" i="4"/>
  <c r="AV613" i="4"/>
  <c r="AU613" i="4"/>
  <c r="AV615" i="4"/>
  <c r="AU615" i="4"/>
  <c r="AT615" i="4"/>
  <c r="AT617" i="4"/>
  <c r="AU617" i="4"/>
  <c r="AV617" i="4"/>
  <c r="AV619" i="4"/>
  <c r="AU619" i="4"/>
  <c r="AT619" i="4"/>
  <c r="AT621" i="4"/>
  <c r="AV621" i="4"/>
  <c r="AU621" i="4"/>
  <c r="AV623" i="4"/>
  <c r="AU623" i="4"/>
  <c r="AT623" i="4"/>
  <c r="AT625" i="4"/>
  <c r="AU625" i="4"/>
  <c r="AV625" i="4"/>
  <c r="AV627" i="4"/>
  <c r="AU627" i="4"/>
  <c r="AT627" i="4"/>
  <c r="AT629" i="4"/>
  <c r="AV629" i="4"/>
  <c r="AU629" i="4"/>
  <c r="AV631" i="4"/>
  <c r="AU631" i="4"/>
  <c r="AT631" i="4"/>
  <c r="AT633" i="4"/>
  <c r="AU633" i="4"/>
  <c r="AV635" i="4"/>
  <c r="AU635" i="4"/>
  <c r="AT635" i="4"/>
  <c r="AT637" i="4"/>
  <c r="AU637" i="4"/>
  <c r="AV637" i="4"/>
  <c r="AV639" i="4"/>
  <c r="AU639" i="4"/>
  <c r="AT639" i="4"/>
  <c r="AT641" i="4"/>
  <c r="AV641" i="4"/>
  <c r="AU641" i="4"/>
  <c r="AV643" i="4"/>
  <c r="AU643" i="4"/>
  <c r="AT643" i="4"/>
  <c r="AT645" i="4"/>
  <c r="AU645" i="4"/>
  <c r="AV645" i="4"/>
  <c r="AV647" i="4"/>
  <c r="AU647" i="4"/>
  <c r="AT647" i="4"/>
  <c r="AT649" i="4"/>
  <c r="AV649" i="4"/>
  <c r="AU649" i="4"/>
  <c r="AV651" i="4"/>
  <c r="AU651" i="4"/>
  <c r="AT651" i="4"/>
  <c r="AT653" i="4"/>
  <c r="AU653" i="4"/>
  <c r="AV653" i="4"/>
  <c r="AV655" i="4"/>
  <c r="AU655" i="4"/>
  <c r="AT655" i="4"/>
  <c r="AT657" i="4"/>
  <c r="AV657" i="4"/>
  <c r="AU657" i="4"/>
  <c r="AV659" i="4"/>
  <c r="AU659" i="4"/>
  <c r="AT659" i="4"/>
  <c r="AT661" i="4"/>
  <c r="AU661" i="4"/>
  <c r="AV661" i="4"/>
  <c r="AV663" i="4"/>
  <c r="AU663" i="4"/>
  <c r="AT663" i="4"/>
  <c r="AT665" i="4"/>
  <c r="AV665" i="4"/>
  <c r="AU665" i="4"/>
  <c r="AV667" i="4"/>
  <c r="AU667" i="4"/>
  <c r="AT667" i="4"/>
  <c r="AT669" i="4"/>
  <c r="AU669" i="4"/>
  <c r="AV669" i="4"/>
  <c r="AV671" i="4"/>
  <c r="AU671" i="4"/>
  <c r="AT671" i="4"/>
  <c r="AT673" i="4"/>
  <c r="AV673" i="4"/>
  <c r="AU673" i="4"/>
  <c r="AV675" i="4"/>
  <c r="AU675" i="4"/>
  <c r="AT675" i="4"/>
  <c r="AT677" i="4"/>
  <c r="AU677" i="4"/>
  <c r="AV677" i="4"/>
  <c r="AV679" i="4"/>
  <c r="AU679" i="4"/>
  <c r="AT679" i="4"/>
  <c r="AT681" i="4"/>
  <c r="AV681" i="4"/>
  <c r="AU681" i="4"/>
  <c r="AV683" i="4"/>
  <c r="AU683" i="4"/>
  <c r="AT683" i="4"/>
  <c r="AT685" i="4"/>
  <c r="AU685" i="4"/>
  <c r="AV685" i="4"/>
  <c r="AV687" i="4"/>
  <c r="AU687" i="4"/>
  <c r="AT687" i="4"/>
  <c r="AT689" i="4"/>
  <c r="AV689" i="4"/>
  <c r="AU689" i="4"/>
  <c r="AV691" i="4"/>
  <c r="AU691" i="4"/>
  <c r="AT691" i="4"/>
  <c r="AT693" i="4"/>
  <c r="AU693" i="4"/>
  <c r="AV693" i="4"/>
  <c r="AV695" i="4"/>
  <c r="AU695" i="4"/>
  <c r="AT695" i="4"/>
  <c r="AT697" i="4"/>
  <c r="AV697" i="4"/>
  <c r="AU697" i="4"/>
  <c r="AV699" i="4"/>
  <c r="AU699" i="4"/>
  <c r="AT699" i="4"/>
  <c r="AT701" i="4"/>
  <c r="AU701" i="4"/>
  <c r="AV701" i="4"/>
  <c r="AV703" i="4"/>
  <c r="AU703" i="4"/>
  <c r="AT703" i="4"/>
  <c r="AT705" i="4"/>
  <c r="AV705" i="4"/>
  <c r="AU705" i="4"/>
  <c r="AV707" i="4"/>
  <c r="AU707" i="4"/>
  <c r="AT707" i="4"/>
  <c r="AT709" i="4"/>
  <c r="AU709" i="4"/>
  <c r="AV709" i="4"/>
  <c r="AM719" i="4"/>
  <c r="AV719" i="4"/>
  <c r="AU719" i="4"/>
  <c r="AT719" i="4"/>
  <c r="AV883" i="4"/>
  <c r="AU883" i="4"/>
  <c r="AT883" i="4"/>
  <c r="AM885" i="4"/>
  <c r="AL885" i="4" s="1"/>
  <c r="AT885" i="4"/>
  <c r="AV885" i="4"/>
  <c r="AU885" i="4"/>
  <c r="AM922" i="4"/>
  <c r="AV922" i="4"/>
  <c r="AU922" i="4"/>
  <c r="AT922" i="4"/>
  <c r="AM924" i="4"/>
  <c r="AU924" i="4"/>
  <c r="AT924" i="4"/>
  <c r="AV924" i="4"/>
  <c r="AT947" i="4"/>
  <c r="AV947" i="4"/>
  <c r="AU947" i="4"/>
  <c r="AM949" i="4"/>
  <c r="AL949" i="4" s="1"/>
  <c r="AV949" i="4"/>
  <c r="AU949" i="4"/>
  <c r="AT949" i="4"/>
  <c r="AM980" i="4"/>
  <c r="AL980" i="4" s="1"/>
  <c r="AU980" i="4"/>
  <c r="AT980" i="4"/>
  <c r="AV980" i="4"/>
  <c r="AU60" i="4"/>
  <c r="AT71" i="4"/>
  <c r="AV81" i="4"/>
  <c r="AU92" i="4"/>
  <c r="AT103" i="4"/>
  <c r="AV113" i="4"/>
  <c r="AU124" i="4"/>
  <c r="AU156" i="4"/>
  <c r="AT262" i="4"/>
  <c r="S262" i="4" s="1"/>
  <c r="AV304" i="4"/>
  <c r="AU347" i="4"/>
  <c r="AV368" i="4"/>
  <c r="AU459" i="4"/>
  <c r="AV569" i="4"/>
  <c r="AM8" i="4"/>
  <c r="AV8" i="4"/>
  <c r="AU8" i="4"/>
  <c r="AT8" i="4"/>
  <c r="AV11" i="4"/>
  <c r="AU11" i="4"/>
  <c r="AT11" i="4"/>
  <c r="AM121" i="4"/>
  <c r="AT121" i="4"/>
  <c r="AU121" i="4"/>
  <c r="AV123" i="4"/>
  <c r="AU123" i="4"/>
  <c r="S123" i="4" s="1"/>
  <c r="AT123" i="4"/>
  <c r="AU178" i="4"/>
  <c r="AT178" i="4"/>
  <c r="AV178" i="4"/>
  <c r="AM180" i="4"/>
  <c r="AV182" i="4"/>
  <c r="AU182" i="4"/>
  <c r="S182" i="4" s="1"/>
  <c r="AM184" i="4"/>
  <c r="AL184" i="4" s="1"/>
  <c r="AV186" i="4"/>
  <c r="AT186" i="4"/>
  <c r="AU186" i="4"/>
  <c r="AM188" i="4"/>
  <c r="AV190" i="4"/>
  <c r="AU190" i="4"/>
  <c r="AT190" i="4"/>
  <c r="AM192" i="4"/>
  <c r="AL192" i="4" s="1"/>
  <c r="AV194" i="4"/>
  <c r="AT194" i="4"/>
  <c r="AU194" i="4"/>
  <c r="AT199" i="4"/>
  <c r="AU199" i="4"/>
  <c r="AV199" i="4"/>
  <c r="AM201" i="4"/>
  <c r="AV201" i="4"/>
  <c r="AU201" i="4"/>
  <c r="AT201" i="4"/>
  <c r="AM207" i="4"/>
  <c r="AL207" i="4" s="1"/>
  <c r="AU208" i="4"/>
  <c r="AT208" i="4"/>
  <c r="AM210" i="4"/>
  <c r="AV210" i="4"/>
  <c r="AT210" i="4"/>
  <c r="AU210" i="4"/>
  <c r="AT215" i="4"/>
  <c r="AU215" i="4"/>
  <c r="AV215" i="4"/>
  <c r="AM217" i="4"/>
  <c r="AV217" i="4"/>
  <c r="AU217" i="4"/>
  <c r="AT217" i="4"/>
  <c r="AM223" i="4"/>
  <c r="AU224" i="4"/>
  <c r="AT224" i="4"/>
  <c r="AM226" i="4"/>
  <c r="AV226" i="4"/>
  <c r="AT226" i="4"/>
  <c r="AU226" i="4"/>
  <c r="AT231" i="4"/>
  <c r="AU231" i="4"/>
  <c r="AV231" i="4"/>
  <c r="AM233" i="4"/>
  <c r="AL233" i="4" s="1"/>
  <c r="AV233" i="4"/>
  <c r="AU233" i="4"/>
  <c r="AT233" i="4"/>
  <c r="AM239" i="4"/>
  <c r="AU240" i="4"/>
  <c r="AT240" i="4"/>
  <c r="AM242" i="4"/>
  <c r="AL242" i="4" s="1"/>
  <c r="AV242" i="4"/>
  <c r="AT242" i="4"/>
  <c r="AU242" i="4"/>
  <c r="AT247" i="4"/>
  <c r="AU247" i="4"/>
  <c r="AV247" i="4"/>
  <c r="AM249" i="4"/>
  <c r="AV249" i="4"/>
  <c r="AU249" i="4"/>
  <c r="AT249" i="4"/>
  <c r="AM255" i="4"/>
  <c r="AU256" i="4"/>
  <c r="AT256" i="4"/>
  <c r="AV258" i="4"/>
  <c r="AT258" i="4"/>
  <c r="AU258" i="4"/>
  <c r="AM260" i="4"/>
  <c r="AL260" i="4" s="1"/>
  <c r="AV261" i="4"/>
  <c r="AU261" i="4"/>
  <c r="AT261" i="4"/>
  <c r="AU264" i="4"/>
  <c r="AT264" i="4"/>
  <c r="AV264" i="4"/>
  <c r="AV266" i="4"/>
  <c r="AT266" i="4"/>
  <c r="AU266" i="4"/>
  <c r="AM268" i="4"/>
  <c r="AV269" i="4"/>
  <c r="AU269" i="4"/>
  <c r="AT269" i="4"/>
  <c r="AU272" i="4"/>
  <c r="AT272" i="4"/>
  <c r="AV274" i="4"/>
  <c r="AT274" i="4"/>
  <c r="AU274" i="4"/>
  <c r="AM276" i="4"/>
  <c r="AL276" i="4" s="1"/>
  <c r="AM279" i="4"/>
  <c r="AV281" i="4"/>
  <c r="AU281" i="4"/>
  <c r="AT281" i="4"/>
  <c r="AU284" i="4"/>
  <c r="AT284" i="4"/>
  <c r="AV284" i="4"/>
  <c r="AT287" i="4"/>
  <c r="AU287" i="4"/>
  <c r="AV287" i="4"/>
  <c r="AM289" i="4"/>
  <c r="AT291" i="4"/>
  <c r="AV291" i="4"/>
  <c r="AU291" i="4"/>
  <c r="S291" i="4" s="1"/>
  <c r="AM293" i="4"/>
  <c r="AT295" i="4"/>
  <c r="AU295" i="4"/>
  <c r="AV295" i="4"/>
  <c r="AM297" i="4"/>
  <c r="AT299" i="4"/>
  <c r="AV299" i="4"/>
  <c r="AM301" i="4"/>
  <c r="AL301" i="4" s="1"/>
  <c r="AT303" i="4"/>
  <c r="AU303" i="4"/>
  <c r="AV303" i="4"/>
  <c r="AM305" i="4"/>
  <c r="AT307" i="4"/>
  <c r="AV307" i="4"/>
  <c r="AU307" i="4"/>
  <c r="AM309" i="4"/>
  <c r="AT311" i="4"/>
  <c r="AU311" i="4"/>
  <c r="AV311" i="4"/>
  <c r="AM313" i="4"/>
  <c r="AL313" i="4" s="1"/>
  <c r="AT315" i="4"/>
  <c r="AV315" i="4"/>
  <c r="AM317" i="4"/>
  <c r="AT319" i="4"/>
  <c r="AU319" i="4"/>
  <c r="AV319" i="4"/>
  <c r="AM324" i="4"/>
  <c r="AU324" i="4"/>
  <c r="AT324" i="4"/>
  <c r="AV324" i="4"/>
  <c r="AM326" i="4"/>
  <c r="AL326" i="4" s="1"/>
  <c r="AV326" i="4"/>
  <c r="AU326" i="4"/>
  <c r="AV333" i="4"/>
  <c r="AU333" i="4"/>
  <c r="AT333" i="4"/>
  <c r="AT335" i="4"/>
  <c r="AU335" i="4"/>
  <c r="AV335" i="4"/>
  <c r="AM340" i="4"/>
  <c r="AU340" i="4"/>
  <c r="AT340" i="4"/>
  <c r="AV340" i="4"/>
  <c r="AM342" i="4"/>
  <c r="AL342" i="4" s="1"/>
  <c r="AV342" i="4"/>
  <c r="AU342" i="4"/>
  <c r="AV349" i="4"/>
  <c r="AU349" i="4"/>
  <c r="AT349" i="4"/>
  <c r="AT351" i="4"/>
  <c r="AU351" i="4"/>
  <c r="R351" i="4" s="1"/>
  <c r="AV351" i="4"/>
  <c r="AM356" i="4"/>
  <c r="AU356" i="4"/>
  <c r="AT356" i="4"/>
  <c r="AV356" i="4"/>
  <c r="AM358" i="4"/>
  <c r="AV358" i="4"/>
  <c r="AU358" i="4"/>
  <c r="AV365" i="4"/>
  <c r="AU365" i="4"/>
  <c r="AT365" i="4"/>
  <c r="AT367" i="4"/>
  <c r="AU367" i="4"/>
  <c r="AV367" i="4"/>
  <c r="AM372" i="4"/>
  <c r="AL372" i="4" s="1"/>
  <c r="AU372" i="4"/>
  <c r="AT372" i="4"/>
  <c r="AV372" i="4"/>
  <c r="AM374" i="4"/>
  <c r="AV374" i="4"/>
  <c r="AU374" i="4"/>
  <c r="AV381" i="4"/>
  <c r="AU381" i="4"/>
  <c r="AT381" i="4"/>
  <c r="AT383" i="4"/>
  <c r="AU383" i="4"/>
  <c r="AV383" i="4"/>
  <c r="AM388" i="4"/>
  <c r="AL388" i="4" s="1"/>
  <c r="AU388" i="4"/>
  <c r="AT388" i="4"/>
  <c r="AV388" i="4"/>
  <c r="AM390" i="4"/>
  <c r="AL390" i="4" s="1"/>
  <c r="AV390" i="4"/>
  <c r="AU390" i="4"/>
  <c r="AV397" i="4"/>
  <c r="AU397" i="4"/>
  <c r="AT397" i="4"/>
  <c r="AT399" i="4"/>
  <c r="AU399" i="4"/>
  <c r="AV399" i="4"/>
  <c r="AM404" i="4"/>
  <c r="AL404" i="4" s="1"/>
  <c r="AU404" i="4"/>
  <c r="AT404" i="4"/>
  <c r="AV404" i="4"/>
  <c r="AM406" i="4"/>
  <c r="AL406" i="4" s="1"/>
  <c r="AV406" i="4"/>
  <c r="AU406" i="4"/>
  <c r="AM711" i="4"/>
  <c r="AV711" i="4"/>
  <c r="AU711" i="4"/>
  <c r="AT711" i="4"/>
  <c r="AM723" i="4"/>
  <c r="AL723" i="4" s="1"/>
  <c r="AV723" i="4"/>
  <c r="AU723" i="4"/>
  <c r="AT723" i="4"/>
  <c r="AM728" i="4"/>
  <c r="AL728" i="4" s="1"/>
  <c r="AV728" i="4"/>
  <c r="AT728" i="4"/>
  <c r="AU728" i="4"/>
  <c r="AU730" i="4"/>
  <c r="AT730" i="4"/>
  <c r="AV730" i="4"/>
  <c r="AM732" i="4"/>
  <c r="AV732" i="4"/>
  <c r="AU732" i="4"/>
  <c r="AT732" i="4"/>
  <c r="AU734" i="4"/>
  <c r="AT734" i="4"/>
  <c r="AV734" i="4"/>
  <c r="AM736" i="4"/>
  <c r="AV736" i="4"/>
  <c r="AT736" i="4"/>
  <c r="AU736" i="4"/>
  <c r="AM874" i="4"/>
  <c r="AU874" i="4"/>
  <c r="AT874" i="4"/>
  <c r="AV874" i="4"/>
  <c r="AV876" i="4"/>
  <c r="AT876" i="4"/>
  <c r="AU876" i="4"/>
  <c r="AT899" i="4"/>
  <c r="AV899" i="4"/>
  <c r="AU899" i="4"/>
  <c r="AM901" i="4"/>
  <c r="AL901" i="4" s="1"/>
  <c r="AV901" i="4"/>
  <c r="AU901" i="4"/>
  <c r="AT901" i="4"/>
  <c r="AM938" i="4"/>
  <c r="AL938" i="4" s="1"/>
  <c r="AV938" i="4"/>
  <c r="AU938" i="4"/>
  <c r="AT938" i="4"/>
  <c r="AU940" i="4"/>
  <c r="AT940" i="4"/>
  <c r="AV940" i="4"/>
  <c r="AT963" i="4"/>
  <c r="AV963" i="4"/>
  <c r="AU963" i="4"/>
  <c r="AM965" i="4"/>
  <c r="AV965" i="4"/>
  <c r="AU965" i="4"/>
  <c r="AT965" i="4"/>
  <c r="AM975" i="4"/>
  <c r="AT975" i="4"/>
  <c r="AV975" i="4"/>
  <c r="AU975" i="4"/>
  <c r="AM977" i="4"/>
  <c r="AV977" i="4"/>
  <c r="AU977" i="4"/>
  <c r="AT977" i="4"/>
  <c r="AU52" i="4"/>
  <c r="AT63" i="4"/>
  <c r="AV73" i="4"/>
  <c r="AU84" i="4"/>
  <c r="AT95" i="4"/>
  <c r="AV105" i="4"/>
  <c r="AU116" i="4"/>
  <c r="AU148" i="4"/>
  <c r="AT182" i="4"/>
  <c r="AV224" i="4"/>
  <c r="AU267" i="4"/>
  <c r="S267" i="4" s="1"/>
  <c r="AV288" i="4"/>
  <c r="AU331" i="4"/>
  <c r="AV352" i="4"/>
  <c r="AT374" i="4"/>
  <c r="AU395" i="4"/>
  <c r="AU427" i="4"/>
  <c r="AT591" i="4"/>
  <c r="AM50" i="4"/>
  <c r="AL50" i="4" s="1"/>
  <c r="AM51" i="4"/>
  <c r="AL51" i="4" s="1"/>
  <c r="AM52" i="4"/>
  <c r="AM53" i="4"/>
  <c r="AL53" i="4" s="1"/>
  <c r="AM54" i="4"/>
  <c r="AM55" i="4"/>
  <c r="AM56" i="4"/>
  <c r="AM57" i="4"/>
  <c r="AM58" i="4"/>
  <c r="AL58" i="4" s="1"/>
  <c r="AM59" i="4"/>
  <c r="AM60" i="4"/>
  <c r="AM61" i="4"/>
  <c r="AL61" i="4" s="1"/>
  <c r="AM62" i="4"/>
  <c r="AL62" i="4" s="1"/>
  <c r="AM63" i="4"/>
  <c r="AL63" i="4" s="1"/>
  <c r="AM64" i="4"/>
  <c r="AM65" i="4"/>
  <c r="AL65" i="4" s="1"/>
  <c r="AM66" i="4"/>
  <c r="AM67" i="4"/>
  <c r="AM68" i="4"/>
  <c r="AM69" i="4"/>
  <c r="AM70" i="4"/>
  <c r="AL70" i="4" s="1"/>
  <c r="AM71" i="4"/>
  <c r="AM72" i="4"/>
  <c r="AM73" i="4"/>
  <c r="AL73" i="4" s="1"/>
  <c r="AM74" i="4"/>
  <c r="AL74" i="4" s="1"/>
  <c r="AM75" i="4"/>
  <c r="AL75" i="4" s="1"/>
  <c r="AM76" i="4"/>
  <c r="AM77" i="4"/>
  <c r="AL77" i="4" s="1"/>
  <c r="AM78" i="4"/>
  <c r="AM79" i="4"/>
  <c r="AL79" i="4" s="1"/>
  <c r="AM80" i="4"/>
  <c r="AM81" i="4"/>
  <c r="AM82" i="4"/>
  <c r="AL82" i="4" s="1"/>
  <c r="AM83" i="4"/>
  <c r="AM84" i="4"/>
  <c r="AM85" i="4"/>
  <c r="AL85" i="4" s="1"/>
  <c r="AM86" i="4"/>
  <c r="AM87" i="4"/>
  <c r="AL87" i="4" s="1"/>
  <c r="AM88" i="4"/>
  <c r="AM89" i="4"/>
  <c r="AL89" i="4" s="1"/>
  <c r="AM90" i="4"/>
  <c r="AL90" i="4" s="1"/>
  <c r="AM91" i="4"/>
  <c r="AM92" i="4"/>
  <c r="AM93" i="4"/>
  <c r="AL93" i="4" s="1"/>
  <c r="AM94" i="4"/>
  <c r="AL94" i="4" s="1"/>
  <c r="AM95" i="4"/>
  <c r="AM96" i="4"/>
  <c r="AM97" i="4"/>
  <c r="AM98" i="4"/>
  <c r="AL98" i="4" s="1"/>
  <c r="AM99" i="4"/>
  <c r="AM100" i="4"/>
  <c r="AM101" i="4"/>
  <c r="AL101" i="4" s="1"/>
  <c r="AM102" i="4"/>
  <c r="AM103" i="4"/>
  <c r="AL103" i="4" s="1"/>
  <c r="AM104" i="4"/>
  <c r="AM105" i="4"/>
  <c r="AL105" i="4" s="1"/>
  <c r="AM106" i="4"/>
  <c r="AL106" i="4" s="1"/>
  <c r="AM107" i="4"/>
  <c r="AL107" i="4" s="1"/>
  <c r="AM108" i="4"/>
  <c r="AM109" i="4"/>
  <c r="AM110" i="4"/>
  <c r="AM111" i="4"/>
  <c r="AM112" i="4"/>
  <c r="AM113" i="4"/>
  <c r="AM114" i="4"/>
  <c r="AL114" i="4" s="1"/>
  <c r="AM115" i="4"/>
  <c r="AL115" i="4" s="1"/>
  <c r="AM116" i="4"/>
  <c r="AM117" i="4"/>
  <c r="AU118" i="4"/>
  <c r="S118" i="4" s="1"/>
  <c r="AT118" i="4"/>
  <c r="AV118" i="4"/>
  <c r="AM120" i="4"/>
  <c r="AL120" i="4" s="1"/>
  <c r="AV120" i="4"/>
  <c r="AU120" i="4"/>
  <c r="AT120" i="4"/>
  <c r="AM125" i="4"/>
  <c r="AT125" i="4"/>
  <c r="AV125" i="4"/>
  <c r="AU125" i="4"/>
  <c r="AM127" i="4"/>
  <c r="AV127" i="4"/>
  <c r="AU127" i="4"/>
  <c r="AM129" i="4"/>
  <c r="AT129" i="4"/>
  <c r="AU129" i="4"/>
  <c r="AM131" i="4"/>
  <c r="AV131" i="4"/>
  <c r="AU131" i="4"/>
  <c r="AT131" i="4"/>
  <c r="AM133" i="4"/>
  <c r="AT133" i="4"/>
  <c r="AV133" i="4"/>
  <c r="AU133" i="4"/>
  <c r="AM135" i="4"/>
  <c r="AV135" i="4"/>
  <c r="AU135" i="4"/>
  <c r="AM137" i="4"/>
  <c r="AL137" i="4" s="1"/>
  <c r="AT137" i="4"/>
  <c r="AU137" i="4"/>
  <c r="AM139" i="4"/>
  <c r="AL139" i="4" s="1"/>
  <c r="AV139" i="4"/>
  <c r="AU139" i="4"/>
  <c r="S139" i="4" s="1"/>
  <c r="AT139" i="4"/>
  <c r="AM141" i="4"/>
  <c r="AL141" i="4" s="1"/>
  <c r="AT141" i="4"/>
  <c r="AV141" i="4"/>
  <c r="AU141" i="4"/>
  <c r="AM143" i="4"/>
  <c r="AV143" i="4"/>
  <c r="AU143" i="4"/>
  <c r="AM145" i="4"/>
  <c r="AT145" i="4"/>
  <c r="AU145" i="4"/>
  <c r="AM147" i="4"/>
  <c r="AV147" i="4"/>
  <c r="AU147" i="4"/>
  <c r="AT147" i="4"/>
  <c r="AM149" i="4"/>
  <c r="AL149" i="4" s="1"/>
  <c r="AT149" i="4"/>
  <c r="AV149" i="4"/>
  <c r="AU149" i="4"/>
  <c r="AM151" i="4"/>
  <c r="AV151" i="4"/>
  <c r="AU151" i="4"/>
  <c r="AM153" i="4"/>
  <c r="AL153" i="4" s="1"/>
  <c r="AT153" i="4"/>
  <c r="AU153" i="4"/>
  <c r="AM155" i="4"/>
  <c r="AL155" i="4" s="1"/>
  <c r="AV155" i="4"/>
  <c r="AU155" i="4"/>
  <c r="S155" i="4" s="1"/>
  <c r="AT155" i="4"/>
  <c r="AM157" i="4"/>
  <c r="AL157" i="4" s="1"/>
  <c r="AT157" i="4"/>
  <c r="AV157" i="4"/>
  <c r="AU157" i="4"/>
  <c r="AM159" i="4"/>
  <c r="AL159" i="4" s="1"/>
  <c r="AV159" i="4"/>
  <c r="AU159" i="4"/>
  <c r="AM161" i="4"/>
  <c r="AT161" i="4"/>
  <c r="AU161" i="4"/>
  <c r="AM163" i="4"/>
  <c r="AL163" i="4" s="1"/>
  <c r="AV163" i="4"/>
  <c r="AU163" i="4"/>
  <c r="AT163" i="4"/>
  <c r="AM165" i="4"/>
  <c r="AL165" i="4" s="1"/>
  <c r="AT165" i="4"/>
  <c r="AV165" i="4"/>
  <c r="AU165" i="4"/>
  <c r="AM167" i="4"/>
  <c r="AV167" i="4"/>
  <c r="AU167" i="4"/>
  <c r="AT169" i="4"/>
  <c r="AU169" i="4"/>
  <c r="AV171" i="4"/>
  <c r="AU171" i="4"/>
  <c r="AT171" i="4"/>
  <c r="AT173" i="4"/>
  <c r="AV173" i="4"/>
  <c r="AU173" i="4"/>
  <c r="AV175" i="4"/>
  <c r="AU175" i="4"/>
  <c r="AT177" i="4"/>
  <c r="AU177" i="4"/>
  <c r="AM179" i="4"/>
  <c r="AV181" i="4"/>
  <c r="AU181" i="4"/>
  <c r="AT181" i="4"/>
  <c r="AM183" i="4"/>
  <c r="AV185" i="4"/>
  <c r="AU185" i="4"/>
  <c r="AT185" i="4"/>
  <c r="AM187" i="4"/>
  <c r="AV189" i="4"/>
  <c r="AU189" i="4"/>
  <c r="AT189" i="4"/>
  <c r="AM191" i="4"/>
  <c r="AL191" i="4" s="1"/>
  <c r="AV193" i="4"/>
  <c r="AU193" i="4"/>
  <c r="AT193" i="4"/>
  <c r="AM195" i="4"/>
  <c r="AU196" i="4"/>
  <c r="AT196" i="4"/>
  <c r="AV196" i="4"/>
  <c r="AM198" i="4"/>
  <c r="AL198" i="4" s="1"/>
  <c r="AV198" i="4"/>
  <c r="AU198" i="4"/>
  <c r="AM200" i="4"/>
  <c r="AT203" i="4"/>
  <c r="R203" i="4" s="1"/>
  <c r="AV203" i="4"/>
  <c r="AM205" i="4"/>
  <c r="AV205" i="4"/>
  <c r="AU205" i="4"/>
  <c r="AT205" i="4"/>
  <c r="AM211" i="4"/>
  <c r="AU212" i="4"/>
  <c r="AT212" i="4"/>
  <c r="AV212" i="4"/>
  <c r="AM214" i="4"/>
  <c r="AV214" i="4"/>
  <c r="AU214" i="4"/>
  <c r="R214" i="4" s="1"/>
  <c r="AM216" i="4"/>
  <c r="AT219" i="4"/>
  <c r="S219" i="4" s="1"/>
  <c r="AV219" i="4"/>
  <c r="AM221" i="4"/>
  <c r="AL221" i="4" s="1"/>
  <c r="AV221" i="4"/>
  <c r="AU221" i="4"/>
  <c r="AT221" i="4"/>
  <c r="AM227" i="4"/>
  <c r="AL227" i="4" s="1"/>
  <c r="AU228" i="4"/>
  <c r="AT228" i="4"/>
  <c r="AV228" i="4"/>
  <c r="AM230" i="4"/>
  <c r="AL230" i="4" s="1"/>
  <c r="AV230" i="4"/>
  <c r="AU230" i="4"/>
  <c r="AM232" i="4"/>
  <c r="AT235" i="4"/>
  <c r="R235" i="4" s="1"/>
  <c r="AV235" i="4"/>
  <c r="AM237" i="4"/>
  <c r="AV237" i="4"/>
  <c r="AU237" i="4"/>
  <c r="AT237" i="4"/>
  <c r="AM243" i="4"/>
  <c r="AU244" i="4"/>
  <c r="AT244" i="4"/>
  <c r="AV244" i="4"/>
  <c r="AM246" i="4"/>
  <c r="AV246" i="4"/>
  <c r="AU246" i="4"/>
  <c r="R246" i="4" s="1"/>
  <c r="AM248" i="4"/>
  <c r="AT251" i="4"/>
  <c r="AV251" i="4"/>
  <c r="AM253" i="4"/>
  <c r="AL253" i="4" s="1"/>
  <c r="AV253" i="4"/>
  <c r="AU253" i="4"/>
  <c r="AT253" i="4"/>
  <c r="AM257" i="4"/>
  <c r="AL257" i="4" s="1"/>
  <c r="AM259" i="4"/>
  <c r="AM262" i="4"/>
  <c r="AT263" i="4"/>
  <c r="AU263" i="4"/>
  <c r="AV263" i="4"/>
  <c r="AM265" i="4"/>
  <c r="AM267" i="4"/>
  <c r="AM270" i="4"/>
  <c r="AL270" i="4" s="1"/>
  <c r="AT271" i="4"/>
  <c r="AU271" i="4"/>
  <c r="AV271" i="4"/>
  <c r="AM273" i="4"/>
  <c r="AM275" i="4"/>
  <c r="AL275" i="4" s="1"/>
  <c r="AV277" i="4"/>
  <c r="AU277" i="4"/>
  <c r="AT277" i="4"/>
  <c r="AU280" i="4"/>
  <c r="AT280" i="4"/>
  <c r="AV280" i="4"/>
  <c r="AM282" i="4"/>
  <c r="AT283" i="4"/>
  <c r="R283" i="4" s="1"/>
  <c r="AV283" i="4"/>
  <c r="AM285" i="4"/>
  <c r="AV286" i="4"/>
  <c r="AU286" i="4"/>
  <c r="R286" i="4" s="1"/>
  <c r="AT286" i="4"/>
  <c r="AM288" i="4"/>
  <c r="AV290" i="4"/>
  <c r="AT290" i="4"/>
  <c r="AU290" i="4"/>
  <c r="AM292" i="4"/>
  <c r="AV294" i="4"/>
  <c r="AU294" i="4"/>
  <c r="AM296" i="4"/>
  <c r="AV298" i="4"/>
  <c r="AT298" i="4"/>
  <c r="AU298" i="4"/>
  <c r="AM300" i="4"/>
  <c r="AV302" i="4"/>
  <c r="AU302" i="4"/>
  <c r="AT302" i="4"/>
  <c r="AM304" i="4"/>
  <c r="AV306" i="4"/>
  <c r="AT306" i="4"/>
  <c r="AU306" i="4"/>
  <c r="R306" i="4" s="1"/>
  <c r="AM308" i="4"/>
  <c r="AV310" i="4"/>
  <c r="AU310" i="4"/>
  <c r="AM312" i="4"/>
  <c r="AL312" i="4" s="1"/>
  <c r="AV314" i="4"/>
  <c r="AT314" i="4"/>
  <c r="AU314" i="4"/>
  <c r="AV318" i="4"/>
  <c r="AU318" i="4"/>
  <c r="AT318" i="4"/>
  <c r="AV321" i="4"/>
  <c r="AU321" i="4"/>
  <c r="AT321" i="4"/>
  <c r="AT323" i="4"/>
  <c r="AV323" i="4"/>
  <c r="AU323" i="4"/>
  <c r="AM328" i="4"/>
  <c r="AU328" i="4"/>
  <c r="AT328" i="4"/>
  <c r="AV328" i="4"/>
  <c r="AM330" i="4"/>
  <c r="AV330" i="4"/>
  <c r="AT330" i="4"/>
  <c r="AU330" i="4"/>
  <c r="AV337" i="4"/>
  <c r="AU337" i="4"/>
  <c r="AT337" i="4"/>
  <c r="AT339" i="4"/>
  <c r="AV339" i="4"/>
  <c r="AU339" i="4"/>
  <c r="AM344" i="4"/>
  <c r="AL344" i="4" s="1"/>
  <c r="AU344" i="4"/>
  <c r="AT344" i="4"/>
  <c r="AV344" i="4"/>
  <c r="AM346" i="4"/>
  <c r="AL346" i="4" s="1"/>
  <c r="AV346" i="4"/>
  <c r="AT346" i="4"/>
  <c r="AU346" i="4"/>
  <c r="AV353" i="4"/>
  <c r="AU353" i="4"/>
  <c r="AT353" i="4"/>
  <c r="AT355" i="4"/>
  <c r="AV355" i="4"/>
  <c r="AU355" i="4"/>
  <c r="AM360" i="4"/>
  <c r="AU360" i="4"/>
  <c r="AT360" i="4"/>
  <c r="AV360" i="4"/>
  <c r="AM362" i="4"/>
  <c r="AV362" i="4"/>
  <c r="AT362" i="4"/>
  <c r="AU362" i="4"/>
  <c r="AV369" i="4"/>
  <c r="AU369" i="4"/>
  <c r="AT369" i="4"/>
  <c r="AT371" i="4"/>
  <c r="AV371" i="4"/>
  <c r="AU371" i="4"/>
  <c r="AM376" i="4"/>
  <c r="AU376" i="4"/>
  <c r="AT376" i="4"/>
  <c r="AV376" i="4"/>
  <c r="AM378" i="4"/>
  <c r="AL378" i="4" s="1"/>
  <c r="AV378" i="4"/>
  <c r="AT378" i="4"/>
  <c r="AU378" i="4"/>
  <c r="AV385" i="4"/>
  <c r="AU385" i="4"/>
  <c r="AT385" i="4"/>
  <c r="AT387" i="4"/>
  <c r="AV387" i="4"/>
  <c r="AU387" i="4"/>
  <c r="R387" i="4" s="1"/>
  <c r="AM392" i="4"/>
  <c r="AU392" i="4"/>
  <c r="AT392" i="4"/>
  <c r="AV392" i="4"/>
  <c r="AM394" i="4"/>
  <c r="AV394" i="4"/>
  <c r="AT394" i="4"/>
  <c r="AU394" i="4"/>
  <c r="AV401" i="4"/>
  <c r="AU401" i="4"/>
  <c r="AT401" i="4"/>
  <c r="AT403" i="4"/>
  <c r="AV403" i="4"/>
  <c r="AU403" i="4"/>
  <c r="AM408" i="4"/>
  <c r="AL408" i="4" s="1"/>
  <c r="AU408" i="4"/>
  <c r="AT408" i="4"/>
  <c r="AV408" i="4"/>
  <c r="AM410" i="4"/>
  <c r="AL410" i="4" s="1"/>
  <c r="AV410" i="4"/>
  <c r="AU410" i="4"/>
  <c r="AT410" i="4"/>
  <c r="AM412" i="4"/>
  <c r="AU412" i="4"/>
  <c r="AT412" i="4"/>
  <c r="AV412" i="4"/>
  <c r="AM414" i="4"/>
  <c r="AL414" i="4" s="1"/>
  <c r="AV414" i="4"/>
  <c r="AU414" i="4"/>
  <c r="AT414" i="4"/>
  <c r="AM416" i="4"/>
  <c r="AL416" i="4" s="1"/>
  <c r="AU416" i="4"/>
  <c r="AT416" i="4"/>
  <c r="AM418" i="4"/>
  <c r="AV418" i="4"/>
  <c r="AU418" i="4"/>
  <c r="S418" i="4" s="1"/>
  <c r="AT418" i="4"/>
  <c r="AM420" i="4"/>
  <c r="AU420" i="4"/>
  <c r="AT420" i="4"/>
  <c r="AV420" i="4"/>
  <c r="AM422" i="4"/>
  <c r="AV422" i="4"/>
  <c r="AU422" i="4"/>
  <c r="AT422" i="4"/>
  <c r="AM424" i="4"/>
  <c r="AL424" i="4" s="1"/>
  <c r="AU424" i="4"/>
  <c r="AT424" i="4"/>
  <c r="AV424" i="4"/>
  <c r="AM426" i="4"/>
  <c r="AV426" i="4"/>
  <c r="AU426" i="4"/>
  <c r="AT426" i="4"/>
  <c r="AM428" i="4"/>
  <c r="AU428" i="4"/>
  <c r="AT428" i="4"/>
  <c r="AV428" i="4"/>
  <c r="AM430" i="4"/>
  <c r="AV430" i="4"/>
  <c r="AU430" i="4"/>
  <c r="AT430" i="4"/>
  <c r="AM432" i="4"/>
  <c r="AL432" i="4" s="1"/>
  <c r="AU432" i="4"/>
  <c r="AT432" i="4"/>
  <c r="AV432" i="4"/>
  <c r="AM434" i="4"/>
  <c r="AL434" i="4" s="1"/>
  <c r="AV434" i="4"/>
  <c r="AU434" i="4"/>
  <c r="R434" i="4" s="1"/>
  <c r="AT434" i="4"/>
  <c r="AM436" i="4"/>
  <c r="AL436" i="4" s="1"/>
  <c r="AU436" i="4"/>
  <c r="AT436" i="4"/>
  <c r="AV436" i="4"/>
  <c r="AM438" i="4"/>
  <c r="AL438" i="4" s="1"/>
  <c r="AV438" i="4"/>
  <c r="AU438" i="4"/>
  <c r="AM440" i="4"/>
  <c r="AU440" i="4"/>
  <c r="AT440" i="4"/>
  <c r="AV440" i="4"/>
  <c r="AM442" i="4"/>
  <c r="AV442" i="4"/>
  <c r="AU442" i="4"/>
  <c r="AT442" i="4"/>
  <c r="AM444" i="4"/>
  <c r="AU444" i="4"/>
  <c r="AT444" i="4"/>
  <c r="AV444" i="4"/>
  <c r="AM446" i="4"/>
  <c r="AV446" i="4"/>
  <c r="AU446" i="4"/>
  <c r="AT446" i="4"/>
  <c r="AM448" i="4"/>
  <c r="AU448" i="4"/>
  <c r="AT448" i="4"/>
  <c r="AM450" i="4"/>
  <c r="AL450" i="4" s="1"/>
  <c r="AV450" i="4"/>
  <c r="AU450" i="4"/>
  <c r="AT450" i="4"/>
  <c r="AM452" i="4"/>
  <c r="AL452" i="4" s="1"/>
  <c r="AU452" i="4"/>
  <c r="AT452" i="4"/>
  <c r="AV452" i="4"/>
  <c r="AM454" i="4"/>
  <c r="AL454" i="4" s="1"/>
  <c r="AV454" i="4"/>
  <c r="AU454" i="4"/>
  <c r="AT454" i="4"/>
  <c r="AM456" i="4"/>
  <c r="AL456" i="4" s="1"/>
  <c r="AU456" i="4"/>
  <c r="AT456" i="4"/>
  <c r="AV456" i="4"/>
  <c r="AM458" i="4"/>
  <c r="AL458" i="4" s="1"/>
  <c r="AV458" i="4"/>
  <c r="AU458" i="4"/>
  <c r="AT458" i="4"/>
  <c r="AM460" i="4"/>
  <c r="AU460" i="4"/>
  <c r="AT460" i="4"/>
  <c r="AV460" i="4"/>
  <c r="AM462" i="4"/>
  <c r="AV462" i="4"/>
  <c r="AU462" i="4"/>
  <c r="AT462" i="4"/>
  <c r="AM464" i="4"/>
  <c r="AU464" i="4"/>
  <c r="AT464" i="4"/>
  <c r="AV464" i="4"/>
  <c r="AM466" i="4"/>
  <c r="AL466" i="4" s="1"/>
  <c r="AV466" i="4"/>
  <c r="AU466" i="4"/>
  <c r="AT466" i="4"/>
  <c r="AM468" i="4"/>
  <c r="AU468" i="4"/>
  <c r="S468" i="4" s="1"/>
  <c r="AT468" i="4"/>
  <c r="AV468" i="4"/>
  <c r="AM470" i="4"/>
  <c r="AV470" i="4"/>
  <c r="AU470" i="4"/>
  <c r="AM472" i="4"/>
  <c r="AL472" i="4" s="1"/>
  <c r="AU472" i="4"/>
  <c r="AT472" i="4"/>
  <c r="AV472" i="4"/>
  <c r="AM474" i="4"/>
  <c r="AV474" i="4"/>
  <c r="AU474" i="4"/>
  <c r="AT474" i="4"/>
  <c r="AM476" i="4"/>
  <c r="AU476" i="4"/>
  <c r="AT476" i="4"/>
  <c r="AV476" i="4"/>
  <c r="AM478" i="4"/>
  <c r="AL478" i="4" s="1"/>
  <c r="AV478" i="4"/>
  <c r="AU478" i="4"/>
  <c r="AT478" i="4"/>
  <c r="AM480" i="4"/>
  <c r="AL480" i="4" s="1"/>
  <c r="AU480" i="4"/>
  <c r="AT480" i="4"/>
  <c r="AM482" i="4"/>
  <c r="AV482" i="4"/>
  <c r="AU482" i="4"/>
  <c r="S482" i="4" s="1"/>
  <c r="AT482" i="4"/>
  <c r="AM484" i="4"/>
  <c r="AU484" i="4"/>
  <c r="AT484" i="4"/>
  <c r="AV484" i="4"/>
  <c r="AM486" i="4"/>
  <c r="AL486" i="4" s="1"/>
  <c r="AV486" i="4"/>
  <c r="AU486" i="4"/>
  <c r="AT486" i="4"/>
  <c r="AM488" i="4"/>
  <c r="AL488" i="4" s="1"/>
  <c r="AU488" i="4"/>
  <c r="AT488" i="4"/>
  <c r="AV488" i="4"/>
  <c r="AM490" i="4"/>
  <c r="AV490" i="4"/>
  <c r="AU490" i="4"/>
  <c r="AT490" i="4"/>
  <c r="AM492" i="4"/>
  <c r="AU492" i="4"/>
  <c r="AT492" i="4"/>
  <c r="AV492" i="4"/>
  <c r="AM494" i="4"/>
  <c r="AV494" i="4"/>
  <c r="AU494" i="4"/>
  <c r="R494" i="4" s="1"/>
  <c r="AT494" i="4"/>
  <c r="AM496" i="4"/>
  <c r="AL496" i="4" s="1"/>
  <c r="AU496" i="4"/>
  <c r="AT496" i="4"/>
  <c r="AV496" i="4"/>
  <c r="AM498" i="4"/>
  <c r="AL498" i="4" s="1"/>
  <c r="AV498" i="4"/>
  <c r="AU498" i="4"/>
  <c r="S498" i="4" s="1"/>
  <c r="AT498" i="4"/>
  <c r="AM500" i="4"/>
  <c r="AL500" i="4" s="1"/>
  <c r="AU500" i="4"/>
  <c r="AT500" i="4"/>
  <c r="AV500" i="4"/>
  <c r="AM502" i="4"/>
  <c r="AV502" i="4"/>
  <c r="AU502" i="4"/>
  <c r="AM504" i="4"/>
  <c r="AU504" i="4"/>
  <c r="AT504" i="4"/>
  <c r="AV504" i="4"/>
  <c r="AM506" i="4"/>
  <c r="AV506" i="4"/>
  <c r="AU506" i="4"/>
  <c r="AT506" i="4"/>
  <c r="AM508" i="4"/>
  <c r="AU508" i="4"/>
  <c r="AT508" i="4"/>
  <c r="AV508" i="4"/>
  <c r="AM510" i="4"/>
  <c r="AV510" i="4"/>
  <c r="AU510" i="4"/>
  <c r="S510" i="4" s="1"/>
  <c r="AT510" i="4"/>
  <c r="AM512" i="4"/>
  <c r="AU512" i="4"/>
  <c r="AT512" i="4"/>
  <c r="AM514" i="4"/>
  <c r="AL514" i="4" s="1"/>
  <c r="AV514" i="4"/>
  <c r="AU514" i="4"/>
  <c r="AT514" i="4"/>
  <c r="AM516" i="4"/>
  <c r="AL516" i="4" s="1"/>
  <c r="AU516" i="4"/>
  <c r="AT516" i="4"/>
  <c r="AV516" i="4"/>
  <c r="AM518" i="4"/>
  <c r="AV518" i="4"/>
  <c r="AU518" i="4"/>
  <c r="AT518" i="4"/>
  <c r="AM520" i="4"/>
  <c r="AL520" i="4" s="1"/>
  <c r="AV520" i="4"/>
  <c r="AU520" i="4"/>
  <c r="AT520" i="4"/>
  <c r="AM522" i="4"/>
  <c r="AL522" i="4" s="1"/>
  <c r="AU522" i="4"/>
  <c r="AT522" i="4"/>
  <c r="AV522" i="4"/>
  <c r="AM524" i="4"/>
  <c r="AL524" i="4" s="1"/>
  <c r="AV524" i="4"/>
  <c r="AT524" i="4"/>
  <c r="AU524" i="4"/>
  <c r="AM526" i="4"/>
  <c r="AL526" i="4" s="1"/>
  <c r="AU526" i="4"/>
  <c r="AT526" i="4"/>
  <c r="AV526" i="4"/>
  <c r="AM528" i="4"/>
  <c r="AV528" i="4"/>
  <c r="AU528" i="4"/>
  <c r="AT528" i="4"/>
  <c r="AM530" i="4"/>
  <c r="AL530" i="4" s="1"/>
  <c r="AU530" i="4"/>
  <c r="AT530" i="4"/>
  <c r="AV530" i="4"/>
  <c r="AM532" i="4"/>
  <c r="AV532" i="4"/>
  <c r="AT532" i="4"/>
  <c r="AU532" i="4"/>
  <c r="AM534" i="4"/>
  <c r="AL534" i="4" s="1"/>
  <c r="AU534" i="4"/>
  <c r="AT534" i="4"/>
  <c r="AV534" i="4"/>
  <c r="AM536" i="4"/>
  <c r="AV536" i="4"/>
  <c r="AU536" i="4"/>
  <c r="AT536" i="4"/>
  <c r="AM538" i="4"/>
  <c r="AL538" i="4" s="1"/>
  <c r="AU538" i="4"/>
  <c r="AT538" i="4"/>
  <c r="AV538" i="4"/>
  <c r="AM540" i="4"/>
  <c r="AL540" i="4" s="1"/>
  <c r="AV540" i="4"/>
  <c r="AT540" i="4"/>
  <c r="AU540" i="4"/>
  <c r="AM542" i="4"/>
  <c r="AL542" i="4" s="1"/>
  <c r="AU542" i="4"/>
  <c r="AT542" i="4"/>
  <c r="AV542" i="4"/>
  <c r="AM544" i="4"/>
  <c r="AL544" i="4" s="1"/>
  <c r="AV544" i="4"/>
  <c r="AU544" i="4"/>
  <c r="AT544" i="4"/>
  <c r="AM546" i="4"/>
  <c r="AU546" i="4"/>
  <c r="AT546" i="4"/>
  <c r="AV546" i="4"/>
  <c r="AM548" i="4"/>
  <c r="AV548" i="4"/>
  <c r="AT548" i="4"/>
  <c r="AM550" i="4"/>
  <c r="AL550" i="4" s="1"/>
  <c r="AU550" i="4"/>
  <c r="AT550" i="4"/>
  <c r="AV550" i="4"/>
  <c r="AM552" i="4"/>
  <c r="AL552" i="4" s="1"/>
  <c r="AV552" i="4"/>
  <c r="AU552" i="4"/>
  <c r="AT552" i="4"/>
  <c r="AM554" i="4"/>
  <c r="AU554" i="4"/>
  <c r="AT554" i="4"/>
  <c r="AV554" i="4"/>
  <c r="AM556" i="4"/>
  <c r="AV556" i="4"/>
  <c r="AT556" i="4"/>
  <c r="AU556" i="4"/>
  <c r="AM558" i="4"/>
  <c r="AL558" i="4" s="1"/>
  <c r="AU558" i="4"/>
  <c r="R558" i="4" s="1"/>
  <c r="AT558" i="4"/>
  <c r="AV558" i="4"/>
  <c r="AM560" i="4"/>
  <c r="AL560" i="4" s="1"/>
  <c r="AV560" i="4"/>
  <c r="AU560" i="4"/>
  <c r="AT560" i="4"/>
  <c r="AM562" i="4"/>
  <c r="AL562" i="4" s="1"/>
  <c r="AU562" i="4"/>
  <c r="S562" i="4" s="1"/>
  <c r="AT562" i="4"/>
  <c r="AV562" i="4"/>
  <c r="AM564" i="4"/>
  <c r="AL564" i="4" s="1"/>
  <c r="AV564" i="4"/>
  <c r="AT564" i="4"/>
  <c r="AU564" i="4"/>
  <c r="AM566" i="4"/>
  <c r="AU566" i="4"/>
  <c r="AT566" i="4"/>
  <c r="AV566" i="4"/>
  <c r="AM568" i="4"/>
  <c r="AV568" i="4"/>
  <c r="AU568" i="4"/>
  <c r="AT568" i="4"/>
  <c r="AM570" i="4"/>
  <c r="AL570" i="4" s="1"/>
  <c r="AU570" i="4"/>
  <c r="AT570" i="4"/>
  <c r="AV570" i="4"/>
  <c r="AM572" i="4"/>
  <c r="AL572" i="4" s="1"/>
  <c r="AV572" i="4"/>
  <c r="AT572" i="4"/>
  <c r="AU572" i="4"/>
  <c r="AM574" i="4"/>
  <c r="AU574" i="4"/>
  <c r="R574" i="4" s="1"/>
  <c r="AT574" i="4"/>
  <c r="AV574" i="4"/>
  <c r="AM576" i="4"/>
  <c r="AL576" i="4" s="1"/>
  <c r="AV576" i="4"/>
  <c r="AU576" i="4"/>
  <c r="AT576" i="4"/>
  <c r="AM578" i="4"/>
  <c r="AL578" i="4" s="1"/>
  <c r="AU578" i="4"/>
  <c r="S578" i="4" s="1"/>
  <c r="AT578" i="4"/>
  <c r="AV578" i="4"/>
  <c r="AM580" i="4"/>
  <c r="AL580" i="4" s="1"/>
  <c r="AV580" i="4"/>
  <c r="AT580" i="4"/>
  <c r="AU580" i="4"/>
  <c r="AM582" i="4"/>
  <c r="AL582" i="4" s="1"/>
  <c r="AU582" i="4"/>
  <c r="AT582" i="4"/>
  <c r="AV582" i="4"/>
  <c r="AM584" i="4"/>
  <c r="AV584" i="4"/>
  <c r="AU584" i="4"/>
  <c r="AT584" i="4"/>
  <c r="AM586" i="4"/>
  <c r="AL586" i="4" s="1"/>
  <c r="AU586" i="4"/>
  <c r="AT586" i="4"/>
  <c r="AV586" i="4"/>
  <c r="AM588" i="4"/>
  <c r="AV588" i="4"/>
  <c r="AT588" i="4"/>
  <c r="AU588" i="4"/>
  <c r="AM590" i="4"/>
  <c r="AL590" i="4" s="1"/>
  <c r="AU590" i="4"/>
  <c r="R590" i="4" s="1"/>
  <c r="AT590" i="4"/>
  <c r="AV590" i="4"/>
  <c r="AM592" i="4"/>
  <c r="AL592" i="4" s="1"/>
  <c r="AV592" i="4"/>
  <c r="AU592" i="4"/>
  <c r="AT592" i="4"/>
  <c r="AM594" i="4"/>
  <c r="AL594" i="4" s="1"/>
  <c r="AU594" i="4"/>
  <c r="S594" i="4" s="1"/>
  <c r="AT594" i="4"/>
  <c r="AV594" i="4"/>
  <c r="AM596" i="4"/>
  <c r="AL596" i="4" s="1"/>
  <c r="AV596" i="4"/>
  <c r="AT596" i="4"/>
  <c r="AU596" i="4"/>
  <c r="AM598" i="4"/>
  <c r="AL598" i="4" s="1"/>
  <c r="AU598" i="4"/>
  <c r="AT598" i="4"/>
  <c r="AV598" i="4"/>
  <c r="AM600" i="4"/>
  <c r="AL600" i="4" s="1"/>
  <c r="AV600" i="4"/>
  <c r="AU600" i="4"/>
  <c r="AT600" i="4"/>
  <c r="AM602" i="4"/>
  <c r="AL602" i="4" s="1"/>
  <c r="AU602" i="4"/>
  <c r="AT602" i="4"/>
  <c r="AV602" i="4"/>
  <c r="AV604" i="4"/>
  <c r="AT604" i="4"/>
  <c r="AU604" i="4"/>
  <c r="AM606" i="4"/>
  <c r="AL606" i="4" s="1"/>
  <c r="AU606" i="4"/>
  <c r="S606" i="4" s="1"/>
  <c r="AT606" i="4"/>
  <c r="AV606" i="4"/>
  <c r="AV608" i="4"/>
  <c r="AU608" i="4"/>
  <c r="AT608" i="4"/>
  <c r="AM610" i="4"/>
  <c r="AU610" i="4"/>
  <c r="AT610" i="4"/>
  <c r="AV610" i="4"/>
  <c r="AV612" i="4"/>
  <c r="AT612" i="4"/>
  <c r="AM614" i="4"/>
  <c r="AL614" i="4" s="1"/>
  <c r="AU614" i="4"/>
  <c r="AT614" i="4"/>
  <c r="AV614" i="4"/>
  <c r="AV616" i="4"/>
  <c r="AU616" i="4"/>
  <c r="AT616" i="4"/>
  <c r="AM618" i="4"/>
  <c r="AL618" i="4" s="1"/>
  <c r="AU618" i="4"/>
  <c r="AT618" i="4"/>
  <c r="AV618" i="4"/>
  <c r="AV620" i="4"/>
  <c r="AT620" i="4"/>
  <c r="AU620" i="4"/>
  <c r="AM622" i="4"/>
  <c r="AU622" i="4"/>
  <c r="AT622" i="4"/>
  <c r="AV622" i="4"/>
  <c r="AV624" i="4"/>
  <c r="AU624" i="4"/>
  <c r="AT624" i="4"/>
  <c r="AM626" i="4"/>
  <c r="AL626" i="4" s="1"/>
  <c r="AU626" i="4"/>
  <c r="AT626" i="4"/>
  <c r="AV626" i="4"/>
  <c r="AV628" i="4"/>
  <c r="AT628" i="4"/>
  <c r="AU628" i="4"/>
  <c r="AM630" i="4"/>
  <c r="AL630" i="4" s="1"/>
  <c r="AU630" i="4"/>
  <c r="AT630" i="4"/>
  <c r="AV630" i="4"/>
  <c r="AV632" i="4"/>
  <c r="AU632" i="4"/>
  <c r="AT632" i="4"/>
  <c r="AM634" i="4"/>
  <c r="AU634" i="4"/>
  <c r="AV634" i="4"/>
  <c r="AT634" i="4"/>
  <c r="AV636" i="4"/>
  <c r="AU636" i="4"/>
  <c r="AT636" i="4"/>
  <c r="AM638" i="4"/>
  <c r="AU638" i="4"/>
  <c r="AT638" i="4"/>
  <c r="AV638" i="4"/>
  <c r="AV640" i="4"/>
  <c r="AT640" i="4"/>
  <c r="AU640" i="4"/>
  <c r="AM642" i="4"/>
  <c r="AL642" i="4" s="1"/>
  <c r="AU642" i="4"/>
  <c r="AT642" i="4"/>
  <c r="AV642" i="4"/>
  <c r="AV644" i="4"/>
  <c r="AU644" i="4"/>
  <c r="AT644" i="4"/>
  <c r="AM646" i="4"/>
  <c r="AL646" i="4" s="1"/>
  <c r="AU646" i="4"/>
  <c r="AT646" i="4"/>
  <c r="AV646" i="4"/>
  <c r="AV648" i="4"/>
  <c r="AT648" i="4"/>
  <c r="AU648" i="4"/>
  <c r="AM650" i="4"/>
  <c r="AU650" i="4"/>
  <c r="AT650" i="4"/>
  <c r="AV650" i="4"/>
  <c r="AV652" i="4"/>
  <c r="AU652" i="4"/>
  <c r="AT652" i="4"/>
  <c r="AM654" i="4"/>
  <c r="AU654" i="4"/>
  <c r="AT654" i="4"/>
  <c r="AV654" i="4"/>
  <c r="AV656" i="4"/>
  <c r="AT656" i="4"/>
  <c r="AU656" i="4"/>
  <c r="AM658" i="4"/>
  <c r="AL658" i="4" s="1"/>
  <c r="AU658" i="4"/>
  <c r="AT658" i="4"/>
  <c r="AV658" i="4"/>
  <c r="AV660" i="4"/>
  <c r="AU660" i="4"/>
  <c r="AT660" i="4"/>
  <c r="AM662" i="4"/>
  <c r="AL662" i="4" s="1"/>
  <c r="AU662" i="4"/>
  <c r="AT662" i="4"/>
  <c r="AV662" i="4"/>
  <c r="AV664" i="4"/>
  <c r="AT664" i="4"/>
  <c r="AU664" i="4"/>
  <c r="AM666" i="4"/>
  <c r="AU666" i="4"/>
  <c r="AT666" i="4"/>
  <c r="AV666" i="4"/>
  <c r="AV668" i="4"/>
  <c r="AU668" i="4"/>
  <c r="AT668" i="4"/>
  <c r="AM670" i="4"/>
  <c r="AU670" i="4"/>
  <c r="AT670" i="4"/>
  <c r="AV670" i="4"/>
  <c r="AV672" i="4"/>
  <c r="AT672" i="4"/>
  <c r="AU672" i="4"/>
  <c r="AM674" i="4"/>
  <c r="AL674" i="4" s="1"/>
  <c r="AU674" i="4"/>
  <c r="AT674" i="4"/>
  <c r="AV674" i="4"/>
  <c r="AV676" i="4"/>
  <c r="AU676" i="4"/>
  <c r="AM678" i="4"/>
  <c r="AU678" i="4"/>
  <c r="AT678" i="4"/>
  <c r="AV678" i="4"/>
  <c r="AV680" i="4"/>
  <c r="AT680" i="4"/>
  <c r="AU680" i="4"/>
  <c r="AM682" i="4"/>
  <c r="AU682" i="4"/>
  <c r="AT682" i="4"/>
  <c r="AV682" i="4"/>
  <c r="AV684" i="4"/>
  <c r="AU684" i="4"/>
  <c r="AT684" i="4"/>
  <c r="AM686" i="4"/>
  <c r="AU686" i="4"/>
  <c r="AT686" i="4"/>
  <c r="AV686" i="4"/>
  <c r="AV688" i="4"/>
  <c r="AT688" i="4"/>
  <c r="AU688" i="4"/>
  <c r="AM690" i="4"/>
  <c r="AL690" i="4" s="1"/>
  <c r="AU690" i="4"/>
  <c r="S690" i="4" s="1"/>
  <c r="AT690" i="4"/>
  <c r="AV690" i="4"/>
  <c r="AV692" i="4"/>
  <c r="AU692" i="4"/>
  <c r="AT692" i="4"/>
  <c r="AM694" i="4"/>
  <c r="AU694" i="4"/>
  <c r="AT694" i="4"/>
  <c r="AV694" i="4"/>
  <c r="AV696" i="4"/>
  <c r="AT696" i="4"/>
  <c r="AU696" i="4"/>
  <c r="AM698" i="4"/>
  <c r="AU698" i="4"/>
  <c r="AT698" i="4"/>
  <c r="AV698" i="4"/>
  <c r="AM715" i="4"/>
  <c r="AV715" i="4"/>
  <c r="AU715" i="4"/>
  <c r="AT715" i="4"/>
  <c r="AM720" i="4"/>
  <c r="AV720" i="4"/>
  <c r="AT720" i="4"/>
  <c r="AU720" i="4"/>
  <c r="AM722" i="4"/>
  <c r="AU722" i="4"/>
  <c r="AT722" i="4"/>
  <c r="AV722" i="4"/>
  <c r="AM725" i="4"/>
  <c r="AT725" i="4"/>
  <c r="AU725" i="4"/>
  <c r="AV725" i="4"/>
  <c r="AM890" i="4"/>
  <c r="AV890" i="4"/>
  <c r="AU890" i="4"/>
  <c r="AT890" i="4"/>
  <c r="AU892" i="4"/>
  <c r="AT892" i="4"/>
  <c r="AV892" i="4"/>
  <c r="AT915" i="4"/>
  <c r="AV915" i="4"/>
  <c r="AU915" i="4"/>
  <c r="AM917" i="4"/>
  <c r="AV917" i="4"/>
  <c r="AU917" i="4"/>
  <c r="AT917" i="4"/>
  <c r="AM954" i="4"/>
  <c r="AL954" i="4" s="1"/>
  <c r="AV954" i="4"/>
  <c r="AU954" i="4"/>
  <c r="AT954" i="4"/>
  <c r="AU956" i="4"/>
  <c r="AT956" i="4"/>
  <c r="AV956" i="4"/>
  <c r="AT55" i="4"/>
  <c r="AV65" i="4"/>
  <c r="AU76" i="4"/>
  <c r="AT87" i="4"/>
  <c r="AV97" i="4"/>
  <c r="AU108" i="4"/>
  <c r="AT119" i="4"/>
  <c r="AV129" i="4"/>
  <c r="AU140" i="4"/>
  <c r="AT151" i="4"/>
  <c r="AV161" i="4"/>
  <c r="AU172" i="4"/>
  <c r="AU187" i="4"/>
  <c r="S187" i="4" s="1"/>
  <c r="AV208" i="4"/>
  <c r="AT230" i="4"/>
  <c r="AU251" i="4"/>
  <c r="S251" i="4" s="1"/>
  <c r="AV272" i="4"/>
  <c r="AT294" i="4"/>
  <c r="AU315" i="4"/>
  <c r="AV336" i="4"/>
  <c r="AT358" i="4"/>
  <c r="AU379" i="4"/>
  <c r="AV400" i="4"/>
  <c r="S400" i="4" s="1"/>
  <c r="AT438" i="4"/>
  <c r="AV480" i="4"/>
  <c r="AT527" i="4"/>
  <c r="AU612" i="4"/>
  <c r="AV700" i="4"/>
  <c r="AU700" i="4"/>
  <c r="AT700" i="4"/>
  <c r="AM702" i="4"/>
  <c r="AL702" i="4" s="1"/>
  <c r="AU702" i="4"/>
  <c r="AT702" i="4"/>
  <c r="AV702" i="4"/>
  <c r="AV704" i="4"/>
  <c r="AT704" i="4"/>
  <c r="AU704" i="4"/>
  <c r="AM706" i="4"/>
  <c r="AL706" i="4" s="1"/>
  <c r="AU706" i="4"/>
  <c r="S706" i="4" s="1"/>
  <c r="AT706" i="4"/>
  <c r="AV706" i="4"/>
  <c r="AV708" i="4"/>
  <c r="AU708" i="4"/>
  <c r="AM710" i="4"/>
  <c r="AU710" i="4"/>
  <c r="AT710" i="4"/>
  <c r="AV710" i="4"/>
  <c r="AM713" i="4"/>
  <c r="AT713" i="4"/>
  <c r="AV713" i="4"/>
  <c r="AU713" i="4"/>
  <c r="AM716" i="4"/>
  <c r="AV716" i="4"/>
  <c r="AU716" i="4"/>
  <c r="AT716" i="4"/>
  <c r="AM718" i="4"/>
  <c r="AU718" i="4"/>
  <c r="AT718" i="4"/>
  <c r="AM721" i="4"/>
  <c r="AL721" i="4" s="1"/>
  <c r="AT721" i="4"/>
  <c r="AV721" i="4"/>
  <c r="AU721" i="4"/>
  <c r="AM724" i="4"/>
  <c r="AL724" i="4" s="1"/>
  <c r="AV724" i="4"/>
  <c r="AU724" i="4"/>
  <c r="AT724" i="4"/>
  <c r="AM726" i="4"/>
  <c r="AL726" i="4" s="1"/>
  <c r="AU726" i="4"/>
  <c r="AT726" i="4"/>
  <c r="AV726" i="4"/>
  <c r="AT729" i="4"/>
  <c r="AV729" i="4"/>
  <c r="AM731" i="4"/>
  <c r="AL731" i="4" s="1"/>
  <c r="AV731" i="4"/>
  <c r="AU731" i="4"/>
  <c r="AT731" i="4"/>
  <c r="AT733" i="4"/>
  <c r="AU733" i="4"/>
  <c r="AV733" i="4"/>
  <c r="AM735" i="4"/>
  <c r="AV735" i="4"/>
  <c r="AU735" i="4"/>
  <c r="AT735" i="4"/>
  <c r="AT737" i="4"/>
  <c r="AV737" i="4"/>
  <c r="AU737" i="4"/>
  <c r="AM739" i="4"/>
  <c r="AV739" i="4"/>
  <c r="AU739" i="4"/>
  <c r="AT739" i="4"/>
  <c r="AT741" i="4"/>
  <c r="AU741" i="4"/>
  <c r="AV741" i="4"/>
  <c r="AM743" i="4"/>
  <c r="AV743" i="4"/>
  <c r="AU743" i="4"/>
  <c r="AT743" i="4"/>
  <c r="AT745" i="4"/>
  <c r="AV745" i="4"/>
  <c r="AU745" i="4"/>
  <c r="AM747" i="4"/>
  <c r="AL747" i="4" s="1"/>
  <c r="AV747" i="4"/>
  <c r="AU747" i="4"/>
  <c r="AT747" i="4"/>
  <c r="AT749" i="4"/>
  <c r="AU749" i="4"/>
  <c r="AV749" i="4"/>
  <c r="AV751" i="4"/>
  <c r="AU751" i="4"/>
  <c r="AT751" i="4"/>
  <c r="AT753" i="4"/>
  <c r="AV753" i="4"/>
  <c r="AU753" i="4"/>
  <c r="AV755" i="4"/>
  <c r="AU755" i="4"/>
  <c r="AT755" i="4"/>
  <c r="AT757" i="4"/>
  <c r="AU757" i="4"/>
  <c r="AV757" i="4"/>
  <c r="AV759" i="4"/>
  <c r="AU759" i="4"/>
  <c r="AT759" i="4"/>
  <c r="AT761" i="4"/>
  <c r="AV761" i="4"/>
  <c r="AV763" i="4"/>
  <c r="AU763" i="4"/>
  <c r="AT763" i="4"/>
  <c r="AT765" i="4"/>
  <c r="AU765" i="4"/>
  <c r="AV765" i="4"/>
  <c r="AV767" i="4"/>
  <c r="AU767" i="4"/>
  <c r="AT767" i="4"/>
  <c r="AT769" i="4"/>
  <c r="AV769" i="4"/>
  <c r="AU769" i="4"/>
  <c r="AV771" i="4"/>
  <c r="AU771" i="4"/>
  <c r="AT771" i="4"/>
  <c r="AT773" i="4"/>
  <c r="AU773" i="4"/>
  <c r="AV773" i="4"/>
  <c r="AV775" i="4"/>
  <c r="AU775" i="4"/>
  <c r="AT775" i="4"/>
  <c r="AT777" i="4"/>
  <c r="AV777" i="4"/>
  <c r="AU777" i="4"/>
  <c r="AV779" i="4"/>
  <c r="AU779" i="4"/>
  <c r="AT779" i="4"/>
  <c r="AT781" i="4"/>
  <c r="AU781" i="4"/>
  <c r="AV781" i="4"/>
  <c r="AV783" i="4"/>
  <c r="AU783" i="4"/>
  <c r="AT783" i="4"/>
  <c r="AT785" i="4"/>
  <c r="AV785" i="4"/>
  <c r="AU785" i="4"/>
  <c r="AV787" i="4"/>
  <c r="AU787" i="4"/>
  <c r="AT787" i="4"/>
  <c r="AT789" i="4"/>
  <c r="AU789" i="4"/>
  <c r="AV789" i="4"/>
  <c r="AV791" i="4"/>
  <c r="AU791" i="4"/>
  <c r="AT791" i="4"/>
  <c r="AT793" i="4"/>
  <c r="AV793" i="4"/>
  <c r="AV795" i="4"/>
  <c r="AU795" i="4"/>
  <c r="AT795" i="4"/>
  <c r="AT797" i="4"/>
  <c r="AU797" i="4"/>
  <c r="AV797" i="4"/>
  <c r="AV799" i="4"/>
  <c r="AU799" i="4"/>
  <c r="AT799" i="4"/>
  <c r="AT801" i="4"/>
  <c r="AV801" i="4"/>
  <c r="AU801" i="4"/>
  <c r="AU803" i="4"/>
  <c r="AV803" i="4"/>
  <c r="AT803" i="4"/>
  <c r="AT805" i="4"/>
  <c r="AV805" i="4"/>
  <c r="AU805" i="4"/>
  <c r="AV807" i="4"/>
  <c r="AU807" i="4"/>
  <c r="AT807" i="4"/>
  <c r="AT809" i="4"/>
  <c r="AU809" i="4"/>
  <c r="AV809" i="4"/>
  <c r="AV811" i="4"/>
  <c r="AU811" i="4"/>
  <c r="AT811" i="4"/>
  <c r="AT813" i="4"/>
  <c r="AV813" i="4"/>
  <c r="AU813" i="4"/>
  <c r="AM815" i="4"/>
  <c r="AL815" i="4" s="1"/>
  <c r="AV815" i="4"/>
  <c r="AU815" i="4"/>
  <c r="AT815" i="4"/>
  <c r="AT817" i="4"/>
  <c r="AU817" i="4"/>
  <c r="AV817" i="4"/>
  <c r="AM819" i="4"/>
  <c r="AL819" i="4" s="1"/>
  <c r="AV819" i="4"/>
  <c r="AU819" i="4"/>
  <c r="AT819" i="4"/>
  <c r="AT821" i="4"/>
  <c r="AV821" i="4"/>
  <c r="AU821" i="4"/>
  <c r="AM823" i="4"/>
  <c r="AV823" i="4"/>
  <c r="AU823" i="4"/>
  <c r="AT823" i="4"/>
  <c r="AT825" i="4"/>
  <c r="AU825" i="4"/>
  <c r="AM827" i="4"/>
  <c r="AL827" i="4" s="1"/>
  <c r="AV827" i="4"/>
  <c r="AU827" i="4"/>
  <c r="AT827" i="4"/>
  <c r="AT829" i="4"/>
  <c r="AV829" i="4"/>
  <c r="AU829" i="4"/>
  <c r="AM831" i="4"/>
  <c r="AL831" i="4" s="1"/>
  <c r="AV831" i="4"/>
  <c r="AU831" i="4"/>
  <c r="AT831" i="4"/>
  <c r="AM833" i="4"/>
  <c r="AT833" i="4"/>
  <c r="AU833" i="4"/>
  <c r="AV833" i="4"/>
  <c r="AM835" i="4"/>
  <c r="AV835" i="4"/>
  <c r="AU835" i="4"/>
  <c r="AT835" i="4"/>
  <c r="AM837" i="4"/>
  <c r="AL837" i="4" s="1"/>
  <c r="AT837" i="4"/>
  <c r="AV837" i="4"/>
  <c r="AU837" i="4"/>
  <c r="AV839" i="4"/>
  <c r="AU839" i="4"/>
  <c r="AT839" i="4"/>
  <c r="AM841" i="4"/>
  <c r="AT841" i="4"/>
  <c r="AU841" i="4"/>
  <c r="AV841" i="4"/>
  <c r="AV843" i="4"/>
  <c r="AU843" i="4"/>
  <c r="AT843" i="4"/>
  <c r="AM845" i="4"/>
  <c r="AL845" i="4" s="1"/>
  <c r="AT845" i="4"/>
  <c r="AV845" i="4"/>
  <c r="AU845" i="4"/>
  <c r="AV847" i="4"/>
  <c r="AU847" i="4"/>
  <c r="AM849" i="4"/>
  <c r="AL849" i="4" s="1"/>
  <c r="AT849" i="4"/>
  <c r="AU849" i="4"/>
  <c r="AV849" i="4"/>
  <c r="AV851" i="4"/>
  <c r="AU851" i="4"/>
  <c r="AT851" i="4"/>
  <c r="AM853" i="4"/>
  <c r="AT853" i="4"/>
  <c r="AV853" i="4"/>
  <c r="AU853" i="4"/>
  <c r="AV855" i="4"/>
  <c r="AU855" i="4"/>
  <c r="AT855" i="4"/>
  <c r="AM857" i="4"/>
  <c r="AT857" i="4"/>
  <c r="AU857" i="4"/>
  <c r="AV857" i="4"/>
  <c r="AV859" i="4"/>
  <c r="AU859" i="4"/>
  <c r="AT859" i="4"/>
  <c r="AM861" i="4"/>
  <c r="AL861" i="4" s="1"/>
  <c r="AT861" i="4"/>
  <c r="AV861" i="4"/>
  <c r="AU861" i="4"/>
  <c r="AV863" i="4"/>
  <c r="AU863" i="4"/>
  <c r="AT863" i="4"/>
  <c r="AM865" i="4"/>
  <c r="AL865" i="4" s="1"/>
  <c r="AT865" i="4"/>
  <c r="AU865" i="4"/>
  <c r="AV865" i="4"/>
  <c r="AV867" i="4"/>
  <c r="AU867" i="4"/>
  <c r="AT867" i="4"/>
  <c r="AM869" i="4"/>
  <c r="AT869" i="4"/>
  <c r="AV869" i="4"/>
  <c r="AU869" i="4"/>
  <c r="AV871" i="4"/>
  <c r="AU871" i="4"/>
  <c r="AT871" i="4"/>
  <c r="AM873" i="4"/>
  <c r="AL873" i="4" s="1"/>
  <c r="AT873" i="4"/>
  <c r="AU873" i="4"/>
  <c r="AV873" i="4"/>
  <c r="AM878" i="4"/>
  <c r="AL878" i="4" s="1"/>
  <c r="AU878" i="4"/>
  <c r="AT878" i="4"/>
  <c r="AV878" i="4"/>
  <c r="AV880" i="4"/>
  <c r="AU880" i="4"/>
  <c r="AT880" i="4"/>
  <c r="AV887" i="4"/>
  <c r="AU887" i="4"/>
  <c r="AT887" i="4"/>
  <c r="AM889" i="4"/>
  <c r="AT889" i="4"/>
  <c r="AU889" i="4"/>
  <c r="AM894" i="4"/>
  <c r="AV894" i="4"/>
  <c r="AU894" i="4"/>
  <c r="S894" i="4" s="1"/>
  <c r="AT894" i="4"/>
  <c r="AM896" i="4"/>
  <c r="AU896" i="4"/>
  <c r="AT896" i="4"/>
  <c r="AV896" i="4"/>
  <c r="AT903" i="4"/>
  <c r="AV903" i="4"/>
  <c r="AU903" i="4"/>
  <c r="AM905" i="4"/>
  <c r="AV905" i="4"/>
  <c r="AU905" i="4"/>
  <c r="AT905" i="4"/>
  <c r="AM910" i="4"/>
  <c r="AV910" i="4"/>
  <c r="AU910" i="4"/>
  <c r="AT910" i="4"/>
  <c r="AM912" i="4"/>
  <c r="AL912" i="4" s="1"/>
  <c r="AU912" i="4"/>
  <c r="AT912" i="4"/>
  <c r="AV912" i="4"/>
  <c r="AT919" i="4"/>
  <c r="AV919" i="4"/>
  <c r="AU919" i="4"/>
  <c r="AM921" i="4"/>
  <c r="AL921" i="4" s="1"/>
  <c r="AV921" i="4"/>
  <c r="AU921" i="4"/>
  <c r="AT921" i="4"/>
  <c r="AM926" i="4"/>
  <c r="AL926" i="4" s="1"/>
  <c r="AV926" i="4"/>
  <c r="AU926" i="4"/>
  <c r="AT926" i="4"/>
  <c r="AM928" i="4"/>
  <c r="AL928" i="4" s="1"/>
  <c r="AU928" i="4"/>
  <c r="AT928" i="4"/>
  <c r="AV928" i="4"/>
  <c r="AT935" i="4"/>
  <c r="AV935" i="4"/>
  <c r="AU935" i="4"/>
  <c r="AM937" i="4"/>
  <c r="AL937" i="4" s="1"/>
  <c r="AV937" i="4"/>
  <c r="AU937" i="4"/>
  <c r="AT937" i="4"/>
  <c r="AM942" i="4"/>
  <c r="AL942" i="4" s="1"/>
  <c r="AV942" i="4"/>
  <c r="AU942" i="4"/>
  <c r="R942" i="4" s="1"/>
  <c r="AT942" i="4"/>
  <c r="AU944" i="4"/>
  <c r="AT944" i="4"/>
  <c r="AV944" i="4"/>
  <c r="AT951" i="4"/>
  <c r="AV951" i="4"/>
  <c r="AU951" i="4"/>
  <c r="AM953" i="4"/>
  <c r="AL953" i="4" s="1"/>
  <c r="AV953" i="4"/>
  <c r="AU953" i="4"/>
  <c r="AT953" i="4"/>
  <c r="AM958" i="4"/>
  <c r="AL958" i="4" s="1"/>
  <c r="AV958" i="4"/>
  <c r="AU958" i="4"/>
  <c r="AT958" i="4"/>
  <c r="AU960" i="4"/>
  <c r="AT960" i="4"/>
  <c r="AV960" i="4"/>
  <c r="AT967" i="4"/>
  <c r="AV967" i="4"/>
  <c r="AU967" i="4"/>
  <c r="AM969" i="4"/>
  <c r="AL969" i="4" s="1"/>
  <c r="AV969" i="4"/>
  <c r="AU969" i="4"/>
  <c r="AT969" i="4"/>
  <c r="AM974" i="4"/>
  <c r="AL974" i="4" s="1"/>
  <c r="AV974" i="4"/>
  <c r="AU974" i="4"/>
  <c r="R974" i="4" s="1"/>
  <c r="AM982" i="4"/>
  <c r="AV982" i="4"/>
  <c r="AU982" i="4"/>
  <c r="AT982" i="4"/>
  <c r="AM991" i="4"/>
  <c r="AT991" i="4"/>
  <c r="AV991" i="4"/>
  <c r="AU991" i="4"/>
  <c r="AM993" i="4"/>
  <c r="AV993" i="4"/>
  <c r="AU993" i="4"/>
  <c r="AT993" i="4"/>
  <c r="AM996" i="4"/>
  <c r="AU996" i="4"/>
  <c r="AT996" i="4"/>
  <c r="AV996" i="4"/>
  <c r="AM998" i="4"/>
  <c r="AV998" i="4"/>
  <c r="AU998" i="4"/>
  <c r="AT998" i="4"/>
  <c r="AU729" i="4"/>
  <c r="AV825" i="4"/>
  <c r="AT974" i="4"/>
  <c r="AV875" i="4"/>
  <c r="AU875" i="4"/>
  <c r="AT875" i="4"/>
  <c r="AM877" i="4"/>
  <c r="AL877" i="4" s="1"/>
  <c r="AT877" i="4"/>
  <c r="AV877" i="4"/>
  <c r="AU877" i="4"/>
  <c r="AM882" i="4"/>
  <c r="AU882" i="4"/>
  <c r="S882" i="4" s="1"/>
  <c r="AT882" i="4"/>
  <c r="AV882" i="4"/>
  <c r="AV884" i="4"/>
  <c r="AT884" i="4"/>
  <c r="AU884" i="4"/>
  <c r="AT891" i="4"/>
  <c r="AV891" i="4"/>
  <c r="AU891" i="4"/>
  <c r="AM893" i="4"/>
  <c r="AV893" i="4"/>
  <c r="AU893" i="4"/>
  <c r="AT893" i="4"/>
  <c r="AM898" i="4"/>
  <c r="AV898" i="4"/>
  <c r="AU898" i="4"/>
  <c r="AT898" i="4"/>
  <c r="AM900" i="4"/>
  <c r="AU900" i="4"/>
  <c r="AT900" i="4"/>
  <c r="AV900" i="4"/>
  <c r="AT907" i="4"/>
  <c r="AV907" i="4"/>
  <c r="AU907" i="4"/>
  <c r="AM909" i="4"/>
  <c r="AV909" i="4"/>
  <c r="AU909" i="4"/>
  <c r="AT909" i="4"/>
  <c r="AM914" i="4"/>
  <c r="AL914" i="4" s="1"/>
  <c r="AV914" i="4"/>
  <c r="AU914" i="4"/>
  <c r="AT914" i="4"/>
  <c r="AM916" i="4"/>
  <c r="AL916" i="4" s="1"/>
  <c r="AU916" i="4"/>
  <c r="AT916" i="4"/>
  <c r="AV916" i="4"/>
  <c r="AT923" i="4"/>
  <c r="AV923" i="4"/>
  <c r="AU923" i="4"/>
  <c r="AM925" i="4"/>
  <c r="AV925" i="4"/>
  <c r="AU925" i="4"/>
  <c r="AT925" i="4"/>
  <c r="AM930" i="4"/>
  <c r="AV930" i="4"/>
  <c r="AU930" i="4"/>
  <c r="AT930" i="4"/>
  <c r="AU932" i="4"/>
  <c r="AT932" i="4"/>
  <c r="AV932" i="4"/>
  <c r="AT939" i="4"/>
  <c r="AV939" i="4"/>
  <c r="AU939" i="4"/>
  <c r="AM941" i="4"/>
  <c r="AV941" i="4"/>
  <c r="AU941" i="4"/>
  <c r="AT941" i="4"/>
  <c r="AM946" i="4"/>
  <c r="AV946" i="4"/>
  <c r="AU946" i="4"/>
  <c r="R946" i="4" s="1"/>
  <c r="AT946" i="4"/>
  <c r="AU948" i="4"/>
  <c r="AT948" i="4"/>
  <c r="AV948" i="4"/>
  <c r="AT955" i="4"/>
  <c r="AV955" i="4"/>
  <c r="AU955" i="4"/>
  <c r="AM957" i="4"/>
  <c r="AV957" i="4"/>
  <c r="AU957" i="4"/>
  <c r="AT957" i="4"/>
  <c r="AM962" i="4"/>
  <c r="AV962" i="4"/>
  <c r="AU962" i="4"/>
  <c r="AT962" i="4"/>
  <c r="AU964" i="4"/>
  <c r="AT964" i="4"/>
  <c r="AV964" i="4"/>
  <c r="AT971" i="4"/>
  <c r="AV971" i="4"/>
  <c r="AU971" i="4"/>
  <c r="AM973" i="4"/>
  <c r="AV973" i="4"/>
  <c r="AU973" i="4"/>
  <c r="AT973" i="4"/>
  <c r="AM976" i="4"/>
  <c r="AU976" i="4"/>
  <c r="AT976" i="4"/>
  <c r="AV976" i="4"/>
  <c r="AT847" i="4"/>
  <c r="AU738" i="4"/>
  <c r="AT738" i="4"/>
  <c r="AV738" i="4"/>
  <c r="AM740" i="4"/>
  <c r="AV740" i="4"/>
  <c r="AU740" i="4"/>
  <c r="AU742" i="4"/>
  <c r="AT742" i="4"/>
  <c r="AV742" i="4"/>
  <c r="AM744" i="4"/>
  <c r="AV744" i="4"/>
  <c r="AT744" i="4"/>
  <c r="AU744" i="4"/>
  <c r="AU746" i="4"/>
  <c r="AT746" i="4"/>
  <c r="AV746" i="4"/>
  <c r="AM748" i="4"/>
  <c r="AL748" i="4" s="1"/>
  <c r="AV748" i="4"/>
  <c r="AU748" i="4"/>
  <c r="AT748" i="4"/>
  <c r="AM750" i="4"/>
  <c r="AL750" i="4" s="1"/>
  <c r="AU750" i="4"/>
  <c r="AT750" i="4"/>
  <c r="AM752" i="4"/>
  <c r="AV752" i="4"/>
  <c r="AT752" i="4"/>
  <c r="AU752" i="4"/>
  <c r="AM754" i="4"/>
  <c r="AU754" i="4"/>
  <c r="AT754" i="4"/>
  <c r="AV754" i="4"/>
  <c r="AM756" i="4"/>
  <c r="AV756" i="4"/>
  <c r="AU756" i="4"/>
  <c r="AT756" i="4"/>
  <c r="AM758" i="4"/>
  <c r="AU758" i="4"/>
  <c r="AT758" i="4"/>
  <c r="AV758" i="4"/>
  <c r="AM760" i="4"/>
  <c r="AV760" i="4"/>
  <c r="AT760" i="4"/>
  <c r="AU760" i="4"/>
  <c r="AM762" i="4"/>
  <c r="AU762" i="4"/>
  <c r="AT762" i="4"/>
  <c r="AV762" i="4"/>
  <c r="AM764" i="4"/>
  <c r="AV764" i="4"/>
  <c r="AU764" i="4"/>
  <c r="AT764" i="4"/>
  <c r="AM766" i="4"/>
  <c r="AU766" i="4"/>
  <c r="AT766" i="4"/>
  <c r="AV766" i="4"/>
  <c r="AM768" i="4"/>
  <c r="AV768" i="4"/>
  <c r="AT768" i="4"/>
  <c r="AU768" i="4"/>
  <c r="AM770" i="4"/>
  <c r="AU770" i="4"/>
  <c r="AT770" i="4"/>
  <c r="AV770" i="4"/>
  <c r="AM772" i="4"/>
  <c r="AV772" i="4"/>
  <c r="AU772" i="4"/>
  <c r="AM774" i="4"/>
  <c r="AU774" i="4"/>
  <c r="AT774" i="4"/>
  <c r="AV774" i="4"/>
  <c r="AM776" i="4"/>
  <c r="AL776" i="4" s="1"/>
  <c r="AV776" i="4"/>
  <c r="AT776" i="4"/>
  <c r="AU776" i="4"/>
  <c r="AM778" i="4"/>
  <c r="AL778" i="4" s="1"/>
  <c r="AU778" i="4"/>
  <c r="AT778" i="4"/>
  <c r="AV778" i="4"/>
  <c r="AM780" i="4"/>
  <c r="AL780" i="4" s="1"/>
  <c r="AV780" i="4"/>
  <c r="AU780" i="4"/>
  <c r="AT780" i="4"/>
  <c r="AM782" i="4"/>
  <c r="AL782" i="4" s="1"/>
  <c r="AU782" i="4"/>
  <c r="AT782" i="4"/>
  <c r="AM784" i="4"/>
  <c r="AL784" i="4" s="1"/>
  <c r="AV784" i="4"/>
  <c r="AT784" i="4"/>
  <c r="AU784" i="4"/>
  <c r="AM786" i="4"/>
  <c r="AU786" i="4"/>
  <c r="S786" i="4" s="1"/>
  <c r="AT786" i="4"/>
  <c r="AV786" i="4"/>
  <c r="AM788" i="4"/>
  <c r="AL788" i="4" s="1"/>
  <c r="AV788" i="4"/>
  <c r="AU788" i="4"/>
  <c r="AT788" i="4"/>
  <c r="AM790" i="4"/>
  <c r="AL790" i="4" s="1"/>
  <c r="AU790" i="4"/>
  <c r="AT790" i="4"/>
  <c r="AV790" i="4"/>
  <c r="AM792" i="4"/>
  <c r="AL792" i="4" s="1"/>
  <c r="AV792" i="4"/>
  <c r="AT792" i="4"/>
  <c r="AU792" i="4"/>
  <c r="AM794" i="4"/>
  <c r="AL794" i="4" s="1"/>
  <c r="AU794" i="4"/>
  <c r="AT794" i="4"/>
  <c r="AV794" i="4"/>
  <c r="AM796" i="4"/>
  <c r="AV796" i="4"/>
  <c r="AU796" i="4"/>
  <c r="AT796" i="4"/>
  <c r="AM798" i="4"/>
  <c r="AL798" i="4" s="1"/>
  <c r="AU798" i="4"/>
  <c r="R798" i="4" s="1"/>
  <c r="AT798" i="4"/>
  <c r="AV798" i="4"/>
  <c r="AM800" i="4"/>
  <c r="AL800" i="4" s="1"/>
  <c r="AV800" i="4"/>
  <c r="AT800" i="4"/>
  <c r="AU800" i="4"/>
  <c r="AM802" i="4"/>
  <c r="AL802" i="4" s="1"/>
  <c r="AU802" i="4"/>
  <c r="S802" i="4" s="1"/>
  <c r="AT802" i="4"/>
  <c r="AV802" i="4"/>
  <c r="AM804" i="4"/>
  <c r="AL804" i="4" s="1"/>
  <c r="AV804" i="4"/>
  <c r="AT804" i="4"/>
  <c r="AM806" i="4"/>
  <c r="AU806" i="4"/>
  <c r="AT806" i="4"/>
  <c r="AV806" i="4"/>
  <c r="AM808" i="4"/>
  <c r="AL808" i="4" s="1"/>
  <c r="AV808" i="4"/>
  <c r="AU808" i="4"/>
  <c r="AT808" i="4"/>
  <c r="AM810" i="4"/>
  <c r="AU810" i="4"/>
  <c r="AT810" i="4"/>
  <c r="AV810" i="4"/>
  <c r="AM812" i="4"/>
  <c r="AL812" i="4" s="1"/>
  <c r="AV812" i="4"/>
  <c r="AT812" i="4"/>
  <c r="AU812" i="4"/>
  <c r="AU814" i="4"/>
  <c r="AT814" i="4"/>
  <c r="AV814" i="4"/>
  <c r="AM816" i="4"/>
  <c r="AV816" i="4"/>
  <c r="AU816" i="4"/>
  <c r="AT816" i="4"/>
  <c r="AU818" i="4"/>
  <c r="AT818" i="4"/>
  <c r="AV818" i="4"/>
  <c r="AM820" i="4"/>
  <c r="AV820" i="4"/>
  <c r="AT820" i="4"/>
  <c r="AU820" i="4"/>
  <c r="AU822" i="4"/>
  <c r="AT822" i="4"/>
  <c r="AV822" i="4"/>
  <c r="AM824" i="4"/>
  <c r="AL824" i="4" s="1"/>
  <c r="AV824" i="4"/>
  <c r="AU824" i="4"/>
  <c r="AT824" i="4"/>
  <c r="AU826" i="4"/>
  <c r="AT826" i="4"/>
  <c r="AV826" i="4"/>
  <c r="AM828" i="4"/>
  <c r="AL828" i="4" s="1"/>
  <c r="AV828" i="4"/>
  <c r="AT828" i="4"/>
  <c r="AU828" i="4"/>
  <c r="AU830" i="4"/>
  <c r="AT830" i="4"/>
  <c r="AV830" i="4"/>
  <c r="AV832" i="4"/>
  <c r="AU832" i="4"/>
  <c r="AT832" i="4"/>
  <c r="AU834" i="4"/>
  <c r="S834" i="4" s="1"/>
  <c r="AT834" i="4"/>
  <c r="AV834" i="4"/>
  <c r="AV836" i="4"/>
  <c r="AT836" i="4"/>
  <c r="AU836" i="4"/>
  <c r="AU838" i="4"/>
  <c r="AT838" i="4"/>
  <c r="AV838" i="4"/>
  <c r="AM840" i="4"/>
  <c r="AV840" i="4"/>
  <c r="AU840" i="4"/>
  <c r="AT840" i="4"/>
  <c r="AU842" i="4"/>
  <c r="AT842" i="4"/>
  <c r="AV842" i="4"/>
  <c r="AV844" i="4"/>
  <c r="AT844" i="4"/>
  <c r="AU844" i="4"/>
  <c r="AU846" i="4"/>
  <c r="AT846" i="4"/>
  <c r="AV846" i="4"/>
  <c r="AM848" i="4"/>
  <c r="AL848" i="4" s="1"/>
  <c r="AV848" i="4"/>
  <c r="AU848" i="4"/>
  <c r="AT848" i="4"/>
  <c r="AU850" i="4"/>
  <c r="AT850" i="4"/>
  <c r="AV850" i="4"/>
  <c r="AV852" i="4"/>
  <c r="AT852" i="4"/>
  <c r="AU852" i="4"/>
  <c r="AU854" i="4"/>
  <c r="AT854" i="4"/>
  <c r="AV854" i="4"/>
  <c r="AM856" i="4"/>
  <c r="AV856" i="4"/>
  <c r="AU856" i="4"/>
  <c r="AT856" i="4"/>
  <c r="AU858" i="4"/>
  <c r="AT858" i="4"/>
  <c r="AV858" i="4"/>
  <c r="AV860" i="4"/>
  <c r="AT860" i="4"/>
  <c r="AU860" i="4"/>
  <c r="AU862" i="4"/>
  <c r="AT862" i="4"/>
  <c r="AV862" i="4"/>
  <c r="AM864" i="4"/>
  <c r="AL864" i="4" s="1"/>
  <c r="AV864" i="4"/>
  <c r="AU864" i="4"/>
  <c r="AT864" i="4"/>
  <c r="AU866" i="4"/>
  <c r="S866" i="4" s="1"/>
  <c r="AT866" i="4"/>
  <c r="AV866" i="4"/>
  <c r="AV868" i="4"/>
  <c r="AT868" i="4"/>
  <c r="AU870" i="4"/>
  <c r="AT870" i="4"/>
  <c r="AV870" i="4"/>
  <c r="AV872" i="4"/>
  <c r="AU872" i="4"/>
  <c r="AT872" i="4"/>
  <c r="AV879" i="4"/>
  <c r="AU879" i="4"/>
  <c r="AT879" i="4"/>
  <c r="AM881" i="4"/>
  <c r="AL881" i="4" s="1"/>
  <c r="AT881" i="4"/>
  <c r="AU881" i="4"/>
  <c r="AV881" i="4"/>
  <c r="AM886" i="4"/>
  <c r="AU886" i="4"/>
  <c r="AT886" i="4"/>
  <c r="AV886" i="4"/>
  <c r="AV888" i="4"/>
  <c r="AU888" i="4"/>
  <c r="AT888" i="4"/>
  <c r="AT895" i="4"/>
  <c r="AV895" i="4"/>
  <c r="AU895" i="4"/>
  <c r="AM897" i="4"/>
  <c r="AL897" i="4" s="1"/>
  <c r="AV897" i="4"/>
  <c r="AU897" i="4"/>
  <c r="AT897" i="4"/>
  <c r="AM902" i="4"/>
  <c r="AL902" i="4" s="1"/>
  <c r="AV902" i="4"/>
  <c r="AU902" i="4"/>
  <c r="AT902" i="4"/>
  <c r="AM904" i="4"/>
  <c r="AU904" i="4"/>
  <c r="AT904" i="4"/>
  <c r="AV904" i="4"/>
  <c r="AT911" i="4"/>
  <c r="AV911" i="4"/>
  <c r="AU911" i="4"/>
  <c r="AM913" i="4"/>
  <c r="AL913" i="4" s="1"/>
  <c r="AV913" i="4"/>
  <c r="AU913" i="4"/>
  <c r="AT913" i="4"/>
  <c r="AM918" i="4"/>
  <c r="AL918" i="4" s="1"/>
  <c r="AV918" i="4"/>
  <c r="AU918" i="4"/>
  <c r="AT918" i="4"/>
  <c r="AM920" i="4"/>
  <c r="AU920" i="4"/>
  <c r="AT920" i="4"/>
  <c r="AV920" i="4"/>
  <c r="AT927" i="4"/>
  <c r="AV927" i="4"/>
  <c r="AU927" i="4"/>
  <c r="AM929" i="4"/>
  <c r="AL929" i="4" s="1"/>
  <c r="AV929" i="4"/>
  <c r="AU929" i="4"/>
  <c r="AT929" i="4"/>
  <c r="AM934" i="4"/>
  <c r="AL934" i="4" s="1"/>
  <c r="AV934" i="4"/>
  <c r="AU934" i="4"/>
  <c r="AT934" i="4"/>
  <c r="AU936" i="4"/>
  <c r="AT936" i="4"/>
  <c r="AV936" i="4"/>
  <c r="AT943" i="4"/>
  <c r="AV943" i="4"/>
  <c r="AU943" i="4"/>
  <c r="AM945" i="4"/>
  <c r="AL945" i="4" s="1"/>
  <c r="AV945" i="4"/>
  <c r="AU945" i="4"/>
  <c r="AT945" i="4"/>
  <c r="AM950" i="4"/>
  <c r="AV950" i="4"/>
  <c r="AU950" i="4"/>
  <c r="AT950" i="4"/>
  <c r="AU952" i="4"/>
  <c r="AT952" i="4"/>
  <c r="AV952" i="4"/>
  <c r="AT959" i="4"/>
  <c r="AV959" i="4"/>
  <c r="AU959" i="4"/>
  <c r="AM961" i="4"/>
  <c r="AV961" i="4"/>
  <c r="AU961" i="4"/>
  <c r="AT961" i="4"/>
  <c r="AM966" i="4"/>
  <c r="AL966" i="4" s="1"/>
  <c r="AV966" i="4"/>
  <c r="AU966" i="4"/>
  <c r="AT966" i="4"/>
  <c r="AU968" i="4"/>
  <c r="AT968" i="4"/>
  <c r="AV968" i="4"/>
  <c r="AM978" i="4"/>
  <c r="AV978" i="4"/>
  <c r="AU978" i="4"/>
  <c r="R978" i="4" s="1"/>
  <c r="AT978" i="4"/>
  <c r="AM983" i="4"/>
  <c r="AT983" i="4"/>
  <c r="AV983" i="4"/>
  <c r="AU983" i="4"/>
  <c r="AM985" i="4"/>
  <c r="AV985" i="4"/>
  <c r="AU985" i="4"/>
  <c r="AT985" i="4"/>
  <c r="AM988" i="4"/>
  <c r="AU988" i="4"/>
  <c r="AT988" i="4"/>
  <c r="AV988" i="4"/>
  <c r="AM990" i="4"/>
  <c r="AV990" i="4"/>
  <c r="AU990" i="4"/>
  <c r="S990" i="4" s="1"/>
  <c r="AT990" i="4"/>
  <c r="AM999" i="4"/>
  <c r="AT999" i="4"/>
  <c r="AV999" i="4"/>
  <c r="AU999" i="4"/>
  <c r="AM1001" i="4"/>
  <c r="AV1001" i="4"/>
  <c r="AU1001" i="4"/>
  <c r="AT1001" i="4"/>
  <c r="AT708" i="4"/>
  <c r="AV750" i="4"/>
  <c r="AU793" i="4"/>
  <c r="AU868" i="4"/>
  <c r="AM979" i="4"/>
  <c r="AT979" i="4"/>
  <c r="AV979" i="4"/>
  <c r="AU979" i="4"/>
  <c r="AM981" i="4"/>
  <c r="AV981" i="4"/>
  <c r="AU981" i="4"/>
  <c r="AT981" i="4"/>
  <c r="AM984" i="4"/>
  <c r="AU984" i="4"/>
  <c r="AT984" i="4"/>
  <c r="AV984" i="4"/>
  <c r="AM987" i="4"/>
  <c r="AT987" i="4"/>
  <c r="AV987" i="4"/>
  <c r="AU987" i="4"/>
  <c r="AM989" i="4"/>
  <c r="AV989" i="4"/>
  <c r="AU989" i="4"/>
  <c r="AT989" i="4"/>
  <c r="AM992" i="4"/>
  <c r="AU992" i="4"/>
  <c r="AT992" i="4"/>
  <c r="AV992" i="4"/>
  <c r="AM995" i="4"/>
  <c r="AT995" i="4"/>
  <c r="AV995" i="4"/>
  <c r="AU995" i="4"/>
  <c r="AM997" i="4"/>
  <c r="AV997" i="4"/>
  <c r="AU997" i="4"/>
  <c r="AT997" i="4"/>
  <c r="AM1000" i="4"/>
  <c r="AU1000" i="4"/>
  <c r="AT1000" i="4"/>
  <c r="AV1000" i="4"/>
  <c r="AM986" i="4"/>
  <c r="AV986" i="4"/>
  <c r="AU986" i="4"/>
  <c r="AT986" i="4"/>
  <c r="AM994" i="4"/>
  <c r="AV994" i="4"/>
  <c r="AU994" i="4"/>
  <c r="AT994" i="4"/>
  <c r="AM1002" i="4"/>
  <c r="AV1002" i="4"/>
  <c r="AU1002" i="4"/>
  <c r="AT1002" i="4"/>
  <c r="AZ12" i="10"/>
  <c r="BJ26" i="10"/>
  <c r="BI26" i="10"/>
  <c r="AY27" i="10"/>
  <c r="BH27" i="10"/>
  <c r="BI27" i="10"/>
  <c r="BJ27" i="10"/>
  <c r="AX27" i="10"/>
  <c r="AZ27" i="10"/>
  <c r="AZ46" i="10"/>
  <c r="AZ36" i="10"/>
  <c r="BA31" i="10"/>
  <c r="AY31" i="10" s="1"/>
  <c r="BF27" i="10"/>
  <c r="BD13" i="10"/>
  <c r="BF19" i="10"/>
  <c r="BD21" i="10"/>
  <c r="BA21" i="10"/>
  <c r="BI21" i="10" s="1"/>
  <c r="BD52" i="10"/>
  <c r="BD36" i="10"/>
  <c r="BA56" i="10"/>
  <c r="BJ56" i="10" s="1"/>
  <c r="BD48" i="10"/>
  <c r="BF15" i="10"/>
  <c r="AZ22" i="10"/>
  <c r="AZ19" i="10"/>
  <c r="AZ13" i="10"/>
  <c r="BE31" i="10"/>
  <c r="BA28" i="10"/>
  <c r="BD27" i="10"/>
  <c r="BF26" i="10"/>
  <c r="BA24" i="10"/>
  <c r="BE13" i="10"/>
  <c r="BD19" i="10"/>
  <c r="BE44" i="10"/>
  <c r="BD40" i="10"/>
  <c r="BA48" i="10"/>
  <c r="BE53" i="10"/>
  <c r="BA37" i="10"/>
  <c r="AY37" i="10" s="1"/>
  <c r="BA15" i="10"/>
  <c r="AZ11" i="10"/>
  <c r="AZ34" i="10"/>
  <c r="AX22" i="10"/>
  <c r="BE32" i="10"/>
  <c r="BA30" i="10"/>
  <c r="BI30" i="10" s="1"/>
  <c r="BE27" i="10"/>
  <c r="AY22" i="10"/>
  <c r="BE19" i="10"/>
  <c r="BD44" i="10"/>
  <c r="BE41" i="10"/>
  <c r="BA40" i="10"/>
  <c r="BF49" i="10"/>
  <c r="BA45" i="10"/>
  <c r="AY45" i="10" s="1"/>
  <c r="BE15" i="10"/>
  <c r="AE9" i="10"/>
  <c r="T9" i="10" s="1"/>
  <c r="AM6" i="4"/>
  <c r="AP6" i="4" s="1"/>
  <c r="AM5" i="4"/>
  <c r="AL5" i="4" s="1"/>
  <c r="AT6" i="4"/>
  <c r="AU6" i="4"/>
  <c r="R6" i="4" s="1"/>
  <c r="AV6" i="4"/>
  <c r="AV5" i="4"/>
  <c r="AT5" i="4"/>
  <c r="AU4" i="4"/>
  <c r="R4" i="4" s="1"/>
  <c r="AM4" i="4"/>
  <c r="AQ4" i="4" s="1"/>
  <c r="AV4" i="4"/>
  <c r="AQ44" i="4"/>
  <c r="AJ44" i="4"/>
  <c r="AP44" i="4"/>
  <c r="AK44" i="4"/>
  <c r="AO44" i="4"/>
  <c r="AL44" i="4"/>
  <c r="AL41" i="4"/>
  <c r="AO36" i="4"/>
  <c r="AL36" i="4"/>
  <c r="AK36" i="4"/>
  <c r="AP36" i="4"/>
  <c r="AQ36" i="4"/>
  <c r="AJ36" i="4"/>
  <c r="AJ34" i="4"/>
  <c r="AK34" i="4"/>
  <c r="AQ34" i="4"/>
  <c r="AO34" i="4"/>
  <c r="AL34" i="4"/>
  <c r="AP34" i="4"/>
  <c r="AL23" i="4"/>
  <c r="AP23" i="4"/>
  <c r="Q23" i="4" s="1"/>
  <c r="AJ23" i="4"/>
  <c r="AO23" i="4"/>
  <c r="AQ23" i="4"/>
  <c r="AK23" i="4"/>
  <c r="AP17" i="4"/>
  <c r="AJ17" i="4"/>
  <c r="AQ17" i="4"/>
  <c r="AK17" i="4"/>
  <c r="AO17" i="4"/>
  <c r="AL17" i="4"/>
  <c r="AP37" i="4"/>
  <c r="AO37" i="4"/>
  <c r="AQ32" i="4"/>
  <c r="AJ27" i="4"/>
  <c r="AK27" i="4"/>
  <c r="O27" i="4" s="1"/>
  <c r="AQ48" i="4"/>
  <c r="AQ45" i="4"/>
  <c r="AJ45" i="4"/>
  <c r="AO45" i="4"/>
  <c r="AP45" i="4"/>
  <c r="AK45" i="4"/>
  <c r="O45" i="4" s="1"/>
  <c r="AL45" i="4"/>
  <c r="AQ42" i="4"/>
  <c r="AP42" i="4"/>
  <c r="AJ42" i="4"/>
  <c r="AK42" i="4"/>
  <c r="AL42" i="4"/>
  <c r="AO42" i="4"/>
  <c r="AO35" i="4"/>
  <c r="AL35" i="4"/>
  <c r="AL33" i="4"/>
  <c r="AK15" i="4"/>
  <c r="AQ15" i="4"/>
  <c r="AP40" i="4"/>
  <c r="Q40" i="4" s="1"/>
  <c r="AP39" i="4"/>
  <c r="Q39" i="4" s="1"/>
  <c r="AL39" i="4"/>
  <c r="AO38" i="4"/>
  <c r="AP22" i="4"/>
  <c r="AJ22" i="4"/>
  <c r="AK21" i="4"/>
  <c r="AO18" i="4"/>
  <c r="AK18" i="4"/>
  <c r="AQ18" i="4"/>
  <c r="AP18" i="4"/>
  <c r="AL18" i="4"/>
  <c r="AJ18" i="4"/>
  <c r="AL214" i="4"/>
  <c r="AL205" i="4"/>
  <c r="AL188" i="4"/>
  <c r="AL386" i="4"/>
  <c r="AL161" i="4"/>
  <c r="AL362" i="4"/>
  <c r="AL360" i="4"/>
  <c r="AL348" i="4"/>
  <c r="AL121" i="4"/>
  <c r="AL117" i="4"/>
  <c r="AL116" i="4"/>
  <c r="AL112" i="4"/>
  <c r="AL108" i="4"/>
  <c r="AL100" i="4"/>
  <c r="AL88" i="4"/>
  <c r="AL309" i="4"/>
  <c r="AL302" i="4"/>
  <c r="AL76" i="4"/>
  <c r="AL297" i="4"/>
  <c r="AL296" i="4"/>
  <c r="AL71" i="4"/>
  <c r="AL282" i="4"/>
  <c r="AL278" i="4"/>
  <c r="AL47" i="4"/>
  <c r="AP47" i="4"/>
  <c r="Q47" i="4" s="1"/>
  <c r="AL262" i="4"/>
  <c r="AM43" i="4"/>
  <c r="AL256" i="4"/>
  <c r="AL250" i="4"/>
  <c r="AL244" i="4"/>
  <c r="AL245" i="4"/>
  <c r="AL8" i="4"/>
  <c r="AM19" i="4"/>
  <c r="AQ16" i="4"/>
  <c r="AO16" i="4"/>
  <c r="AL584" i="4"/>
  <c r="AL442" i="4"/>
  <c r="AL992" i="4"/>
  <c r="AL587" i="4"/>
  <c r="AL933" i="4"/>
  <c r="AL459" i="4"/>
  <c r="AL1001" i="4"/>
  <c r="AL756" i="4"/>
  <c r="AL595" i="4"/>
  <c r="AL758" i="4"/>
  <c r="AL479" i="4"/>
  <c r="AL503" i="4"/>
  <c r="AL453" i="4"/>
  <c r="AL226" i="4"/>
  <c r="AL996" i="4"/>
  <c r="AL999" i="4"/>
  <c r="AL483" i="4"/>
  <c r="AL501" i="4"/>
  <c r="AL433" i="4"/>
  <c r="AL713" i="4"/>
  <c r="AL744" i="4"/>
  <c r="AL492" i="4"/>
  <c r="AL536" i="4"/>
  <c r="AL975" i="4"/>
  <c r="AL898" i="4"/>
  <c r="AL752" i="4"/>
  <c r="AL634" i="4"/>
  <c r="AL510" i="4"/>
  <c r="AL900" i="4"/>
  <c r="AL220" i="4"/>
  <c r="AL449" i="4"/>
  <c r="AL768" i="4"/>
  <c r="AL577" i="4"/>
  <c r="AL764" i="4"/>
  <c r="AL554" i="4"/>
  <c r="AL610" i="4"/>
  <c r="AL451" i="4"/>
  <c r="AL218" i="4"/>
  <c r="AL654" i="4"/>
  <c r="AL774" i="4"/>
  <c r="AL219" i="4"/>
  <c r="AL443" i="4"/>
  <c r="AL698" i="4"/>
  <c r="AL950" i="4"/>
  <c r="AL455" i="4"/>
  <c r="AL448" i="4"/>
  <c r="AL585" i="4"/>
  <c r="AL986" i="4"/>
  <c r="AL977" i="4"/>
  <c r="AL494" i="4"/>
  <c r="AL973" i="4"/>
  <c r="AL908" i="4"/>
  <c r="AL569" i="4"/>
  <c r="AL874" i="4"/>
  <c r="AL715" i="4"/>
  <c r="AL961" i="4"/>
  <c r="AL504" i="4"/>
  <c r="AL993" i="4"/>
  <c r="AL650" i="4"/>
  <c r="AL714" i="4"/>
  <c r="AL890" i="4"/>
  <c r="AL991" i="4"/>
  <c r="AL460" i="4"/>
  <c r="AL588" i="4"/>
  <c r="AL976" i="4"/>
  <c r="AL770" i="4"/>
  <c r="AL546" i="4"/>
  <c r="AL925" i="4"/>
  <c r="AL869" i="4"/>
  <c r="AL946" i="4"/>
  <c r="AL439" i="4"/>
  <c r="AL719" i="4"/>
  <c r="AL896" i="4"/>
  <c r="AL555" i="4"/>
  <c r="AL840" i="4"/>
  <c r="AL589" i="4"/>
  <c r="AL736" i="4"/>
  <c r="AL223" i="4"/>
  <c r="AL437" i="4"/>
  <c r="AL886" i="4"/>
  <c r="AL988" i="4"/>
  <c r="AL924" i="4"/>
  <c r="AL786" i="4"/>
  <c r="AL710" i="4"/>
  <c r="AL678" i="4"/>
  <c r="AL622" i="4"/>
  <c r="AL463" i="4"/>
  <c r="AL853" i="4"/>
  <c r="AL816" i="4"/>
  <c r="AL506" i="4"/>
  <c r="AL682" i="4"/>
  <c r="AL762" i="4"/>
  <c r="AL574" i="4"/>
  <c r="AL979" i="4"/>
  <c r="AL447" i="4"/>
  <c r="AL583" i="4"/>
  <c r="AL990" i="4"/>
  <c r="AL559" i="4"/>
  <c r="AL835" i="4"/>
  <c r="AL857" i="4"/>
  <c r="AL638" i="4"/>
  <c r="AL882" i="4"/>
  <c r="AL464" i="4"/>
  <c r="AL457" i="4"/>
  <c r="AL231" i="4"/>
  <c r="AL7" i="4"/>
  <c r="AL237" i="4"/>
  <c r="AL246" i="4"/>
  <c r="AL413" i="4"/>
  <c r="AL217" i="4"/>
  <c r="AL211" i="4"/>
  <c r="AL190" i="4"/>
  <c r="AL189" i="4"/>
  <c r="AL182" i="4"/>
  <c r="AL177" i="4"/>
  <c r="AL392" i="4"/>
  <c r="AL169" i="4"/>
  <c r="AL376" i="4"/>
  <c r="AL366" i="4"/>
  <c r="AL143" i="4"/>
  <c r="AL135" i="4"/>
  <c r="AL350" i="4"/>
  <c r="AL334" i="4"/>
  <c r="AL324" i="4"/>
  <c r="AL91" i="4"/>
  <c r="AL311" i="4"/>
  <c r="AL310" i="4"/>
  <c r="AL304" i="4"/>
  <c r="AL303" i="4"/>
  <c r="AL80" i="4"/>
  <c r="AL299" i="4"/>
  <c r="P299" i="4" s="1"/>
  <c r="AL68" i="4"/>
  <c r="AL67" i="4"/>
  <c r="AL289" i="4"/>
  <c r="AL287" i="4"/>
  <c r="AL286" i="4"/>
  <c r="AL279" i="4"/>
  <c r="AJ47" i="4"/>
  <c r="AK47" i="4"/>
  <c r="AL269" i="4"/>
  <c r="AO49" i="4"/>
  <c r="Q49" i="4" s="1"/>
  <c r="AQ46" i="4"/>
  <c r="AL258" i="4"/>
  <c r="AL248" i="4"/>
  <c r="AL247" i="4"/>
  <c r="P247" i="4" s="1"/>
  <c r="AQ30" i="4"/>
  <c r="AK20" i="4"/>
  <c r="AL240" i="4"/>
  <c r="AP24" i="4"/>
  <c r="AL13" i="4"/>
  <c r="P13" i="4" s="1"/>
  <c r="AL10" i="4"/>
  <c r="AQ20" i="4"/>
  <c r="AL9" i="4"/>
  <c r="AL232" i="4"/>
  <c r="AL435" i="4"/>
  <c r="AL566" i="4"/>
  <c r="AL717" i="4"/>
  <c r="AL575" i="4"/>
  <c r="AL962" i="4"/>
  <c r="AL760" i="4"/>
  <c r="AL484" i="4"/>
  <c r="AL985" i="4"/>
  <c r="AL712" i="4"/>
  <c r="AL579" i="4"/>
  <c r="AL982" i="4"/>
  <c r="AL518" i="4"/>
  <c r="AL573" i="4"/>
  <c r="AL686" i="4"/>
  <c r="AL735" i="4"/>
  <c r="AL1002" i="4"/>
  <c r="AL720" i="4"/>
  <c r="AL462" i="4"/>
  <c r="AL994" i="4"/>
  <c r="AL983" i="4"/>
  <c r="AL978" i="4"/>
  <c r="AL1000" i="4"/>
  <c r="AL716" i="4"/>
  <c r="AL502" i="4"/>
  <c r="AL670" i="4"/>
  <c r="AL718" i="4"/>
  <c r="AL722" i="4"/>
  <c r="AL725" i="4"/>
  <c r="AP20" i="4"/>
  <c r="AL20" i="4"/>
  <c r="AL215" i="4"/>
  <c r="AL210" i="4"/>
  <c r="AL206" i="4"/>
  <c r="AL216" i="4"/>
  <c r="AL429" i="4"/>
  <c r="AL418" i="4"/>
  <c r="AL202" i="4"/>
  <c r="AL197" i="4"/>
  <c r="AL196" i="4"/>
  <c r="AL187" i="4"/>
  <c r="AL186" i="4"/>
  <c r="AL185" i="4"/>
  <c r="AL183" i="4"/>
  <c r="AL181" i="4"/>
  <c r="AL180" i="4"/>
  <c r="AL394" i="4"/>
  <c r="AL175" i="4"/>
  <c r="AL171" i="4"/>
  <c r="AL167" i="4"/>
  <c r="AL380" i="4"/>
  <c r="AL374" i="4"/>
  <c r="AL147" i="4"/>
  <c r="AL125" i="4"/>
  <c r="AL340" i="4"/>
  <c r="AL328" i="4"/>
  <c r="AL322" i="4"/>
  <c r="AL99" i="4"/>
  <c r="AL104" i="4"/>
  <c r="AL319" i="4"/>
  <c r="AL97" i="4"/>
  <c r="AL318" i="4"/>
  <c r="AL96" i="4"/>
  <c r="AL317" i="4"/>
  <c r="AL95" i="4"/>
  <c r="AL92" i="4"/>
  <c r="AL83" i="4"/>
  <c r="AL81" i="4"/>
  <c r="AL291" i="4"/>
  <c r="AL69" i="4"/>
  <c r="AL64" i="4"/>
  <c r="AL57" i="4"/>
  <c r="AL265" i="4"/>
  <c r="AL264" i="4"/>
  <c r="AL263" i="4"/>
  <c r="AL255" i="4"/>
  <c r="AL29" i="4"/>
  <c r="AL249" i="4"/>
  <c r="AQ28" i="4"/>
  <c r="Q28" i="4" s="1"/>
  <c r="AJ28" i="4"/>
  <c r="AL16" i="4"/>
  <c r="AP25" i="4"/>
  <c r="AL11" i="4"/>
  <c r="AL856" i="4"/>
  <c r="AL440" i="4"/>
  <c r="AL905" i="4"/>
  <c r="AL823" i="4"/>
  <c r="AL461" i="4"/>
  <c r="AL989" i="4"/>
  <c r="AL739" i="4"/>
  <c r="AL445" i="4"/>
  <c r="AL894" i="4"/>
  <c r="AL548" i="4"/>
  <c r="AL995" i="4"/>
  <c r="AL743" i="4"/>
  <c r="AL441" i="4"/>
  <c r="AL581" i="4"/>
  <c r="AL446" i="4"/>
  <c r="AL468" i="4"/>
  <c r="AL998" i="4"/>
  <c r="AL711" i="4"/>
  <c r="AL841" i="4"/>
  <c r="AL772" i="4"/>
  <c r="AL930" i="4"/>
  <c r="AL909" i="4"/>
  <c r="AL568" i="4"/>
  <c r="AL597" i="4"/>
  <c r="AL987" i="4"/>
  <c r="AO14" i="4"/>
  <c r="AO12" i="4"/>
  <c r="AQ12" i="4"/>
  <c r="AJ12" i="4"/>
  <c r="AO9" i="4"/>
  <c r="BH23" i="10"/>
  <c r="BJ23" i="10"/>
  <c r="AY23" i="10"/>
  <c r="BI23" i="10"/>
  <c r="C80" i="6"/>
  <c r="B80" i="6"/>
  <c r="AO8" i="4"/>
  <c r="AP8" i="4"/>
  <c r="AQ8" i="4"/>
  <c r="BJ28" i="10"/>
  <c r="BI28" i="10"/>
  <c r="BH28" i="10"/>
  <c r="AY28" i="10"/>
  <c r="BJ24" i="10"/>
  <c r="BI24" i="10"/>
  <c r="AY24" i="10"/>
  <c r="BH24" i="10"/>
  <c r="BI20" i="10"/>
  <c r="BJ19" i="10"/>
  <c r="BJ9" i="10"/>
  <c r="BI9" i="10"/>
  <c r="BH9" i="10"/>
  <c r="AY9" i="10"/>
  <c r="BJ13" i="10"/>
  <c r="AY13" i="10"/>
  <c r="BI13" i="10"/>
  <c r="BH13" i="10"/>
  <c r="BJ36" i="10"/>
  <c r="AY36" i="10"/>
  <c r="BI36" i="10"/>
  <c r="BH36" i="10"/>
  <c r="BI44" i="10"/>
  <c r="BH44" i="10"/>
  <c r="AY44" i="10"/>
  <c r="BJ44" i="10"/>
  <c r="BH52" i="10"/>
  <c r="BI34" i="10"/>
  <c r="BH34" i="10"/>
  <c r="AY34" i="10"/>
  <c r="BJ34" i="10"/>
  <c r="AY38" i="10"/>
  <c r="AY42" i="10"/>
  <c r="BJ42" i="10"/>
  <c r="BI42" i="10"/>
  <c r="BH42" i="10"/>
  <c r="BJ50" i="10"/>
  <c r="AY50" i="10"/>
  <c r="BI50" i="10"/>
  <c r="BH50" i="10"/>
  <c r="BI54" i="10"/>
  <c r="AG11" i="10"/>
  <c r="AH11" i="10" s="1"/>
  <c r="AQ10" i="4"/>
  <c r="AO10" i="4"/>
  <c r="BH30" i="10"/>
  <c r="BJ10" i="10"/>
  <c r="BH35" i="10"/>
  <c r="BJ35" i="10"/>
  <c r="BI35" i="10"/>
  <c r="AY35" i="10"/>
  <c r="BJ43" i="10"/>
  <c r="BI51" i="10"/>
  <c r="BH51" i="10"/>
  <c r="BJ51" i="10"/>
  <c r="AY51" i="10"/>
  <c r="AA11" i="10"/>
  <c r="BH32" i="10"/>
  <c r="BJ32" i="10"/>
  <c r="AY32" i="10"/>
  <c r="BI32" i="10"/>
  <c r="BJ29" i="10"/>
  <c r="BI29" i="10"/>
  <c r="AY29" i="10"/>
  <c r="BH29" i="10"/>
  <c r="BJ17" i="10"/>
  <c r="BJ22" i="10"/>
  <c r="BA18" i="10"/>
  <c r="BI16" i="10"/>
  <c r="AY33" i="10"/>
  <c r="BH33" i="10"/>
  <c r="BD32" i="10"/>
  <c r="BH15" i="10"/>
  <c r="AM119" i="4"/>
  <c r="AM123" i="4"/>
  <c r="BI33" i="10"/>
  <c r="BD33" i="10"/>
  <c r="BE30" i="10"/>
  <c r="BE28" i="10"/>
  <c r="BF25" i="10"/>
  <c r="BD24" i="10"/>
  <c r="BH22" i="10"/>
  <c r="BE18" i="10"/>
  <c r="BF13" i="10"/>
  <c r="BD16" i="10"/>
  <c r="AG10" i="10"/>
  <c r="AH10" i="10" s="1"/>
  <c r="BH11" i="10"/>
  <c r="BI39" i="10"/>
  <c r="BI55" i="10"/>
  <c r="BI40" i="10"/>
  <c r="AG9" i="10"/>
  <c r="AH9" i="10" s="1"/>
  <c r="BF52" i="10"/>
  <c r="BF44" i="10"/>
  <c r="BF36" i="10"/>
  <c r="BA41" i="10"/>
  <c r="BD56" i="10"/>
  <c r="BE40" i="10"/>
  <c r="BA57" i="10"/>
  <c r="BA49" i="10"/>
  <c r="BE48" i="10"/>
  <c r="BD53" i="10"/>
  <c r="BE45" i="10"/>
  <c r="BD37" i="10"/>
  <c r="D58" i="3"/>
  <c r="AM118" i="4"/>
  <c r="AM122" i="4"/>
  <c r="AM126" i="4"/>
  <c r="AM128" i="4"/>
  <c r="AM130" i="4"/>
  <c r="AM132" i="4"/>
  <c r="AM134" i="4"/>
  <c r="AM136" i="4"/>
  <c r="AM138" i="4"/>
  <c r="AM140" i="4"/>
  <c r="AM142" i="4"/>
  <c r="AM144" i="4"/>
  <c r="AM146" i="4"/>
  <c r="AM148" i="4"/>
  <c r="AM150" i="4"/>
  <c r="AM152" i="4"/>
  <c r="AM154" i="4"/>
  <c r="AM156" i="4"/>
  <c r="AM158" i="4"/>
  <c r="AM160" i="4"/>
  <c r="AM162" i="4"/>
  <c r="AM164" i="4"/>
  <c r="AM166" i="4"/>
  <c r="AM168" i="4"/>
  <c r="BF32" i="10"/>
  <c r="BF30" i="10"/>
  <c r="BF24" i="10"/>
  <c r="BE17" i="10"/>
  <c r="AY48" i="10"/>
  <c r="AY15" i="10"/>
  <c r="AM321" i="4"/>
  <c r="AM325" i="4"/>
  <c r="AM329" i="4"/>
  <c r="AM333" i="4"/>
  <c r="AM337" i="4"/>
  <c r="AM341" i="4"/>
  <c r="AM345" i="4"/>
  <c r="AM349" i="4"/>
  <c r="AM353" i="4"/>
  <c r="AM357" i="4"/>
  <c r="AM361" i="4"/>
  <c r="AM365" i="4"/>
  <c r="AM369" i="4"/>
  <c r="AM373" i="4"/>
  <c r="AM377" i="4"/>
  <c r="AM381" i="4"/>
  <c r="AM385" i="4"/>
  <c r="AM389" i="4"/>
  <c r="AM393" i="4"/>
  <c r="AM397" i="4"/>
  <c r="AM401" i="4"/>
  <c r="AM405" i="4"/>
  <c r="AM409" i="4"/>
  <c r="AM323" i="4"/>
  <c r="AM327" i="4"/>
  <c r="AM331" i="4"/>
  <c r="AM335" i="4"/>
  <c r="AM339" i="4"/>
  <c r="AM343" i="4"/>
  <c r="AM347" i="4"/>
  <c r="AM351" i="4"/>
  <c r="AM355" i="4"/>
  <c r="AM359" i="4"/>
  <c r="AM363" i="4"/>
  <c r="AM367" i="4"/>
  <c r="AM371" i="4"/>
  <c r="AM375" i="4"/>
  <c r="AM379" i="4"/>
  <c r="AM383" i="4"/>
  <c r="AM387" i="4"/>
  <c r="AM391" i="4"/>
  <c r="AM395" i="4"/>
  <c r="AM399" i="4"/>
  <c r="AM403" i="4"/>
  <c r="AM407" i="4"/>
  <c r="AM605" i="4"/>
  <c r="AM609" i="4"/>
  <c r="AM613" i="4"/>
  <c r="AM617" i="4"/>
  <c r="AM621" i="4"/>
  <c r="AM625" i="4"/>
  <c r="AM629" i="4"/>
  <c r="AM633" i="4"/>
  <c r="AM637" i="4"/>
  <c r="AM641" i="4"/>
  <c r="AM645" i="4"/>
  <c r="AM649" i="4"/>
  <c r="AM653" i="4"/>
  <c r="AM657" i="4"/>
  <c r="AM661" i="4"/>
  <c r="AM665" i="4"/>
  <c r="AM669" i="4"/>
  <c r="AM673" i="4"/>
  <c r="AM677" i="4"/>
  <c r="AM681" i="4"/>
  <c r="AM685" i="4"/>
  <c r="AM689" i="4"/>
  <c r="AM693" i="4"/>
  <c r="AM697" i="4"/>
  <c r="AM701" i="4"/>
  <c r="AM705" i="4"/>
  <c r="AM709" i="4"/>
  <c r="AM604" i="4"/>
  <c r="AM608" i="4"/>
  <c r="AM612" i="4"/>
  <c r="AM616" i="4"/>
  <c r="AM620" i="4"/>
  <c r="AM624" i="4"/>
  <c r="AM628" i="4"/>
  <c r="AM632" i="4"/>
  <c r="AM636" i="4"/>
  <c r="AM640" i="4"/>
  <c r="AM644" i="4"/>
  <c r="AM648" i="4"/>
  <c r="AM652" i="4"/>
  <c r="AM656" i="4"/>
  <c r="AM660" i="4"/>
  <c r="AM664" i="4"/>
  <c r="AM668" i="4"/>
  <c r="AM672" i="4"/>
  <c r="AM676" i="4"/>
  <c r="AM680" i="4"/>
  <c r="AM684" i="4"/>
  <c r="AM688" i="4"/>
  <c r="AM692" i="4"/>
  <c r="AM696" i="4"/>
  <c r="AM700" i="4"/>
  <c r="AM704" i="4"/>
  <c r="AM708" i="4"/>
  <c r="AM603" i="4"/>
  <c r="AM607" i="4"/>
  <c r="AM611" i="4"/>
  <c r="AM615" i="4"/>
  <c r="AM619" i="4"/>
  <c r="AM623" i="4"/>
  <c r="AM627" i="4"/>
  <c r="AM631" i="4"/>
  <c r="AM635" i="4"/>
  <c r="AM639" i="4"/>
  <c r="AM643" i="4"/>
  <c r="AM647" i="4"/>
  <c r="AM651" i="4"/>
  <c r="AM655" i="4"/>
  <c r="AM659" i="4"/>
  <c r="AM663" i="4"/>
  <c r="AM667" i="4"/>
  <c r="AM671" i="4"/>
  <c r="AM675" i="4"/>
  <c r="AM679" i="4"/>
  <c r="AM683" i="4"/>
  <c r="AM687" i="4"/>
  <c r="AM691" i="4"/>
  <c r="AM695" i="4"/>
  <c r="AM699" i="4"/>
  <c r="AM703" i="4"/>
  <c r="AM707" i="4"/>
  <c r="AM730" i="4"/>
  <c r="AM734" i="4"/>
  <c r="AM738" i="4"/>
  <c r="AM742" i="4"/>
  <c r="AM746" i="4"/>
  <c r="AM749" i="4"/>
  <c r="AM751" i="4"/>
  <c r="AM753" i="4"/>
  <c r="AM755" i="4"/>
  <c r="AM757" i="4"/>
  <c r="AM759" i="4"/>
  <c r="AM761" i="4"/>
  <c r="AM763" i="4"/>
  <c r="AM765" i="4"/>
  <c r="AM767" i="4"/>
  <c r="AM769" i="4"/>
  <c r="AM771" i="4"/>
  <c r="AM773" i="4"/>
  <c r="AM775" i="4"/>
  <c r="AM777" i="4"/>
  <c r="AM779" i="4"/>
  <c r="AM781" i="4"/>
  <c r="AM783" i="4"/>
  <c r="AM785" i="4"/>
  <c r="AM787" i="4"/>
  <c r="AM789" i="4"/>
  <c r="AM791" i="4"/>
  <c r="AM793" i="4"/>
  <c r="AM795" i="4"/>
  <c r="AM797" i="4"/>
  <c r="AM799" i="4"/>
  <c r="AM801" i="4"/>
  <c r="AM803" i="4"/>
  <c r="AM805" i="4"/>
  <c r="AM807" i="4"/>
  <c r="AM809" i="4"/>
  <c r="AM811" i="4"/>
  <c r="AM729" i="4"/>
  <c r="AM733" i="4"/>
  <c r="AM737" i="4"/>
  <c r="AM741" i="4"/>
  <c r="AM745" i="4"/>
  <c r="AM814" i="4"/>
  <c r="AM818" i="4"/>
  <c r="AM822" i="4"/>
  <c r="AM826" i="4"/>
  <c r="AM830" i="4"/>
  <c r="AM832" i="4"/>
  <c r="AM834" i="4"/>
  <c r="AM836" i="4"/>
  <c r="AM844" i="4"/>
  <c r="AM852" i="4"/>
  <c r="AM860" i="4"/>
  <c r="AM813" i="4"/>
  <c r="AM817" i="4"/>
  <c r="AM821" i="4"/>
  <c r="AM825" i="4"/>
  <c r="AM829" i="4"/>
  <c r="AM838" i="4"/>
  <c r="AM842" i="4"/>
  <c r="AM846" i="4"/>
  <c r="AM850" i="4"/>
  <c r="AM854" i="4"/>
  <c r="AM858" i="4"/>
  <c r="AM862" i="4"/>
  <c r="AM866" i="4"/>
  <c r="AM870" i="4"/>
  <c r="BA8" i="10"/>
  <c r="BB8" i="10" s="1"/>
  <c r="AM868" i="4"/>
  <c r="AM872" i="4"/>
  <c r="AM876" i="4"/>
  <c r="AM880" i="4"/>
  <c r="AM884" i="4"/>
  <c r="AM888" i="4"/>
  <c r="AM892" i="4"/>
  <c r="AM932" i="4"/>
  <c r="AM936" i="4"/>
  <c r="AM940" i="4"/>
  <c r="AM944" i="4"/>
  <c r="AM948" i="4"/>
  <c r="AM952" i="4"/>
  <c r="AM956" i="4"/>
  <c r="AM960" i="4"/>
  <c r="AM964" i="4"/>
  <c r="AM968" i="4"/>
  <c r="AM839" i="4"/>
  <c r="AM843" i="4"/>
  <c r="AM847" i="4"/>
  <c r="AM851" i="4"/>
  <c r="AM855" i="4"/>
  <c r="AM859" i="4"/>
  <c r="AM863" i="4"/>
  <c r="AM867" i="4"/>
  <c r="AM871" i="4"/>
  <c r="AM875" i="4"/>
  <c r="AM879" i="4"/>
  <c r="AM883" i="4"/>
  <c r="AM887" i="4"/>
  <c r="AM891" i="4"/>
  <c r="AM895" i="4"/>
  <c r="AM899" i="4"/>
  <c r="AM903" i="4"/>
  <c r="AM907" i="4"/>
  <c r="AM911" i="4"/>
  <c r="AM915" i="4"/>
  <c r="AM919" i="4"/>
  <c r="AM923" i="4"/>
  <c r="AM927" i="4"/>
  <c r="AM931" i="4"/>
  <c r="AM935" i="4"/>
  <c r="AM939" i="4"/>
  <c r="AM943" i="4"/>
  <c r="AM947" i="4"/>
  <c r="AM951" i="4"/>
  <c r="AM955" i="4"/>
  <c r="AM959" i="4"/>
  <c r="AM963" i="4"/>
  <c r="AM967" i="4"/>
  <c r="AM971" i="4"/>
  <c r="AY17" i="10" l="1"/>
  <c r="BH43" i="10"/>
  <c r="AY52" i="10"/>
  <c r="BJ20" i="10"/>
  <c r="AL295" i="4"/>
  <c r="O295" i="4" s="1"/>
  <c r="AK33" i="4"/>
  <c r="AJ33" i="4"/>
  <c r="AJ35" i="4"/>
  <c r="AO48" i="4"/>
  <c r="AL48" i="4"/>
  <c r="AQ27" i="4"/>
  <c r="AK32" i="4"/>
  <c r="AO32" i="4"/>
  <c r="AP41" i="4"/>
  <c r="Q41" i="4" s="1"/>
  <c r="AK41" i="4"/>
  <c r="AY46" i="10"/>
  <c r="BH26" i="10"/>
  <c r="AZ52" i="10"/>
  <c r="AK295" i="4"/>
  <c r="BH53" i="10"/>
  <c r="AX53" i="10"/>
  <c r="BI53" i="10"/>
  <c r="AO235" i="4"/>
  <c r="AP235" i="4"/>
  <c r="AL235" i="4"/>
  <c r="AK235" i="4"/>
  <c r="AO283" i="4"/>
  <c r="AK283" i="4"/>
  <c r="AQ283" i="4"/>
  <c r="BI14" i="10"/>
  <c r="AY26" i="10"/>
  <c r="BJ14" i="10"/>
  <c r="BH17" i="10"/>
  <c r="AY43" i="10"/>
  <c r="BI52" i="10"/>
  <c r="BH20" i="10"/>
  <c r="AP33" i="4"/>
  <c r="Q33" i="4" s="1"/>
  <c r="AQ33" i="4"/>
  <c r="AP35" i="4"/>
  <c r="AK48" i="4"/>
  <c r="P48" i="4" s="1"/>
  <c r="AJ48" i="4"/>
  <c r="AL27" i="4"/>
  <c r="AJ32" i="4"/>
  <c r="AP32" i="4"/>
  <c r="AO41" i="4"/>
  <c r="AQ41" i="4"/>
  <c r="AX46" i="10"/>
  <c r="AZ26" i="10"/>
  <c r="AO295" i="4"/>
  <c r="AK247" i="4"/>
  <c r="AQ235" i="4"/>
  <c r="AJ283" i="4"/>
  <c r="AK11" i="4"/>
  <c r="BJ46" i="10"/>
  <c r="BH46" i="10"/>
  <c r="BI17" i="10"/>
  <c r="BJ52" i="10"/>
  <c r="AQ35" i="4"/>
  <c r="AP27" i="4"/>
  <c r="Q27" i="4" s="1"/>
  <c r="AZ17" i="10"/>
  <c r="AQ247" i="4"/>
  <c r="AJ235" i="4"/>
  <c r="AY53" i="10"/>
  <c r="B68" i="6"/>
  <c r="BH47" i="10"/>
  <c r="AY47" i="10"/>
  <c r="BI47" i="10"/>
  <c r="AX47" i="10"/>
  <c r="AZ47" i="10"/>
  <c r="BJ55" i="10"/>
  <c r="AX55" i="10"/>
  <c r="AZ55" i="10"/>
  <c r="AY55" i="10"/>
  <c r="O9" i="10"/>
  <c r="BH37" i="10"/>
  <c r="BH10" i="10"/>
  <c r="AY54" i="10"/>
  <c r="BJ38" i="10"/>
  <c r="AX12" i="10"/>
  <c r="AY12" i="10"/>
  <c r="BI10" i="10"/>
  <c r="BJ54" i="10"/>
  <c r="BH38" i="10"/>
  <c r="AX54" i="10"/>
  <c r="BI12" i="10"/>
  <c r="AZ38" i="10"/>
  <c r="BH12" i="10"/>
  <c r="BH21" i="10"/>
  <c r="BI38" i="10"/>
  <c r="BB9" i="10"/>
  <c r="BB10" i="10" s="1"/>
  <c r="BB11" i="10" s="1"/>
  <c r="BB12" i="10" s="1"/>
  <c r="BB13" i="10" s="1"/>
  <c r="BB14" i="10" s="1"/>
  <c r="BB15" i="10" s="1"/>
  <c r="BB16" i="10" s="1"/>
  <c r="BB17" i="10" s="1"/>
  <c r="BB18" i="10" s="1"/>
  <c r="BB19" i="10" s="1"/>
  <c r="BB20" i="10" s="1"/>
  <c r="BB21" i="10" s="1"/>
  <c r="BB22" i="10" s="1"/>
  <c r="BB23" i="10" s="1"/>
  <c r="BB24" i="10" s="1"/>
  <c r="BB25" i="10" s="1"/>
  <c r="BB26" i="10" s="1"/>
  <c r="BB27" i="10" s="1"/>
  <c r="BB28" i="10" s="1"/>
  <c r="BB29" i="10" s="1"/>
  <c r="BB30" i="10" s="1"/>
  <c r="BB31" i="10" s="1"/>
  <c r="BB32" i="10" s="1"/>
  <c r="BB33" i="10" s="1"/>
  <c r="BB34" i="10" s="1"/>
  <c r="BB35" i="10" s="1"/>
  <c r="BB36" i="10" s="1"/>
  <c r="BB37" i="10" s="1"/>
  <c r="BB38" i="10" s="1"/>
  <c r="BB39" i="10" s="1"/>
  <c r="BB40" i="10" s="1"/>
  <c r="BB41" i="10" s="1"/>
  <c r="BB42" i="10" s="1"/>
  <c r="BB43" i="10" s="1"/>
  <c r="BB44" i="10" s="1"/>
  <c r="BB45" i="10" s="1"/>
  <c r="BB46" i="10" s="1"/>
  <c r="BB47" i="10" s="1"/>
  <c r="BB48" i="10" s="1"/>
  <c r="BB49" i="10" s="1"/>
  <c r="BB50" i="10" s="1"/>
  <c r="BB51" i="10" s="1"/>
  <c r="BB52" i="10" s="1"/>
  <c r="BB53" i="10" s="1"/>
  <c r="BB54" i="10" s="1"/>
  <c r="BB55" i="10" s="1"/>
  <c r="BB56" i="10" s="1"/>
  <c r="BB57" i="10" s="1"/>
  <c r="P8" i="10"/>
  <c r="Q8" i="10"/>
  <c r="AQ13" i="4"/>
  <c r="Q13" i="4" s="1"/>
  <c r="AQ6" i="4"/>
  <c r="AO6" i="4"/>
  <c r="AL6" i="4"/>
  <c r="R3" i="4"/>
  <c r="S3" i="4"/>
  <c r="M3" i="4"/>
  <c r="L3" i="4"/>
  <c r="R5" i="4"/>
  <c r="AO4" i="4"/>
  <c r="AP4" i="4"/>
  <c r="Q4" i="4" s="1"/>
  <c r="Q10" i="10"/>
  <c r="P10" i="10"/>
  <c r="Q9" i="10"/>
  <c r="P9" i="10"/>
  <c r="AO316" i="4"/>
  <c r="AP316" i="4"/>
  <c r="AQ316" i="4"/>
  <c r="AK316" i="4"/>
  <c r="AJ316" i="4"/>
  <c r="AO290" i="4"/>
  <c r="AL290" i="4"/>
  <c r="AJ290" i="4"/>
  <c r="AQ290" i="4"/>
  <c r="AP290" i="4"/>
  <c r="AK290" i="4"/>
  <c r="AK49" i="4"/>
  <c r="AQ49" i="4"/>
  <c r="AJ21" i="4"/>
  <c r="AJ38" i="4"/>
  <c r="AK39" i="4"/>
  <c r="AO39" i="4"/>
  <c r="AO40" i="4"/>
  <c r="AJ15" i="4"/>
  <c r="AP15" i="4"/>
  <c r="AJ37" i="4"/>
  <c r="AQ37" i="4"/>
  <c r="AL49" i="4"/>
  <c r="AP307" i="4"/>
  <c r="AJ295" i="4"/>
  <c r="AO286" i="4"/>
  <c r="AQ286" i="4"/>
  <c r="AP286" i="4"/>
  <c r="AJ286" i="4"/>
  <c r="AK286" i="4"/>
  <c r="AJ49" i="4"/>
  <c r="AP21" i="4"/>
  <c r="AL21" i="4"/>
  <c r="AP38" i="4"/>
  <c r="AK38" i="4"/>
  <c r="AJ39" i="4"/>
  <c r="AK40" i="4"/>
  <c r="AL40" i="4"/>
  <c r="AO15" i="4"/>
  <c r="AL37" i="4"/>
  <c r="AO307" i="4"/>
  <c r="AJ284" i="4"/>
  <c r="AP295" i="4"/>
  <c r="AO320" i="4"/>
  <c r="AJ320" i="4"/>
  <c r="AP320" i="4"/>
  <c r="AK320" i="4"/>
  <c r="AQ320" i="4"/>
  <c r="AL320" i="4"/>
  <c r="AO306" i="4"/>
  <c r="AQ306" i="4"/>
  <c r="AK306" i="4"/>
  <c r="AP306" i="4"/>
  <c r="AJ306" i="4"/>
  <c r="AL194" i="4"/>
  <c r="AL284" i="4"/>
  <c r="AO21" i="4"/>
  <c r="AL38" i="4"/>
  <c r="AJ40" i="4"/>
  <c r="AO318" i="4"/>
  <c r="AK318" i="4"/>
  <c r="AJ318" i="4"/>
  <c r="AQ318" i="4"/>
  <c r="AP318" i="4"/>
  <c r="AO302" i="4"/>
  <c r="AK302" i="4"/>
  <c r="AP302" i="4"/>
  <c r="AQ302" i="4"/>
  <c r="AJ302" i="4"/>
  <c r="BH8" i="10"/>
  <c r="BI8" i="10"/>
  <c r="O8" i="10" s="1"/>
  <c r="BJ8" i="10"/>
  <c r="AZ51" i="10"/>
  <c r="AX51" i="10"/>
  <c r="BI25" i="10"/>
  <c r="AX25" i="10"/>
  <c r="BJ25" i="10"/>
  <c r="AY25" i="10"/>
  <c r="AZ43" i="10"/>
  <c r="AX43" i="10"/>
  <c r="AX32" i="10"/>
  <c r="AZ32" i="10"/>
  <c r="AX35" i="10"/>
  <c r="AZ35" i="10"/>
  <c r="O11" i="4"/>
  <c r="P11" i="4"/>
  <c r="O49" i="4"/>
  <c r="O186" i="4"/>
  <c r="P186" i="4"/>
  <c r="O47" i="4"/>
  <c r="O283" i="4"/>
  <c r="P283" i="4"/>
  <c r="P302" i="4"/>
  <c r="O302" i="4"/>
  <c r="Q18" i="4"/>
  <c r="Q21" i="4"/>
  <c r="Q38" i="4"/>
  <c r="O38" i="4"/>
  <c r="P38" i="4"/>
  <c r="O40" i="4"/>
  <c r="P40" i="4"/>
  <c r="O33" i="4"/>
  <c r="Q42" i="4"/>
  <c r="Q45" i="4"/>
  <c r="O32" i="4"/>
  <c r="P32" i="4"/>
  <c r="Q34" i="4"/>
  <c r="P34" i="4"/>
  <c r="O34" i="4"/>
  <c r="Q36" i="4"/>
  <c r="O41" i="4"/>
  <c r="P41" i="4"/>
  <c r="O44" i="4"/>
  <c r="P44" i="4"/>
  <c r="S1000" i="4"/>
  <c r="R1000" i="4"/>
  <c r="S992" i="4"/>
  <c r="R992" i="4"/>
  <c r="S984" i="4"/>
  <c r="R984" i="4"/>
  <c r="R988" i="4"/>
  <c r="S988" i="4"/>
  <c r="S968" i="4"/>
  <c r="R968" i="4"/>
  <c r="S950" i="4"/>
  <c r="R950" i="4"/>
  <c r="R945" i="4"/>
  <c r="S945" i="4"/>
  <c r="S936" i="4"/>
  <c r="R936" i="4"/>
  <c r="S911" i="4"/>
  <c r="R911" i="4"/>
  <c r="S902" i="4"/>
  <c r="R902" i="4"/>
  <c r="R897" i="4"/>
  <c r="S897" i="4"/>
  <c r="S864" i="4"/>
  <c r="R864" i="4"/>
  <c r="S850" i="4"/>
  <c r="R844" i="4"/>
  <c r="S844" i="4"/>
  <c r="S838" i="4"/>
  <c r="R838" i="4"/>
  <c r="S832" i="4"/>
  <c r="R832" i="4"/>
  <c r="R830" i="4"/>
  <c r="R814" i="4"/>
  <c r="S800" i="4"/>
  <c r="R800" i="4"/>
  <c r="S792" i="4"/>
  <c r="R792" i="4"/>
  <c r="S784" i="4"/>
  <c r="R784" i="4"/>
  <c r="R780" i="4"/>
  <c r="S780" i="4"/>
  <c r="S770" i="4"/>
  <c r="R766" i="4"/>
  <c r="S762" i="4"/>
  <c r="R762" i="4"/>
  <c r="S758" i="4"/>
  <c r="R758" i="4"/>
  <c r="S754" i="4"/>
  <c r="S744" i="4"/>
  <c r="R744" i="4"/>
  <c r="S738" i="4"/>
  <c r="S976" i="4"/>
  <c r="R976" i="4"/>
  <c r="S955" i="4"/>
  <c r="R955" i="4"/>
  <c r="S923" i="4"/>
  <c r="R923" i="4"/>
  <c r="S914" i="4"/>
  <c r="S909" i="4"/>
  <c r="R909" i="4"/>
  <c r="S900" i="4"/>
  <c r="R900" i="4"/>
  <c r="S877" i="4"/>
  <c r="R877" i="4"/>
  <c r="S996" i="4"/>
  <c r="R996" i="4"/>
  <c r="R958" i="4"/>
  <c r="S953" i="4"/>
  <c r="R953" i="4"/>
  <c r="S944" i="4"/>
  <c r="R944" i="4"/>
  <c r="R919" i="4"/>
  <c r="S919" i="4"/>
  <c r="R910" i="4"/>
  <c r="S905" i="4"/>
  <c r="R905" i="4"/>
  <c r="S896" i="4"/>
  <c r="R896" i="4"/>
  <c r="S873" i="4"/>
  <c r="R873" i="4"/>
  <c r="R871" i="4"/>
  <c r="S871" i="4"/>
  <c r="S861" i="4"/>
  <c r="R861" i="4"/>
  <c r="S857" i="4"/>
  <c r="R857" i="4"/>
  <c r="R855" i="4"/>
  <c r="S855" i="4"/>
  <c r="S843" i="4"/>
  <c r="R843" i="4"/>
  <c r="S825" i="4"/>
  <c r="R825" i="4"/>
  <c r="S813" i="4"/>
  <c r="R813" i="4"/>
  <c r="S811" i="4"/>
  <c r="R811" i="4"/>
  <c r="S805" i="4"/>
  <c r="R805" i="4"/>
  <c r="S795" i="4"/>
  <c r="R795" i="4"/>
  <c r="S789" i="4"/>
  <c r="R789" i="4"/>
  <c r="S781" i="4"/>
  <c r="R781" i="4"/>
  <c r="S773" i="4"/>
  <c r="R773" i="4"/>
  <c r="S765" i="4"/>
  <c r="R765" i="4"/>
  <c r="R759" i="4"/>
  <c r="S759" i="4"/>
  <c r="R753" i="4"/>
  <c r="S753" i="4"/>
  <c r="S751" i="4"/>
  <c r="R751" i="4"/>
  <c r="S739" i="4"/>
  <c r="R739" i="4"/>
  <c r="S724" i="4"/>
  <c r="R724" i="4"/>
  <c r="R718" i="4"/>
  <c r="S710" i="4"/>
  <c r="R710" i="4"/>
  <c r="S704" i="4"/>
  <c r="R704" i="4"/>
  <c r="R700" i="4"/>
  <c r="S700" i="4"/>
  <c r="R140" i="4"/>
  <c r="S140" i="4"/>
  <c r="S915" i="4"/>
  <c r="R915" i="4"/>
  <c r="S722" i="4"/>
  <c r="S698" i="4"/>
  <c r="R698" i="4"/>
  <c r="S688" i="4"/>
  <c r="R688" i="4"/>
  <c r="R684" i="4"/>
  <c r="S684" i="4"/>
  <c r="S682" i="4"/>
  <c r="R682" i="4"/>
  <c r="R670" i="4"/>
  <c r="R654" i="4"/>
  <c r="R638" i="4"/>
  <c r="S628" i="4"/>
  <c r="R628" i="4"/>
  <c r="S624" i="4"/>
  <c r="R624" i="4"/>
  <c r="R622" i="4"/>
  <c r="S610" i="4"/>
  <c r="S596" i="4"/>
  <c r="R596" i="4"/>
  <c r="R588" i="4"/>
  <c r="S588" i="4"/>
  <c r="S580" i="4"/>
  <c r="R580" i="4"/>
  <c r="R572" i="4"/>
  <c r="S572" i="4"/>
  <c r="S564" i="4"/>
  <c r="R564" i="4"/>
  <c r="R556" i="4"/>
  <c r="S556" i="4"/>
  <c r="S548" i="4"/>
  <c r="R548" i="4"/>
  <c r="S544" i="4"/>
  <c r="R544" i="4"/>
  <c r="S536" i="4"/>
  <c r="R536" i="4"/>
  <c r="S528" i="4"/>
  <c r="R528" i="4"/>
  <c r="S520" i="4"/>
  <c r="R520" i="4"/>
  <c r="S518" i="4"/>
  <c r="R518" i="4"/>
  <c r="S514" i="4"/>
  <c r="S512" i="4"/>
  <c r="R512" i="4"/>
  <c r="R508" i="4"/>
  <c r="S508" i="4"/>
  <c r="S504" i="4"/>
  <c r="R504" i="4"/>
  <c r="S470" i="4"/>
  <c r="R470" i="4"/>
  <c r="S466" i="4"/>
  <c r="R466" i="4"/>
  <c r="S462" i="4"/>
  <c r="R462" i="4"/>
  <c r="S458" i="4"/>
  <c r="R458" i="4"/>
  <c r="S454" i="4"/>
  <c r="R454" i="4"/>
  <c r="S450" i="4"/>
  <c r="R450" i="4"/>
  <c r="S448" i="4"/>
  <c r="R444" i="4"/>
  <c r="S444" i="4"/>
  <c r="S440" i="4"/>
  <c r="R440" i="4"/>
  <c r="R403" i="4"/>
  <c r="S403" i="4"/>
  <c r="R401" i="4"/>
  <c r="S401" i="4"/>
  <c r="R392" i="4"/>
  <c r="S392" i="4"/>
  <c r="R378" i="4"/>
  <c r="S378" i="4"/>
  <c r="R371" i="4"/>
  <c r="S371" i="4"/>
  <c r="S369" i="4"/>
  <c r="R369" i="4"/>
  <c r="S360" i="4"/>
  <c r="R360" i="4"/>
  <c r="S346" i="4"/>
  <c r="R346" i="4"/>
  <c r="S339" i="4"/>
  <c r="R339" i="4"/>
  <c r="S337" i="4"/>
  <c r="R337" i="4"/>
  <c r="S328" i="4"/>
  <c r="R328" i="4"/>
  <c r="S277" i="4"/>
  <c r="R277" i="4"/>
  <c r="R244" i="4"/>
  <c r="S244" i="4"/>
  <c r="R212" i="4"/>
  <c r="S212" i="4"/>
  <c r="S177" i="4"/>
  <c r="R177" i="4"/>
  <c r="S173" i="4"/>
  <c r="R173" i="4"/>
  <c r="S171" i="4"/>
  <c r="S167" i="4"/>
  <c r="R167" i="4"/>
  <c r="S163" i="4"/>
  <c r="S151" i="4"/>
  <c r="R151" i="4"/>
  <c r="S147" i="4"/>
  <c r="S135" i="4"/>
  <c r="R135" i="4"/>
  <c r="S131" i="4"/>
  <c r="S899" i="4"/>
  <c r="R899" i="4"/>
  <c r="S874" i="4"/>
  <c r="R874" i="4"/>
  <c r="R734" i="4"/>
  <c r="S728" i="4"/>
  <c r="R728" i="4"/>
  <c r="S406" i="4"/>
  <c r="R406" i="4"/>
  <c r="S399" i="4"/>
  <c r="R399" i="4"/>
  <c r="S381" i="4"/>
  <c r="R381" i="4"/>
  <c r="S356" i="4"/>
  <c r="R356" i="4"/>
  <c r="S342" i="4"/>
  <c r="R342" i="4"/>
  <c r="S335" i="4"/>
  <c r="R335" i="4"/>
  <c r="S311" i="4"/>
  <c r="R311" i="4"/>
  <c r="S303" i="4"/>
  <c r="R303" i="4"/>
  <c r="R258" i="4"/>
  <c r="S258" i="4"/>
  <c r="R256" i="4"/>
  <c r="S256" i="4"/>
  <c r="R224" i="4"/>
  <c r="S224" i="4"/>
  <c r="R190" i="4"/>
  <c r="R178" i="4"/>
  <c r="S178" i="4"/>
  <c r="S121" i="4"/>
  <c r="R121" i="4"/>
  <c r="S11" i="4"/>
  <c r="R156" i="4"/>
  <c r="S156" i="4"/>
  <c r="R92" i="4"/>
  <c r="S92" i="4"/>
  <c r="S947" i="4"/>
  <c r="R947" i="4"/>
  <c r="S922" i="4"/>
  <c r="R922" i="4"/>
  <c r="S883" i="4"/>
  <c r="R883" i="4"/>
  <c r="R705" i="4"/>
  <c r="S705" i="4"/>
  <c r="S703" i="4"/>
  <c r="R703" i="4"/>
  <c r="S697" i="4"/>
  <c r="R697" i="4"/>
  <c r="R695" i="4"/>
  <c r="S695" i="4"/>
  <c r="R689" i="4"/>
  <c r="S689" i="4"/>
  <c r="S687" i="4"/>
  <c r="R687" i="4"/>
  <c r="S681" i="4"/>
  <c r="R681" i="4"/>
  <c r="R679" i="4"/>
  <c r="S679" i="4"/>
  <c r="R673" i="4"/>
  <c r="S673" i="4"/>
  <c r="S671" i="4"/>
  <c r="R671" i="4"/>
  <c r="S665" i="4"/>
  <c r="R665" i="4"/>
  <c r="R663" i="4"/>
  <c r="S663" i="4"/>
  <c r="R657" i="4"/>
  <c r="S657" i="4"/>
  <c r="S655" i="4"/>
  <c r="R655" i="4"/>
  <c r="S649" i="4"/>
  <c r="R649" i="4"/>
  <c r="R647" i="4"/>
  <c r="S647" i="4"/>
  <c r="R641" i="4"/>
  <c r="S641" i="4"/>
  <c r="S639" i="4"/>
  <c r="R639" i="4"/>
  <c r="S633" i="4"/>
  <c r="R633" i="4"/>
  <c r="R625" i="4"/>
  <c r="S625" i="4"/>
  <c r="S617" i="4"/>
  <c r="R617" i="4"/>
  <c r="R609" i="4"/>
  <c r="S609" i="4"/>
  <c r="S601" i="4"/>
  <c r="R601" i="4"/>
  <c r="R599" i="4"/>
  <c r="S599" i="4"/>
  <c r="S595" i="4"/>
  <c r="R595" i="4"/>
  <c r="R593" i="4"/>
  <c r="S525" i="4"/>
  <c r="S402" i="4"/>
  <c r="S386" i="4"/>
  <c r="R370" i="4"/>
  <c r="S354" i="4"/>
  <c r="S338" i="4"/>
  <c r="S322" i="4"/>
  <c r="S236" i="4"/>
  <c r="R97" i="4"/>
  <c r="R65" i="4"/>
  <c r="S714" i="4"/>
  <c r="S380" i="4"/>
  <c r="S28" i="4"/>
  <c r="R243" i="4"/>
  <c r="R179" i="4"/>
  <c r="R147" i="4"/>
  <c r="AO252" i="4"/>
  <c r="AQ252" i="4"/>
  <c r="AJ252" i="4"/>
  <c r="AK252" i="4"/>
  <c r="AP252" i="4"/>
  <c r="Q252" i="4" s="1"/>
  <c r="AL252" i="4"/>
  <c r="M355" i="4"/>
  <c r="L355" i="4"/>
  <c r="K355" i="4"/>
  <c r="S443" i="4"/>
  <c r="M416" i="4"/>
  <c r="L416" i="4"/>
  <c r="K416" i="4"/>
  <c r="M386" i="4"/>
  <c r="L386" i="4"/>
  <c r="K386" i="4"/>
  <c r="S434" i="4"/>
  <c r="S246" i="4"/>
  <c r="S214" i="4"/>
  <c r="S86" i="4"/>
  <c r="S54" i="4"/>
  <c r="O247" i="4"/>
  <c r="O286" i="4"/>
  <c r="P286" i="4"/>
  <c r="O311" i="4"/>
  <c r="P311" i="4"/>
  <c r="Q35" i="4"/>
  <c r="Q32" i="4"/>
  <c r="P37" i="4"/>
  <c r="O37" i="4"/>
  <c r="Q17" i="4"/>
  <c r="O36" i="4"/>
  <c r="P36" i="4"/>
  <c r="Q44" i="4"/>
  <c r="S959" i="4"/>
  <c r="R959" i="4"/>
  <c r="S927" i="4"/>
  <c r="R927" i="4"/>
  <c r="S918" i="4"/>
  <c r="R918" i="4"/>
  <c r="R913" i="4"/>
  <c r="S913" i="4"/>
  <c r="S904" i="4"/>
  <c r="R904" i="4"/>
  <c r="S872" i="4"/>
  <c r="R872" i="4"/>
  <c r="S870" i="4"/>
  <c r="R870" i="4"/>
  <c r="R862" i="4"/>
  <c r="S856" i="4"/>
  <c r="R856" i="4"/>
  <c r="S842" i="4"/>
  <c r="R842" i="4"/>
  <c r="S836" i="4"/>
  <c r="R836" i="4"/>
  <c r="R828" i="4"/>
  <c r="S828" i="4"/>
  <c r="S824" i="4"/>
  <c r="R824" i="4"/>
  <c r="S818" i="4"/>
  <c r="R812" i="4"/>
  <c r="S812" i="4"/>
  <c r="S804" i="4"/>
  <c r="R804" i="4"/>
  <c r="R796" i="4"/>
  <c r="S796" i="4"/>
  <c r="S788" i="4"/>
  <c r="R788" i="4"/>
  <c r="R782" i="4"/>
  <c r="S778" i="4"/>
  <c r="R778" i="4"/>
  <c r="S774" i="4"/>
  <c r="R774" i="4"/>
  <c r="S962" i="4"/>
  <c r="S957" i="4"/>
  <c r="R957" i="4"/>
  <c r="S948" i="4"/>
  <c r="R948" i="4"/>
  <c r="S930" i="4"/>
  <c r="S925" i="4"/>
  <c r="R925" i="4"/>
  <c r="S916" i="4"/>
  <c r="R916" i="4"/>
  <c r="S884" i="4"/>
  <c r="R884" i="4"/>
  <c r="S875" i="4"/>
  <c r="R875" i="4"/>
  <c r="S729" i="4"/>
  <c r="R729" i="4"/>
  <c r="R967" i="4"/>
  <c r="S967" i="4"/>
  <c r="R935" i="4"/>
  <c r="S935" i="4"/>
  <c r="R926" i="4"/>
  <c r="S921" i="4"/>
  <c r="R921" i="4"/>
  <c r="S912" i="4"/>
  <c r="R912" i="4"/>
  <c r="S880" i="4"/>
  <c r="R880" i="4"/>
  <c r="R878" i="4"/>
  <c r="S859" i="4"/>
  <c r="R859" i="4"/>
  <c r="S847" i="4"/>
  <c r="R847" i="4"/>
  <c r="S837" i="4"/>
  <c r="R837" i="4"/>
  <c r="S829" i="4"/>
  <c r="R829" i="4"/>
  <c r="S827" i="4"/>
  <c r="R827" i="4"/>
  <c r="S815" i="4"/>
  <c r="R815" i="4"/>
  <c r="S803" i="4"/>
  <c r="R803" i="4"/>
  <c r="S797" i="4"/>
  <c r="R797" i="4"/>
  <c r="R791" i="4"/>
  <c r="S791" i="4"/>
  <c r="R785" i="4"/>
  <c r="S785" i="4"/>
  <c r="S783" i="4"/>
  <c r="R783" i="4"/>
  <c r="S777" i="4"/>
  <c r="R777" i="4"/>
  <c r="R775" i="4"/>
  <c r="S775" i="4"/>
  <c r="R769" i="4"/>
  <c r="S769" i="4"/>
  <c r="S767" i="4"/>
  <c r="R767" i="4"/>
  <c r="S745" i="4"/>
  <c r="R745" i="4"/>
  <c r="R743" i="4"/>
  <c r="S743" i="4"/>
  <c r="S741" i="4"/>
  <c r="R741" i="4"/>
  <c r="S726" i="4"/>
  <c r="R726" i="4"/>
  <c r="R702" i="4"/>
  <c r="R172" i="4"/>
  <c r="S172" i="4"/>
  <c r="S954" i="4"/>
  <c r="R954" i="4"/>
  <c r="S917" i="4"/>
  <c r="R917" i="4"/>
  <c r="R892" i="4"/>
  <c r="S892" i="4"/>
  <c r="R686" i="4"/>
  <c r="S676" i="4"/>
  <c r="R676" i="4"/>
  <c r="S674" i="4"/>
  <c r="S664" i="4"/>
  <c r="R664" i="4"/>
  <c r="S660" i="4"/>
  <c r="R660" i="4"/>
  <c r="S658" i="4"/>
  <c r="S648" i="4"/>
  <c r="R648" i="4"/>
  <c r="S644" i="4"/>
  <c r="R644" i="4"/>
  <c r="S642" i="4"/>
  <c r="S626" i="4"/>
  <c r="R604" i="4"/>
  <c r="S604" i="4"/>
  <c r="S600" i="4"/>
  <c r="R600" i="4"/>
  <c r="S592" i="4"/>
  <c r="R592" i="4"/>
  <c r="S584" i="4"/>
  <c r="R584" i="4"/>
  <c r="S576" i="4"/>
  <c r="R576" i="4"/>
  <c r="S568" i="4"/>
  <c r="R568" i="4"/>
  <c r="S560" i="4"/>
  <c r="R560" i="4"/>
  <c r="S552" i="4"/>
  <c r="R552" i="4"/>
  <c r="S546" i="4"/>
  <c r="R542" i="4"/>
  <c r="S538" i="4"/>
  <c r="R538" i="4"/>
  <c r="S534" i="4"/>
  <c r="R534" i="4"/>
  <c r="S530" i="4"/>
  <c r="R526" i="4"/>
  <c r="S522" i="4"/>
  <c r="R522" i="4"/>
  <c r="S516" i="4"/>
  <c r="R516" i="4"/>
  <c r="R478" i="4"/>
  <c r="S474" i="4"/>
  <c r="R474" i="4"/>
  <c r="R468" i="4"/>
  <c r="R464" i="4"/>
  <c r="S464" i="4"/>
  <c r="S460" i="4"/>
  <c r="R460" i="4"/>
  <c r="S456" i="4"/>
  <c r="R456" i="4"/>
  <c r="S452" i="4"/>
  <c r="R452" i="4"/>
  <c r="S414" i="4"/>
  <c r="R414" i="4"/>
  <c r="S410" i="4"/>
  <c r="R410" i="4"/>
  <c r="R318" i="4"/>
  <c r="S318" i="4"/>
  <c r="R290" i="4"/>
  <c r="S290" i="4"/>
  <c r="S271" i="4"/>
  <c r="R271" i="4"/>
  <c r="S253" i="4"/>
  <c r="R253" i="4"/>
  <c r="R230" i="4"/>
  <c r="S221" i="4"/>
  <c r="R221" i="4"/>
  <c r="R198" i="4"/>
  <c r="S193" i="4"/>
  <c r="R193" i="4"/>
  <c r="S189" i="4"/>
  <c r="R189" i="4"/>
  <c r="S185" i="4"/>
  <c r="R185" i="4"/>
  <c r="S181" i="4"/>
  <c r="R181" i="4"/>
  <c r="S157" i="4"/>
  <c r="R157" i="4"/>
  <c r="S153" i="4"/>
  <c r="R153" i="4"/>
  <c r="S141" i="4"/>
  <c r="R141" i="4"/>
  <c r="S137" i="4"/>
  <c r="R137" i="4"/>
  <c r="S125" i="4"/>
  <c r="R125" i="4"/>
  <c r="S427" i="4"/>
  <c r="R427" i="4"/>
  <c r="S331" i="4"/>
  <c r="R331" i="4"/>
  <c r="R52" i="4"/>
  <c r="S52" i="4"/>
  <c r="S938" i="4"/>
  <c r="R938" i="4"/>
  <c r="S901" i="4"/>
  <c r="R901" i="4"/>
  <c r="S723" i="4"/>
  <c r="R723" i="4"/>
  <c r="R711" i="4"/>
  <c r="S711" i="4"/>
  <c r="S404" i="4"/>
  <c r="R404" i="4"/>
  <c r="S390" i="4"/>
  <c r="R390" i="4"/>
  <c r="S383" i="4"/>
  <c r="R383" i="4"/>
  <c r="S365" i="4"/>
  <c r="R365" i="4"/>
  <c r="S340" i="4"/>
  <c r="R340" i="4"/>
  <c r="S326" i="4"/>
  <c r="R326" i="4"/>
  <c r="S319" i="4"/>
  <c r="R319" i="4"/>
  <c r="S281" i="4"/>
  <c r="R281" i="4"/>
  <c r="R274" i="4"/>
  <c r="S274" i="4"/>
  <c r="R272" i="4"/>
  <c r="S272" i="4"/>
  <c r="S261" i="4"/>
  <c r="R261" i="4"/>
  <c r="R242" i="4"/>
  <c r="S242" i="4"/>
  <c r="S233" i="4"/>
  <c r="R233" i="4"/>
  <c r="S231" i="4"/>
  <c r="R231" i="4"/>
  <c r="R210" i="4"/>
  <c r="S210" i="4"/>
  <c r="S201" i="4"/>
  <c r="R201" i="4"/>
  <c r="S199" i="4"/>
  <c r="R199" i="4"/>
  <c r="S347" i="4"/>
  <c r="R347" i="4"/>
  <c r="R124" i="4"/>
  <c r="S124" i="4"/>
  <c r="S949" i="4"/>
  <c r="R949" i="4"/>
  <c r="R924" i="4"/>
  <c r="S924" i="4"/>
  <c r="S629" i="4"/>
  <c r="R629" i="4"/>
  <c r="S627" i="4"/>
  <c r="R627" i="4"/>
  <c r="S621" i="4"/>
  <c r="R621" i="4"/>
  <c r="S619" i="4"/>
  <c r="R619" i="4"/>
  <c r="S613" i="4"/>
  <c r="R613" i="4"/>
  <c r="S611" i="4"/>
  <c r="R611" i="4"/>
  <c r="S605" i="4"/>
  <c r="R605" i="4"/>
  <c r="S603" i="4"/>
  <c r="R603" i="4"/>
  <c r="S565" i="4"/>
  <c r="S557" i="4"/>
  <c r="S549" i="4"/>
  <c r="S541" i="4"/>
  <c r="S533" i="4"/>
  <c r="S521" i="4"/>
  <c r="S517" i="4"/>
  <c r="R513" i="4"/>
  <c r="S509" i="4"/>
  <c r="S505" i="4"/>
  <c r="S501" i="4"/>
  <c r="R497" i="4"/>
  <c r="S493" i="4"/>
  <c r="S419" i="4"/>
  <c r="S415" i="4"/>
  <c r="R400" i="4"/>
  <c r="R119" i="4"/>
  <c r="R95" i="4"/>
  <c r="R89" i="4"/>
  <c r="R63" i="4"/>
  <c r="R57" i="4"/>
  <c r="R359" i="4"/>
  <c r="R327" i="4"/>
  <c r="S309" i="4"/>
  <c r="R265" i="4"/>
  <c r="R257" i="4"/>
  <c r="O13" i="4"/>
  <c r="O194" i="4"/>
  <c r="Q12" i="4"/>
  <c r="R267" i="4"/>
  <c r="R171" i="4"/>
  <c r="R139" i="4"/>
  <c r="R107" i="4"/>
  <c r="R75" i="4"/>
  <c r="R11" i="4"/>
  <c r="M1002" i="4"/>
  <c r="L1002" i="4"/>
  <c r="K1002" i="4"/>
  <c r="M970" i="4"/>
  <c r="L970" i="4"/>
  <c r="K970" i="4"/>
  <c r="S958" i="4"/>
  <c r="M938" i="4"/>
  <c r="L938" i="4"/>
  <c r="K938" i="4"/>
  <c r="S926" i="4"/>
  <c r="R914" i="4"/>
  <c r="M906" i="4"/>
  <c r="L906" i="4"/>
  <c r="K906" i="4"/>
  <c r="R882" i="4"/>
  <c r="M874" i="4"/>
  <c r="L874" i="4"/>
  <c r="K874" i="4"/>
  <c r="S862" i="4"/>
  <c r="R850" i="4"/>
  <c r="M842" i="4"/>
  <c r="L842" i="4"/>
  <c r="K842" i="4"/>
  <c r="S830" i="4"/>
  <c r="R818" i="4"/>
  <c r="M810" i="4"/>
  <c r="L810" i="4"/>
  <c r="K810" i="4"/>
  <c r="S798" i="4"/>
  <c r="R786" i="4"/>
  <c r="M778" i="4"/>
  <c r="L778" i="4"/>
  <c r="K778" i="4"/>
  <c r="S766" i="4"/>
  <c r="R754" i="4"/>
  <c r="M746" i="4"/>
  <c r="L746" i="4"/>
  <c r="K746" i="4"/>
  <c r="S734" i="4"/>
  <c r="R722" i="4"/>
  <c r="M714" i="4"/>
  <c r="L714" i="4"/>
  <c r="K714" i="4"/>
  <c r="S702" i="4"/>
  <c r="R690" i="4"/>
  <c r="M682" i="4"/>
  <c r="L682" i="4"/>
  <c r="K682" i="4"/>
  <c r="S670" i="4"/>
  <c r="R658" i="4"/>
  <c r="M650" i="4"/>
  <c r="L650" i="4"/>
  <c r="K650" i="4"/>
  <c r="S638" i="4"/>
  <c r="R626" i="4"/>
  <c r="M618" i="4"/>
  <c r="L618" i="4"/>
  <c r="K618" i="4"/>
  <c r="R594" i="4"/>
  <c r="M586" i="4"/>
  <c r="L586" i="4"/>
  <c r="K586" i="4"/>
  <c r="S574" i="4"/>
  <c r="R562" i="4"/>
  <c r="M554" i="4"/>
  <c r="L554" i="4"/>
  <c r="K554" i="4"/>
  <c r="S542" i="4"/>
  <c r="R530" i="4"/>
  <c r="M522" i="4"/>
  <c r="L522" i="4"/>
  <c r="K522" i="4"/>
  <c r="R498" i="4"/>
  <c r="M490" i="4"/>
  <c r="L490" i="4"/>
  <c r="K490" i="4"/>
  <c r="S478" i="4"/>
  <c r="M419" i="4"/>
  <c r="L419" i="4"/>
  <c r="K419" i="4"/>
  <c r="M356" i="4"/>
  <c r="L356" i="4"/>
  <c r="K356" i="4"/>
  <c r="R373" i="4"/>
  <c r="M405" i="4"/>
  <c r="L405" i="4"/>
  <c r="K405" i="4"/>
  <c r="P47" i="4"/>
  <c r="S306" i="4"/>
  <c r="S174" i="4"/>
  <c r="S142" i="4"/>
  <c r="P194" i="4"/>
  <c r="O316" i="4"/>
  <c r="P316" i="4"/>
  <c r="O18" i="4"/>
  <c r="P18" i="4"/>
  <c r="O21" i="4"/>
  <c r="P21" i="4"/>
  <c r="P15" i="4"/>
  <c r="O15" i="4"/>
  <c r="O35" i="4"/>
  <c r="P35" i="4"/>
  <c r="O42" i="4"/>
  <c r="P42" i="4"/>
  <c r="Q37" i="4"/>
  <c r="O17" i="4"/>
  <c r="P17" i="4"/>
  <c r="O23" i="4"/>
  <c r="P23" i="4"/>
  <c r="S995" i="4"/>
  <c r="R995" i="4"/>
  <c r="S987" i="4"/>
  <c r="R987" i="4"/>
  <c r="S979" i="4"/>
  <c r="R979" i="4"/>
  <c r="S868" i="4"/>
  <c r="R868" i="4"/>
  <c r="R999" i="4"/>
  <c r="S999" i="4"/>
  <c r="R983" i="4"/>
  <c r="S983" i="4"/>
  <c r="S966" i="4"/>
  <c r="R966" i="4"/>
  <c r="R961" i="4"/>
  <c r="S961" i="4"/>
  <c r="S952" i="4"/>
  <c r="R952" i="4"/>
  <c r="S934" i="4"/>
  <c r="R934" i="4"/>
  <c r="R929" i="4"/>
  <c r="S929" i="4"/>
  <c r="S920" i="4"/>
  <c r="R920" i="4"/>
  <c r="R881" i="4"/>
  <c r="S881" i="4"/>
  <c r="S879" i="4"/>
  <c r="R879" i="4"/>
  <c r="R860" i="4"/>
  <c r="S860" i="4"/>
  <c r="S854" i="4"/>
  <c r="R854" i="4"/>
  <c r="S848" i="4"/>
  <c r="R848" i="4"/>
  <c r="S822" i="4"/>
  <c r="R822" i="4"/>
  <c r="S808" i="4"/>
  <c r="R808" i="4"/>
  <c r="S794" i="4"/>
  <c r="R794" i="4"/>
  <c r="S790" i="4"/>
  <c r="R790" i="4"/>
  <c r="S768" i="4"/>
  <c r="R768" i="4"/>
  <c r="S760" i="4"/>
  <c r="R760" i="4"/>
  <c r="S752" i="4"/>
  <c r="R752" i="4"/>
  <c r="R748" i="4"/>
  <c r="S748" i="4"/>
  <c r="S742" i="4"/>
  <c r="R742" i="4"/>
  <c r="S971" i="4"/>
  <c r="R971" i="4"/>
  <c r="S939" i="4"/>
  <c r="R939" i="4"/>
  <c r="S891" i="4"/>
  <c r="R891" i="4"/>
  <c r="S991" i="4"/>
  <c r="R991" i="4"/>
  <c r="S969" i="4"/>
  <c r="R969" i="4"/>
  <c r="S960" i="4"/>
  <c r="R960" i="4"/>
  <c r="S937" i="4"/>
  <c r="R937" i="4"/>
  <c r="S928" i="4"/>
  <c r="R928" i="4"/>
  <c r="S889" i="4"/>
  <c r="R889" i="4"/>
  <c r="R887" i="4"/>
  <c r="S887" i="4"/>
  <c r="S869" i="4"/>
  <c r="R869" i="4"/>
  <c r="R865" i="4"/>
  <c r="S865" i="4"/>
  <c r="S863" i="4"/>
  <c r="R863" i="4"/>
  <c r="S853" i="4"/>
  <c r="R853" i="4"/>
  <c r="R849" i="4"/>
  <c r="S849" i="4"/>
  <c r="S835" i="4"/>
  <c r="R835" i="4"/>
  <c r="R833" i="4"/>
  <c r="S833" i="4"/>
  <c r="S831" i="4"/>
  <c r="R831" i="4"/>
  <c r="S821" i="4"/>
  <c r="R821" i="4"/>
  <c r="S819" i="4"/>
  <c r="R819" i="4"/>
  <c r="R817" i="4"/>
  <c r="S817" i="4"/>
  <c r="R807" i="4"/>
  <c r="S807" i="4"/>
  <c r="R801" i="4"/>
  <c r="S801" i="4"/>
  <c r="S799" i="4"/>
  <c r="R799" i="4"/>
  <c r="S761" i="4"/>
  <c r="R761" i="4"/>
  <c r="S755" i="4"/>
  <c r="R755" i="4"/>
  <c r="S747" i="4"/>
  <c r="R747" i="4"/>
  <c r="S731" i="4"/>
  <c r="R731" i="4"/>
  <c r="S713" i="4"/>
  <c r="R713" i="4"/>
  <c r="S708" i="4"/>
  <c r="R708" i="4"/>
  <c r="S612" i="4"/>
  <c r="R612" i="4"/>
  <c r="S315" i="4"/>
  <c r="R315" i="4"/>
  <c r="R76" i="4"/>
  <c r="S76" i="4"/>
  <c r="S720" i="4"/>
  <c r="R720" i="4"/>
  <c r="S696" i="4"/>
  <c r="R696" i="4"/>
  <c r="S692" i="4"/>
  <c r="R692" i="4"/>
  <c r="S680" i="4"/>
  <c r="R680" i="4"/>
  <c r="S662" i="4"/>
  <c r="R662" i="4"/>
  <c r="S646" i="4"/>
  <c r="R646" i="4"/>
  <c r="S632" i="4"/>
  <c r="R632" i="4"/>
  <c r="S630" i="4"/>
  <c r="R630" i="4"/>
  <c r="R620" i="4"/>
  <c r="S620" i="4"/>
  <c r="S616" i="4"/>
  <c r="R616" i="4"/>
  <c r="S614" i="4"/>
  <c r="R614" i="4"/>
  <c r="S602" i="4"/>
  <c r="R602" i="4"/>
  <c r="S598" i="4"/>
  <c r="R598" i="4"/>
  <c r="S586" i="4"/>
  <c r="R586" i="4"/>
  <c r="S582" i="4"/>
  <c r="R582" i="4"/>
  <c r="S570" i="4"/>
  <c r="R570" i="4"/>
  <c r="S566" i="4"/>
  <c r="R566" i="4"/>
  <c r="S554" i="4"/>
  <c r="R554" i="4"/>
  <c r="S550" i="4"/>
  <c r="R550" i="4"/>
  <c r="S502" i="4"/>
  <c r="R502" i="4"/>
  <c r="S490" i="4"/>
  <c r="R490" i="4"/>
  <c r="S486" i="4"/>
  <c r="R486" i="4"/>
  <c r="S480" i="4"/>
  <c r="R480" i="4"/>
  <c r="R476" i="4"/>
  <c r="S476" i="4"/>
  <c r="S472" i="4"/>
  <c r="R472" i="4"/>
  <c r="R438" i="4"/>
  <c r="S438" i="4"/>
  <c r="R430" i="4"/>
  <c r="S430" i="4"/>
  <c r="S426" i="4"/>
  <c r="R426" i="4"/>
  <c r="S422" i="4"/>
  <c r="R422" i="4"/>
  <c r="S416" i="4"/>
  <c r="R416" i="4"/>
  <c r="S412" i="4"/>
  <c r="R412" i="4"/>
  <c r="S408" i="4"/>
  <c r="R408" i="4"/>
  <c r="S394" i="4"/>
  <c r="R394" i="4"/>
  <c r="R385" i="4"/>
  <c r="S385" i="4"/>
  <c r="S376" i="4"/>
  <c r="R376" i="4"/>
  <c r="S362" i="4"/>
  <c r="R362" i="4"/>
  <c r="S355" i="4"/>
  <c r="R355" i="4"/>
  <c r="S353" i="4"/>
  <c r="R353" i="4"/>
  <c r="R344" i="4"/>
  <c r="S344" i="4"/>
  <c r="S330" i="4"/>
  <c r="R330" i="4"/>
  <c r="R323" i="4"/>
  <c r="S323" i="4"/>
  <c r="S321" i="4"/>
  <c r="R321" i="4"/>
  <c r="R298" i="4"/>
  <c r="S298" i="4"/>
  <c r="R294" i="4"/>
  <c r="R280" i="4"/>
  <c r="S280" i="4"/>
  <c r="R228" i="4"/>
  <c r="S228" i="4"/>
  <c r="R196" i="4"/>
  <c r="S196" i="4"/>
  <c r="S175" i="4"/>
  <c r="R175" i="4"/>
  <c r="S169" i="4"/>
  <c r="R169" i="4"/>
  <c r="S159" i="4"/>
  <c r="R159" i="4"/>
  <c r="S143" i="4"/>
  <c r="R143" i="4"/>
  <c r="S127" i="4"/>
  <c r="R127" i="4"/>
  <c r="R120" i="4"/>
  <c r="S120" i="4"/>
  <c r="R395" i="4"/>
  <c r="S395" i="4"/>
  <c r="R148" i="4"/>
  <c r="S148" i="4"/>
  <c r="R84" i="4"/>
  <c r="S84" i="4"/>
  <c r="S975" i="4"/>
  <c r="R975" i="4"/>
  <c r="S963" i="4"/>
  <c r="R963" i="4"/>
  <c r="S736" i="4"/>
  <c r="R736" i="4"/>
  <c r="R732" i="4"/>
  <c r="S732" i="4"/>
  <c r="S388" i="4"/>
  <c r="R388" i="4"/>
  <c r="R374" i="4"/>
  <c r="S374" i="4"/>
  <c r="S367" i="4"/>
  <c r="R367" i="4"/>
  <c r="R349" i="4"/>
  <c r="S349" i="4"/>
  <c r="S324" i="4"/>
  <c r="R324" i="4"/>
  <c r="R266" i="4"/>
  <c r="S266" i="4"/>
  <c r="R240" i="4"/>
  <c r="S240" i="4"/>
  <c r="R208" i="4"/>
  <c r="S208" i="4"/>
  <c r="S980" i="4"/>
  <c r="R980" i="4"/>
  <c r="S707" i="4"/>
  <c r="R707" i="4"/>
  <c r="S699" i="4"/>
  <c r="R699" i="4"/>
  <c r="S691" i="4"/>
  <c r="R691" i="4"/>
  <c r="S683" i="4"/>
  <c r="R683" i="4"/>
  <c r="S675" i="4"/>
  <c r="R675" i="4"/>
  <c r="S667" i="4"/>
  <c r="R667" i="4"/>
  <c r="S659" i="4"/>
  <c r="R659" i="4"/>
  <c r="S651" i="4"/>
  <c r="R651" i="4"/>
  <c r="S643" i="4"/>
  <c r="R643" i="4"/>
  <c r="S635" i="4"/>
  <c r="R635" i="4"/>
  <c r="S589" i="4"/>
  <c r="R589" i="4"/>
  <c r="S581" i="4"/>
  <c r="R581" i="4"/>
  <c r="S573" i="4"/>
  <c r="R573" i="4"/>
  <c r="S569" i="4"/>
  <c r="R569" i="4"/>
  <c r="R567" i="4"/>
  <c r="S567" i="4"/>
  <c r="S563" i="4"/>
  <c r="R563" i="4"/>
  <c r="R561" i="4"/>
  <c r="S561" i="4"/>
  <c r="S559" i="4"/>
  <c r="R559" i="4"/>
  <c r="S555" i="4"/>
  <c r="R555" i="4"/>
  <c r="S553" i="4"/>
  <c r="R553" i="4"/>
  <c r="R551" i="4"/>
  <c r="S551" i="4"/>
  <c r="S547" i="4"/>
  <c r="R547" i="4"/>
  <c r="R545" i="4"/>
  <c r="S545" i="4"/>
  <c r="S543" i="4"/>
  <c r="R543" i="4"/>
  <c r="S539" i="4"/>
  <c r="R539" i="4"/>
  <c r="S537" i="4"/>
  <c r="R537" i="4"/>
  <c r="R535" i="4"/>
  <c r="S535" i="4"/>
  <c r="S531" i="4"/>
  <c r="R531" i="4"/>
  <c r="R529" i="4"/>
  <c r="S529" i="4"/>
  <c r="R519" i="4"/>
  <c r="S519" i="4"/>
  <c r="S455" i="4"/>
  <c r="R455" i="4"/>
  <c r="S451" i="4"/>
  <c r="R451" i="4"/>
  <c r="R447" i="4"/>
  <c r="S447" i="4"/>
  <c r="S439" i="4"/>
  <c r="R439" i="4"/>
  <c r="R435" i="4"/>
  <c r="S435" i="4"/>
  <c r="S431" i="4"/>
  <c r="R431" i="4"/>
  <c r="S425" i="4"/>
  <c r="R425" i="4"/>
  <c r="S421" i="4"/>
  <c r="R421" i="4"/>
  <c r="S417" i="4"/>
  <c r="R417" i="4"/>
  <c r="R413" i="4"/>
  <c r="S413" i="4"/>
  <c r="R409" i="4"/>
  <c r="S409" i="4"/>
  <c r="S393" i="4"/>
  <c r="R393" i="4"/>
  <c r="S377" i="4"/>
  <c r="R377" i="4"/>
  <c r="S361" i="4"/>
  <c r="R361" i="4"/>
  <c r="R345" i="4"/>
  <c r="S345" i="4"/>
  <c r="S329" i="4"/>
  <c r="R329" i="4"/>
  <c r="S308" i="4"/>
  <c r="R308" i="4"/>
  <c r="R296" i="4"/>
  <c r="S296" i="4"/>
  <c r="S229" i="4"/>
  <c r="R229" i="4"/>
  <c r="R204" i="4"/>
  <c r="S204" i="4"/>
  <c r="R176" i="4"/>
  <c r="S176" i="4"/>
  <c r="R164" i="4"/>
  <c r="S164" i="4"/>
  <c r="R162" i="4"/>
  <c r="S162" i="4"/>
  <c r="R144" i="4"/>
  <c r="S144" i="4"/>
  <c r="R132" i="4"/>
  <c r="S132" i="4"/>
  <c r="R130" i="4"/>
  <c r="S130" i="4"/>
  <c r="S113" i="4"/>
  <c r="R113" i="4"/>
  <c r="R106" i="4"/>
  <c r="S106" i="4"/>
  <c r="R104" i="4"/>
  <c r="S104" i="4"/>
  <c r="S93" i="4"/>
  <c r="R93" i="4"/>
  <c r="S87" i="4"/>
  <c r="R87" i="4"/>
  <c r="S81" i="4"/>
  <c r="R81" i="4"/>
  <c r="R74" i="4"/>
  <c r="S74" i="4"/>
  <c r="R72" i="4"/>
  <c r="S72" i="4"/>
  <c r="S61" i="4"/>
  <c r="R61" i="4"/>
  <c r="S55" i="4"/>
  <c r="R55" i="4"/>
  <c r="S712" i="4"/>
  <c r="R712" i="4"/>
  <c r="S407" i="4"/>
  <c r="R407" i="4"/>
  <c r="S405" i="4"/>
  <c r="R405" i="4"/>
  <c r="R396" i="4"/>
  <c r="S396" i="4"/>
  <c r="S364" i="4"/>
  <c r="R364" i="4"/>
  <c r="S341" i="4"/>
  <c r="R341" i="4"/>
  <c r="S332" i="4"/>
  <c r="R332" i="4"/>
  <c r="S313" i="4"/>
  <c r="R313" i="4"/>
  <c r="S297" i="4"/>
  <c r="R297" i="4"/>
  <c r="R282" i="4"/>
  <c r="S282" i="4"/>
  <c r="S279" i="4"/>
  <c r="R279" i="4"/>
  <c r="R276" i="4"/>
  <c r="S276" i="4"/>
  <c r="R250" i="4"/>
  <c r="S250" i="4"/>
  <c r="S241" i="4"/>
  <c r="R241" i="4"/>
  <c r="S239" i="4"/>
  <c r="R239" i="4"/>
  <c r="R232" i="4"/>
  <c r="S232" i="4"/>
  <c r="R218" i="4"/>
  <c r="S218" i="4"/>
  <c r="S209" i="4"/>
  <c r="R209" i="4"/>
  <c r="S207" i="4"/>
  <c r="R207" i="4"/>
  <c r="R200" i="4"/>
  <c r="S200" i="4"/>
  <c r="R184" i="4"/>
  <c r="S184" i="4"/>
  <c r="R18" i="4"/>
  <c r="S18" i="4"/>
  <c r="R26" i="4"/>
  <c r="S26" i="4"/>
  <c r="S15" i="4"/>
  <c r="R15" i="4"/>
  <c r="S33" i="4"/>
  <c r="R33" i="4"/>
  <c r="R34" i="4"/>
  <c r="S34" i="4"/>
  <c r="R48" i="4"/>
  <c r="S48" i="4"/>
  <c r="R20" i="4"/>
  <c r="S20" i="4"/>
  <c r="S41" i="4"/>
  <c r="R41" i="4"/>
  <c r="R36" i="4"/>
  <c r="S36" i="4"/>
  <c r="R291" i="4"/>
  <c r="R259" i="4"/>
  <c r="R163" i="4"/>
  <c r="R131" i="4"/>
  <c r="O299" i="4"/>
  <c r="S299" i="4"/>
  <c r="R299" i="4"/>
  <c r="AO219" i="4"/>
  <c r="AP219" i="4"/>
  <c r="AJ219" i="4"/>
  <c r="AK219" i="4"/>
  <c r="AQ219" i="4"/>
  <c r="M332" i="4"/>
  <c r="L332" i="4"/>
  <c r="K332" i="4"/>
  <c r="R448" i="4"/>
  <c r="M322" i="4"/>
  <c r="L322" i="4"/>
  <c r="K322" i="4"/>
  <c r="R418" i="4"/>
  <c r="M450" i="4"/>
  <c r="L450" i="4"/>
  <c r="K450" i="4"/>
  <c r="P27" i="4"/>
  <c r="P49" i="4"/>
  <c r="S294" i="4"/>
  <c r="S230" i="4"/>
  <c r="S198" i="4"/>
  <c r="S6" i="4"/>
  <c r="P295" i="4"/>
  <c r="O318" i="4"/>
  <c r="P318" i="4"/>
  <c r="Q8" i="4"/>
  <c r="Q6" i="4"/>
  <c r="O39" i="4"/>
  <c r="P39" i="4"/>
  <c r="Q15" i="4"/>
  <c r="P45" i="4"/>
  <c r="S1002" i="4"/>
  <c r="R1002" i="4"/>
  <c r="S994" i="4"/>
  <c r="S986" i="4"/>
  <c r="R986" i="4"/>
  <c r="S997" i="4"/>
  <c r="R997" i="4"/>
  <c r="S989" i="4"/>
  <c r="R989" i="4"/>
  <c r="S981" i="4"/>
  <c r="R981" i="4"/>
  <c r="S793" i="4"/>
  <c r="R793" i="4"/>
  <c r="S1001" i="4"/>
  <c r="R1001" i="4"/>
  <c r="R990" i="4"/>
  <c r="S985" i="4"/>
  <c r="R985" i="4"/>
  <c r="S978" i="4"/>
  <c r="S943" i="4"/>
  <c r="R943" i="4"/>
  <c r="S895" i="4"/>
  <c r="R895" i="4"/>
  <c r="S888" i="4"/>
  <c r="R888" i="4"/>
  <c r="S886" i="4"/>
  <c r="R886" i="4"/>
  <c r="S858" i="4"/>
  <c r="R858" i="4"/>
  <c r="S852" i="4"/>
  <c r="R852" i="4"/>
  <c r="R846" i="4"/>
  <c r="S840" i="4"/>
  <c r="R840" i="4"/>
  <c r="S826" i="4"/>
  <c r="R826" i="4"/>
  <c r="S820" i="4"/>
  <c r="R820" i="4"/>
  <c r="S816" i="4"/>
  <c r="R816" i="4"/>
  <c r="S810" i="4"/>
  <c r="R810" i="4"/>
  <c r="S806" i="4"/>
  <c r="R806" i="4"/>
  <c r="S776" i="4"/>
  <c r="R776" i="4"/>
  <c r="S772" i="4"/>
  <c r="R772" i="4"/>
  <c r="R764" i="4"/>
  <c r="S764" i="4"/>
  <c r="S756" i="4"/>
  <c r="R756" i="4"/>
  <c r="R750" i="4"/>
  <c r="S746" i="4"/>
  <c r="R746" i="4"/>
  <c r="S740" i="4"/>
  <c r="R740" i="4"/>
  <c r="S973" i="4"/>
  <c r="R973" i="4"/>
  <c r="S964" i="4"/>
  <c r="R964" i="4"/>
  <c r="S946" i="4"/>
  <c r="S941" i="4"/>
  <c r="R941" i="4"/>
  <c r="S932" i="4"/>
  <c r="R932" i="4"/>
  <c r="S907" i="4"/>
  <c r="R907" i="4"/>
  <c r="S898" i="4"/>
  <c r="S893" i="4"/>
  <c r="R893" i="4"/>
  <c r="S998" i="4"/>
  <c r="R998" i="4"/>
  <c r="R993" i="4"/>
  <c r="S993" i="4"/>
  <c r="S982" i="4"/>
  <c r="R982" i="4"/>
  <c r="R951" i="4"/>
  <c r="S951" i="4"/>
  <c r="R903" i="4"/>
  <c r="S903" i="4"/>
  <c r="R894" i="4"/>
  <c r="S867" i="4"/>
  <c r="R867" i="4"/>
  <c r="S851" i="4"/>
  <c r="R851" i="4"/>
  <c r="S845" i="4"/>
  <c r="R845" i="4"/>
  <c r="S841" i="4"/>
  <c r="R841" i="4"/>
  <c r="R839" i="4"/>
  <c r="S839" i="4"/>
  <c r="R823" i="4"/>
  <c r="S823" i="4"/>
  <c r="S809" i="4"/>
  <c r="R809" i="4"/>
  <c r="S787" i="4"/>
  <c r="R787" i="4"/>
  <c r="S779" i="4"/>
  <c r="R779" i="4"/>
  <c r="S771" i="4"/>
  <c r="R771" i="4"/>
  <c r="S763" i="4"/>
  <c r="R763" i="4"/>
  <c r="S757" i="4"/>
  <c r="R757" i="4"/>
  <c r="S749" i="4"/>
  <c r="R749" i="4"/>
  <c r="R737" i="4"/>
  <c r="S737" i="4"/>
  <c r="S735" i="4"/>
  <c r="R735" i="4"/>
  <c r="S733" i="4"/>
  <c r="R733" i="4"/>
  <c r="R721" i="4"/>
  <c r="S721" i="4"/>
  <c r="R716" i="4"/>
  <c r="S716" i="4"/>
  <c r="S379" i="4"/>
  <c r="R379" i="4"/>
  <c r="R108" i="4"/>
  <c r="S108" i="4"/>
  <c r="R956" i="4"/>
  <c r="S956" i="4"/>
  <c r="S890" i="4"/>
  <c r="R890" i="4"/>
  <c r="S725" i="4"/>
  <c r="R725" i="4"/>
  <c r="S715" i="4"/>
  <c r="R715" i="4"/>
  <c r="S694" i="4"/>
  <c r="R694" i="4"/>
  <c r="S678" i="4"/>
  <c r="R678" i="4"/>
  <c r="S672" i="4"/>
  <c r="R672" i="4"/>
  <c r="R668" i="4"/>
  <c r="S668" i="4"/>
  <c r="S666" i="4"/>
  <c r="R666" i="4"/>
  <c r="S656" i="4"/>
  <c r="R656" i="4"/>
  <c r="R652" i="4"/>
  <c r="S652" i="4"/>
  <c r="S650" i="4"/>
  <c r="R650" i="4"/>
  <c r="S640" i="4"/>
  <c r="R640" i="4"/>
  <c r="R636" i="4"/>
  <c r="S636" i="4"/>
  <c r="S634" i="4"/>
  <c r="R634" i="4"/>
  <c r="S618" i="4"/>
  <c r="R618" i="4"/>
  <c r="S608" i="4"/>
  <c r="R608" i="4"/>
  <c r="R606" i="4"/>
  <c r="R540" i="4"/>
  <c r="S540" i="4"/>
  <c r="S532" i="4"/>
  <c r="R532" i="4"/>
  <c r="R524" i="4"/>
  <c r="S524" i="4"/>
  <c r="R510" i="4"/>
  <c r="S506" i="4"/>
  <c r="R506" i="4"/>
  <c r="S500" i="4"/>
  <c r="R500" i="4"/>
  <c r="S496" i="4"/>
  <c r="R496" i="4"/>
  <c r="R492" i="4"/>
  <c r="S492" i="4"/>
  <c r="S488" i="4"/>
  <c r="R488" i="4"/>
  <c r="S484" i="4"/>
  <c r="R484" i="4"/>
  <c r="R446" i="4"/>
  <c r="S446" i="4"/>
  <c r="R442" i="4"/>
  <c r="S442" i="4"/>
  <c r="S436" i="4"/>
  <c r="R436" i="4"/>
  <c r="S432" i="4"/>
  <c r="R432" i="4"/>
  <c r="S428" i="4"/>
  <c r="R428" i="4"/>
  <c r="R424" i="4"/>
  <c r="S424" i="4"/>
  <c r="R420" i="4"/>
  <c r="S420" i="4"/>
  <c r="R314" i="4"/>
  <c r="S314" i="4"/>
  <c r="R310" i="4"/>
  <c r="S310" i="4"/>
  <c r="R302" i="4"/>
  <c r="S302" i="4"/>
  <c r="S263" i="4"/>
  <c r="R263" i="4"/>
  <c r="S237" i="4"/>
  <c r="R237" i="4"/>
  <c r="S205" i="4"/>
  <c r="R205" i="4"/>
  <c r="S203" i="4"/>
  <c r="S165" i="4"/>
  <c r="R165" i="4"/>
  <c r="S161" i="4"/>
  <c r="R161" i="4"/>
  <c r="S149" i="4"/>
  <c r="R149" i="4"/>
  <c r="S145" i="4"/>
  <c r="R145" i="4"/>
  <c r="S133" i="4"/>
  <c r="R133" i="4"/>
  <c r="S129" i="4"/>
  <c r="R129" i="4"/>
  <c r="R118" i="4"/>
  <c r="R116" i="4"/>
  <c r="S116" i="4"/>
  <c r="R977" i="4"/>
  <c r="S977" i="4"/>
  <c r="S965" i="4"/>
  <c r="R965" i="4"/>
  <c r="R940" i="4"/>
  <c r="S940" i="4"/>
  <c r="R876" i="4"/>
  <c r="S876" i="4"/>
  <c r="S730" i="4"/>
  <c r="R730" i="4"/>
  <c r="S397" i="4"/>
  <c r="R397" i="4"/>
  <c r="S372" i="4"/>
  <c r="R372" i="4"/>
  <c r="S358" i="4"/>
  <c r="R358" i="4"/>
  <c r="S351" i="4"/>
  <c r="S333" i="4"/>
  <c r="R333" i="4"/>
  <c r="R307" i="4"/>
  <c r="S307" i="4"/>
  <c r="S295" i="4"/>
  <c r="R295" i="4"/>
  <c r="S287" i="4"/>
  <c r="R287" i="4"/>
  <c r="R284" i="4"/>
  <c r="S284" i="4"/>
  <c r="S269" i="4"/>
  <c r="R269" i="4"/>
  <c r="R264" i="4"/>
  <c r="S264" i="4"/>
  <c r="S249" i="4"/>
  <c r="R249" i="4"/>
  <c r="S247" i="4"/>
  <c r="R247" i="4"/>
  <c r="R226" i="4"/>
  <c r="S226" i="4"/>
  <c r="S217" i="4"/>
  <c r="R217" i="4"/>
  <c r="S215" i="4"/>
  <c r="R215" i="4"/>
  <c r="R194" i="4"/>
  <c r="S194" i="4"/>
  <c r="R186" i="4"/>
  <c r="S186" i="4"/>
  <c r="R182" i="4"/>
  <c r="R8" i="4"/>
  <c r="S8" i="4"/>
  <c r="S459" i="4"/>
  <c r="R459" i="4"/>
  <c r="R60" i="4"/>
  <c r="S60" i="4"/>
  <c r="S885" i="4"/>
  <c r="R885" i="4"/>
  <c r="S719" i="4"/>
  <c r="R719" i="4"/>
  <c r="S709" i="4"/>
  <c r="R709" i="4"/>
  <c r="S701" i="4"/>
  <c r="R701" i="4"/>
  <c r="S693" i="4"/>
  <c r="R693" i="4"/>
  <c r="S685" i="4"/>
  <c r="R685" i="4"/>
  <c r="S677" i="4"/>
  <c r="R677" i="4"/>
  <c r="S669" i="4"/>
  <c r="R669" i="4"/>
  <c r="S661" i="4"/>
  <c r="R661" i="4"/>
  <c r="S653" i="4"/>
  <c r="R653" i="4"/>
  <c r="S645" i="4"/>
  <c r="R645" i="4"/>
  <c r="S637" i="4"/>
  <c r="R637" i="4"/>
  <c r="R631" i="4"/>
  <c r="S631" i="4"/>
  <c r="S623" i="4"/>
  <c r="R623" i="4"/>
  <c r="R615" i="4"/>
  <c r="S615" i="4"/>
  <c r="S607" i="4"/>
  <c r="R607" i="4"/>
  <c r="S597" i="4"/>
  <c r="R597" i="4"/>
  <c r="S591" i="4"/>
  <c r="R591" i="4"/>
  <c r="S587" i="4"/>
  <c r="R587" i="4"/>
  <c r="S585" i="4"/>
  <c r="R585" i="4"/>
  <c r="R583" i="4"/>
  <c r="S583" i="4"/>
  <c r="S579" i="4"/>
  <c r="R579" i="4"/>
  <c r="R577" i="4"/>
  <c r="S577" i="4"/>
  <c r="S575" i="4"/>
  <c r="R575" i="4"/>
  <c r="R453" i="4"/>
  <c r="S437" i="4"/>
  <c r="S906" i="4"/>
  <c r="S717" i="4"/>
  <c r="R251" i="4"/>
  <c r="R219" i="4"/>
  <c r="R187" i="4"/>
  <c r="R155" i="4"/>
  <c r="R123" i="4"/>
  <c r="R994" i="4"/>
  <c r="M986" i="4"/>
  <c r="L986" i="4"/>
  <c r="K986" i="4"/>
  <c r="S974" i="4"/>
  <c r="R962" i="4"/>
  <c r="M954" i="4"/>
  <c r="L954" i="4"/>
  <c r="K954" i="4"/>
  <c r="S942" i="4"/>
  <c r="R930" i="4"/>
  <c r="M922" i="4"/>
  <c r="L922" i="4"/>
  <c r="K922" i="4"/>
  <c r="S910" i="4"/>
  <c r="R898" i="4"/>
  <c r="M890" i="4"/>
  <c r="L890" i="4"/>
  <c r="K890" i="4"/>
  <c r="S878" i="4"/>
  <c r="R866" i="4"/>
  <c r="M858" i="4"/>
  <c r="L858" i="4"/>
  <c r="K858" i="4"/>
  <c r="S846" i="4"/>
  <c r="R834" i="4"/>
  <c r="M826" i="4"/>
  <c r="L826" i="4"/>
  <c r="K826" i="4"/>
  <c r="S814" i="4"/>
  <c r="R802" i="4"/>
  <c r="M794" i="4"/>
  <c r="L794" i="4"/>
  <c r="K794" i="4"/>
  <c r="S782" i="4"/>
  <c r="R770" i="4"/>
  <c r="M762" i="4"/>
  <c r="L762" i="4"/>
  <c r="K762" i="4"/>
  <c r="S750" i="4"/>
  <c r="R738" i="4"/>
  <c r="M730" i="4"/>
  <c r="L730" i="4"/>
  <c r="K730" i="4"/>
  <c r="S718" i="4"/>
  <c r="R706" i="4"/>
  <c r="M698" i="4"/>
  <c r="L698" i="4"/>
  <c r="K698" i="4"/>
  <c r="S686" i="4"/>
  <c r="R674" i="4"/>
  <c r="M666" i="4"/>
  <c r="L666" i="4"/>
  <c r="K666" i="4"/>
  <c r="S654" i="4"/>
  <c r="R642" i="4"/>
  <c r="M634" i="4"/>
  <c r="L634" i="4"/>
  <c r="K634" i="4"/>
  <c r="S622" i="4"/>
  <c r="R610" i="4"/>
  <c r="M602" i="4"/>
  <c r="L602" i="4"/>
  <c r="K602" i="4"/>
  <c r="S590" i="4"/>
  <c r="R578" i="4"/>
  <c r="M570" i="4"/>
  <c r="L570" i="4"/>
  <c r="K570" i="4"/>
  <c r="S558" i="4"/>
  <c r="R546" i="4"/>
  <c r="M538" i="4"/>
  <c r="L538" i="4"/>
  <c r="K538" i="4"/>
  <c r="S526" i="4"/>
  <c r="R514" i="4"/>
  <c r="M506" i="4"/>
  <c r="L506" i="4"/>
  <c r="K506" i="4"/>
  <c r="S494" i="4"/>
  <c r="R482" i="4"/>
  <c r="M474" i="4"/>
  <c r="L474" i="4"/>
  <c r="K474" i="4"/>
  <c r="S387" i="4"/>
  <c r="M341" i="4"/>
  <c r="L341" i="4"/>
  <c r="K341" i="4"/>
  <c r="M469" i="4"/>
  <c r="L469" i="4"/>
  <c r="K469" i="4"/>
  <c r="P33" i="4"/>
  <c r="O48" i="4"/>
  <c r="S286" i="4"/>
  <c r="S222" i="4"/>
  <c r="S190" i="4"/>
  <c r="AO190" i="4"/>
  <c r="AP190" i="4"/>
  <c r="AQ190" i="4"/>
  <c r="AK190" i="4"/>
  <c r="AJ190" i="4"/>
  <c r="M989" i="4"/>
  <c r="L989" i="4"/>
  <c r="K989" i="4"/>
  <c r="M973" i="4"/>
  <c r="L973" i="4"/>
  <c r="K973" i="4"/>
  <c r="M957" i="4"/>
  <c r="L957" i="4"/>
  <c r="K957" i="4"/>
  <c r="M941" i="4"/>
  <c r="L941" i="4"/>
  <c r="K941" i="4"/>
  <c r="M925" i="4"/>
  <c r="L925" i="4"/>
  <c r="K925" i="4"/>
  <c r="M909" i="4"/>
  <c r="L909" i="4"/>
  <c r="K909" i="4"/>
  <c r="M893" i="4"/>
  <c r="L893" i="4"/>
  <c r="K893" i="4"/>
  <c r="M877" i="4"/>
  <c r="L877" i="4"/>
  <c r="K877" i="4"/>
  <c r="M861" i="4"/>
  <c r="L861" i="4"/>
  <c r="K861" i="4"/>
  <c r="M845" i="4"/>
  <c r="L845" i="4"/>
  <c r="K845" i="4"/>
  <c r="M829" i="4"/>
  <c r="L829" i="4"/>
  <c r="K829" i="4"/>
  <c r="M813" i="4"/>
  <c r="L813" i="4"/>
  <c r="K813" i="4"/>
  <c r="M797" i="4"/>
  <c r="L797" i="4"/>
  <c r="K797" i="4"/>
  <c r="M781" i="4"/>
  <c r="L781" i="4"/>
  <c r="K781" i="4"/>
  <c r="M765" i="4"/>
  <c r="L765" i="4"/>
  <c r="K765" i="4"/>
  <c r="M749" i="4"/>
  <c r="L749" i="4"/>
  <c r="K749" i="4"/>
  <c r="M733" i="4"/>
  <c r="L733" i="4"/>
  <c r="K733" i="4"/>
  <c r="M717" i="4"/>
  <c r="L717" i="4"/>
  <c r="K717" i="4"/>
  <c r="M701" i="4"/>
  <c r="L701" i="4"/>
  <c r="K701" i="4"/>
  <c r="M685" i="4"/>
  <c r="L685" i="4"/>
  <c r="K685" i="4"/>
  <c r="M669" i="4"/>
  <c r="L669" i="4"/>
  <c r="K669" i="4"/>
  <c r="M653" i="4"/>
  <c r="L653" i="4"/>
  <c r="K653" i="4"/>
  <c r="M637" i="4"/>
  <c r="L637" i="4"/>
  <c r="K637" i="4"/>
  <c r="M621" i="4"/>
  <c r="L621" i="4"/>
  <c r="K621" i="4"/>
  <c r="M605" i="4"/>
  <c r="L605" i="4"/>
  <c r="K605" i="4"/>
  <c r="S593" i="4"/>
  <c r="M589" i="4"/>
  <c r="L589" i="4"/>
  <c r="K589" i="4"/>
  <c r="M573" i="4"/>
  <c r="L573" i="4"/>
  <c r="K573" i="4"/>
  <c r="R565" i="4"/>
  <c r="M557" i="4"/>
  <c r="L557" i="4"/>
  <c r="K557" i="4"/>
  <c r="R549" i="4"/>
  <c r="M541" i="4"/>
  <c r="L541" i="4"/>
  <c r="K541" i="4"/>
  <c r="R533" i="4"/>
  <c r="M525" i="4"/>
  <c r="L525" i="4"/>
  <c r="K525" i="4"/>
  <c r="R517" i="4"/>
  <c r="S513" i="4"/>
  <c r="M509" i="4"/>
  <c r="L509" i="4"/>
  <c r="K509" i="4"/>
  <c r="R501" i="4"/>
  <c r="S497" i="4"/>
  <c r="M493" i="4"/>
  <c r="L493" i="4"/>
  <c r="K493" i="4"/>
  <c r="R485" i="4"/>
  <c r="S481" i="4"/>
  <c r="S463" i="4"/>
  <c r="S235" i="4"/>
  <c r="S571" i="4"/>
  <c r="R571" i="4"/>
  <c r="R487" i="4"/>
  <c r="S487" i="4"/>
  <c r="S483" i="4"/>
  <c r="R483" i="4"/>
  <c r="S479" i="4"/>
  <c r="R479" i="4"/>
  <c r="S475" i="4"/>
  <c r="R475" i="4"/>
  <c r="S471" i="4"/>
  <c r="R471" i="4"/>
  <c r="R467" i="4"/>
  <c r="S467" i="4"/>
  <c r="S457" i="4"/>
  <c r="R457" i="4"/>
  <c r="S449" i="4"/>
  <c r="R449" i="4"/>
  <c r="S445" i="4"/>
  <c r="R445" i="4"/>
  <c r="S441" i="4"/>
  <c r="R441" i="4"/>
  <c r="S433" i="4"/>
  <c r="R433" i="4"/>
  <c r="S429" i="4"/>
  <c r="R429" i="4"/>
  <c r="S312" i="4"/>
  <c r="S300" i="4"/>
  <c r="R288" i="4"/>
  <c r="S245" i="4"/>
  <c r="R238" i="4"/>
  <c r="R220" i="4"/>
  <c r="S195" i="4"/>
  <c r="S191" i="4"/>
  <c r="R170" i="4"/>
  <c r="R152" i="4"/>
  <c r="R150" i="4"/>
  <c r="R138" i="4"/>
  <c r="S117" i="4"/>
  <c r="S111" i="4"/>
  <c r="R110" i="4"/>
  <c r="S105" i="4"/>
  <c r="S99" i="4"/>
  <c r="R98" i="4"/>
  <c r="R96" i="4"/>
  <c r="S85" i="4"/>
  <c r="S79" i="4"/>
  <c r="R78" i="4"/>
  <c r="S73" i="4"/>
  <c r="S67" i="4"/>
  <c r="R66" i="4"/>
  <c r="R64" i="4"/>
  <c r="S53" i="4"/>
  <c r="S931" i="4"/>
  <c r="R931" i="4"/>
  <c r="R727" i="4"/>
  <c r="S727" i="4"/>
  <c r="S382" i="4"/>
  <c r="R382" i="4"/>
  <c r="S375" i="4"/>
  <c r="R375" i="4"/>
  <c r="S350" i="4"/>
  <c r="R350" i="4"/>
  <c r="S343" i="4"/>
  <c r="R343" i="4"/>
  <c r="S317" i="4"/>
  <c r="R317" i="4"/>
  <c r="S301" i="4"/>
  <c r="R301" i="4"/>
  <c r="R270" i="4"/>
  <c r="R268" i="4"/>
  <c r="R262" i="4"/>
  <c r="R260" i="4"/>
  <c r="R188" i="4"/>
  <c r="R122" i="4"/>
  <c r="R14" i="4"/>
  <c r="S23" i="4"/>
  <c r="S27" i="4"/>
  <c r="S17" i="4"/>
  <c r="S43" i="4"/>
  <c r="R46" i="4"/>
  <c r="S35" i="4"/>
  <c r="R42" i="4"/>
  <c r="R32" i="4"/>
  <c r="R312" i="4"/>
  <c r="R105" i="4"/>
  <c r="R73" i="4"/>
  <c r="R17" i="4"/>
  <c r="AQ303" i="4"/>
  <c r="Q303" i="4" s="1"/>
  <c r="AJ303" i="4"/>
  <c r="O303" i="4" s="1"/>
  <c r="AO281" i="4"/>
  <c r="AK281" i="4"/>
  <c r="AJ281" i="4"/>
  <c r="AQ281" i="4"/>
  <c r="AP281" i="4"/>
  <c r="Q281" i="4" s="1"/>
  <c r="AL281" i="4"/>
  <c r="AO193" i="4"/>
  <c r="AQ193" i="4"/>
  <c r="AJ193" i="4"/>
  <c r="AL193" i="4"/>
  <c r="AP193" i="4"/>
  <c r="Q193" i="4" s="1"/>
  <c r="AK193" i="4"/>
  <c r="AO182" i="4"/>
  <c r="AQ182" i="4"/>
  <c r="AK182" i="4"/>
  <c r="AP182" i="4"/>
  <c r="AJ182" i="4"/>
  <c r="M990" i="4"/>
  <c r="L990" i="4"/>
  <c r="K990" i="4"/>
  <c r="M974" i="4"/>
  <c r="L974" i="4"/>
  <c r="K974" i="4"/>
  <c r="M958" i="4"/>
  <c r="L958" i="4"/>
  <c r="K958" i="4"/>
  <c r="M942" i="4"/>
  <c r="L942" i="4"/>
  <c r="K942" i="4"/>
  <c r="M926" i="4"/>
  <c r="L926" i="4"/>
  <c r="K926" i="4"/>
  <c r="M910" i="4"/>
  <c r="L910" i="4"/>
  <c r="K910" i="4"/>
  <c r="M894" i="4"/>
  <c r="L894" i="4"/>
  <c r="K894" i="4"/>
  <c r="M878" i="4"/>
  <c r="L878" i="4"/>
  <c r="K878" i="4"/>
  <c r="M862" i="4"/>
  <c r="L862" i="4"/>
  <c r="K862" i="4"/>
  <c r="M846" i="4"/>
  <c r="L846" i="4"/>
  <c r="K846" i="4"/>
  <c r="M830" i="4"/>
  <c r="L830" i="4"/>
  <c r="K830" i="4"/>
  <c r="M814" i="4"/>
  <c r="L814" i="4"/>
  <c r="K814" i="4"/>
  <c r="M798" i="4"/>
  <c r="L798" i="4"/>
  <c r="K798" i="4"/>
  <c r="M782" i="4"/>
  <c r="L782" i="4"/>
  <c r="K782" i="4"/>
  <c r="M766" i="4"/>
  <c r="L766" i="4"/>
  <c r="K766" i="4"/>
  <c r="M750" i="4"/>
  <c r="L750" i="4"/>
  <c r="K750" i="4"/>
  <c r="M734" i="4"/>
  <c r="L734" i="4"/>
  <c r="K734" i="4"/>
  <c r="M718" i="4"/>
  <c r="L718" i="4"/>
  <c r="K718" i="4"/>
  <c r="M702" i="4"/>
  <c r="L702" i="4"/>
  <c r="K702" i="4"/>
  <c r="M686" i="4"/>
  <c r="L686" i="4"/>
  <c r="K686" i="4"/>
  <c r="M670" i="4"/>
  <c r="L670" i="4"/>
  <c r="K670" i="4"/>
  <c r="M654" i="4"/>
  <c r="L654" i="4"/>
  <c r="K654" i="4"/>
  <c r="M638" i="4"/>
  <c r="L638" i="4"/>
  <c r="K638" i="4"/>
  <c r="M622" i="4"/>
  <c r="L622" i="4"/>
  <c r="K622" i="4"/>
  <c r="M606" i="4"/>
  <c r="L606" i="4"/>
  <c r="K606" i="4"/>
  <c r="M590" i="4"/>
  <c r="L590" i="4"/>
  <c r="K590" i="4"/>
  <c r="M574" i="4"/>
  <c r="L574" i="4"/>
  <c r="K574" i="4"/>
  <c r="M558" i="4"/>
  <c r="L558" i="4"/>
  <c r="K558" i="4"/>
  <c r="M542" i="4"/>
  <c r="L542" i="4"/>
  <c r="K542" i="4"/>
  <c r="M526" i="4"/>
  <c r="L526" i="4"/>
  <c r="K526" i="4"/>
  <c r="M510" i="4"/>
  <c r="L510" i="4"/>
  <c r="K510" i="4"/>
  <c r="M494" i="4"/>
  <c r="L494" i="4"/>
  <c r="K494" i="4"/>
  <c r="M478" i="4"/>
  <c r="L478" i="4"/>
  <c r="K478" i="4"/>
  <c r="M387" i="4"/>
  <c r="L387" i="4"/>
  <c r="K387" i="4"/>
  <c r="M320" i="4"/>
  <c r="L320" i="4"/>
  <c r="K320" i="4"/>
  <c r="M325" i="4"/>
  <c r="L325" i="4"/>
  <c r="K325" i="4"/>
  <c r="R357" i="4"/>
  <c r="M389" i="4"/>
  <c r="L389" i="4"/>
  <c r="K389" i="4"/>
  <c r="M453" i="4"/>
  <c r="L453" i="4"/>
  <c r="K453" i="4"/>
  <c r="M327" i="4"/>
  <c r="L327" i="4"/>
  <c r="K327" i="4"/>
  <c r="M443" i="4"/>
  <c r="L443" i="4"/>
  <c r="K443" i="4"/>
  <c r="M400" i="4"/>
  <c r="L400" i="4"/>
  <c r="K400" i="4"/>
  <c r="M468" i="4"/>
  <c r="L468" i="4"/>
  <c r="K468" i="4"/>
  <c r="R338" i="4"/>
  <c r="M370" i="4"/>
  <c r="L370" i="4"/>
  <c r="K370" i="4"/>
  <c r="R402" i="4"/>
  <c r="M434" i="4"/>
  <c r="L434" i="4"/>
  <c r="K434" i="4"/>
  <c r="AP16" i="4"/>
  <c r="Q16" i="4" s="1"/>
  <c r="AK16" i="4"/>
  <c r="S292" i="4"/>
  <c r="S268" i="4"/>
  <c r="S260" i="4"/>
  <c r="S252" i="4"/>
  <c r="S220" i="4"/>
  <c r="S188" i="4"/>
  <c r="S68" i="4"/>
  <c r="AO194" i="4"/>
  <c r="AP194" i="4"/>
  <c r="Q194" i="4" s="1"/>
  <c r="AQ194" i="4"/>
  <c r="M993" i="4"/>
  <c r="L993" i="4"/>
  <c r="K993" i="4"/>
  <c r="M977" i="4"/>
  <c r="L977" i="4"/>
  <c r="K977" i="4"/>
  <c r="M961" i="4"/>
  <c r="L961" i="4"/>
  <c r="K961" i="4"/>
  <c r="M945" i="4"/>
  <c r="L945" i="4"/>
  <c r="K945" i="4"/>
  <c r="M929" i="4"/>
  <c r="L929" i="4"/>
  <c r="K929" i="4"/>
  <c r="M913" i="4"/>
  <c r="L913" i="4"/>
  <c r="K913" i="4"/>
  <c r="M897" i="4"/>
  <c r="L897" i="4"/>
  <c r="K897" i="4"/>
  <c r="M881" i="4"/>
  <c r="L881" i="4"/>
  <c r="K881" i="4"/>
  <c r="M865" i="4"/>
  <c r="L865" i="4"/>
  <c r="K865" i="4"/>
  <c r="M849" i="4"/>
  <c r="L849" i="4"/>
  <c r="K849" i="4"/>
  <c r="M833" i="4"/>
  <c r="L833" i="4"/>
  <c r="K833" i="4"/>
  <c r="M817" i="4"/>
  <c r="L817" i="4"/>
  <c r="K817" i="4"/>
  <c r="M801" i="4"/>
  <c r="L801" i="4"/>
  <c r="K801" i="4"/>
  <c r="M785" i="4"/>
  <c r="L785" i="4"/>
  <c r="K785" i="4"/>
  <c r="M769" i="4"/>
  <c r="L769" i="4"/>
  <c r="K769" i="4"/>
  <c r="M753" i="4"/>
  <c r="L753" i="4"/>
  <c r="K753" i="4"/>
  <c r="M737" i="4"/>
  <c r="L737" i="4"/>
  <c r="K737" i="4"/>
  <c r="M721" i="4"/>
  <c r="L721" i="4"/>
  <c r="K721" i="4"/>
  <c r="M705" i="4"/>
  <c r="L705" i="4"/>
  <c r="K705" i="4"/>
  <c r="M689" i="4"/>
  <c r="L689" i="4"/>
  <c r="K689" i="4"/>
  <c r="M673" i="4"/>
  <c r="L673" i="4"/>
  <c r="K673" i="4"/>
  <c r="M657" i="4"/>
  <c r="L657" i="4"/>
  <c r="K657" i="4"/>
  <c r="M641" i="4"/>
  <c r="L641" i="4"/>
  <c r="K641" i="4"/>
  <c r="M625" i="4"/>
  <c r="L625" i="4"/>
  <c r="K625" i="4"/>
  <c r="M609" i="4"/>
  <c r="L609" i="4"/>
  <c r="K609" i="4"/>
  <c r="M593" i="4"/>
  <c r="L593" i="4"/>
  <c r="K593" i="4"/>
  <c r="M577" i="4"/>
  <c r="L577" i="4"/>
  <c r="K577" i="4"/>
  <c r="M561" i="4"/>
  <c r="L561" i="4"/>
  <c r="K561" i="4"/>
  <c r="M545" i="4"/>
  <c r="L545" i="4"/>
  <c r="K545" i="4"/>
  <c r="M529" i="4"/>
  <c r="L529" i="4"/>
  <c r="K529" i="4"/>
  <c r="R521" i="4"/>
  <c r="M513" i="4"/>
  <c r="L513" i="4"/>
  <c r="K513" i="4"/>
  <c r="R505" i="4"/>
  <c r="M497" i="4"/>
  <c r="L497" i="4"/>
  <c r="K497" i="4"/>
  <c r="R489" i="4"/>
  <c r="M481" i="4"/>
  <c r="L481" i="4"/>
  <c r="K481" i="4"/>
  <c r="M473" i="4"/>
  <c r="L473" i="4"/>
  <c r="K473" i="4"/>
  <c r="S491" i="4"/>
  <c r="S515" i="4"/>
  <c r="R515" i="4"/>
  <c r="S511" i="4"/>
  <c r="R511" i="4"/>
  <c r="S507" i="4"/>
  <c r="R507" i="4"/>
  <c r="R503" i="4"/>
  <c r="S503" i="4"/>
  <c r="S499" i="4"/>
  <c r="R499" i="4"/>
  <c r="S495" i="4"/>
  <c r="R495" i="4"/>
  <c r="R477" i="4"/>
  <c r="S473" i="4"/>
  <c r="S465" i="4"/>
  <c r="R465" i="4"/>
  <c r="S461" i="4"/>
  <c r="R461" i="4"/>
  <c r="R363" i="4"/>
  <c r="S363" i="4"/>
  <c r="S316" i="4"/>
  <c r="S304" i="4"/>
  <c r="R254" i="4"/>
  <c r="R236" i="4"/>
  <c r="S211" i="4"/>
  <c r="S197" i="4"/>
  <c r="S183" i="4"/>
  <c r="R160" i="4"/>
  <c r="R158" i="4"/>
  <c r="R146" i="4"/>
  <c r="R128" i="4"/>
  <c r="R126" i="4"/>
  <c r="S109" i="4"/>
  <c r="S103" i="4"/>
  <c r="R102" i="4"/>
  <c r="R100" i="4"/>
  <c r="S97" i="4"/>
  <c r="R90" i="4"/>
  <c r="S77" i="4"/>
  <c r="S71" i="4"/>
  <c r="R70" i="4"/>
  <c r="S65" i="4"/>
  <c r="R58" i="4"/>
  <c r="R10" i="4"/>
  <c r="R908" i="4"/>
  <c r="S908" i="4"/>
  <c r="S348" i="4"/>
  <c r="R348" i="4"/>
  <c r="S305" i="4"/>
  <c r="R305" i="4"/>
  <c r="S289" i="4"/>
  <c r="S273" i="4"/>
  <c r="S255" i="4"/>
  <c r="R248" i="4"/>
  <c r="R234" i="4"/>
  <c r="S225" i="4"/>
  <c r="S223" i="4"/>
  <c r="R216" i="4"/>
  <c r="R202" i="4"/>
  <c r="R192" i="4"/>
  <c r="S19" i="4"/>
  <c r="R28" i="4"/>
  <c r="S39" i="4"/>
  <c r="R40" i="4"/>
  <c r="Q11" i="4"/>
  <c r="S13" i="4"/>
  <c r="R30" i="4"/>
  <c r="R16" i="4"/>
  <c r="R22" i="4"/>
  <c r="S45" i="4"/>
  <c r="R38" i="4"/>
  <c r="O306" i="4"/>
  <c r="P306" i="4"/>
  <c r="R255" i="4"/>
  <c r="R223" i="4"/>
  <c r="R191" i="4"/>
  <c r="R183" i="4"/>
  <c r="R111" i="4"/>
  <c r="R103" i="4"/>
  <c r="R79" i="4"/>
  <c r="R71" i="4"/>
  <c r="R47" i="4"/>
  <c r="R39" i="4"/>
  <c r="R31" i="4"/>
  <c r="R23" i="4"/>
  <c r="AJ307" i="4"/>
  <c r="O307" i="4" s="1"/>
  <c r="AQ307" i="4"/>
  <c r="Q307" i="4" s="1"/>
  <c r="AO277" i="4"/>
  <c r="AK277" i="4"/>
  <c r="AP277" i="4"/>
  <c r="Q277" i="4" s="1"/>
  <c r="AJ277" i="4"/>
  <c r="AQ277" i="4"/>
  <c r="AO189" i="4"/>
  <c r="AK189" i="4"/>
  <c r="AQ189" i="4"/>
  <c r="AP189" i="4"/>
  <c r="Q189" i="4" s="1"/>
  <c r="AJ189" i="4"/>
  <c r="M994" i="4"/>
  <c r="L994" i="4"/>
  <c r="K994" i="4"/>
  <c r="M978" i="4"/>
  <c r="L978" i="4"/>
  <c r="K978" i="4"/>
  <c r="R970" i="4"/>
  <c r="M962" i="4"/>
  <c r="L962" i="4"/>
  <c r="K962" i="4"/>
  <c r="M946" i="4"/>
  <c r="L946" i="4"/>
  <c r="K946" i="4"/>
  <c r="M930" i="4"/>
  <c r="L930" i="4"/>
  <c r="K930" i="4"/>
  <c r="M914" i="4"/>
  <c r="L914" i="4"/>
  <c r="K914" i="4"/>
  <c r="R906" i="4"/>
  <c r="M898" i="4"/>
  <c r="L898" i="4"/>
  <c r="K898" i="4"/>
  <c r="M882" i="4"/>
  <c r="L882" i="4"/>
  <c r="K882" i="4"/>
  <c r="M866" i="4"/>
  <c r="L866" i="4"/>
  <c r="K866" i="4"/>
  <c r="M850" i="4"/>
  <c r="L850" i="4"/>
  <c r="K850" i="4"/>
  <c r="M834" i="4"/>
  <c r="L834" i="4"/>
  <c r="K834" i="4"/>
  <c r="M818" i="4"/>
  <c r="L818" i="4"/>
  <c r="K818" i="4"/>
  <c r="M802" i="4"/>
  <c r="L802" i="4"/>
  <c r="K802" i="4"/>
  <c r="M786" i="4"/>
  <c r="L786" i="4"/>
  <c r="K786" i="4"/>
  <c r="M770" i="4"/>
  <c r="L770" i="4"/>
  <c r="K770" i="4"/>
  <c r="M754" i="4"/>
  <c r="L754" i="4"/>
  <c r="K754" i="4"/>
  <c r="M738" i="4"/>
  <c r="L738" i="4"/>
  <c r="K738" i="4"/>
  <c r="M722" i="4"/>
  <c r="L722" i="4"/>
  <c r="K722" i="4"/>
  <c r="R714" i="4"/>
  <c r="M706" i="4"/>
  <c r="L706" i="4"/>
  <c r="K706" i="4"/>
  <c r="M690" i="4"/>
  <c r="L690" i="4"/>
  <c r="K690" i="4"/>
  <c r="M674" i="4"/>
  <c r="L674" i="4"/>
  <c r="K674" i="4"/>
  <c r="M658" i="4"/>
  <c r="L658" i="4"/>
  <c r="K658" i="4"/>
  <c r="M642" i="4"/>
  <c r="L642" i="4"/>
  <c r="K642" i="4"/>
  <c r="M626" i="4"/>
  <c r="L626" i="4"/>
  <c r="K626" i="4"/>
  <c r="M610" i="4"/>
  <c r="L610" i="4"/>
  <c r="K610" i="4"/>
  <c r="M594" i="4"/>
  <c r="L594" i="4"/>
  <c r="K594" i="4"/>
  <c r="M578" i="4"/>
  <c r="L578" i="4"/>
  <c r="K578" i="4"/>
  <c r="M562" i="4"/>
  <c r="L562" i="4"/>
  <c r="K562" i="4"/>
  <c r="M546" i="4"/>
  <c r="L546" i="4"/>
  <c r="K546" i="4"/>
  <c r="M530" i="4"/>
  <c r="L530" i="4"/>
  <c r="K530" i="4"/>
  <c r="M514" i="4"/>
  <c r="L514" i="4"/>
  <c r="K514" i="4"/>
  <c r="M498" i="4"/>
  <c r="L498" i="4"/>
  <c r="K498" i="4"/>
  <c r="M482" i="4"/>
  <c r="L482" i="4"/>
  <c r="K482" i="4"/>
  <c r="M351" i="4"/>
  <c r="L351" i="4"/>
  <c r="K351" i="4"/>
  <c r="R419" i="4"/>
  <c r="M309" i="4"/>
  <c r="L309" i="4"/>
  <c r="K309" i="4"/>
  <c r="M373" i="4"/>
  <c r="L373" i="4"/>
  <c r="K373" i="4"/>
  <c r="M437" i="4"/>
  <c r="L437" i="4"/>
  <c r="K437" i="4"/>
  <c r="R469" i="4"/>
  <c r="M415" i="4"/>
  <c r="L415" i="4"/>
  <c r="K415" i="4"/>
  <c r="M380" i="4"/>
  <c r="L380" i="4"/>
  <c r="K380" i="4"/>
  <c r="M448" i="4"/>
  <c r="L448" i="4"/>
  <c r="K448" i="4"/>
  <c r="R322" i="4"/>
  <c r="M354" i="4"/>
  <c r="L354" i="4"/>
  <c r="K354" i="4"/>
  <c r="R386" i="4"/>
  <c r="M418" i="4"/>
  <c r="L418" i="4"/>
  <c r="K418" i="4"/>
  <c r="S234" i="4"/>
  <c r="S202" i="4"/>
  <c r="S170" i="4"/>
  <c r="S154" i="4"/>
  <c r="S146" i="4"/>
  <c r="S138" i="4"/>
  <c r="S122" i="4"/>
  <c r="S114" i="4"/>
  <c r="S98" i="4"/>
  <c r="S90" i="4"/>
  <c r="S66" i="4"/>
  <c r="S58" i="4"/>
  <c r="S42" i="4"/>
  <c r="S10" i="4"/>
  <c r="M997" i="4"/>
  <c r="L997" i="4"/>
  <c r="K997" i="4"/>
  <c r="M981" i="4"/>
  <c r="L981" i="4"/>
  <c r="K981" i="4"/>
  <c r="M965" i="4"/>
  <c r="L965" i="4"/>
  <c r="K965" i="4"/>
  <c r="M949" i="4"/>
  <c r="L949" i="4"/>
  <c r="K949" i="4"/>
  <c r="M933" i="4"/>
  <c r="L933" i="4"/>
  <c r="K933" i="4"/>
  <c r="M917" i="4"/>
  <c r="L917" i="4"/>
  <c r="K917" i="4"/>
  <c r="M901" i="4"/>
  <c r="L901" i="4"/>
  <c r="K901" i="4"/>
  <c r="M885" i="4"/>
  <c r="L885" i="4"/>
  <c r="K885" i="4"/>
  <c r="M869" i="4"/>
  <c r="L869" i="4"/>
  <c r="K869" i="4"/>
  <c r="M853" i="4"/>
  <c r="L853" i="4"/>
  <c r="K853" i="4"/>
  <c r="M837" i="4"/>
  <c r="L837" i="4"/>
  <c r="K837" i="4"/>
  <c r="M821" i="4"/>
  <c r="L821" i="4"/>
  <c r="K821" i="4"/>
  <c r="M805" i="4"/>
  <c r="L805" i="4"/>
  <c r="K805" i="4"/>
  <c r="M789" i="4"/>
  <c r="L789" i="4"/>
  <c r="K789" i="4"/>
  <c r="M773" i="4"/>
  <c r="L773" i="4"/>
  <c r="K773" i="4"/>
  <c r="M757" i="4"/>
  <c r="L757" i="4"/>
  <c r="K757" i="4"/>
  <c r="M741" i="4"/>
  <c r="L741" i="4"/>
  <c r="K741" i="4"/>
  <c r="M725" i="4"/>
  <c r="L725" i="4"/>
  <c r="K725" i="4"/>
  <c r="R717" i="4"/>
  <c r="M709" i="4"/>
  <c r="L709" i="4"/>
  <c r="K709" i="4"/>
  <c r="M693" i="4"/>
  <c r="L693" i="4"/>
  <c r="K693" i="4"/>
  <c r="M677" i="4"/>
  <c r="L677" i="4"/>
  <c r="K677" i="4"/>
  <c r="M661" i="4"/>
  <c r="L661" i="4"/>
  <c r="K661" i="4"/>
  <c r="M645" i="4"/>
  <c r="L645" i="4"/>
  <c r="K645" i="4"/>
  <c r="M629" i="4"/>
  <c r="L629" i="4"/>
  <c r="K629" i="4"/>
  <c r="M613" i="4"/>
  <c r="L613" i="4"/>
  <c r="K613" i="4"/>
  <c r="M597" i="4"/>
  <c r="L597" i="4"/>
  <c r="K597" i="4"/>
  <c r="M581" i="4"/>
  <c r="L581" i="4"/>
  <c r="K581" i="4"/>
  <c r="M565" i="4"/>
  <c r="L565" i="4"/>
  <c r="K565" i="4"/>
  <c r="R557" i="4"/>
  <c r="M549" i="4"/>
  <c r="L549" i="4"/>
  <c r="K549" i="4"/>
  <c r="R541" i="4"/>
  <c r="M533" i="4"/>
  <c r="L533" i="4"/>
  <c r="K533" i="4"/>
  <c r="R525" i="4"/>
  <c r="M517" i="4"/>
  <c r="L517" i="4"/>
  <c r="K517" i="4"/>
  <c r="R509" i="4"/>
  <c r="M501" i="4"/>
  <c r="L501" i="4"/>
  <c r="K501" i="4"/>
  <c r="R493" i="4"/>
  <c r="S477" i="4"/>
  <c r="S283" i="4"/>
  <c r="S527" i="4"/>
  <c r="R527" i="4"/>
  <c r="S523" i="4"/>
  <c r="R523" i="4"/>
  <c r="S423" i="4"/>
  <c r="R423" i="4"/>
  <c r="S411" i="4"/>
  <c r="R411" i="4"/>
  <c r="S384" i="4"/>
  <c r="R384" i="4"/>
  <c r="S368" i="4"/>
  <c r="R368" i="4"/>
  <c r="S352" i="4"/>
  <c r="R352" i="4"/>
  <c r="R336" i="4"/>
  <c r="S336" i="4"/>
  <c r="S285" i="4"/>
  <c r="S275" i="4"/>
  <c r="S227" i="4"/>
  <c r="S213" i="4"/>
  <c r="R206" i="4"/>
  <c r="R168" i="4"/>
  <c r="R136" i="4"/>
  <c r="S119" i="4"/>
  <c r="S115" i="4"/>
  <c r="R112" i="4"/>
  <c r="S101" i="4"/>
  <c r="S95" i="4"/>
  <c r="R94" i="4"/>
  <c r="S89" i="4"/>
  <c r="S83" i="4"/>
  <c r="R82" i="4"/>
  <c r="R80" i="4"/>
  <c r="S69" i="4"/>
  <c r="S63" i="4"/>
  <c r="R62" i="4"/>
  <c r="S57" i="4"/>
  <c r="S51" i="4"/>
  <c r="R50" i="4"/>
  <c r="R972" i="4"/>
  <c r="S972" i="4"/>
  <c r="S398" i="4"/>
  <c r="R398" i="4"/>
  <c r="S391" i="4"/>
  <c r="R391" i="4"/>
  <c r="S366" i="4"/>
  <c r="R366" i="4"/>
  <c r="S359" i="4"/>
  <c r="S334" i="4"/>
  <c r="R334" i="4"/>
  <c r="S293" i="4"/>
  <c r="S265" i="4"/>
  <c r="S257" i="4"/>
  <c r="R180" i="4"/>
  <c r="R24" i="4"/>
  <c r="S9" i="4"/>
  <c r="S7" i="4"/>
  <c r="R12" i="4"/>
  <c r="S25" i="4"/>
  <c r="S49" i="4"/>
  <c r="R44" i="4"/>
  <c r="P12" i="4"/>
  <c r="O12" i="4"/>
  <c r="R304" i="4"/>
  <c r="R293" i="4"/>
  <c r="R285" i="4"/>
  <c r="R245" i="4"/>
  <c r="R213" i="4"/>
  <c r="R197" i="4"/>
  <c r="R117" i="4"/>
  <c r="R109" i="4"/>
  <c r="R101" i="4"/>
  <c r="R85" i="4"/>
  <c r="R77" i="4"/>
  <c r="R69" i="4"/>
  <c r="R53" i="4"/>
  <c r="R45" i="4"/>
  <c r="R37" i="4"/>
  <c r="R29" i="4"/>
  <c r="R21" i="4"/>
  <c r="R13" i="4"/>
  <c r="AO315" i="4"/>
  <c r="AP315" i="4"/>
  <c r="AK315" i="4"/>
  <c r="AQ315" i="4"/>
  <c r="AJ315" i="4"/>
  <c r="AL315" i="4"/>
  <c r="AP284" i="4"/>
  <c r="Q284" i="4" s="1"/>
  <c r="AK284" i="4"/>
  <c r="AO264" i="4"/>
  <c r="AK264" i="4"/>
  <c r="AQ264" i="4"/>
  <c r="AP264" i="4"/>
  <c r="AJ264" i="4"/>
  <c r="AO231" i="4"/>
  <c r="AQ231" i="4"/>
  <c r="AK231" i="4"/>
  <c r="AJ231" i="4"/>
  <c r="AP231" i="4"/>
  <c r="M998" i="4"/>
  <c r="L998" i="4"/>
  <c r="K998" i="4"/>
  <c r="M982" i="4"/>
  <c r="L982" i="4"/>
  <c r="K982" i="4"/>
  <c r="M966" i="4"/>
  <c r="L966" i="4"/>
  <c r="K966" i="4"/>
  <c r="M950" i="4"/>
  <c r="L950" i="4"/>
  <c r="K950" i="4"/>
  <c r="M934" i="4"/>
  <c r="L934" i="4"/>
  <c r="K934" i="4"/>
  <c r="M918" i="4"/>
  <c r="L918" i="4"/>
  <c r="K918" i="4"/>
  <c r="M902" i="4"/>
  <c r="L902" i="4"/>
  <c r="K902" i="4"/>
  <c r="M886" i="4"/>
  <c r="L886" i="4"/>
  <c r="K886" i="4"/>
  <c r="M870" i="4"/>
  <c r="L870" i="4"/>
  <c r="K870" i="4"/>
  <c r="M854" i="4"/>
  <c r="L854" i="4"/>
  <c r="K854" i="4"/>
  <c r="M838" i="4"/>
  <c r="L838" i="4"/>
  <c r="K838" i="4"/>
  <c r="M822" i="4"/>
  <c r="L822" i="4"/>
  <c r="K822" i="4"/>
  <c r="M806" i="4"/>
  <c r="L806" i="4"/>
  <c r="K806" i="4"/>
  <c r="M790" i="4"/>
  <c r="L790" i="4"/>
  <c r="K790" i="4"/>
  <c r="M774" i="4"/>
  <c r="L774" i="4"/>
  <c r="K774" i="4"/>
  <c r="M758" i="4"/>
  <c r="L758" i="4"/>
  <c r="K758" i="4"/>
  <c r="M742" i="4"/>
  <c r="L742" i="4"/>
  <c r="K742" i="4"/>
  <c r="M726" i="4"/>
  <c r="L726" i="4"/>
  <c r="K726" i="4"/>
  <c r="M710" i="4"/>
  <c r="L710" i="4"/>
  <c r="K710" i="4"/>
  <c r="M694" i="4"/>
  <c r="L694" i="4"/>
  <c r="K694" i="4"/>
  <c r="M678" i="4"/>
  <c r="L678" i="4"/>
  <c r="K678" i="4"/>
  <c r="M662" i="4"/>
  <c r="L662" i="4"/>
  <c r="K662" i="4"/>
  <c r="M646" i="4"/>
  <c r="L646" i="4"/>
  <c r="K646" i="4"/>
  <c r="M630" i="4"/>
  <c r="L630" i="4"/>
  <c r="K630" i="4"/>
  <c r="M614" i="4"/>
  <c r="L614" i="4"/>
  <c r="K614" i="4"/>
  <c r="M598" i="4"/>
  <c r="L598" i="4"/>
  <c r="K598" i="4"/>
  <c r="M582" i="4"/>
  <c r="L582" i="4"/>
  <c r="K582" i="4"/>
  <c r="M566" i="4"/>
  <c r="L566" i="4"/>
  <c r="K566" i="4"/>
  <c r="M550" i="4"/>
  <c r="L550" i="4"/>
  <c r="K550" i="4"/>
  <c r="M534" i="4"/>
  <c r="L534" i="4"/>
  <c r="K534" i="4"/>
  <c r="M518" i="4"/>
  <c r="L518" i="4"/>
  <c r="K518" i="4"/>
  <c r="M502" i="4"/>
  <c r="L502" i="4"/>
  <c r="K502" i="4"/>
  <c r="M486" i="4"/>
  <c r="L486" i="4"/>
  <c r="K486" i="4"/>
  <c r="M315" i="4"/>
  <c r="L315" i="4"/>
  <c r="K315" i="4"/>
  <c r="M455" i="4"/>
  <c r="L455" i="4"/>
  <c r="K455" i="4"/>
  <c r="M472" i="4"/>
  <c r="L472" i="4"/>
  <c r="K472" i="4"/>
  <c r="M357" i="4"/>
  <c r="L357" i="4"/>
  <c r="K357" i="4"/>
  <c r="M421" i="4"/>
  <c r="L421" i="4"/>
  <c r="K421" i="4"/>
  <c r="M383" i="4"/>
  <c r="L383" i="4"/>
  <c r="K383" i="4"/>
  <c r="M360" i="4"/>
  <c r="L360" i="4"/>
  <c r="K360" i="4"/>
  <c r="M432" i="4"/>
  <c r="L432" i="4"/>
  <c r="K432" i="4"/>
  <c r="M338" i="4"/>
  <c r="L338" i="4"/>
  <c r="K338" i="4"/>
  <c r="M402" i="4"/>
  <c r="L402" i="4"/>
  <c r="K402" i="4"/>
  <c r="M466" i="4"/>
  <c r="L466" i="4"/>
  <c r="K466" i="4"/>
  <c r="S288" i="4"/>
  <c r="S248" i="4"/>
  <c r="S216" i="4"/>
  <c r="S192" i="4"/>
  <c r="S168" i="4"/>
  <c r="S160" i="4"/>
  <c r="S152" i="4"/>
  <c r="S136" i="4"/>
  <c r="S128" i="4"/>
  <c r="S112" i="4"/>
  <c r="S96" i="4"/>
  <c r="S88" i="4"/>
  <c r="S80" i="4"/>
  <c r="S64" i="4"/>
  <c r="S56" i="4"/>
  <c r="S40" i="4"/>
  <c r="S32" i="4"/>
  <c r="S24" i="4"/>
  <c r="S16" i="4"/>
  <c r="M1001" i="4"/>
  <c r="L1001" i="4"/>
  <c r="K1001" i="4"/>
  <c r="M985" i="4"/>
  <c r="L985" i="4"/>
  <c r="K985" i="4"/>
  <c r="M969" i="4"/>
  <c r="L969" i="4"/>
  <c r="K969" i="4"/>
  <c r="M953" i="4"/>
  <c r="L953" i="4"/>
  <c r="K953" i="4"/>
  <c r="M937" i="4"/>
  <c r="L937" i="4"/>
  <c r="K937" i="4"/>
  <c r="M921" i="4"/>
  <c r="L921" i="4"/>
  <c r="K921" i="4"/>
  <c r="M905" i="4"/>
  <c r="L905" i="4"/>
  <c r="K905" i="4"/>
  <c r="M889" i="4"/>
  <c r="L889" i="4"/>
  <c r="K889" i="4"/>
  <c r="M873" i="4"/>
  <c r="L873" i="4"/>
  <c r="K873" i="4"/>
  <c r="M857" i="4"/>
  <c r="L857" i="4"/>
  <c r="K857" i="4"/>
  <c r="M841" i="4"/>
  <c r="L841" i="4"/>
  <c r="K841" i="4"/>
  <c r="M825" i="4"/>
  <c r="L825" i="4"/>
  <c r="K825" i="4"/>
  <c r="M809" i="4"/>
  <c r="L809" i="4"/>
  <c r="K809" i="4"/>
  <c r="M793" i="4"/>
  <c r="L793" i="4"/>
  <c r="K793" i="4"/>
  <c r="M777" i="4"/>
  <c r="L777" i="4"/>
  <c r="K777" i="4"/>
  <c r="M761" i="4"/>
  <c r="L761" i="4"/>
  <c r="K761" i="4"/>
  <c r="M745" i="4"/>
  <c r="L745" i="4"/>
  <c r="K745" i="4"/>
  <c r="M729" i="4"/>
  <c r="L729" i="4"/>
  <c r="K729" i="4"/>
  <c r="M713" i="4"/>
  <c r="L713" i="4"/>
  <c r="K713" i="4"/>
  <c r="M697" i="4"/>
  <c r="L697" i="4"/>
  <c r="K697" i="4"/>
  <c r="M681" i="4"/>
  <c r="L681" i="4"/>
  <c r="K681" i="4"/>
  <c r="M665" i="4"/>
  <c r="L665" i="4"/>
  <c r="K665" i="4"/>
  <c r="M649" i="4"/>
  <c r="L649" i="4"/>
  <c r="K649" i="4"/>
  <c r="M633" i="4"/>
  <c r="L633" i="4"/>
  <c r="K633" i="4"/>
  <c r="M617" i="4"/>
  <c r="L617" i="4"/>
  <c r="K617" i="4"/>
  <c r="M601" i="4"/>
  <c r="L601" i="4"/>
  <c r="K601" i="4"/>
  <c r="M585" i="4"/>
  <c r="L585" i="4"/>
  <c r="K585" i="4"/>
  <c r="M569" i="4"/>
  <c r="L569" i="4"/>
  <c r="K569" i="4"/>
  <c r="M553" i="4"/>
  <c r="L553" i="4"/>
  <c r="K553" i="4"/>
  <c r="M537" i="4"/>
  <c r="L537" i="4"/>
  <c r="K537" i="4"/>
  <c r="M521" i="4"/>
  <c r="L521" i="4"/>
  <c r="K521" i="4"/>
  <c r="M505" i="4"/>
  <c r="L505" i="4"/>
  <c r="K505" i="4"/>
  <c r="M489" i="4"/>
  <c r="L489" i="4"/>
  <c r="K489" i="4"/>
  <c r="M477" i="4"/>
  <c r="L477" i="4"/>
  <c r="K477" i="4"/>
  <c r="M359" i="4"/>
  <c r="L359" i="4"/>
  <c r="K359" i="4"/>
  <c r="M431" i="4"/>
  <c r="L431" i="4"/>
  <c r="K431" i="4"/>
  <c r="S5" i="4"/>
  <c r="M323" i="4"/>
  <c r="L323" i="4"/>
  <c r="K323" i="4"/>
  <c r="M463" i="4"/>
  <c r="L463" i="4"/>
  <c r="K463" i="4"/>
  <c r="M361" i="4"/>
  <c r="L361" i="4"/>
  <c r="K361" i="4"/>
  <c r="M425" i="4"/>
  <c r="L425" i="4"/>
  <c r="K425" i="4"/>
  <c r="M391" i="4"/>
  <c r="L391" i="4"/>
  <c r="K391" i="4"/>
  <c r="M364" i="4"/>
  <c r="L364" i="4"/>
  <c r="K364" i="4"/>
  <c r="M436" i="4"/>
  <c r="L436" i="4"/>
  <c r="K436" i="4"/>
  <c r="M326" i="4"/>
  <c r="L326" i="4"/>
  <c r="K326" i="4"/>
  <c r="M390" i="4"/>
  <c r="L390" i="4"/>
  <c r="K390" i="4"/>
  <c r="M454" i="4"/>
  <c r="L454" i="4"/>
  <c r="K454" i="4"/>
  <c r="AO212" i="4"/>
  <c r="AJ212" i="4"/>
  <c r="AP212" i="4"/>
  <c r="Q212" i="4" s="1"/>
  <c r="AQ212" i="4"/>
  <c r="AK212" i="4"/>
  <c r="AO171" i="4"/>
  <c r="AJ171" i="4"/>
  <c r="AK171" i="4"/>
  <c r="AP171" i="4"/>
  <c r="Q171" i="4" s="1"/>
  <c r="AQ171" i="4"/>
  <c r="M1000" i="4"/>
  <c r="L1000" i="4"/>
  <c r="K1000" i="4"/>
  <c r="M984" i="4"/>
  <c r="L984" i="4"/>
  <c r="K984" i="4"/>
  <c r="M968" i="4"/>
  <c r="L968" i="4"/>
  <c r="K968" i="4"/>
  <c r="M952" i="4"/>
  <c r="L952" i="4"/>
  <c r="K952" i="4"/>
  <c r="M936" i="4"/>
  <c r="L936" i="4"/>
  <c r="K936" i="4"/>
  <c r="M920" i="4"/>
  <c r="L920" i="4"/>
  <c r="K920" i="4"/>
  <c r="M904" i="4"/>
  <c r="L904" i="4"/>
  <c r="K904" i="4"/>
  <c r="M888" i="4"/>
  <c r="L888" i="4"/>
  <c r="K888" i="4"/>
  <c r="M872" i="4"/>
  <c r="L872" i="4"/>
  <c r="K872" i="4"/>
  <c r="M856" i="4"/>
  <c r="L856" i="4"/>
  <c r="K856" i="4"/>
  <c r="M840" i="4"/>
  <c r="L840" i="4"/>
  <c r="K840" i="4"/>
  <c r="M824" i="4"/>
  <c r="L824" i="4"/>
  <c r="K824" i="4"/>
  <c r="M808" i="4"/>
  <c r="L808" i="4"/>
  <c r="K808" i="4"/>
  <c r="M792" i="4"/>
  <c r="L792" i="4"/>
  <c r="K792" i="4"/>
  <c r="M776" i="4"/>
  <c r="L776" i="4"/>
  <c r="K776" i="4"/>
  <c r="M760" i="4"/>
  <c r="L760" i="4"/>
  <c r="K760" i="4"/>
  <c r="M744" i="4"/>
  <c r="L744" i="4"/>
  <c r="K744" i="4"/>
  <c r="M728" i="4"/>
  <c r="L728" i="4"/>
  <c r="K728" i="4"/>
  <c r="M712" i="4"/>
  <c r="L712" i="4"/>
  <c r="K712" i="4"/>
  <c r="M696" i="4"/>
  <c r="L696" i="4"/>
  <c r="K696" i="4"/>
  <c r="M680" i="4"/>
  <c r="L680" i="4"/>
  <c r="K680" i="4"/>
  <c r="M664" i="4"/>
  <c r="L664" i="4"/>
  <c r="K664" i="4"/>
  <c r="M648" i="4"/>
  <c r="L648" i="4"/>
  <c r="K648" i="4"/>
  <c r="M632" i="4"/>
  <c r="L632" i="4"/>
  <c r="K632" i="4"/>
  <c r="M616" i="4"/>
  <c r="L616" i="4"/>
  <c r="K616" i="4"/>
  <c r="M600" i="4"/>
  <c r="L600" i="4"/>
  <c r="K600" i="4"/>
  <c r="M584" i="4"/>
  <c r="L584" i="4"/>
  <c r="K584" i="4"/>
  <c r="M568" i="4"/>
  <c r="L568" i="4"/>
  <c r="K568" i="4"/>
  <c r="M552" i="4"/>
  <c r="L552" i="4"/>
  <c r="K552" i="4"/>
  <c r="M536" i="4"/>
  <c r="L536" i="4"/>
  <c r="K536" i="4"/>
  <c r="M520" i="4"/>
  <c r="L520" i="4"/>
  <c r="K520" i="4"/>
  <c r="M504" i="4"/>
  <c r="L504" i="4"/>
  <c r="K504" i="4"/>
  <c r="M488" i="4"/>
  <c r="L488" i="4"/>
  <c r="K488" i="4"/>
  <c r="M299" i="4"/>
  <c r="L299" i="4"/>
  <c r="K299" i="4"/>
  <c r="M439" i="4"/>
  <c r="L439" i="4"/>
  <c r="K439" i="4"/>
  <c r="M301" i="4"/>
  <c r="L301" i="4"/>
  <c r="K301" i="4"/>
  <c r="M365" i="4"/>
  <c r="L365" i="4"/>
  <c r="K365" i="4"/>
  <c r="M429" i="4"/>
  <c r="L429" i="4"/>
  <c r="K429" i="4"/>
  <c r="M399" i="4"/>
  <c r="L399" i="4"/>
  <c r="K399" i="4"/>
  <c r="M372" i="4"/>
  <c r="L372" i="4"/>
  <c r="K372" i="4"/>
  <c r="M440" i="4"/>
  <c r="L440" i="4"/>
  <c r="K440" i="4"/>
  <c r="M330" i="4"/>
  <c r="L330" i="4"/>
  <c r="K330" i="4"/>
  <c r="M394" i="4"/>
  <c r="L394" i="4"/>
  <c r="K394" i="4"/>
  <c r="M458" i="4"/>
  <c r="L458" i="4"/>
  <c r="K458" i="4"/>
  <c r="AL28" i="4"/>
  <c r="AK28" i="4"/>
  <c r="M417" i="4"/>
  <c r="L417" i="4"/>
  <c r="K417" i="4"/>
  <c r="M428" i="4"/>
  <c r="L428" i="4"/>
  <c r="K428" i="4"/>
  <c r="M334" i="4"/>
  <c r="L334" i="4"/>
  <c r="K334" i="4"/>
  <c r="M462" i="4"/>
  <c r="L462" i="4"/>
  <c r="K462" i="4"/>
  <c r="M995" i="4"/>
  <c r="L995" i="4"/>
  <c r="K995" i="4"/>
  <c r="M979" i="4"/>
  <c r="L979" i="4"/>
  <c r="K979" i="4"/>
  <c r="M963" i="4"/>
  <c r="L963" i="4"/>
  <c r="K963" i="4"/>
  <c r="M947" i="4"/>
  <c r="L947" i="4"/>
  <c r="K947" i="4"/>
  <c r="M931" i="4"/>
  <c r="L931" i="4"/>
  <c r="K931" i="4"/>
  <c r="M915" i="4"/>
  <c r="L915" i="4"/>
  <c r="K915" i="4"/>
  <c r="M899" i="4"/>
  <c r="L899" i="4"/>
  <c r="K899" i="4"/>
  <c r="M883" i="4"/>
  <c r="L883" i="4"/>
  <c r="K883" i="4"/>
  <c r="M867" i="4"/>
  <c r="L867" i="4"/>
  <c r="K867" i="4"/>
  <c r="M851" i="4"/>
  <c r="L851" i="4"/>
  <c r="K851" i="4"/>
  <c r="M835" i="4"/>
  <c r="L835" i="4"/>
  <c r="K835" i="4"/>
  <c r="M819" i="4"/>
  <c r="L819" i="4"/>
  <c r="K819" i="4"/>
  <c r="M803" i="4"/>
  <c r="L803" i="4"/>
  <c r="K803" i="4"/>
  <c r="M787" i="4"/>
  <c r="L787" i="4"/>
  <c r="K787" i="4"/>
  <c r="M771" i="4"/>
  <c r="L771" i="4"/>
  <c r="K771" i="4"/>
  <c r="M755" i="4"/>
  <c r="L755" i="4"/>
  <c r="K755" i="4"/>
  <c r="M739" i="4"/>
  <c r="L739" i="4"/>
  <c r="K739" i="4"/>
  <c r="M723" i="4"/>
  <c r="L723" i="4"/>
  <c r="K723" i="4"/>
  <c r="M707" i="4"/>
  <c r="L707" i="4"/>
  <c r="K707" i="4"/>
  <c r="M691" i="4"/>
  <c r="L691" i="4"/>
  <c r="K691" i="4"/>
  <c r="M675" i="4"/>
  <c r="L675" i="4"/>
  <c r="K675" i="4"/>
  <c r="M659" i="4"/>
  <c r="L659" i="4"/>
  <c r="K659" i="4"/>
  <c r="M643" i="4"/>
  <c r="L643" i="4"/>
  <c r="K643" i="4"/>
  <c r="M627" i="4"/>
  <c r="L627" i="4"/>
  <c r="K627" i="4"/>
  <c r="M611" i="4"/>
  <c r="L611" i="4"/>
  <c r="K611" i="4"/>
  <c r="M595" i="4"/>
  <c r="L595" i="4"/>
  <c r="K595" i="4"/>
  <c r="M579" i="4"/>
  <c r="L579" i="4"/>
  <c r="K579" i="4"/>
  <c r="M563" i="4"/>
  <c r="L563" i="4"/>
  <c r="K563" i="4"/>
  <c r="M547" i="4"/>
  <c r="L547" i="4"/>
  <c r="K547" i="4"/>
  <c r="M531" i="4"/>
  <c r="L531" i="4"/>
  <c r="K531" i="4"/>
  <c r="M515" i="4"/>
  <c r="L515" i="4"/>
  <c r="K515" i="4"/>
  <c r="M499" i="4"/>
  <c r="L499" i="4"/>
  <c r="K499" i="4"/>
  <c r="R491" i="4"/>
  <c r="M483" i="4"/>
  <c r="L483" i="4"/>
  <c r="K483" i="4"/>
  <c r="M343" i="4"/>
  <c r="L343" i="4"/>
  <c r="K343" i="4"/>
  <c r="M305" i="4"/>
  <c r="L305" i="4"/>
  <c r="K305" i="4"/>
  <c r="M433" i="4"/>
  <c r="L433" i="4"/>
  <c r="K433" i="4"/>
  <c r="M324" i="4"/>
  <c r="L324" i="4"/>
  <c r="K324" i="4"/>
  <c r="M350" i="4"/>
  <c r="L350" i="4"/>
  <c r="K350" i="4"/>
  <c r="M345" i="4"/>
  <c r="L345" i="4"/>
  <c r="K345" i="4"/>
  <c r="M409" i="4"/>
  <c r="L409" i="4"/>
  <c r="K409" i="4"/>
  <c r="M363" i="4"/>
  <c r="L363" i="4"/>
  <c r="K363" i="4"/>
  <c r="M336" i="4"/>
  <c r="L336" i="4"/>
  <c r="K336" i="4"/>
  <c r="M420" i="4"/>
  <c r="L420" i="4"/>
  <c r="K420" i="4"/>
  <c r="M374" i="4"/>
  <c r="L374" i="4"/>
  <c r="K374" i="4"/>
  <c r="M438" i="4"/>
  <c r="L438" i="4"/>
  <c r="K438" i="4"/>
  <c r="AO204" i="4"/>
  <c r="AP204" i="4"/>
  <c r="Q204" i="4" s="1"/>
  <c r="AK204" i="4"/>
  <c r="AQ204" i="4"/>
  <c r="AJ204" i="4"/>
  <c r="AO177" i="4"/>
  <c r="AK177" i="4"/>
  <c r="AJ177" i="4"/>
  <c r="AQ177" i="4"/>
  <c r="AP177" i="4"/>
  <c r="Q177" i="4" s="1"/>
  <c r="AO169" i="4"/>
  <c r="AK169" i="4"/>
  <c r="AP169" i="4"/>
  <c r="AJ169" i="4"/>
  <c r="AQ169" i="4"/>
  <c r="M988" i="4"/>
  <c r="L988" i="4"/>
  <c r="K988" i="4"/>
  <c r="M972" i="4"/>
  <c r="L972" i="4"/>
  <c r="K972" i="4"/>
  <c r="M956" i="4"/>
  <c r="L956" i="4"/>
  <c r="K956" i="4"/>
  <c r="M940" i="4"/>
  <c r="L940" i="4"/>
  <c r="K940" i="4"/>
  <c r="M924" i="4"/>
  <c r="L924" i="4"/>
  <c r="K924" i="4"/>
  <c r="M908" i="4"/>
  <c r="L908" i="4"/>
  <c r="K908" i="4"/>
  <c r="M892" i="4"/>
  <c r="L892" i="4"/>
  <c r="K892" i="4"/>
  <c r="M876" i="4"/>
  <c r="L876" i="4"/>
  <c r="K876" i="4"/>
  <c r="M860" i="4"/>
  <c r="L860" i="4"/>
  <c r="K860" i="4"/>
  <c r="M844" i="4"/>
  <c r="L844" i="4"/>
  <c r="K844" i="4"/>
  <c r="M828" i="4"/>
  <c r="L828" i="4"/>
  <c r="K828" i="4"/>
  <c r="M812" i="4"/>
  <c r="L812" i="4"/>
  <c r="K812" i="4"/>
  <c r="M796" i="4"/>
  <c r="L796" i="4"/>
  <c r="K796" i="4"/>
  <c r="M780" i="4"/>
  <c r="L780" i="4"/>
  <c r="K780" i="4"/>
  <c r="M764" i="4"/>
  <c r="L764" i="4"/>
  <c r="K764" i="4"/>
  <c r="M748" i="4"/>
  <c r="L748" i="4"/>
  <c r="K748" i="4"/>
  <c r="M732" i="4"/>
  <c r="L732" i="4"/>
  <c r="K732" i="4"/>
  <c r="M716" i="4"/>
  <c r="L716" i="4"/>
  <c r="K716" i="4"/>
  <c r="M700" i="4"/>
  <c r="L700" i="4"/>
  <c r="K700" i="4"/>
  <c r="M684" i="4"/>
  <c r="L684" i="4"/>
  <c r="K684" i="4"/>
  <c r="M668" i="4"/>
  <c r="L668" i="4"/>
  <c r="K668" i="4"/>
  <c r="M652" i="4"/>
  <c r="L652" i="4"/>
  <c r="K652" i="4"/>
  <c r="M636" i="4"/>
  <c r="L636" i="4"/>
  <c r="K636" i="4"/>
  <c r="M620" i="4"/>
  <c r="L620" i="4"/>
  <c r="K620" i="4"/>
  <c r="M604" i="4"/>
  <c r="L604" i="4"/>
  <c r="K604" i="4"/>
  <c r="M588" i="4"/>
  <c r="L588" i="4"/>
  <c r="K588" i="4"/>
  <c r="M572" i="4"/>
  <c r="L572" i="4"/>
  <c r="K572" i="4"/>
  <c r="M556" i="4"/>
  <c r="L556" i="4"/>
  <c r="K556" i="4"/>
  <c r="M540" i="4"/>
  <c r="L540" i="4"/>
  <c r="K540" i="4"/>
  <c r="M524" i="4"/>
  <c r="L524" i="4"/>
  <c r="K524" i="4"/>
  <c r="M508" i="4"/>
  <c r="L508" i="4"/>
  <c r="K508" i="4"/>
  <c r="M492" i="4"/>
  <c r="L492" i="4"/>
  <c r="K492" i="4"/>
  <c r="M476" i="4"/>
  <c r="L476" i="4"/>
  <c r="K476" i="4"/>
  <c r="M403" i="4"/>
  <c r="L403" i="4"/>
  <c r="K403" i="4"/>
  <c r="M392" i="4"/>
  <c r="L392" i="4"/>
  <c r="K392" i="4"/>
  <c r="M349" i="4"/>
  <c r="L349" i="4"/>
  <c r="K349" i="4"/>
  <c r="M413" i="4"/>
  <c r="L413" i="4"/>
  <c r="K413" i="4"/>
  <c r="M371" i="4"/>
  <c r="L371" i="4"/>
  <c r="K371" i="4"/>
  <c r="M344" i="4"/>
  <c r="L344" i="4"/>
  <c r="K344" i="4"/>
  <c r="M424" i="4"/>
  <c r="L424" i="4"/>
  <c r="K424" i="4"/>
  <c r="M378" i="4"/>
  <c r="L378" i="4"/>
  <c r="K378" i="4"/>
  <c r="M442" i="4"/>
  <c r="L442" i="4"/>
  <c r="K442" i="4"/>
  <c r="M385" i="4"/>
  <c r="L385" i="4"/>
  <c r="K385" i="4"/>
  <c r="M435" i="4"/>
  <c r="L435" i="4"/>
  <c r="K435" i="4"/>
  <c r="M396" i="4"/>
  <c r="L396" i="4"/>
  <c r="K396" i="4"/>
  <c r="M430" i="4"/>
  <c r="L430" i="4"/>
  <c r="K430" i="4"/>
  <c r="AO199" i="4"/>
  <c r="AK199" i="4"/>
  <c r="AL199" i="4"/>
  <c r="AP199" i="4"/>
  <c r="AJ199" i="4"/>
  <c r="AQ199" i="4"/>
  <c r="M999" i="4"/>
  <c r="L999" i="4"/>
  <c r="K999" i="4"/>
  <c r="M983" i="4"/>
  <c r="L983" i="4"/>
  <c r="K983" i="4"/>
  <c r="M967" i="4"/>
  <c r="L967" i="4"/>
  <c r="K967" i="4"/>
  <c r="M951" i="4"/>
  <c r="L951" i="4"/>
  <c r="K951" i="4"/>
  <c r="M935" i="4"/>
  <c r="L935" i="4"/>
  <c r="K935" i="4"/>
  <c r="M919" i="4"/>
  <c r="L919" i="4"/>
  <c r="K919" i="4"/>
  <c r="M903" i="4"/>
  <c r="L903" i="4"/>
  <c r="K903" i="4"/>
  <c r="M887" i="4"/>
  <c r="L887" i="4"/>
  <c r="K887" i="4"/>
  <c r="M871" i="4"/>
  <c r="L871" i="4"/>
  <c r="K871" i="4"/>
  <c r="M855" i="4"/>
  <c r="L855" i="4"/>
  <c r="K855" i="4"/>
  <c r="M839" i="4"/>
  <c r="L839" i="4"/>
  <c r="K839" i="4"/>
  <c r="M823" i="4"/>
  <c r="L823" i="4"/>
  <c r="K823" i="4"/>
  <c r="M807" i="4"/>
  <c r="L807" i="4"/>
  <c r="K807" i="4"/>
  <c r="M791" i="4"/>
  <c r="L791" i="4"/>
  <c r="K791" i="4"/>
  <c r="M775" i="4"/>
  <c r="L775" i="4"/>
  <c r="K775" i="4"/>
  <c r="M759" i="4"/>
  <c r="L759" i="4"/>
  <c r="K759" i="4"/>
  <c r="M743" i="4"/>
  <c r="L743" i="4"/>
  <c r="K743" i="4"/>
  <c r="M727" i="4"/>
  <c r="L727" i="4"/>
  <c r="K727" i="4"/>
  <c r="M711" i="4"/>
  <c r="L711" i="4"/>
  <c r="K711" i="4"/>
  <c r="M695" i="4"/>
  <c r="L695" i="4"/>
  <c r="K695" i="4"/>
  <c r="M679" i="4"/>
  <c r="L679" i="4"/>
  <c r="K679" i="4"/>
  <c r="M663" i="4"/>
  <c r="L663" i="4"/>
  <c r="K663" i="4"/>
  <c r="M647" i="4"/>
  <c r="L647" i="4"/>
  <c r="K647" i="4"/>
  <c r="M631" i="4"/>
  <c r="L631" i="4"/>
  <c r="K631" i="4"/>
  <c r="M615" i="4"/>
  <c r="L615" i="4"/>
  <c r="K615" i="4"/>
  <c r="M599" i="4"/>
  <c r="L599" i="4"/>
  <c r="K599" i="4"/>
  <c r="M583" i="4"/>
  <c r="L583" i="4"/>
  <c r="K583" i="4"/>
  <c r="M567" i="4"/>
  <c r="L567" i="4"/>
  <c r="K567" i="4"/>
  <c r="M551" i="4"/>
  <c r="L551" i="4"/>
  <c r="K551" i="4"/>
  <c r="M535" i="4"/>
  <c r="L535" i="4"/>
  <c r="K535" i="4"/>
  <c r="M519" i="4"/>
  <c r="L519" i="4"/>
  <c r="K519" i="4"/>
  <c r="M503" i="4"/>
  <c r="L503" i="4"/>
  <c r="K503" i="4"/>
  <c r="M487" i="4"/>
  <c r="L487" i="4"/>
  <c r="K487" i="4"/>
  <c r="M307" i="4"/>
  <c r="L307" i="4"/>
  <c r="K307" i="4"/>
  <c r="M447" i="4"/>
  <c r="L447" i="4"/>
  <c r="K447" i="4"/>
  <c r="M464" i="4"/>
  <c r="L464" i="4"/>
  <c r="K464" i="4"/>
  <c r="M401" i="4"/>
  <c r="L401" i="4"/>
  <c r="K401" i="4"/>
  <c r="M467" i="4"/>
  <c r="L467" i="4"/>
  <c r="K467" i="4"/>
  <c r="M444" i="4"/>
  <c r="L444" i="4"/>
  <c r="K444" i="4"/>
  <c r="M446" i="4"/>
  <c r="L446" i="4"/>
  <c r="K446" i="4"/>
  <c r="M485" i="4"/>
  <c r="L485" i="4"/>
  <c r="K485" i="4"/>
  <c r="M395" i="4"/>
  <c r="L395" i="4"/>
  <c r="K395" i="4"/>
  <c r="M368" i="4"/>
  <c r="L368" i="4"/>
  <c r="K368" i="4"/>
  <c r="M329" i="4"/>
  <c r="L329" i="4"/>
  <c r="K329" i="4"/>
  <c r="M393" i="4"/>
  <c r="L393" i="4"/>
  <c r="K393" i="4"/>
  <c r="M457" i="4"/>
  <c r="L457" i="4"/>
  <c r="K457" i="4"/>
  <c r="M331" i="4"/>
  <c r="L331" i="4"/>
  <c r="K331" i="4"/>
  <c r="M451" i="4"/>
  <c r="L451" i="4"/>
  <c r="K451" i="4"/>
  <c r="M404" i="4"/>
  <c r="L404" i="4"/>
  <c r="K404" i="4"/>
  <c r="M358" i="4"/>
  <c r="L358" i="4"/>
  <c r="K358" i="4"/>
  <c r="M422" i="4"/>
  <c r="L422" i="4"/>
  <c r="K422" i="4"/>
  <c r="AP287" i="4"/>
  <c r="Q287" i="4" s="1"/>
  <c r="AK287" i="4"/>
  <c r="AO196" i="4"/>
  <c r="AP196" i="4"/>
  <c r="AQ196" i="4"/>
  <c r="AJ196" i="4"/>
  <c r="AK196" i="4"/>
  <c r="AO175" i="4"/>
  <c r="AJ175" i="4"/>
  <c r="AK175" i="4"/>
  <c r="AP175" i="4"/>
  <c r="Q175" i="4" s="1"/>
  <c r="AQ175" i="4"/>
  <c r="M992" i="4"/>
  <c r="L992" i="4"/>
  <c r="K992" i="4"/>
  <c r="M976" i="4"/>
  <c r="L976" i="4"/>
  <c r="K976" i="4"/>
  <c r="M960" i="4"/>
  <c r="L960" i="4"/>
  <c r="K960" i="4"/>
  <c r="M944" i="4"/>
  <c r="L944" i="4"/>
  <c r="K944" i="4"/>
  <c r="M928" i="4"/>
  <c r="L928" i="4"/>
  <c r="K928" i="4"/>
  <c r="M912" i="4"/>
  <c r="L912" i="4"/>
  <c r="K912" i="4"/>
  <c r="M896" i="4"/>
  <c r="L896" i="4"/>
  <c r="K896" i="4"/>
  <c r="M880" i="4"/>
  <c r="L880" i="4"/>
  <c r="K880" i="4"/>
  <c r="M864" i="4"/>
  <c r="L864" i="4"/>
  <c r="K864" i="4"/>
  <c r="M848" i="4"/>
  <c r="L848" i="4"/>
  <c r="K848" i="4"/>
  <c r="M832" i="4"/>
  <c r="L832" i="4"/>
  <c r="K832" i="4"/>
  <c r="M816" i="4"/>
  <c r="L816" i="4"/>
  <c r="K816" i="4"/>
  <c r="M800" i="4"/>
  <c r="L800" i="4"/>
  <c r="K800" i="4"/>
  <c r="M784" i="4"/>
  <c r="L784" i="4"/>
  <c r="K784" i="4"/>
  <c r="M768" i="4"/>
  <c r="L768" i="4"/>
  <c r="K768" i="4"/>
  <c r="M752" i="4"/>
  <c r="L752" i="4"/>
  <c r="K752" i="4"/>
  <c r="M736" i="4"/>
  <c r="L736" i="4"/>
  <c r="K736" i="4"/>
  <c r="M720" i="4"/>
  <c r="L720" i="4"/>
  <c r="K720" i="4"/>
  <c r="M704" i="4"/>
  <c r="L704" i="4"/>
  <c r="K704" i="4"/>
  <c r="M688" i="4"/>
  <c r="L688" i="4"/>
  <c r="K688" i="4"/>
  <c r="M672" i="4"/>
  <c r="L672" i="4"/>
  <c r="K672" i="4"/>
  <c r="M656" i="4"/>
  <c r="L656" i="4"/>
  <c r="K656" i="4"/>
  <c r="M640" i="4"/>
  <c r="L640" i="4"/>
  <c r="K640" i="4"/>
  <c r="M624" i="4"/>
  <c r="L624" i="4"/>
  <c r="K624" i="4"/>
  <c r="M608" i="4"/>
  <c r="L608" i="4"/>
  <c r="K608" i="4"/>
  <c r="M592" i="4"/>
  <c r="L592" i="4"/>
  <c r="K592" i="4"/>
  <c r="M576" i="4"/>
  <c r="L576" i="4"/>
  <c r="K576" i="4"/>
  <c r="M560" i="4"/>
  <c r="L560" i="4"/>
  <c r="K560" i="4"/>
  <c r="M544" i="4"/>
  <c r="L544" i="4"/>
  <c r="K544" i="4"/>
  <c r="M528" i="4"/>
  <c r="L528" i="4"/>
  <c r="K528" i="4"/>
  <c r="M512" i="4"/>
  <c r="L512" i="4"/>
  <c r="K512" i="4"/>
  <c r="M496" i="4"/>
  <c r="L496" i="4"/>
  <c r="K496" i="4"/>
  <c r="M480" i="4"/>
  <c r="L480" i="4"/>
  <c r="K480" i="4"/>
  <c r="M367" i="4"/>
  <c r="L367" i="4"/>
  <c r="K367" i="4"/>
  <c r="M340" i="4"/>
  <c r="L340" i="4"/>
  <c r="K340" i="4"/>
  <c r="M333" i="4"/>
  <c r="L333" i="4"/>
  <c r="K333" i="4"/>
  <c r="M397" i="4"/>
  <c r="L397" i="4"/>
  <c r="K397" i="4"/>
  <c r="M461" i="4"/>
  <c r="L461" i="4"/>
  <c r="K461" i="4"/>
  <c r="M339" i="4"/>
  <c r="L339" i="4"/>
  <c r="K339" i="4"/>
  <c r="M459" i="4"/>
  <c r="L459" i="4"/>
  <c r="K459" i="4"/>
  <c r="M408" i="4"/>
  <c r="L408" i="4"/>
  <c r="K408" i="4"/>
  <c r="M362" i="4"/>
  <c r="L362" i="4"/>
  <c r="K362" i="4"/>
  <c r="M426" i="4"/>
  <c r="L426" i="4"/>
  <c r="K426" i="4"/>
  <c r="M353" i="4"/>
  <c r="L353" i="4"/>
  <c r="K353" i="4"/>
  <c r="M465" i="4"/>
  <c r="L465" i="4"/>
  <c r="K465" i="4"/>
  <c r="M379" i="4"/>
  <c r="L379" i="4"/>
  <c r="K379" i="4"/>
  <c r="M352" i="4"/>
  <c r="L352" i="4"/>
  <c r="K352" i="4"/>
  <c r="M398" i="4"/>
  <c r="L398" i="4"/>
  <c r="K398" i="4"/>
  <c r="AQ178" i="4"/>
  <c r="AJ178" i="4"/>
  <c r="AP178" i="4"/>
  <c r="Q178" i="4" s="1"/>
  <c r="AK178" i="4"/>
  <c r="M987" i="4"/>
  <c r="L987" i="4"/>
  <c r="K987" i="4"/>
  <c r="M971" i="4"/>
  <c r="L971" i="4"/>
  <c r="K971" i="4"/>
  <c r="M955" i="4"/>
  <c r="L955" i="4"/>
  <c r="K955" i="4"/>
  <c r="M939" i="4"/>
  <c r="L939" i="4"/>
  <c r="K939" i="4"/>
  <c r="M923" i="4"/>
  <c r="L923" i="4"/>
  <c r="K923" i="4"/>
  <c r="M907" i="4"/>
  <c r="L907" i="4"/>
  <c r="K907" i="4"/>
  <c r="M891" i="4"/>
  <c r="L891" i="4"/>
  <c r="K891" i="4"/>
  <c r="M875" i="4"/>
  <c r="L875" i="4"/>
  <c r="K875" i="4"/>
  <c r="M859" i="4"/>
  <c r="L859" i="4"/>
  <c r="K859" i="4"/>
  <c r="M843" i="4"/>
  <c r="L843" i="4"/>
  <c r="K843" i="4"/>
  <c r="M827" i="4"/>
  <c r="L827" i="4"/>
  <c r="K827" i="4"/>
  <c r="M811" i="4"/>
  <c r="L811" i="4"/>
  <c r="K811" i="4"/>
  <c r="M795" i="4"/>
  <c r="L795" i="4"/>
  <c r="K795" i="4"/>
  <c r="M779" i="4"/>
  <c r="L779" i="4"/>
  <c r="K779" i="4"/>
  <c r="M763" i="4"/>
  <c r="L763" i="4"/>
  <c r="K763" i="4"/>
  <c r="M747" i="4"/>
  <c r="L747" i="4"/>
  <c r="K747" i="4"/>
  <c r="M731" i="4"/>
  <c r="L731" i="4"/>
  <c r="K731" i="4"/>
  <c r="M715" i="4"/>
  <c r="L715" i="4"/>
  <c r="K715" i="4"/>
  <c r="M699" i="4"/>
  <c r="L699" i="4"/>
  <c r="K699" i="4"/>
  <c r="M683" i="4"/>
  <c r="L683" i="4"/>
  <c r="K683" i="4"/>
  <c r="M667" i="4"/>
  <c r="L667" i="4"/>
  <c r="K667" i="4"/>
  <c r="M651" i="4"/>
  <c r="L651" i="4"/>
  <c r="K651" i="4"/>
  <c r="M635" i="4"/>
  <c r="L635" i="4"/>
  <c r="K635" i="4"/>
  <c r="M619" i="4"/>
  <c r="L619" i="4"/>
  <c r="K619" i="4"/>
  <c r="M603" i="4"/>
  <c r="L603" i="4"/>
  <c r="K603" i="4"/>
  <c r="M587" i="4"/>
  <c r="L587" i="4"/>
  <c r="K587" i="4"/>
  <c r="M571" i="4"/>
  <c r="L571" i="4"/>
  <c r="K571" i="4"/>
  <c r="M555" i="4"/>
  <c r="L555" i="4"/>
  <c r="K555" i="4"/>
  <c r="M539" i="4"/>
  <c r="L539" i="4"/>
  <c r="K539" i="4"/>
  <c r="M523" i="4"/>
  <c r="L523" i="4"/>
  <c r="K523" i="4"/>
  <c r="M507" i="4"/>
  <c r="L507" i="4"/>
  <c r="K507" i="4"/>
  <c r="M491" i="4"/>
  <c r="L491" i="4"/>
  <c r="K491" i="4"/>
  <c r="M475" i="4"/>
  <c r="L475" i="4"/>
  <c r="K475" i="4"/>
  <c r="M411" i="4"/>
  <c r="L411" i="4"/>
  <c r="K411" i="4"/>
  <c r="M348" i="4"/>
  <c r="L348" i="4"/>
  <c r="K348" i="4"/>
  <c r="M369" i="4"/>
  <c r="L369" i="4"/>
  <c r="K369" i="4"/>
  <c r="M407" i="4"/>
  <c r="L407" i="4"/>
  <c r="K407" i="4"/>
  <c r="M412" i="4"/>
  <c r="L412" i="4"/>
  <c r="K412" i="4"/>
  <c r="M414" i="4"/>
  <c r="L414" i="4"/>
  <c r="K414" i="4"/>
  <c r="M328" i="4"/>
  <c r="L328" i="4"/>
  <c r="K328" i="4"/>
  <c r="M313" i="4"/>
  <c r="L313" i="4"/>
  <c r="K313" i="4"/>
  <c r="M377" i="4"/>
  <c r="L377" i="4"/>
  <c r="K377" i="4"/>
  <c r="M441" i="4"/>
  <c r="L441" i="4"/>
  <c r="K441" i="4"/>
  <c r="M303" i="4"/>
  <c r="L303" i="4"/>
  <c r="K303" i="4"/>
  <c r="M423" i="4"/>
  <c r="L423" i="4"/>
  <c r="K423" i="4"/>
  <c r="M384" i="4"/>
  <c r="L384" i="4"/>
  <c r="K384" i="4"/>
  <c r="M452" i="4"/>
  <c r="L452" i="4"/>
  <c r="K452" i="4"/>
  <c r="M342" i="4"/>
  <c r="L342" i="4"/>
  <c r="K342" i="4"/>
  <c r="M406" i="4"/>
  <c r="L406" i="4"/>
  <c r="K406" i="4"/>
  <c r="M470" i="4"/>
  <c r="L470" i="4"/>
  <c r="K470" i="4"/>
  <c r="AQ319" i="4"/>
  <c r="Q319" i="4" s="1"/>
  <c r="AK319" i="4"/>
  <c r="AJ291" i="4"/>
  <c r="O291" i="4" s="1"/>
  <c r="AQ291" i="4"/>
  <c r="Q291" i="4" s="1"/>
  <c r="AO173" i="4"/>
  <c r="AQ173" i="4"/>
  <c r="AL173" i="4"/>
  <c r="AK173" i="4"/>
  <c r="AJ173" i="4"/>
  <c r="AP173" i="4"/>
  <c r="M996" i="4"/>
  <c r="L996" i="4"/>
  <c r="K996" i="4"/>
  <c r="M980" i="4"/>
  <c r="L980" i="4"/>
  <c r="K980" i="4"/>
  <c r="M964" i="4"/>
  <c r="L964" i="4"/>
  <c r="K964" i="4"/>
  <c r="M948" i="4"/>
  <c r="L948" i="4"/>
  <c r="K948" i="4"/>
  <c r="M932" i="4"/>
  <c r="L932" i="4"/>
  <c r="K932" i="4"/>
  <c r="M916" i="4"/>
  <c r="L916" i="4"/>
  <c r="K916" i="4"/>
  <c r="M900" i="4"/>
  <c r="L900" i="4"/>
  <c r="K900" i="4"/>
  <c r="M884" i="4"/>
  <c r="L884" i="4"/>
  <c r="K884" i="4"/>
  <c r="M868" i="4"/>
  <c r="L868" i="4"/>
  <c r="K868" i="4"/>
  <c r="M852" i="4"/>
  <c r="L852" i="4"/>
  <c r="K852" i="4"/>
  <c r="M836" i="4"/>
  <c r="L836" i="4"/>
  <c r="K836" i="4"/>
  <c r="M820" i="4"/>
  <c r="L820" i="4"/>
  <c r="K820" i="4"/>
  <c r="M804" i="4"/>
  <c r="L804" i="4"/>
  <c r="K804" i="4"/>
  <c r="M788" i="4"/>
  <c r="L788" i="4"/>
  <c r="K788" i="4"/>
  <c r="M772" i="4"/>
  <c r="L772" i="4"/>
  <c r="K772" i="4"/>
  <c r="M756" i="4"/>
  <c r="L756" i="4"/>
  <c r="K756" i="4"/>
  <c r="M740" i="4"/>
  <c r="L740" i="4"/>
  <c r="K740" i="4"/>
  <c r="M724" i="4"/>
  <c r="L724" i="4"/>
  <c r="K724" i="4"/>
  <c r="M708" i="4"/>
  <c r="L708" i="4"/>
  <c r="K708" i="4"/>
  <c r="M692" i="4"/>
  <c r="L692" i="4"/>
  <c r="K692" i="4"/>
  <c r="M676" i="4"/>
  <c r="L676" i="4"/>
  <c r="K676" i="4"/>
  <c r="M660" i="4"/>
  <c r="L660" i="4"/>
  <c r="K660" i="4"/>
  <c r="M644" i="4"/>
  <c r="L644" i="4"/>
  <c r="K644" i="4"/>
  <c r="M628" i="4"/>
  <c r="L628" i="4"/>
  <c r="K628" i="4"/>
  <c r="M612" i="4"/>
  <c r="L612" i="4"/>
  <c r="K612" i="4"/>
  <c r="M596" i="4"/>
  <c r="L596" i="4"/>
  <c r="K596" i="4"/>
  <c r="M580" i="4"/>
  <c r="L580" i="4"/>
  <c r="K580" i="4"/>
  <c r="M564" i="4"/>
  <c r="L564" i="4"/>
  <c r="K564" i="4"/>
  <c r="M548" i="4"/>
  <c r="L548" i="4"/>
  <c r="K548" i="4"/>
  <c r="M532" i="4"/>
  <c r="L532" i="4"/>
  <c r="K532" i="4"/>
  <c r="M516" i="4"/>
  <c r="L516" i="4"/>
  <c r="K516" i="4"/>
  <c r="M500" i="4"/>
  <c r="L500" i="4"/>
  <c r="K500" i="4"/>
  <c r="M484" i="4"/>
  <c r="L484" i="4"/>
  <c r="K484" i="4"/>
  <c r="M335" i="4"/>
  <c r="L335" i="4"/>
  <c r="K335" i="4"/>
  <c r="M471" i="4"/>
  <c r="L471" i="4"/>
  <c r="K471" i="4"/>
  <c r="M317" i="4"/>
  <c r="L317" i="4"/>
  <c r="K317" i="4"/>
  <c r="M381" i="4"/>
  <c r="L381" i="4"/>
  <c r="K381" i="4"/>
  <c r="M445" i="4"/>
  <c r="L445" i="4"/>
  <c r="K445" i="4"/>
  <c r="M311" i="4"/>
  <c r="L311" i="4"/>
  <c r="K311" i="4"/>
  <c r="M427" i="4"/>
  <c r="L427" i="4"/>
  <c r="K427" i="4"/>
  <c r="M388" i="4"/>
  <c r="L388" i="4"/>
  <c r="K388" i="4"/>
  <c r="M456" i="4"/>
  <c r="L456" i="4"/>
  <c r="K456" i="4"/>
  <c r="M346" i="4"/>
  <c r="L346" i="4"/>
  <c r="K346" i="4"/>
  <c r="M410" i="4"/>
  <c r="L410" i="4"/>
  <c r="K410" i="4"/>
  <c r="M321" i="4"/>
  <c r="L321" i="4"/>
  <c r="K321" i="4"/>
  <c r="M449" i="4"/>
  <c r="L449" i="4"/>
  <c r="K449" i="4"/>
  <c r="M319" i="4"/>
  <c r="L319" i="4"/>
  <c r="K319" i="4"/>
  <c r="M460" i="4"/>
  <c r="L460" i="4"/>
  <c r="K460" i="4"/>
  <c r="M366" i="4"/>
  <c r="L366" i="4"/>
  <c r="K366" i="4"/>
  <c r="AO215" i="4"/>
  <c r="AK215" i="4"/>
  <c r="AP215" i="4"/>
  <c r="AQ215" i="4"/>
  <c r="AJ215" i="4"/>
  <c r="M991" i="4"/>
  <c r="L991" i="4"/>
  <c r="K991" i="4"/>
  <c r="M975" i="4"/>
  <c r="L975" i="4"/>
  <c r="K975" i="4"/>
  <c r="M959" i="4"/>
  <c r="L959" i="4"/>
  <c r="K959" i="4"/>
  <c r="M943" i="4"/>
  <c r="L943" i="4"/>
  <c r="K943" i="4"/>
  <c r="M927" i="4"/>
  <c r="L927" i="4"/>
  <c r="K927" i="4"/>
  <c r="M911" i="4"/>
  <c r="L911" i="4"/>
  <c r="K911" i="4"/>
  <c r="M895" i="4"/>
  <c r="L895" i="4"/>
  <c r="K895" i="4"/>
  <c r="M879" i="4"/>
  <c r="L879" i="4"/>
  <c r="K879" i="4"/>
  <c r="M863" i="4"/>
  <c r="L863" i="4"/>
  <c r="K863" i="4"/>
  <c r="M847" i="4"/>
  <c r="L847" i="4"/>
  <c r="K847" i="4"/>
  <c r="M831" i="4"/>
  <c r="L831" i="4"/>
  <c r="K831" i="4"/>
  <c r="M815" i="4"/>
  <c r="L815" i="4"/>
  <c r="K815" i="4"/>
  <c r="M799" i="4"/>
  <c r="L799" i="4"/>
  <c r="K799" i="4"/>
  <c r="M783" i="4"/>
  <c r="L783" i="4"/>
  <c r="K783" i="4"/>
  <c r="M767" i="4"/>
  <c r="L767" i="4"/>
  <c r="K767" i="4"/>
  <c r="M751" i="4"/>
  <c r="L751" i="4"/>
  <c r="K751" i="4"/>
  <c r="M735" i="4"/>
  <c r="L735" i="4"/>
  <c r="K735" i="4"/>
  <c r="M719" i="4"/>
  <c r="L719" i="4"/>
  <c r="K719" i="4"/>
  <c r="M703" i="4"/>
  <c r="L703" i="4"/>
  <c r="K703" i="4"/>
  <c r="M687" i="4"/>
  <c r="L687" i="4"/>
  <c r="K687" i="4"/>
  <c r="M671" i="4"/>
  <c r="L671" i="4"/>
  <c r="K671" i="4"/>
  <c r="M655" i="4"/>
  <c r="L655" i="4"/>
  <c r="K655" i="4"/>
  <c r="M639" i="4"/>
  <c r="L639" i="4"/>
  <c r="K639" i="4"/>
  <c r="M623" i="4"/>
  <c r="L623" i="4"/>
  <c r="K623" i="4"/>
  <c r="M607" i="4"/>
  <c r="L607" i="4"/>
  <c r="K607" i="4"/>
  <c r="M591" i="4"/>
  <c r="L591" i="4"/>
  <c r="K591" i="4"/>
  <c r="M575" i="4"/>
  <c r="L575" i="4"/>
  <c r="K575" i="4"/>
  <c r="M559" i="4"/>
  <c r="L559" i="4"/>
  <c r="K559" i="4"/>
  <c r="M543" i="4"/>
  <c r="L543" i="4"/>
  <c r="K543" i="4"/>
  <c r="M527" i="4"/>
  <c r="L527" i="4"/>
  <c r="K527" i="4"/>
  <c r="M511" i="4"/>
  <c r="L511" i="4"/>
  <c r="K511" i="4"/>
  <c r="M495" i="4"/>
  <c r="L495" i="4"/>
  <c r="K495" i="4"/>
  <c r="M479" i="4"/>
  <c r="L479" i="4"/>
  <c r="K479" i="4"/>
  <c r="M375" i="4"/>
  <c r="L375" i="4"/>
  <c r="K375" i="4"/>
  <c r="M337" i="4"/>
  <c r="L337" i="4"/>
  <c r="K337" i="4"/>
  <c r="M347" i="4"/>
  <c r="L347" i="4"/>
  <c r="K347" i="4"/>
  <c r="M376" i="4"/>
  <c r="L376" i="4"/>
  <c r="K376" i="4"/>
  <c r="M382" i="4"/>
  <c r="L382" i="4"/>
  <c r="K382" i="4"/>
  <c r="S4" i="4"/>
  <c r="D68" i="6"/>
  <c r="AO314" i="4"/>
  <c r="AK314" i="4"/>
  <c r="AP314" i="4"/>
  <c r="Q314" i="4" s="1"/>
  <c r="AQ314" i="4"/>
  <c r="AJ314" i="4"/>
  <c r="AO236" i="4"/>
  <c r="AP236" i="4"/>
  <c r="Q236" i="4" s="1"/>
  <c r="AQ236" i="4"/>
  <c r="AK236" i="4"/>
  <c r="AJ236" i="4"/>
  <c r="AO174" i="4"/>
  <c r="AK174" i="4"/>
  <c r="AP174" i="4"/>
  <c r="AQ174" i="4"/>
  <c r="AJ174" i="4"/>
  <c r="AO294" i="4"/>
  <c r="AP294" i="4"/>
  <c r="Q294" i="4" s="1"/>
  <c r="AJ294" i="4"/>
  <c r="AK294" i="4"/>
  <c r="AQ294" i="4"/>
  <c r="AO251" i="4"/>
  <c r="AP251" i="4"/>
  <c r="AJ251" i="4"/>
  <c r="AQ251" i="4"/>
  <c r="AK251" i="4"/>
  <c r="AP14" i="4"/>
  <c r="AK14" i="4"/>
  <c r="AJ14" i="4"/>
  <c r="BH19" i="10"/>
  <c r="AP9" i="4"/>
  <c r="Q9" i="4" s="1"/>
  <c r="AO24" i="4"/>
  <c r="Q24" i="4" s="1"/>
  <c r="AL31" i="4"/>
  <c r="AJ24" i="4"/>
  <c r="AL294" i="4"/>
  <c r="AO25" i="4"/>
  <c r="Q25" i="4" s="1"/>
  <c r="AL236" i="4"/>
  <c r="AO22" i="4"/>
  <c r="Q22" i="4" s="1"/>
  <c r="AL14" i="4"/>
  <c r="AO298" i="4"/>
  <c r="AQ298" i="4"/>
  <c r="AK298" i="4"/>
  <c r="AP298" i="4"/>
  <c r="AJ298" i="4"/>
  <c r="AO203" i="4"/>
  <c r="AP203" i="4"/>
  <c r="AJ203" i="4"/>
  <c r="AL203" i="4"/>
  <c r="AK203" i="4"/>
  <c r="AQ203" i="4"/>
  <c r="AO172" i="4"/>
  <c r="AK172" i="4"/>
  <c r="AQ172" i="4"/>
  <c r="AP172" i="4"/>
  <c r="Q172" i="4" s="1"/>
  <c r="AJ172" i="4"/>
  <c r="AZ20" i="10"/>
  <c r="AX20" i="10"/>
  <c r="AO280" i="4"/>
  <c r="AL280" i="4"/>
  <c r="AP280" i="4"/>
  <c r="Q280" i="4" s="1"/>
  <c r="AJ280" i="4"/>
  <c r="AK280" i="4"/>
  <c r="AQ280" i="4"/>
  <c r="AO228" i="4"/>
  <c r="AK228" i="4"/>
  <c r="AJ228" i="4"/>
  <c r="AQ228" i="4"/>
  <c r="AP228" i="4"/>
  <c r="Q228" i="4" s="1"/>
  <c r="BH14" i="10"/>
  <c r="AX14" i="10"/>
  <c r="AZ14" i="10"/>
  <c r="BH16" i="10"/>
  <c r="AZ16" i="10"/>
  <c r="BJ16" i="10"/>
  <c r="AX16" i="10"/>
  <c r="AX9" i="10"/>
  <c r="AZ9" i="10"/>
  <c r="AY19" i="10"/>
  <c r="AJ26" i="4"/>
  <c r="AQ31" i="4"/>
  <c r="AL25" i="4"/>
  <c r="AL174" i="4"/>
  <c r="AL251" i="4"/>
  <c r="AK24" i="4"/>
  <c r="AL314" i="4"/>
  <c r="AQ22" i="4"/>
  <c r="AO271" i="4"/>
  <c r="AP271" i="4"/>
  <c r="Q271" i="4" s="1"/>
  <c r="AQ271" i="4"/>
  <c r="AK271" i="4"/>
  <c r="AJ271" i="4"/>
  <c r="AO185" i="4"/>
  <c r="AK185" i="4"/>
  <c r="AP185" i="4"/>
  <c r="AJ185" i="4"/>
  <c r="AQ185" i="4"/>
  <c r="AO170" i="4"/>
  <c r="AQ170" i="4"/>
  <c r="AP170" i="4"/>
  <c r="Q170" i="4" s="1"/>
  <c r="AL170" i="4"/>
  <c r="AJ170" i="4"/>
  <c r="AK170" i="4"/>
  <c r="AZ23" i="10"/>
  <c r="AX23" i="10"/>
  <c r="AO278" i="4"/>
  <c r="AP278" i="4"/>
  <c r="Q278" i="4" s="1"/>
  <c r="AQ278" i="4"/>
  <c r="AK278" i="4"/>
  <c r="AJ278" i="4"/>
  <c r="AO220" i="4"/>
  <c r="AP220" i="4"/>
  <c r="AQ220" i="4"/>
  <c r="AK220" i="4"/>
  <c r="AJ220" i="4"/>
  <c r="BI19" i="10"/>
  <c r="AQ14" i="4"/>
  <c r="AJ25" i="4"/>
  <c r="AQ24" i="4"/>
  <c r="AK25" i="4"/>
  <c r="AK22" i="4"/>
  <c r="AO244" i="4"/>
  <c r="AQ244" i="4"/>
  <c r="AJ244" i="4"/>
  <c r="AP244" i="4"/>
  <c r="Q244" i="4" s="1"/>
  <c r="AK244" i="4"/>
  <c r="AO176" i="4"/>
  <c r="AP176" i="4"/>
  <c r="AJ176" i="4"/>
  <c r="AK176" i="4"/>
  <c r="AQ176" i="4"/>
  <c r="AL176" i="4"/>
  <c r="AO310" i="4"/>
  <c r="AJ310" i="4"/>
  <c r="AQ310" i="4"/>
  <c r="AK310" i="4"/>
  <c r="AP310" i="4"/>
  <c r="Q310" i="4" s="1"/>
  <c r="AO263" i="4"/>
  <c r="AP263" i="4"/>
  <c r="Q263" i="4" s="1"/>
  <c r="AQ263" i="4"/>
  <c r="AJ263" i="4"/>
  <c r="AK263" i="4"/>
  <c r="AO181" i="4"/>
  <c r="AJ181" i="4"/>
  <c r="AQ181" i="4"/>
  <c r="AK181" i="4"/>
  <c r="AP181" i="4"/>
  <c r="AX10" i="10"/>
  <c r="AZ10" i="10"/>
  <c r="F39" i="3"/>
  <c r="G39" i="3"/>
  <c r="H39" i="3"/>
  <c r="B39" i="3"/>
  <c r="C39" i="3"/>
  <c r="D57" i="3"/>
  <c r="B61" i="3" s="1"/>
  <c r="AQ3" i="4"/>
  <c r="AO3" i="4"/>
  <c r="AP3" i="4"/>
  <c r="Q3" i="4" s="1"/>
  <c r="AO950" i="4"/>
  <c r="AQ950" i="4"/>
  <c r="AP950" i="4"/>
  <c r="Q950" i="4" s="1"/>
  <c r="AJ950" i="4"/>
  <c r="AK950" i="4"/>
  <c r="AO945" i="4"/>
  <c r="AQ945" i="4"/>
  <c r="AP945" i="4"/>
  <c r="AJ945" i="4"/>
  <c r="AK945" i="4"/>
  <c r="AO904" i="4"/>
  <c r="AP904" i="4"/>
  <c r="AQ904" i="4"/>
  <c r="AJ904" i="4"/>
  <c r="AL904" i="4"/>
  <c r="AK904" i="4"/>
  <c r="AO902" i="4"/>
  <c r="AP902" i="4"/>
  <c r="AQ902" i="4"/>
  <c r="AK902" i="4"/>
  <c r="AJ902" i="4"/>
  <c r="AO897" i="4"/>
  <c r="AQ897" i="4"/>
  <c r="AP897" i="4"/>
  <c r="AJ897" i="4"/>
  <c r="AK897" i="4"/>
  <c r="AO864" i="4"/>
  <c r="AP864" i="4"/>
  <c r="AQ864" i="4"/>
  <c r="AJ864" i="4"/>
  <c r="AK864" i="4"/>
  <c r="AO820" i="4"/>
  <c r="AP820" i="4"/>
  <c r="Q820" i="4" s="1"/>
  <c r="AQ820" i="4"/>
  <c r="AK820" i="4"/>
  <c r="AJ820" i="4"/>
  <c r="AL820" i="4"/>
  <c r="AO782" i="4"/>
  <c r="AQ782" i="4"/>
  <c r="AK782" i="4"/>
  <c r="AJ782" i="4"/>
  <c r="AP782" i="4"/>
  <c r="AO780" i="4"/>
  <c r="AP780" i="4"/>
  <c r="AQ780" i="4"/>
  <c r="AK780" i="4"/>
  <c r="AJ780" i="4"/>
  <c r="AO778" i="4"/>
  <c r="AP778" i="4"/>
  <c r="Q778" i="4" s="1"/>
  <c r="AQ778" i="4"/>
  <c r="AK778" i="4"/>
  <c r="AJ778" i="4"/>
  <c r="AO776" i="4"/>
  <c r="AQ776" i="4"/>
  <c r="AP776" i="4"/>
  <c r="Q776" i="4" s="1"/>
  <c r="AK776" i="4"/>
  <c r="AJ776" i="4"/>
  <c r="AO774" i="4"/>
  <c r="AQ774" i="4"/>
  <c r="AP774" i="4"/>
  <c r="AK774" i="4"/>
  <c r="AJ774" i="4"/>
  <c r="AO916" i="4"/>
  <c r="AQ916" i="4"/>
  <c r="AP916" i="4"/>
  <c r="AK916" i="4"/>
  <c r="AJ916" i="4"/>
  <c r="AO914" i="4"/>
  <c r="AQ914" i="4"/>
  <c r="AP914" i="4"/>
  <c r="AK914" i="4"/>
  <c r="AJ914" i="4"/>
  <c r="AO909" i="4"/>
  <c r="AP909" i="4"/>
  <c r="AQ909" i="4"/>
  <c r="AK909" i="4"/>
  <c r="AJ909" i="4"/>
  <c r="AO958" i="4"/>
  <c r="AP958" i="4"/>
  <c r="Q958" i="4" s="1"/>
  <c r="AQ958" i="4"/>
  <c r="AK958" i="4"/>
  <c r="AJ958" i="4"/>
  <c r="AO953" i="4"/>
  <c r="AP953" i="4"/>
  <c r="AQ953" i="4"/>
  <c r="AJ953" i="4"/>
  <c r="AK953" i="4"/>
  <c r="AO912" i="4"/>
  <c r="AP912" i="4"/>
  <c r="Q912" i="4" s="1"/>
  <c r="AQ912" i="4"/>
  <c r="AK912" i="4"/>
  <c r="AJ912" i="4"/>
  <c r="AO910" i="4"/>
  <c r="AQ910" i="4"/>
  <c r="AJ910" i="4"/>
  <c r="AP910" i="4"/>
  <c r="Q910" i="4" s="1"/>
  <c r="AK910" i="4"/>
  <c r="AL910" i="4"/>
  <c r="AO905" i="4"/>
  <c r="AK905" i="4"/>
  <c r="AP905" i="4"/>
  <c r="AQ905" i="4"/>
  <c r="AJ905" i="4"/>
  <c r="AO878" i="4"/>
  <c r="AQ878" i="4"/>
  <c r="AP878" i="4"/>
  <c r="AK878" i="4"/>
  <c r="AJ878" i="4"/>
  <c r="AO873" i="4"/>
  <c r="AQ873" i="4"/>
  <c r="AP873" i="4"/>
  <c r="Q873" i="4" s="1"/>
  <c r="AJ873" i="4"/>
  <c r="AK873" i="4"/>
  <c r="AO857" i="4"/>
  <c r="AQ857" i="4"/>
  <c r="AJ857" i="4"/>
  <c r="AP857" i="4"/>
  <c r="AK857" i="4"/>
  <c r="AO845" i="4"/>
  <c r="AP845" i="4"/>
  <c r="AQ845" i="4"/>
  <c r="AK845" i="4"/>
  <c r="AJ845" i="4"/>
  <c r="AO739" i="4"/>
  <c r="AK739" i="4"/>
  <c r="AP739" i="4"/>
  <c r="AQ739" i="4"/>
  <c r="AJ739" i="4"/>
  <c r="AO726" i="4"/>
  <c r="AQ726" i="4"/>
  <c r="AP726" i="4"/>
  <c r="Q726" i="4" s="1"/>
  <c r="AK726" i="4"/>
  <c r="AJ726" i="4"/>
  <c r="AO724" i="4"/>
  <c r="AQ724" i="4"/>
  <c r="AK724" i="4"/>
  <c r="AJ724" i="4"/>
  <c r="AP724" i="4"/>
  <c r="AO721" i="4"/>
  <c r="AQ721" i="4"/>
  <c r="AP721" i="4"/>
  <c r="AK721" i="4"/>
  <c r="AJ721" i="4"/>
  <c r="AO702" i="4"/>
  <c r="AP702" i="4"/>
  <c r="Q702" i="4" s="1"/>
  <c r="AQ702" i="4"/>
  <c r="AJ702" i="4"/>
  <c r="AK702" i="4"/>
  <c r="AO686" i="4"/>
  <c r="AP686" i="4"/>
  <c r="AQ686" i="4"/>
  <c r="AJ686" i="4"/>
  <c r="AK686" i="4"/>
  <c r="AO674" i="4"/>
  <c r="AP674" i="4"/>
  <c r="Q674" i="4" s="1"/>
  <c r="AQ674" i="4"/>
  <c r="AJ674" i="4"/>
  <c r="AK674" i="4"/>
  <c r="AO658" i="4"/>
  <c r="AQ658" i="4"/>
  <c r="AK658" i="4"/>
  <c r="AP658" i="4"/>
  <c r="AJ658" i="4"/>
  <c r="AO642" i="4"/>
  <c r="AQ642" i="4"/>
  <c r="AK642" i="4"/>
  <c r="AP642" i="4"/>
  <c r="Q642" i="4" s="1"/>
  <c r="AJ642" i="4"/>
  <c r="AO626" i="4"/>
  <c r="AP626" i="4"/>
  <c r="AQ626" i="4"/>
  <c r="AK626" i="4"/>
  <c r="AJ626" i="4"/>
  <c r="AO548" i="4"/>
  <c r="AQ548" i="4"/>
  <c r="AP548" i="4"/>
  <c r="AK548" i="4"/>
  <c r="AJ548" i="4"/>
  <c r="AO546" i="4"/>
  <c r="AP546" i="4"/>
  <c r="AQ546" i="4"/>
  <c r="AK546" i="4"/>
  <c r="AJ546" i="4"/>
  <c r="AO544" i="4"/>
  <c r="AQ544" i="4"/>
  <c r="AK544" i="4"/>
  <c r="AP544" i="4"/>
  <c r="Q544" i="4" s="1"/>
  <c r="AJ544" i="4"/>
  <c r="AO542" i="4"/>
  <c r="AP542" i="4"/>
  <c r="AQ542" i="4"/>
  <c r="AJ542" i="4"/>
  <c r="AK542" i="4"/>
  <c r="AO540" i="4"/>
  <c r="AP540" i="4"/>
  <c r="Q540" i="4" s="1"/>
  <c r="AQ540" i="4"/>
  <c r="AK540" i="4"/>
  <c r="AJ540" i="4"/>
  <c r="AO538" i="4"/>
  <c r="AQ538" i="4"/>
  <c r="AJ538" i="4"/>
  <c r="AP538" i="4"/>
  <c r="AK538" i="4"/>
  <c r="AO536" i="4"/>
  <c r="AP536" i="4"/>
  <c r="AQ536" i="4"/>
  <c r="AK536" i="4"/>
  <c r="AJ536" i="4"/>
  <c r="AO534" i="4"/>
  <c r="AQ534" i="4"/>
  <c r="AP534" i="4"/>
  <c r="Q534" i="4" s="1"/>
  <c r="AK534" i="4"/>
  <c r="AJ534" i="4"/>
  <c r="AO532" i="4"/>
  <c r="AQ532" i="4"/>
  <c r="AP532" i="4"/>
  <c r="AL532" i="4"/>
  <c r="AK532" i="4"/>
  <c r="AJ532" i="4"/>
  <c r="AO530" i="4"/>
  <c r="AP530" i="4"/>
  <c r="AQ530" i="4"/>
  <c r="AK530" i="4"/>
  <c r="AJ530" i="4"/>
  <c r="AO528" i="4"/>
  <c r="AQ528" i="4"/>
  <c r="AP528" i="4"/>
  <c r="Q528" i="4" s="1"/>
  <c r="AK528" i="4"/>
  <c r="AJ528" i="4"/>
  <c r="AL528" i="4"/>
  <c r="AO526" i="4"/>
  <c r="AQ526" i="4"/>
  <c r="AK526" i="4"/>
  <c r="AP526" i="4"/>
  <c r="AJ526" i="4"/>
  <c r="AO524" i="4"/>
  <c r="AP524" i="4"/>
  <c r="AQ524" i="4"/>
  <c r="AK524" i="4"/>
  <c r="AJ524" i="4"/>
  <c r="AO522" i="4"/>
  <c r="AP522" i="4"/>
  <c r="AQ522" i="4"/>
  <c r="AK522" i="4"/>
  <c r="AJ522" i="4"/>
  <c r="AO520" i="4"/>
  <c r="AQ520" i="4"/>
  <c r="AP520" i="4"/>
  <c r="AK520" i="4"/>
  <c r="AJ520" i="4"/>
  <c r="AO518" i="4"/>
  <c r="AQ518" i="4"/>
  <c r="AP518" i="4"/>
  <c r="AJ518" i="4"/>
  <c r="AK518" i="4"/>
  <c r="AO516" i="4"/>
  <c r="AP516" i="4"/>
  <c r="Q516" i="4" s="1"/>
  <c r="AQ516" i="4"/>
  <c r="AK516" i="4"/>
  <c r="AJ516" i="4"/>
  <c r="AO514" i="4"/>
  <c r="AQ514" i="4"/>
  <c r="AP514" i="4"/>
  <c r="Q514" i="4" s="1"/>
  <c r="AK514" i="4"/>
  <c r="AJ514" i="4"/>
  <c r="AO470" i="4"/>
  <c r="AQ470" i="4"/>
  <c r="AP470" i="4"/>
  <c r="AK470" i="4"/>
  <c r="AL470" i="4"/>
  <c r="AJ470" i="4"/>
  <c r="AO468" i="4"/>
  <c r="AP468" i="4"/>
  <c r="Q468" i="4" s="1"/>
  <c r="AQ468" i="4"/>
  <c r="AK468" i="4"/>
  <c r="AJ468" i="4"/>
  <c r="AO466" i="4"/>
  <c r="AQ466" i="4"/>
  <c r="AP466" i="4"/>
  <c r="Q466" i="4" s="1"/>
  <c r="AJ466" i="4"/>
  <c r="AK466" i="4"/>
  <c r="AO464" i="4"/>
  <c r="AQ464" i="4"/>
  <c r="AJ464" i="4"/>
  <c r="AP464" i="4"/>
  <c r="AK464" i="4"/>
  <c r="AO462" i="4"/>
  <c r="AK462" i="4"/>
  <c r="AP462" i="4"/>
  <c r="AQ462" i="4"/>
  <c r="AJ462" i="4"/>
  <c r="AO460" i="4"/>
  <c r="AQ460" i="4"/>
  <c r="AP460" i="4"/>
  <c r="AJ460" i="4"/>
  <c r="AK460" i="4"/>
  <c r="AO458" i="4"/>
  <c r="AQ458" i="4"/>
  <c r="AP458" i="4"/>
  <c r="Q458" i="4" s="1"/>
  <c r="AK458" i="4"/>
  <c r="AJ458" i="4"/>
  <c r="AO456" i="4"/>
  <c r="AQ456" i="4"/>
  <c r="AP456" i="4"/>
  <c r="AJ456" i="4"/>
  <c r="AK456" i="4"/>
  <c r="AO454" i="4"/>
  <c r="AK454" i="4"/>
  <c r="AP454" i="4"/>
  <c r="AQ454" i="4"/>
  <c r="AJ454" i="4"/>
  <c r="AO452" i="4"/>
  <c r="AQ452" i="4"/>
  <c r="AP452" i="4"/>
  <c r="AK452" i="4"/>
  <c r="AJ452" i="4"/>
  <c r="AO450" i="4"/>
  <c r="AQ450" i="4"/>
  <c r="AP450" i="4"/>
  <c r="Q450" i="4" s="1"/>
  <c r="AK450" i="4"/>
  <c r="AJ450" i="4"/>
  <c r="AO312" i="4"/>
  <c r="AP312" i="4"/>
  <c r="Q312" i="4" s="1"/>
  <c r="AQ312" i="4"/>
  <c r="AJ312" i="4"/>
  <c r="AK312" i="4"/>
  <c r="AO275" i="4"/>
  <c r="AJ275" i="4"/>
  <c r="AQ275" i="4"/>
  <c r="AK275" i="4"/>
  <c r="AP275" i="4"/>
  <c r="Q275" i="4" s="1"/>
  <c r="AO259" i="4"/>
  <c r="AP259" i="4"/>
  <c r="AK259" i="4"/>
  <c r="AJ259" i="4"/>
  <c r="AL259" i="4"/>
  <c r="AQ259" i="4"/>
  <c r="AO248" i="4"/>
  <c r="AJ248" i="4"/>
  <c r="AK248" i="4"/>
  <c r="AQ248" i="4"/>
  <c r="AP248" i="4"/>
  <c r="Q248" i="4" s="1"/>
  <c r="AO216" i="4"/>
  <c r="AK216" i="4"/>
  <c r="AJ216" i="4"/>
  <c r="AP216" i="4"/>
  <c r="AQ216" i="4"/>
  <c r="AO167" i="4"/>
  <c r="AK167" i="4"/>
  <c r="AP167" i="4"/>
  <c r="AQ167" i="4"/>
  <c r="AJ167" i="4"/>
  <c r="AO165" i="4"/>
  <c r="AK165" i="4"/>
  <c r="AP165" i="4"/>
  <c r="Q165" i="4" s="1"/>
  <c r="AQ165" i="4"/>
  <c r="AJ165" i="4"/>
  <c r="AO163" i="4"/>
  <c r="AK163" i="4"/>
  <c r="AJ163" i="4"/>
  <c r="AQ163" i="4"/>
  <c r="AP163" i="4"/>
  <c r="Q163" i="4" s="1"/>
  <c r="AO151" i="4"/>
  <c r="AL151" i="4"/>
  <c r="AK151" i="4"/>
  <c r="AP151" i="4"/>
  <c r="AJ151" i="4"/>
  <c r="AQ151" i="4"/>
  <c r="AO149" i="4"/>
  <c r="AP149" i="4"/>
  <c r="Q149" i="4" s="1"/>
  <c r="AJ149" i="4"/>
  <c r="AK149" i="4"/>
  <c r="AQ149" i="4"/>
  <c r="AO147" i="4"/>
  <c r="AK147" i="4"/>
  <c r="AJ147" i="4"/>
  <c r="AP147" i="4"/>
  <c r="AQ147" i="4"/>
  <c r="AO135" i="4"/>
  <c r="AP135" i="4"/>
  <c r="AQ135" i="4"/>
  <c r="AK135" i="4"/>
  <c r="AJ135" i="4"/>
  <c r="AO133" i="4"/>
  <c r="AQ133" i="4"/>
  <c r="AJ133" i="4"/>
  <c r="AK133" i="4"/>
  <c r="AP133" i="4"/>
  <c r="AL133" i="4"/>
  <c r="AO131" i="4"/>
  <c r="AJ131" i="4"/>
  <c r="AK131" i="4"/>
  <c r="AP131" i="4"/>
  <c r="AL131" i="4"/>
  <c r="AQ131" i="4"/>
  <c r="AO115" i="4"/>
  <c r="AQ115" i="4"/>
  <c r="AK115" i="4"/>
  <c r="AJ115" i="4"/>
  <c r="AP115" i="4"/>
  <c r="AO111" i="4"/>
  <c r="AJ111" i="4"/>
  <c r="AK111" i="4"/>
  <c r="AL111" i="4"/>
  <c r="AP111" i="4"/>
  <c r="AQ111" i="4"/>
  <c r="AO107" i="4"/>
  <c r="AQ107" i="4"/>
  <c r="AK107" i="4"/>
  <c r="AJ107" i="4"/>
  <c r="AP107" i="4"/>
  <c r="Q107" i="4" s="1"/>
  <c r="AO103" i="4"/>
  <c r="AJ103" i="4"/>
  <c r="AK103" i="4"/>
  <c r="AP103" i="4"/>
  <c r="Q103" i="4" s="1"/>
  <c r="AQ103" i="4"/>
  <c r="AO99" i="4"/>
  <c r="AQ99" i="4"/>
  <c r="AJ99" i="4"/>
  <c r="AP99" i="4"/>
  <c r="AK99" i="4"/>
  <c r="AO95" i="4"/>
  <c r="AP95" i="4"/>
  <c r="Q95" i="4" s="1"/>
  <c r="AQ95" i="4"/>
  <c r="AK95" i="4"/>
  <c r="AJ95" i="4"/>
  <c r="AO91" i="4"/>
  <c r="AP91" i="4"/>
  <c r="AJ91" i="4"/>
  <c r="AQ91" i="4"/>
  <c r="AK91" i="4"/>
  <c r="AO87" i="4"/>
  <c r="AJ87" i="4"/>
  <c r="AQ87" i="4"/>
  <c r="AK87" i="4"/>
  <c r="AP87" i="4"/>
  <c r="Q87" i="4" s="1"/>
  <c r="AO83" i="4"/>
  <c r="AQ83" i="4"/>
  <c r="AK83" i="4"/>
  <c r="AJ83" i="4"/>
  <c r="AP83" i="4"/>
  <c r="Q83" i="4" s="1"/>
  <c r="AO79" i="4"/>
  <c r="AQ79" i="4"/>
  <c r="AJ79" i="4"/>
  <c r="AP79" i="4"/>
  <c r="AK79" i="4"/>
  <c r="AO75" i="4"/>
  <c r="AQ75" i="4"/>
  <c r="AK75" i="4"/>
  <c r="AP75" i="4"/>
  <c r="AJ75" i="4"/>
  <c r="AO71" i="4"/>
  <c r="AP71" i="4"/>
  <c r="AK71" i="4"/>
  <c r="AQ71" i="4"/>
  <c r="AJ71" i="4"/>
  <c r="AO67" i="4"/>
  <c r="AK67" i="4"/>
  <c r="AJ67" i="4"/>
  <c r="AP67" i="4"/>
  <c r="AQ67" i="4"/>
  <c r="AO63" i="4"/>
  <c r="AJ63" i="4"/>
  <c r="AK63" i="4"/>
  <c r="AQ63" i="4"/>
  <c r="AP63" i="4"/>
  <c r="Q63" i="4" s="1"/>
  <c r="AO59" i="4"/>
  <c r="AP59" i="4"/>
  <c r="AQ59" i="4"/>
  <c r="AK59" i="4"/>
  <c r="AL59" i="4"/>
  <c r="AJ59" i="4"/>
  <c r="AO55" i="4"/>
  <c r="AJ55" i="4"/>
  <c r="AP55" i="4"/>
  <c r="Q55" i="4" s="1"/>
  <c r="AQ55" i="4"/>
  <c r="AL55" i="4"/>
  <c r="AK55" i="4"/>
  <c r="AO51" i="4"/>
  <c r="AQ51" i="4"/>
  <c r="AK51" i="4"/>
  <c r="AJ51" i="4"/>
  <c r="AP51" i="4"/>
  <c r="Q51" i="4" s="1"/>
  <c r="AO406" i="4"/>
  <c r="AJ406" i="4"/>
  <c r="AP406" i="4"/>
  <c r="AQ406" i="4"/>
  <c r="AK406" i="4"/>
  <c r="AO404" i="4"/>
  <c r="AQ404" i="4"/>
  <c r="AP404" i="4"/>
  <c r="Q404" i="4" s="1"/>
  <c r="AJ404" i="4"/>
  <c r="AK404" i="4"/>
  <c r="AO342" i="4"/>
  <c r="AP342" i="4"/>
  <c r="Q342" i="4" s="1"/>
  <c r="AQ342" i="4"/>
  <c r="AJ342" i="4"/>
  <c r="AK342" i="4"/>
  <c r="AO340" i="4"/>
  <c r="AJ340" i="4"/>
  <c r="AK340" i="4"/>
  <c r="AP340" i="4"/>
  <c r="AQ340" i="4"/>
  <c r="AO313" i="4"/>
  <c r="AP313" i="4"/>
  <c r="AQ313" i="4"/>
  <c r="AJ313" i="4"/>
  <c r="AK313" i="4"/>
  <c r="AO309" i="4"/>
  <c r="AP309" i="4"/>
  <c r="Q309" i="4" s="1"/>
  <c r="AK309" i="4"/>
  <c r="AJ309" i="4"/>
  <c r="AQ309" i="4"/>
  <c r="AO305" i="4"/>
  <c r="AQ305" i="4"/>
  <c r="AP305" i="4"/>
  <c r="AK305" i="4"/>
  <c r="AL305" i="4"/>
  <c r="AJ305" i="4"/>
  <c r="AO301" i="4"/>
  <c r="AQ301" i="4"/>
  <c r="AJ301" i="4"/>
  <c r="AK301" i="4"/>
  <c r="AP301" i="4"/>
  <c r="Q301" i="4" s="1"/>
  <c r="AO226" i="4"/>
  <c r="AP226" i="4"/>
  <c r="AQ226" i="4"/>
  <c r="AJ226" i="4"/>
  <c r="AK226" i="4"/>
  <c r="AO192" i="4"/>
  <c r="AP192" i="4"/>
  <c r="Q192" i="4" s="1"/>
  <c r="AJ192" i="4"/>
  <c r="AQ192" i="4"/>
  <c r="AK192" i="4"/>
  <c r="AO188" i="4"/>
  <c r="AP188" i="4"/>
  <c r="AK188" i="4"/>
  <c r="AQ188" i="4"/>
  <c r="AJ188" i="4"/>
  <c r="AO184" i="4"/>
  <c r="AJ184" i="4"/>
  <c r="AK184" i="4"/>
  <c r="AQ184" i="4"/>
  <c r="AP184" i="4"/>
  <c r="AO121" i="4"/>
  <c r="AQ121" i="4"/>
  <c r="AJ121" i="4"/>
  <c r="AK121" i="4"/>
  <c r="AP121" i="4"/>
  <c r="AO924" i="4"/>
  <c r="AP924" i="4"/>
  <c r="Q924" i="4" s="1"/>
  <c r="AQ924" i="4"/>
  <c r="AJ924" i="4"/>
  <c r="AK924" i="4"/>
  <c r="AO922" i="4"/>
  <c r="AP922" i="4"/>
  <c r="AQ922" i="4"/>
  <c r="AK922" i="4"/>
  <c r="AL922" i="4"/>
  <c r="AJ922" i="4"/>
  <c r="AO885" i="4"/>
  <c r="AP885" i="4"/>
  <c r="AQ885" i="4"/>
  <c r="AK885" i="4"/>
  <c r="AJ885" i="4"/>
  <c r="AO601" i="4"/>
  <c r="AP601" i="4"/>
  <c r="Q601" i="4" s="1"/>
  <c r="AQ601" i="4"/>
  <c r="AJ601" i="4"/>
  <c r="AK601" i="4"/>
  <c r="AO599" i="4"/>
  <c r="AK599" i="4"/>
  <c r="AP599" i="4"/>
  <c r="AQ599" i="4"/>
  <c r="AJ599" i="4"/>
  <c r="AL599" i="4"/>
  <c r="AO597" i="4"/>
  <c r="AQ597" i="4"/>
  <c r="AP597" i="4"/>
  <c r="Q597" i="4" s="1"/>
  <c r="AK597" i="4"/>
  <c r="AJ597" i="4"/>
  <c r="AO595" i="4"/>
  <c r="AP595" i="4"/>
  <c r="Q595" i="4" s="1"/>
  <c r="AQ595" i="4"/>
  <c r="AK595" i="4"/>
  <c r="AJ595" i="4"/>
  <c r="AO593" i="4"/>
  <c r="AP593" i="4"/>
  <c r="AQ593" i="4"/>
  <c r="AJ593" i="4"/>
  <c r="AK593" i="4"/>
  <c r="AO491" i="4"/>
  <c r="AQ491" i="4"/>
  <c r="AJ491" i="4"/>
  <c r="AP491" i="4"/>
  <c r="Q491" i="4" s="1"/>
  <c r="AK491" i="4"/>
  <c r="AO489" i="4"/>
  <c r="AP489" i="4"/>
  <c r="AQ489" i="4"/>
  <c r="AK489" i="4"/>
  <c r="AJ489" i="4"/>
  <c r="AO487" i="4"/>
  <c r="AQ487" i="4"/>
  <c r="AK487" i="4"/>
  <c r="AP487" i="4"/>
  <c r="AJ487" i="4"/>
  <c r="AO485" i="4"/>
  <c r="AQ485" i="4"/>
  <c r="AK485" i="4"/>
  <c r="AP485" i="4"/>
  <c r="AJ485" i="4"/>
  <c r="AO483" i="4"/>
  <c r="AP483" i="4"/>
  <c r="Q483" i="4" s="1"/>
  <c r="AQ483" i="4"/>
  <c r="AK483" i="4"/>
  <c r="AJ483" i="4"/>
  <c r="AO481" i="4"/>
  <c r="AP481" i="4"/>
  <c r="AQ481" i="4"/>
  <c r="AJ481" i="4"/>
  <c r="AK481" i="4"/>
  <c r="AL481" i="4"/>
  <c r="AO479" i="4"/>
  <c r="AP479" i="4"/>
  <c r="AQ479" i="4"/>
  <c r="AK479" i="4"/>
  <c r="AJ479" i="4"/>
  <c r="AO477" i="4"/>
  <c r="AQ477" i="4"/>
  <c r="AP477" i="4"/>
  <c r="Q477" i="4" s="1"/>
  <c r="AJ477" i="4"/>
  <c r="AK477" i="4"/>
  <c r="AO475" i="4"/>
  <c r="AP475" i="4"/>
  <c r="Q475" i="4" s="1"/>
  <c r="AK475" i="4"/>
  <c r="AJ475" i="4"/>
  <c r="AQ475" i="4"/>
  <c r="AL475" i="4"/>
  <c r="AO473" i="4"/>
  <c r="AQ473" i="4"/>
  <c r="AP473" i="4"/>
  <c r="AJ473" i="4"/>
  <c r="AK473" i="4"/>
  <c r="AO471" i="4"/>
  <c r="AP471" i="4"/>
  <c r="Q471" i="4" s="1"/>
  <c r="AQ471" i="4"/>
  <c r="AK471" i="4"/>
  <c r="AJ471" i="4"/>
  <c r="AO469" i="4"/>
  <c r="AP469" i="4"/>
  <c r="AQ469" i="4"/>
  <c r="AJ469" i="4"/>
  <c r="AK469" i="4"/>
  <c r="AO467" i="4"/>
  <c r="AQ467" i="4"/>
  <c r="AP467" i="4"/>
  <c r="AK467" i="4"/>
  <c r="AJ467" i="4"/>
  <c r="AO465" i="4"/>
  <c r="AQ465" i="4"/>
  <c r="AJ465" i="4"/>
  <c r="AP465" i="4"/>
  <c r="AK465" i="4"/>
  <c r="AO463" i="4"/>
  <c r="AQ463" i="4"/>
  <c r="AP463" i="4"/>
  <c r="Q463" i="4" s="1"/>
  <c r="AJ463" i="4"/>
  <c r="AK463" i="4"/>
  <c r="AO461" i="4"/>
  <c r="AQ461" i="4"/>
  <c r="AJ461" i="4"/>
  <c r="AP461" i="4"/>
  <c r="AK461" i="4"/>
  <c r="AO400" i="4"/>
  <c r="AQ400" i="4"/>
  <c r="AK400" i="4"/>
  <c r="AJ400" i="4"/>
  <c r="AP400" i="4"/>
  <c r="AO384" i="4"/>
  <c r="AQ384" i="4"/>
  <c r="AK384" i="4"/>
  <c r="AJ384" i="4"/>
  <c r="AP384" i="4"/>
  <c r="Q384" i="4" s="1"/>
  <c r="AO368" i="4"/>
  <c r="AQ368" i="4"/>
  <c r="AK368" i="4"/>
  <c r="AJ368" i="4"/>
  <c r="AP368" i="4"/>
  <c r="Q368" i="4" s="1"/>
  <c r="AL368" i="4"/>
  <c r="AO352" i="4"/>
  <c r="AQ352" i="4"/>
  <c r="AK352" i="4"/>
  <c r="AJ352" i="4"/>
  <c r="AP352" i="4"/>
  <c r="AO336" i="4"/>
  <c r="AK336" i="4"/>
  <c r="AQ336" i="4"/>
  <c r="AP336" i="4"/>
  <c r="AJ336" i="4"/>
  <c r="AO256" i="4"/>
  <c r="AP256" i="4"/>
  <c r="AK256" i="4"/>
  <c r="AQ256" i="4"/>
  <c r="AJ256" i="4"/>
  <c r="AO254" i="4"/>
  <c r="AP254" i="4"/>
  <c r="AQ254" i="4"/>
  <c r="AJ254" i="4"/>
  <c r="AK254" i="4"/>
  <c r="AO197" i="4"/>
  <c r="AJ197" i="4"/>
  <c r="AQ197" i="4"/>
  <c r="AK197" i="4"/>
  <c r="AP197" i="4"/>
  <c r="Q197" i="4" s="1"/>
  <c r="AO972" i="4"/>
  <c r="AQ972" i="4"/>
  <c r="AP972" i="4"/>
  <c r="AJ972" i="4"/>
  <c r="AK972" i="4"/>
  <c r="AO970" i="4"/>
  <c r="AP970" i="4"/>
  <c r="AQ970" i="4"/>
  <c r="AK970" i="4"/>
  <c r="AJ970" i="4"/>
  <c r="AO933" i="4"/>
  <c r="AP933" i="4"/>
  <c r="AQ933" i="4"/>
  <c r="AJ933" i="4"/>
  <c r="AK933" i="4"/>
  <c r="AO225" i="4"/>
  <c r="AP225" i="4"/>
  <c r="Q225" i="4" s="1"/>
  <c r="AQ225" i="4"/>
  <c r="AJ225" i="4"/>
  <c r="AK225" i="4"/>
  <c r="AO30" i="4"/>
  <c r="AK30" i="4"/>
  <c r="AP30" i="4"/>
  <c r="AJ30" i="4"/>
  <c r="AL30" i="4"/>
  <c r="AO20" i="4"/>
  <c r="Q20" i="4" s="1"/>
  <c r="AJ20" i="4"/>
  <c r="O20" i="4" s="1"/>
  <c r="AO920" i="4"/>
  <c r="AQ920" i="4"/>
  <c r="AP920" i="4"/>
  <c r="AK920" i="4"/>
  <c r="AJ920" i="4"/>
  <c r="AL920" i="4"/>
  <c r="AO918" i="4"/>
  <c r="AP918" i="4"/>
  <c r="AQ918" i="4"/>
  <c r="AK918" i="4"/>
  <c r="AJ918" i="4"/>
  <c r="AO913" i="4"/>
  <c r="AQ913" i="4"/>
  <c r="AP913" i="4"/>
  <c r="Q913" i="4" s="1"/>
  <c r="AK913" i="4"/>
  <c r="AJ913" i="4"/>
  <c r="AO856" i="4"/>
  <c r="AQ856" i="4"/>
  <c r="AP856" i="4"/>
  <c r="AK856" i="4"/>
  <c r="AJ856" i="4"/>
  <c r="AO824" i="4"/>
  <c r="AP824" i="4"/>
  <c r="AQ824" i="4"/>
  <c r="AK824" i="4"/>
  <c r="AJ824" i="4"/>
  <c r="AO804" i="4"/>
  <c r="AP804" i="4"/>
  <c r="AQ804" i="4"/>
  <c r="AK804" i="4"/>
  <c r="AJ804" i="4"/>
  <c r="AO802" i="4"/>
  <c r="AQ802" i="4"/>
  <c r="AK802" i="4"/>
  <c r="AP802" i="4"/>
  <c r="AJ802" i="4"/>
  <c r="AO800" i="4"/>
  <c r="AQ800" i="4"/>
  <c r="AK800" i="4"/>
  <c r="AJ800" i="4"/>
  <c r="AP800" i="4"/>
  <c r="AO798" i="4"/>
  <c r="AQ798" i="4"/>
  <c r="AK798" i="4"/>
  <c r="AP798" i="4"/>
  <c r="AJ798" i="4"/>
  <c r="AO796" i="4"/>
  <c r="AP796" i="4"/>
  <c r="AQ796" i="4"/>
  <c r="AK796" i="4"/>
  <c r="AJ796" i="4"/>
  <c r="AL796" i="4"/>
  <c r="AO794" i="4"/>
  <c r="AP794" i="4"/>
  <c r="Q794" i="4" s="1"/>
  <c r="AQ794" i="4"/>
  <c r="AK794" i="4"/>
  <c r="AJ794" i="4"/>
  <c r="AO792" i="4"/>
  <c r="AQ792" i="4"/>
  <c r="AP792" i="4"/>
  <c r="AK792" i="4"/>
  <c r="AJ792" i="4"/>
  <c r="AO790" i="4"/>
  <c r="AP790" i="4"/>
  <c r="AQ790" i="4"/>
  <c r="AK790" i="4"/>
  <c r="AJ790" i="4"/>
  <c r="AO788" i="4"/>
  <c r="AQ788" i="4"/>
  <c r="AP788" i="4"/>
  <c r="Q788" i="4" s="1"/>
  <c r="AK788" i="4"/>
  <c r="AJ788" i="4"/>
  <c r="AO786" i="4"/>
  <c r="AP786" i="4"/>
  <c r="Q786" i="4" s="1"/>
  <c r="AQ786" i="4"/>
  <c r="AJ786" i="4"/>
  <c r="AK786" i="4"/>
  <c r="AO784" i="4"/>
  <c r="AP784" i="4"/>
  <c r="AQ784" i="4"/>
  <c r="AK784" i="4"/>
  <c r="AJ784" i="4"/>
  <c r="AO744" i="4"/>
  <c r="AP744" i="4"/>
  <c r="Q744" i="4" s="1"/>
  <c r="AQ744" i="4"/>
  <c r="AK744" i="4"/>
  <c r="AJ744" i="4"/>
  <c r="AQ962" i="4"/>
  <c r="AO962" i="4"/>
  <c r="AP962" i="4"/>
  <c r="Q962" i="4" s="1"/>
  <c r="AK962" i="4"/>
  <c r="AJ962" i="4"/>
  <c r="AO957" i="4"/>
  <c r="AP957" i="4"/>
  <c r="Q957" i="4" s="1"/>
  <c r="AQ957" i="4"/>
  <c r="AK957" i="4"/>
  <c r="AL957" i="4"/>
  <c r="AJ957" i="4"/>
  <c r="AQ930" i="4"/>
  <c r="AO930" i="4"/>
  <c r="AK930" i="4"/>
  <c r="AP930" i="4"/>
  <c r="Q930" i="4" s="1"/>
  <c r="AJ930" i="4"/>
  <c r="AO925" i="4"/>
  <c r="AP925" i="4"/>
  <c r="AQ925" i="4"/>
  <c r="AK925" i="4"/>
  <c r="AJ925" i="4"/>
  <c r="AP882" i="4"/>
  <c r="AO882" i="4"/>
  <c r="AQ882" i="4"/>
  <c r="AJ882" i="4"/>
  <c r="AK882" i="4"/>
  <c r="AO877" i="4"/>
  <c r="AP877" i="4"/>
  <c r="AQ877" i="4"/>
  <c r="AK877" i="4"/>
  <c r="AJ877" i="4"/>
  <c r="AO928" i="4"/>
  <c r="AP928" i="4"/>
  <c r="AQ928" i="4"/>
  <c r="AJ928" i="4"/>
  <c r="AK928" i="4"/>
  <c r="AO926" i="4"/>
  <c r="AQ926" i="4"/>
  <c r="AP926" i="4"/>
  <c r="Q926" i="4" s="1"/>
  <c r="AK926" i="4"/>
  <c r="AJ926" i="4"/>
  <c r="AO921" i="4"/>
  <c r="AP921" i="4"/>
  <c r="Q921" i="4" s="1"/>
  <c r="AQ921" i="4"/>
  <c r="AK921" i="4"/>
  <c r="AJ921" i="4"/>
  <c r="AO861" i="4"/>
  <c r="AP861" i="4"/>
  <c r="AQ861" i="4"/>
  <c r="AJ861" i="4"/>
  <c r="AK861" i="4"/>
  <c r="AO827" i="4"/>
  <c r="AP827" i="4"/>
  <c r="Q827" i="4" s="1"/>
  <c r="AQ827" i="4"/>
  <c r="AK827" i="4"/>
  <c r="AJ827" i="4"/>
  <c r="AO815" i="4"/>
  <c r="AQ815" i="4"/>
  <c r="AK815" i="4"/>
  <c r="AJ815" i="4"/>
  <c r="AP815" i="4"/>
  <c r="Q815" i="4" s="1"/>
  <c r="AO743" i="4"/>
  <c r="AP743" i="4"/>
  <c r="Q743" i="4" s="1"/>
  <c r="AQ743" i="4"/>
  <c r="AK743" i="4"/>
  <c r="AJ743" i="4"/>
  <c r="AO706" i="4"/>
  <c r="AP706" i="4"/>
  <c r="AQ706" i="4"/>
  <c r="AJ706" i="4"/>
  <c r="AK706" i="4"/>
  <c r="AO954" i="4"/>
  <c r="AP954" i="4"/>
  <c r="Q954" i="4" s="1"/>
  <c r="AQ954" i="4"/>
  <c r="AK954" i="4"/>
  <c r="AJ954" i="4"/>
  <c r="AO917" i="4"/>
  <c r="AP917" i="4"/>
  <c r="AQ917" i="4"/>
  <c r="AJ917" i="4"/>
  <c r="AL917" i="4"/>
  <c r="AK917" i="4"/>
  <c r="AO690" i="4"/>
  <c r="AQ690" i="4"/>
  <c r="AP690" i="4"/>
  <c r="AK690" i="4"/>
  <c r="AJ690" i="4"/>
  <c r="AO662" i="4"/>
  <c r="AQ662" i="4"/>
  <c r="AP662" i="4"/>
  <c r="AK662" i="4"/>
  <c r="AJ662" i="4"/>
  <c r="AO646" i="4"/>
  <c r="AP646" i="4"/>
  <c r="AQ646" i="4"/>
  <c r="AK646" i="4"/>
  <c r="AJ646" i="4"/>
  <c r="AO630" i="4"/>
  <c r="AQ630" i="4"/>
  <c r="AP630" i="4"/>
  <c r="AK630" i="4"/>
  <c r="AJ630" i="4"/>
  <c r="AO614" i="4"/>
  <c r="AP614" i="4"/>
  <c r="AQ614" i="4"/>
  <c r="AJ614" i="4"/>
  <c r="AK614" i="4"/>
  <c r="AO602" i="4"/>
  <c r="AQ602" i="4"/>
  <c r="AP602" i="4"/>
  <c r="Q602" i="4" s="1"/>
  <c r="AK602" i="4"/>
  <c r="AJ602" i="4"/>
  <c r="AO600" i="4"/>
  <c r="AP600" i="4"/>
  <c r="AQ600" i="4"/>
  <c r="AK600" i="4"/>
  <c r="AJ600" i="4"/>
  <c r="AO598" i="4"/>
  <c r="AP598" i="4"/>
  <c r="Q598" i="4" s="1"/>
  <c r="AQ598" i="4"/>
  <c r="AK598" i="4"/>
  <c r="AJ598" i="4"/>
  <c r="AO596" i="4"/>
  <c r="AQ596" i="4"/>
  <c r="AK596" i="4"/>
  <c r="AP596" i="4"/>
  <c r="AJ596" i="4"/>
  <c r="AO594" i="4"/>
  <c r="AP594" i="4"/>
  <c r="AQ594" i="4"/>
  <c r="AK594" i="4"/>
  <c r="AJ594" i="4"/>
  <c r="AO592" i="4"/>
  <c r="AQ592" i="4"/>
  <c r="AP592" i="4"/>
  <c r="Q592" i="4" s="1"/>
  <c r="AJ592" i="4"/>
  <c r="AK592" i="4"/>
  <c r="AO590" i="4"/>
  <c r="AQ590" i="4"/>
  <c r="AP590" i="4"/>
  <c r="AK590" i="4"/>
  <c r="AJ590" i="4"/>
  <c r="AO588" i="4"/>
  <c r="AP588" i="4"/>
  <c r="AQ588" i="4"/>
  <c r="AK588" i="4"/>
  <c r="AJ588" i="4"/>
  <c r="AO586" i="4"/>
  <c r="AQ586" i="4"/>
  <c r="AP586" i="4"/>
  <c r="Q586" i="4" s="1"/>
  <c r="AK586" i="4"/>
  <c r="AJ586" i="4"/>
  <c r="AO584" i="4"/>
  <c r="AP584" i="4"/>
  <c r="AQ584" i="4"/>
  <c r="AJ584" i="4"/>
  <c r="AK584" i="4"/>
  <c r="AO582" i="4"/>
  <c r="AP582" i="4"/>
  <c r="Q582" i="4" s="1"/>
  <c r="AQ582" i="4"/>
  <c r="AK582" i="4"/>
  <c r="AJ582" i="4"/>
  <c r="AO580" i="4"/>
  <c r="AQ580" i="4"/>
  <c r="AP580" i="4"/>
  <c r="AJ580" i="4"/>
  <c r="AK580" i="4"/>
  <c r="AO578" i="4"/>
  <c r="AP578" i="4"/>
  <c r="AQ578" i="4"/>
  <c r="AK578" i="4"/>
  <c r="AJ578" i="4"/>
  <c r="AO576" i="4"/>
  <c r="AQ576" i="4"/>
  <c r="AP576" i="4"/>
  <c r="Q576" i="4" s="1"/>
  <c r="AK576" i="4"/>
  <c r="AJ576" i="4"/>
  <c r="AO574" i="4"/>
  <c r="AQ574" i="4"/>
  <c r="AK574" i="4"/>
  <c r="AP574" i="4"/>
  <c r="AJ574" i="4"/>
  <c r="AO572" i="4"/>
  <c r="AP572" i="4"/>
  <c r="AQ572" i="4"/>
  <c r="AK572" i="4"/>
  <c r="AJ572" i="4"/>
  <c r="AO570" i="4"/>
  <c r="AP570" i="4"/>
  <c r="Q570" i="4" s="1"/>
  <c r="AQ570" i="4"/>
  <c r="AK570" i="4"/>
  <c r="AJ570" i="4"/>
  <c r="AO568" i="4"/>
  <c r="AP568" i="4"/>
  <c r="AQ568" i="4"/>
  <c r="AK568" i="4"/>
  <c r="AJ568" i="4"/>
  <c r="AO566" i="4"/>
  <c r="AQ566" i="4"/>
  <c r="AP566" i="4"/>
  <c r="AK566" i="4"/>
  <c r="AJ566" i="4"/>
  <c r="AO564" i="4"/>
  <c r="AQ564" i="4"/>
  <c r="AJ564" i="4"/>
  <c r="AP564" i="4"/>
  <c r="AK564" i="4"/>
  <c r="AO562" i="4"/>
  <c r="AP562" i="4"/>
  <c r="Q562" i="4" s="1"/>
  <c r="AQ562" i="4"/>
  <c r="AK562" i="4"/>
  <c r="AJ562" i="4"/>
  <c r="AO560" i="4"/>
  <c r="AQ560" i="4"/>
  <c r="AP560" i="4"/>
  <c r="Q560" i="4" s="1"/>
  <c r="AK560" i="4"/>
  <c r="AJ560" i="4"/>
  <c r="AO558" i="4"/>
  <c r="AQ558" i="4"/>
  <c r="AP558" i="4"/>
  <c r="AK558" i="4"/>
  <c r="AJ558" i="4"/>
  <c r="AO556" i="4"/>
  <c r="AP556" i="4"/>
  <c r="AQ556" i="4"/>
  <c r="AK556" i="4"/>
  <c r="AL556" i="4"/>
  <c r="AJ556" i="4"/>
  <c r="AO554" i="4"/>
  <c r="AP554" i="4"/>
  <c r="AQ554" i="4"/>
  <c r="AJ554" i="4"/>
  <c r="AK554" i="4"/>
  <c r="AO552" i="4"/>
  <c r="AP552" i="4"/>
  <c r="Q552" i="4" s="1"/>
  <c r="AQ552" i="4"/>
  <c r="AJ552" i="4"/>
  <c r="AK552" i="4"/>
  <c r="AO550" i="4"/>
  <c r="AQ550" i="4"/>
  <c r="AP550" i="4"/>
  <c r="AK550" i="4"/>
  <c r="AJ550" i="4"/>
  <c r="AO480" i="4"/>
  <c r="AQ480" i="4"/>
  <c r="AP480" i="4"/>
  <c r="Q480" i="4" s="1"/>
  <c r="AJ480" i="4"/>
  <c r="AK480" i="4"/>
  <c r="AO478" i="4"/>
  <c r="AQ478" i="4"/>
  <c r="AP478" i="4"/>
  <c r="Q478" i="4" s="1"/>
  <c r="AK478" i="4"/>
  <c r="AJ478" i="4"/>
  <c r="AO476" i="4"/>
  <c r="AP476" i="4"/>
  <c r="Q476" i="4" s="1"/>
  <c r="AQ476" i="4"/>
  <c r="AK476" i="4"/>
  <c r="AJ476" i="4"/>
  <c r="AL476" i="4"/>
  <c r="AO474" i="4"/>
  <c r="AP474" i="4"/>
  <c r="Q474" i="4" s="1"/>
  <c r="AQ474" i="4"/>
  <c r="AK474" i="4"/>
  <c r="AJ474" i="4"/>
  <c r="AL474" i="4"/>
  <c r="AO472" i="4"/>
  <c r="AP472" i="4"/>
  <c r="Q472" i="4" s="1"/>
  <c r="AK472" i="4"/>
  <c r="AQ472" i="4"/>
  <c r="AJ472" i="4"/>
  <c r="AO416" i="4"/>
  <c r="AP416" i="4"/>
  <c r="AK416" i="4"/>
  <c r="AJ416" i="4"/>
  <c r="AQ416" i="4"/>
  <c r="AO414" i="4"/>
  <c r="AK414" i="4"/>
  <c r="AP414" i="4"/>
  <c r="AQ414" i="4"/>
  <c r="AJ414" i="4"/>
  <c r="AO412" i="4"/>
  <c r="AQ412" i="4"/>
  <c r="AK412" i="4"/>
  <c r="AP412" i="4"/>
  <c r="Q412" i="4" s="1"/>
  <c r="AJ412" i="4"/>
  <c r="AL412" i="4"/>
  <c r="AO410" i="4"/>
  <c r="AP410" i="4"/>
  <c r="AQ410" i="4"/>
  <c r="AJ410" i="4"/>
  <c r="AK410" i="4"/>
  <c r="AO408" i="4"/>
  <c r="AP408" i="4"/>
  <c r="AJ408" i="4"/>
  <c r="AQ408" i="4"/>
  <c r="AK408" i="4"/>
  <c r="AO378" i="4"/>
  <c r="AK378" i="4"/>
  <c r="AP378" i="4"/>
  <c r="Q378" i="4" s="1"/>
  <c r="AQ378" i="4"/>
  <c r="AJ378" i="4"/>
  <c r="AO376" i="4"/>
  <c r="AJ376" i="4"/>
  <c r="AQ376" i="4"/>
  <c r="AP376" i="4"/>
  <c r="Q376" i="4" s="1"/>
  <c r="AK376" i="4"/>
  <c r="AO346" i="4"/>
  <c r="AP346" i="4"/>
  <c r="AQ346" i="4"/>
  <c r="AJ346" i="4"/>
  <c r="AK346" i="4"/>
  <c r="AO344" i="4"/>
  <c r="AQ344" i="4"/>
  <c r="AP344" i="4"/>
  <c r="AK344" i="4"/>
  <c r="AJ344" i="4"/>
  <c r="AO282" i="4"/>
  <c r="AJ282" i="4"/>
  <c r="AK282" i="4"/>
  <c r="AP282" i="4"/>
  <c r="Q282" i="4" s="1"/>
  <c r="AQ282" i="4"/>
  <c r="AO273" i="4"/>
  <c r="AK273" i="4"/>
  <c r="AP273" i="4"/>
  <c r="AJ273" i="4"/>
  <c r="AL273" i="4"/>
  <c r="AQ273" i="4"/>
  <c r="AO270" i="4"/>
  <c r="AQ270" i="4"/>
  <c r="AK270" i="4"/>
  <c r="AP270" i="4"/>
  <c r="Q270" i="4" s="1"/>
  <c r="AJ270" i="4"/>
  <c r="AO257" i="4"/>
  <c r="AK257" i="4"/>
  <c r="AQ257" i="4"/>
  <c r="AJ257" i="4"/>
  <c r="AP257" i="4"/>
  <c r="AO253" i="4"/>
  <c r="AP253" i="4"/>
  <c r="Q253" i="4" s="1"/>
  <c r="AK253" i="4"/>
  <c r="AJ253" i="4"/>
  <c r="AQ253" i="4"/>
  <c r="AO230" i="4"/>
  <c r="AP230" i="4"/>
  <c r="AK230" i="4"/>
  <c r="AQ230" i="4"/>
  <c r="AJ230" i="4"/>
  <c r="AO227" i="4"/>
  <c r="AK227" i="4"/>
  <c r="AQ227" i="4"/>
  <c r="AJ227" i="4"/>
  <c r="AP227" i="4"/>
  <c r="Q227" i="4" s="1"/>
  <c r="AO221" i="4"/>
  <c r="AQ221" i="4"/>
  <c r="AP221" i="4"/>
  <c r="Q221" i="4" s="1"/>
  <c r="AJ221" i="4"/>
  <c r="AK221" i="4"/>
  <c r="AO198" i="4"/>
  <c r="AP198" i="4"/>
  <c r="Q198" i="4" s="1"/>
  <c r="AQ198" i="4"/>
  <c r="AJ198" i="4"/>
  <c r="AK198" i="4"/>
  <c r="AO195" i="4"/>
  <c r="AL195" i="4"/>
  <c r="AP195" i="4"/>
  <c r="AJ195" i="4"/>
  <c r="AQ195" i="4"/>
  <c r="AK195" i="4"/>
  <c r="AO191" i="4"/>
  <c r="AK191" i="4"/>
  <c r="AJ191" i="4"/>
  <c r="AP191" i="4"/>
  <c r="Q191" i="4" s="1"/>
  <c r="AQ191" i="4"/>
  <c r="AO187" i="4"/>
  <c r="AP187" i="4"/>
  <c r="Q187" i="4" s="1"/>
  <c r="AQ187" i="4"/>
  <c r="AK187" i="4"/>
  <c r="AJ187" i="4"/>
  <c r="AO183" i="4"/>
  <c r="AK183" i="4"/>
  <c r="AP183" i="4"/>
  <c r="AQ183" i="4"/>
  <c r="AJ183" i="4"/>
  <c r="AO179" i="4"/>
  <c r="AL179" i="4"/>
  <c r="AP179" i="4"/>
  <c r="AJ179" i="4"/>
  <c r="AQ179" i="4"/>
  <c r="AK179" i="4"/>
  <c r="AO153" i="4"/>
  <c r="AK153" i="4"/>
  <c r="AJ153" i="4"/>
  <c r="AP153" i="4"/>
  <c r="Q153" i="4" s="1"/>
  <c r="AQ153" i="4"/>
  <c r="AO137" i="4"/>
  <c r="AQ137" i="4"/>
  <c r="AJ137" i="4"/>
  <c r="AP137" i="4"/>
  <c r="AK137" i="4"/>
  <c r="AO114" i="4"/>
  <c r="AJ114" i="4"/>
  <c r="AP114" i="4"/>
  <c r="AQ114" i="4"/>
  <c r="AK114" i="4"/>
  <c r="AO110" i="4"/>
  <c r="AK110" i="4"/>
  <c r="AQ110" i="4"/>
  <c r="AL110" i="4"/>
  <c r="AJ110" i="4"/>
  <c r="AP110" i="4"/>
  <c r="AO106" i="4"/>
  <c r="AP106" i="4"/>
  <c r="AQ106" i="4"/>
  <c r="AJ106" i="4"/>
  <c r="AK106" i="4"/>
  <c r="AO102" i="4"/>
  <c r="AL102" i="4"/>
  <c r="AP102" i="4"/>
  <c r="AQ102" i="4"/>
  <c r="AJ102" i="4"/>
  <c r="AK102" i="4"/>
  <c r="AO98" i="4"/>
  <c r="AJ98" i="4"/>
  <c r="AP98" i="4"/>
  <c r="Q98" i="4" s="1"/>
  <c r="AQ98" i="4"/>
  <c r="AK98" i="4"/>
  <c r="AO94" i="4"/>
  <c r="AQ94" i="4"/>
  <c r="AK94" i="4"/>
  <c r="AJ94" i="4"/>
  <c r="AP94" i="4"/>
  <c r="Q94" i="4" s="1"/>
  <c r="AO90" i="4"/>
  <c r="AP90" i="4"/>
  <c r="AJ90" i="4"/>
  <c r="AQ90" i="4"/>
  <c r="AK90" i="4"/>
  <c r="AO86" i="4"/>
  <c r="AQ86" i="4"/>
  <c r="AJ86" i="4"/>
  <c r="AL86" i="4"/>
  <c r="AP86" i="4"/>
  <c r="Q86" i="4" s="1"/>
  <c r="AK86" i="4"/>
  <c r="AO82" i="4"/>
  <c r="AK82" i="4"/>
  <c r="AP82" i="4"/>
  <c r="AJ82" i="4"/>
  <c r="AQ82" i="4"/>
  <c r="AO78" i="4"/>
  <c r="AJ78" i="4"/>
  <c r="AL78" i="4"/>
  <c r="AP78" i="4"/>
  <c r="Q78" i="4" s="1"/>
  <c r="AQ78" i="4"/>
  <c r="AK78" i="4"/>
  <c r="AO74" i="4"/>
  <c r="AP74" i="4"/>
  <c r="Q74" i="4" s="1"/>
  <c r="AQ74" i="4"/>
  <c r="AJ74" i="4"/>
  <c r="AK74" i="4"/>
  <c r="AO70" i="4"/>
  <c r="AQ70" i="4"/>
  <c r="AJ70" i="4"/>
  <c r="AP70" i="4"/>
  <c r="AK70" i="4"/>
  <c r="AO66" i="4"/>
  <c r="AQ66" i="4"/>
  <c r="AP66" i="4"/>
  <c r="AK66" i="4"/>
  <c r="AJ66" i="4"/>
  <c r="AL66" i="4"/>
  <c r="AO62" i="4"/>
  <c r="AQ62" i="4"/>
  <c r="AJ62" i="4"/>
  <c r="AK62" i="4"/>
  <c r="AP62" i="4"/>
  <c r="AO58" i="4"/>
  <c r="AP58" i="4"/>
  <c r="AK58" i="4"/>
  <c r="AQ58" i="4"/>
  <c r="AJ58" i="4"/>
  <c r="AO54" i="4"/>
  <c r="AQ54" i="4"/>
  <c r="AP54" i="4"/>
  <c r="AK54" i="4"/>
  <c r="AL54" i="4"/>
  <c r="AJ54" i="4"/>
  <c r="AO50" i="4"/>
  <c r="AP50" i="4"/>
  <c r="Q50" i="4" s="1"/>
  <c r="AK50" i="4"/>
  <c r="AQ50" i="4"/>
  <c r="AJ50" i="4"/>
  <c r="AO938" i="4"/>
  <c r="AP938" i="4"/>
  <c r="AQ938" i="4"/>
  <c r="AK938" i="4"/>
  <c r="AJ938" i="4"/>
  <c r="AO901" i="4"/>
  <c r="AP901" i="4"/>
  <c r="AQ901" i="4"/>
  <c r="AK901" i="4"/>
  <c r="AJ901" i="4"/>
  <c r="AO728" i="4"/>
  <c r="AP728" i="4"/>
  <c r="AQ728" i="4"/>
  <c r="AJ728" i="4"/>
  <c r="AK728" i="4"/>
  <c r="AQ723" i="4"/>
  <c r="AO723" i="4"/>
  <c r="AP723" i="4"/>
  <c r="AK723" i="4"/>
  <c r="AJ723" i="4"/>
  <c r="AQ711" i="4"/>
  <c r="AO711" i="4"/>
  <c r="AP711" i="4"/>
  <c r="AK711" i="4"/>
  <c r="AJ711" i="4"/>
  <c r="AO390" i="4"/>
  <c r="AQ390" i="4"/>
  <c r="AK390" i="4"/>
  <c r="AJ390" i="4"/>
  <c r="AP390" i="4"/>
  <c r="Q390" i="4" s="1"/>
  <c r="AO388" i="4"/>
  <c r="AQ388" i="4"/>
  <c r="AP388" i="4"/>
  <c r="Q388" i="4" s="1"/>
  <c r="AK388" i="4"/>
  <c r="AJ388" i="4"/>
  <c r="AO326" i="4"/>
  <c r="AQ326" i="4"/>
  <c r="AK326" i="4"/>
  <c r="AP326" i="4"/>
  <c r="AJ326" i="4"/>
  <c r="AO324" i="4"/>
  <c r="AQ324" i="4"/>
  <c r="AJ324" i="4"/>
  <c r="AK324" i="4"/>
  <c r="AP324" i="4"/>
  <c r="Q324" i="4" s="1"/>
  <c r="AO317" i="4"/>
  <c r="AK317" i="4"/>
  <c r="AP317" i="4"/>
  <c r="AQ317" i="4"/>
  <c r="AJ317" i="4"/>
  <c r="AO279" i="4"/>
  <c r="AQ279" i="4"/>
  <c r="AJ279" i="4"/>
  <c r="AK279" i="4"/>
  <c r="AP279" i="4"/>
  <c r="Q279" i="4" s="1"/>
  <c r="AO260" i="4"/>
  <c r="AK260" i="4"/>
  <c r="AQ260" i="4"/>
  <c r="AJ260" i="4"/>
  <c r="AP260" i="4"/>
  <c r="AO239" i="4"/>
  <c r="AJ239" i="4"/>
  <c r="AL239" i="4"/>
  <c r="AP239" i="4"/>
  <c r="AQ239" i="4"/>
  <c r="AK239" i="4"/>
  <c r="AO233" i="4"/>
  <c r="AP233" i="4"/>
  <c r="AJ233" i="4"/>
  <c r="AQ233" i="4"/>
  <c r="AK233" i="4"/>
  <c r="AO207" i="4"/>
  <c r="AP207" i="4"/>
  <c r="Q207" i="4" s="1"/>
  <c r="AQ207" i="4"/>
  <c r="AK207" i="4"/>
  <c r="AJ207" i="4"/>
  <c r="AO201" i="4"/>
  <c r="AL201" i="4"/>
  <c r="AP201" i="4"/>
  <c r="AJ201" i="4"/>
  <c r="AQ201" i="4"/>
  <c r="AK201" i="4"/>
  <c r="AO980" i="4"/>
  <c r="AQ980" i="4"/>
  <c r="AP980" i="4"/>
  <c r="Q980" i="4" s="1"/>
  <c r="AJ980" i="4"/>
  <c r="AK980" i="4"/>
  <c r="AO949" i="4"/>
  <c r="AP949" i="4"/>
  <c r="Q949" i="4" s="1"/>
  <c r="AQ949" i="4"/>
  <c r="AK949" i="4"/>
  <c r="AJ949" i="4"/>
  <c r="AO527" i="4"/>
  <c r="AJ527" i="4"/>
  <c r="AP527" i="4"/>
  <c r="AQ527" i="4"/>
  <c r="AK527" i="4"/>
  <c r="AO525" i="4"/>
  <c r="AQ525" i="4"/>
  <c r="AK525" i="4"/>
  <c r="AP525" i="4"/>
  <c r="Q525" i="4" s="1"/>
  <c r="AJ525" i="4"/>
  <c r="AO523" i="4"/>
  <c r="AQ523" i="4"/>
  <c r="AP523" i="4"/>
  <c r="Q523" i="4" s="1"/>
  <c r="AK523" i="4"/>
  <c r="AJ523" i="4"/>
  <c r="AO521" i="4"/>
  <c r="AP521" i="4"/>
  <c r="Q521" i="4" s="1"/>
  <c r="AQ521" i="4"/>
  <c r="AJ521" i="4"/>
  <c r="AK521" i="4"/>
  <c r="AO519" i="4"/>
  <c r="AP519" i="4"/>
  <c r="AJ519" i="4"/>
  <c r="AQ519" i="4"/>
  <c r="AK519" i="4"/>
  <c r="AO517" i="4"/>
  <c r="AQ517" i="4"/>
  <c r="AP517" i="4"/>
  <c r="AK517" i="4"/>
  <c r="AJ517" i="4"/>
  <c r="AO515" i="4"/>
  <c r="AP515" i="4"/>
  <c r="AQ515" i="4"/>
  <c r="AK515" i="4"/>
  <c r="AJ515" i="4"/>
  <c r="AO513" i="4"/>
  <c r="AP513" i="4"/>
  <c r="Q513" i="4" s="1"/>
  <c r="AQ513" i="4"/>
  <c r="AK513" i="4"/>
  <c r="AJ513" i="4"/>
  <c r="AO511" i="4"/>
  <c r="AP511" i="4"/>
  <c r="AQ511" i="4"/>
  <c r="AK511" i="4"/>
  <c r="AJ511" i="4"/>
  <c r="AO509" i="4"/>
  <c r="AQ509" i="4"/>
  <c r="AP509" i="4"/>
  <c r="AK509" i="4"/>
  <c r="AJ509" i="4"/>
  <c r="AO507" i="4"/>
  <c r="AP507" i="4"/>
  <c r="AQ507" i="4"/>
  <c r="AK507" i="4"/>
  <c r="AJ507" i="4"/>
  <c r="AO505" i="4"/>
  <c r="AP505" i="4"/>
  <c r="Q505" i="4" s="1"/>
  <c r="AQ505" i="4"/>
  <c r="AJ505" i="4"/>
  <c r="AK505" i="4"/>
  <c r="AO503" i="4"/>
  <c r="AQ503" i="4"/>
  <c r="AJ503" i="4"/>
  <c r="AP503" i="4"/>
  <c r="AK503" i="4"/>
  <c r="AO501" i="4"/>
  <c r="AQ501" i="4"/>
  <c r="AP501" i="4"/>
  <c r="AK501" i="4"/>
  <c r="AJ501" i="4"/>
  <c r="AO499" i="4"/>
  <c r="AP499" i="4"/>
  <c r="AQ499" i="4"/>
  <c r="AK499" i="4"/>
  <c r="AJ499" i="4"/>
  <c r="AO497" i="4"/>
  <c r="AP497" i="4"/>
  <c r="Q497" i="4" s="1"/>
  <c r="AQ497" i="4"/>
  <c r="AJ497" i="4"/>
  <c r="AK497" i="4"/>
  <c r="AO495" i="4"/>
  <c r="AQ495" i="4"/>
  <c r="AK495" i="4"/>
  <c r="AP495" i="4"/>
  <c r="AJ495" i="4"/>
  <c r="AO493" i="4"/>
  <c r="AQ493" i="4"/>
  <c r="AL493" i="4"/>
  <c r="AJ493" i="4"/>
  <c r="AP493" i="4"/>
  <c r="Q493" i="4" s="1"/>
  <c r="AK493" i="4"/>
  <c r="AO402" i="4"/>
  <c r="AQ402" i="4"/>
  <c r="AJ402" i="4"/>
  <c r="AL402" i="4"/>
  <c r="AP402" i="4"/>
  <c r="AK402" i="4"/>
  <c r="AO386" i="4"/>
  <c r="AQ386" i="4"/>
  <c r="AK386" i="4"/>
  <c r="AP386" i="4"/>
  <c r="Q386" i="4" s="1"/>
  <c r="AJ386" i="4"/>
  <c r="AO370" i="4"/>
  <c r="AP370" i="4"/>
  <c r="AQ370" i="4"/>
  <c r="AK370" i="4"/>
  <c r="AJ370" i="4"/>
  <c r="AO354" i="4"/>
  <c r="AJ354" i="4"/>
  <c r="AP354" i="4"/>
  <c r="Q354" i="4" s="1"/>
  <c r="AQ354" i="4"/>
  <c r="AK354" i="4"/>
  <c r="AO338" i="4"/>
  <c r="AJ338" i="4"/>
  <c r="AP338" i="4"/>
  <c r="AQ338" i="4"/>
  <c r="AK338" i="4"/>
  <c r="AO322" i="4"/>
  <c r="AK322" i="4"/>
  <c r="AP322" i="4"/>
  <c r="AQ322" i="4"/>
  <c r="AJ322" i="4"/>
  <c r="AO213" i="4"/>
  <c r="AP213" i="4"/>
  <c r="AQ213" i="4"/>
  <c r="AK213" i="4"/>
  <c r="AJ213" i="4"/>
  <c r="AO208" i="4"/>
  <c r="AP208" i="4"/>
  <c r="Q208" i="4" s="1"/>
  <c r="AQ208" i="4"/>
  <c r="AK208" i="4"/>
  <c r="AJ208" i="4"/>
  <c r="AO206" i="4"/>
  <c r="AP206" i="4"/>
  <c r="AK206" i="4"/>
  <c r="AQ206" i="4"/>
  <c r="AJ206" i="4"/>
  <c r="AO398" i="4"/>
  <c r="AP398" i="4"/>
  <c r="AK398" i="4"/>
  <c r="AQ398" i="4"/>
  <c r="AL398" i="4"/>
  <c r="AJ398" i="4"/>
  <c r="AO396" i="4"/>
  <c r="AP396" i="4"/>
  <c r="Q396" i="4" s="1"/>
  <c r="AQ396" i="4"/>
  <c r="AJ396" i="4"/>
  <c r="AK396" i="4"/>
  <c r="AO366" i="4"/>
  <c r="AK366" i="4"/>
  <c r="AP366" i="4"/>
  <c r="AQ366" i="4"/>
  <c r="AJ366" i="4"/>
  <c r="AO364" i="4"/>
  <c r="AL364" i="4"/>
  <c r="AJ364" i="4"/>
  <c r="AP364" i="4"/>
  <c r="Q364" i="4" s="1"/>
  <c r="AK364" i="4"/>
  <c r="AQ364" i="4"/>
  <c r="AO334" i="4"/>
  <c r="AP334" i="4"/>
  <c r="Q334" i="4" s="1"/>
  <c r="AQ334" i="4"/>
  <c r="AJ334" i="4"/>
  <c r="AK334" i="4"/>
  <c r="AO332" i="4"/>
  <c r="AP332" i="4"/>
  <c r="AQ332" i="4"/>
  <c r="AJ332" i="4"/>
  <c r="AK332" i="4"/>
  <c r="AO234" i="4"/>
  <c r="AK234" i="4"/>
  <c r="AJ234" i="4"/>
  <c r="AP234" i="4"/>
  <c r="Q234" i="4" s="1"/>
  <c r="AQ234" i="4"/>
  <c r="AO202" i="4"/>
  <c r="AP202" i="4"/>
  <c r="AQ202" i="4"/>
  <c r="AK202" i="4"/>
  <c r="AJ202" i="4"/>
  <c r="AQ26" i="4"/>
  <c r="AK26" i="4"/>
  <c r="AO26" i="4"/>
  <c r="Q26" i="4" s="1"/>
  <c r="AL26" i="4"/>
  <c r="AK9" i="4"/>
  <c r="AJ9" i="4"/>
  <c r="AQ7" i="4"/>
  <c r="AP7" i="4"/>
  <c r="AO7" i="4"/>
  <c r="AJ7" i="4"/>
  <c r="AK7" i="4"/>
  <c r="AP29" i="4"/>
  <c r="AO29" i="4"/>
  <c r="AJ29" i="4"/>
  <c r="AK29" i="4"/>
  <c r="AQ29" i="4"/>
  <c r="AP31" i="4"/>
  <c r="Q31" i="4" s="1"/>
  <c r="AK31" i="4"/>
  <c r="AJ31" i="4"/>
  <c r="AO966" i="4"/>
  <c r="AQ966" i="4"/>
  <c r="AJ966" i="4"/>
  <c r="AP966" i="4"/>
  <c r="Q966" i="4" s="1"/>
  <c r="AK966" i="4"/>
  <c r="AO961" i="4"/>
  <c r="AQ961" i="4"/>
  <c r="AP961" i="4"/>
  <c r="AJ961" i="4"/>
  <c r="AK961" i="4"/>
  <c r="AO934" i="4"/>
  <c r="AP934" i="4"/>
  <c r="AQ934" i="4"/>
  <c r="AJ934" i="4"/>
  <c r="AK934" i="4"/>
  <c r="AO929" i="4"/>
  <c r="AQ929" i="4"/>
  <c r="AK929" i="4"/>
  <c r="AP929" i="4"/>
  <c r="Q929" i="4" s="1"/>
  <c r="AJ929" i="4"/>
  <c r="AO886" i="4"/>
  <c r="AP886" i="4"/>
  <c r="AQ886" i="4"/>
  <c r="AK886" i="4"/>
  <c r="AJ886" i="4"/>
  <c r="AO881" i="4"/>
  <c r="AQ881" i="4"/>
  <c r="AP881" i="4"/>
  <c r="AK881" i="4"/>
  <c r="AJ881" i="4"/>
  <c r="AO848" i="4"/>
  <c r="AQ848" i="4"/>
  <c r="AP848" i="4"/>
  <c r="AK848" i="4"/>
  <c r="AJ848" i="4"/>
  <c r="AO828" i="4"/>
  <c r="AQ828" i="4"/>
  <c r="AP828" i="4"/>
  <c r="AK828" i="4"/>
  <c r="AJ828" i="4"/>
  <c r="AO812" i="4"/>
  <c r="AQ812" i="4"/>
  <c r="AP812" i="4"/>
  <c r="Q812" i="4" s="1"/>
  <c r="AK812" i="4"/>
  <c r="AJ812" i="4"/>
  <c r="AO810" i="4"/>
  <c r="AP810" i="4"/>
  <c r="Q810" i="4" s="1"/>
  <c r="AQ810" i="4"/>
  <c r="AK810" i="4"/>
  <c r="AJ810" i="4"/>
  <c r="AL810" i="4"/>
  <c r="AO808" i="4"/>
  <c r="AP808" i="4"/>
  <c r="AQ808" i="4"/>
  <c r="AK808" i="4"/>
  <c r="AJ808" i="4"/>
  <c r="AO806" i="4"/>
  <c r="AQ806" i="4"/>
  <c r="AP806" i="4"/>
  <c r="Q806" i="4" s="1"/>
  <c r="AL806" i="4"/>
  <c r="AK806" i="4"/>
  <c r="AJ806" i="4"/>
  <c r="AO750" i="4"/>
  <c r="AQ750" i="4"/>
  <c r="AP750" i="4"/>
  <c r="AJ750" i="4"/>
  <c r="AK750" i="4"/>
  <c r="AO748" i="4"/>
  <c r="AQ748" i="4"/>
  <c r="AJ748" i="4"/>
  <c r="AP748" i="4"/>
  <c r="Q748" i="4" s="1"/>
  <c r="AK748" i="4"/>
  <c r="AO974" i="4"/>
  <c r="AQ974" i="4"/>
  <c r="AK974" i="4"/>
  <c r="AP974" i="4"/>
  <c r="Q974" i="4" s="1"/>
  <c r="AJ974" i="4"/>
  <c r="AO969" i="4"/>
  <c r="AP969" i="4"/>
  <c r="Q969" i="4" s="1"/>
  <c r="AQ969" i="4"/>
  <c r="AJ969" i="4"/>
  <c r="AK969" i="4"/>
  <c r="AO942" i="4"/>
  <c r="AP942" i="4"/>
  <c r="AQ942" i="4"/>
  <c r="AK942" i="4"/>
  <c r="AJ942" i="4"/>
  <c r="AO937" i="4"/>
  <c r="AJ937" i="4"/>
  <c r="AP937" i="4"/>
  <c r="AQ937" i="4"/>
  <c r="AK937" i="4"/>
  <c r="AO889" i="4"/>
  <c r="AQ889" i="4"/>
  <c r="AK889" i="4"/>
  <c r="AL889" i="4"/>
  <c r="AP889" i="4"/>
  <c r="AJ889" i="4"/>
  <c r="AO865" i="4"/>
  <c r="AQ865" i="4"/>
  <c r="AP865" i="4"/>
  <c r="AK865" i="4"/>
  <c r="AJ865" i="4"/>
  <c r="AO849" i="4"/>
  <c r="AQ849" i="4"/>
  <c r="AJ849" i="4"/>
  <c r="AP849" i="4"/>
  <c r="Q849" i="4" s="1"/>
  <c r="AK849" i="4"/>
  <c r="AO837" i="4"/>
  <c r="AP837" i="4"/>
  <c r="AQ837" i="4"/>
  <c r="AK837" i="4"/>
  <c r="AJ837" i="4"/>
  <c r="AO835" i="4"/>
  <c r="AQ835" i="4"/>
  <c r="AP835" i="4"/>
  <c r="AK835" i="4"/>
  <c r="AJ835" i="4"/>
  <c r="AO833" i="4"/>
  <c r="AQ833" i="4"/>
  <c r="AP833" i="4"/>
  <c r="AK833" i="4"/>
  <c r="AJ833" i="4"/>
  <c r="AL833" i="4"/>
  <c r="AO831" i="4"/>
  <c r="AP831" i="4"/>
  <c r="AQ831" i="4"/>
  <c r="AK831" i="4"/>
  <c r="AJ831" i="4"/>
  <c r="AO819" i="4"/>
  <c r="AQ819" i="4"/>
  <c r="AJ819" i="4"/>
  <c r="AP819" i="4"/>
  <c r="AK819" i="4"/>
  <c r="AO747" i="4"/>
  <c r="AP747" i="4"/>
  <c r="AQ747" i="4"/>
  <c r="AK747" i="4"/>
  <c r="AJ747" i="4"/>
  <c r="AO731" i="4"/>
  <c r="AP731" i="4"/>
  <c r="AJ731" i="4"/>
  <c r="AQ731" i="4"/>
  <c r="AK731" i="4"/>
  <c r="AO694" i="4"/>
  <c r="AQ694" i="4"/>
  <c r="AJ694" i="4"/>
  <c r="AL694" i="4"/>
  <c r="AP694" i="4"/>
  <c r="Q694" i="4" s="1"/>
  <c r="AK694" i="4"/>
  <c r="AO678" i="4"/>
  <c r="AQ678" i="4"/>
  <c r="AJ678" i="4"/>
  <c r="AP678" i="4"/>
  <c r="AK678" i="4"/>
  <c r="AO666" i="4"/>
  <c r="AP666" i="4"/>
  <c r="AQ666" i="4"/>
  <c r="AK666" i="4"/>
  <c r="AJ666" i="4"/>
  <c r="AL666" i="4"/>
  <c r="AO650" i="4"/>
  <c r="AP650" i="4"/>
  <c r="Q650" i="4" s="1"/>
  <c r="AQ650" i="4"/>
  <c r="AK650" i="4"/>
  <c r="AJ650" i="4"/>
  <c r="AO634" i="4"/>
  <c r="AP634" i="4"/>
  <c r="AQ634" i="4"/>
  <c r="AK634" i="4"/>
  <c r="AJ634" i="4"/>
  <c r="AO618" i="4"/>
  <c r="AP618" i="4"/>
  <c r="AQ618" i="4"/>
  <c r="AJ618" i="4"/>
  <c r="AK618" i="4"/>
  <c r="AO606" i="4"/>
  <c r="AQ606" i="4"/>
  <c r="AP606" i="4"/>
  <c r="Q606" i="4" s="1"/>
  <c r="AK606" i="4"/>
  <c r="AJ606" i="4"/>
  <c r="AO502" i="4"/>
  <c r="AQ502" i="4"/>
  <c r="AP502" i="4"/>
  <c r="AK502" i="4"/>
  <c r="AJ502" i="4"/>
  <c r="AO500" i="4"/>
  <c r="AP500" i="4"/>
  <c r="AQ500" i="4"/>
  <c r="AK500" i="4"/>
  <c r="AJ500" i="4"/>
  <c r="AO498" i="4"/>
  <c r="AQ498" i="4"/>
  <c r="AP498" i="4"/>
  <c r="AK498" i="4"/>
  <c r="AJ498" i="4"/>
  <c r="AO496" i="4"/>
  <c r="AP496" i="4"/>
  <c r="AQ496" i="4"/>
  <c r="AK496" i="4"/>
  <c r="AJ496" i="4"/>
  <c r="AO494" i="4"/>
  <c r="AP494" i="4"/>
  <c r="Q494" i="4" s="1"/>
  <c r="AQ494" i="4"/>
  <c r="AJ494" i="4"/>
  <c r="AK494" i="4"/>
  <c r="AO492" i="4"/>
  <c r="AQ492" i="4"/>
  <c r="AJ492" i="4"/>
  <c r="AP492" i="4"/>
  <c r="AK492" i="4"/>
  <c r="AO490" i="4"/>
  <c r="AP490" i="4"/>
  <c r="AQ490" i="4"/>
  <c r="AJ490" i="4"/>
  <c r="AK490" i="4"/>
  <c r="AL490" i="4"/>
  <c r="AO488" i="4"/>
  <c r="AP488" i="4"/>
  <c r="Q488" i="4" s="1"/>
  <c r="AQ488" i="4"/>
  <c r="AK488" i="4"/>
  <c r="AJ488" i="4"/>
  <c r="AO486" i="4"/>
  <c r="AQ486" i="4"/>
  <c r="AP486" i="4"/>
  <c r="AK486" i="4"/>
  <c r="AJ486" i="4"/>
  <c r="AO484" i="4"/>
  <c r="AQ484" i="4"/>
  <c r="AP484" i="4"/>
  <c r="AK484" i="4"/>
  <c r="AJ484" i="4"/>
  <c r="AO482" i="4"/>
  <c r="AP482" i="4"/>
  <c r="AQ482" i="4"/>
  <c r="AL482" i="4"/>
  <c r="AK482" i="4"/>
  <c r="AJ482" i="4"/>
  <c r="AO438" i="4"/>
  <c r="AP438" i="4"/>
  <c r="AQ438" i="4"/>
  <c r="AK438" i="4"/>
  <c r="AJ438" i="4"/>
  <c r="AO436" i="4"/>
  <c r="AJ436" i="4"/>
  <c r="AP436" i="4"/>
  <c r="AQ436" i="4"/>
  <c r="AK436" i="4"/>
  <c r="AO434" i="4"/>
  <c r="AQ434" i="4"/>
  <c r="AK434" i="4"/>
  <c r="AP434" i="4"/>
  <c r="Q434" i="4" s="1"/>
  <c r="AJ434" i="4"/>
  <c r="AO432" i="4"/>
  <c r="AP432" i="4"/>
  <c r="Q432" i="4" s="1"/>
  <c r="AQ432" i="4"/>
  <c r="AK432" i="4"/>
  <c r="AJ432" i="4"/>
  <c r="AO430" i="4"/>
  <c r="AL430" i="4"/>
  <c r="AQ430" i="4"/>
  <c r="AP430" i="4"/>
  <c r="AK430" i="4"/>
  <c r="AJ430" i="4"/>
  <c r="AO428" i="4"/>
  <c r="AL428" i="4"/>
  <c r="AQ428" i="4"/>
  <c r="AJ428" i="4"/>
  <c r="AK428" i="4"/>
  <c r="AP428" i="4"/>
  <c r="AO426" i="4"/>
  <c r="AJ426" i="4"/>
  <c r="AQ426" i="4"/>
  <c r="AP426" i="4"/>
  <c r="AL426" i="4"/>
  <c r="AK426" i="4"/>
  <c r="AO424" i="4"/>
  <c r="AP424" i="4"/>
  <c r="AQ424" i="4"/>
  <c r="AJ424" i="4"/>
  <c r="AK424" i="4"/>
  <c r="AO422" i="4"/>
  <c r="AL422" i="4"/>
  <c r="AQ422" i="4"/>
  <c r="AK422" i="4"/>
  <c r="AP422" i="4"/>
  <c r="AJ422" i="4"/>
  <c r="AO420" i="4"/>
  <c r="AK420" i="4"/>
  <c r="AJ420" i="4"/>
  <c r="AP420" i="4"/>
  <c r="Q420" i="4" s="1"/>
  <c r="AL420" i="4"/>
  <c r="AQ420" i="4"/>
  <c r="AO418" i="4"/>
  <c r="AP418" i="4"/>
  <c r="Q418" i="4" s="1"/>
  <c r="AQ418" i="4"/>
  <c r="AK418" i="4"/>
  <c r="AJ418" i="4"/>
  <c r="AO292" i="4"/>
  <c r="AK292" i="4"/>
  <c r="AL292" i="4"/>
  <c r="AJ292" i="4"/>
  <c r="AP292" i="4"/>
  <c r="Q292" i="4" s="1"/>
  <c r="AQ292" i="4"/>
  <c r="AO288" i="4"/>
  <c r="AP288" i="4"/>
  <c r="AJ288" i="4"/>
  <c r="AK288" i="4"/>
  <c r="AL288" i="4"/>
  <c r="AQ288" i="4"/>
  <c r="AO285" i="4"/>
  <c r="AL285" i="4"/>
  <c r="AQ285" i="4"/>
  <c r="AP285" i="4"/>
  <c r="AK285" i="4"/>
  <c r="AJ285" i="4"/>
  <c r="AO267" i="4"/>
  <c r="AL267" i="4"/>
  <c r="AP267" i="4"/>
  <c r="Q267" i="4" s="1"/>
  <c r="AK267" i="4"/>
  <c r="AQ267" i="4"/>
  <c r="AJ267" i="4"/>
  <c r="AO232" i="4"/>
  <c r="AJ232" i="4"/>
  <c r="AP232" i="4"/>
  <c r="AK232" i="4"/>
  <c r="AQ232" i="4"/>
  <c r="AO200" i="4"/>
  <c r="AK200" i="4"/>
  <c r="AJ200" i="4"/>
  <c r="AP200" i="4"/>
  <c r="Q200" i="4" s="1"/>
  <c r="AL200" i="4"/>
  <c r="AQ200" i="4"/>
  <c r="AO159" i="4"/>
  <c r="AQ159" i="4"/>
  <c r="AK159" i="4"/>
  <c r="AJ159" i="4"/>
  <c r="AP159" i="4"/>
  <c r="AO157" i="4"/>
  <c r="AP157" i="4"/>
  <c r="AQ157" i="4"/>
  <c r="AJ157" i="4"/>
  <c r="AK157" i="4"/>
  <c r="AO155" i="4"/>
  <c r="AQ155" i="4"/>
  <c r="AJ155" i="4"/>
  <c r="AK155" i="4"/>
  <c r="AP155" i="4"/>
  <c r="Q155" i="4" s="1"/>
  <c r="AO143" i="4"/>
  <c r="AP143" i="4"/>
  <c r="AQ143" i="4"/>
  <c r="AK143" i="4"/>
  <c r="AJ143" i="4"/>
  <c r="AO141" i="4"/>
  <c r="AQ141" i="4"/>
  <c r="AK141" i="4"/>
  <c r="AJ141" i="4"/>
  <c r="AP141" i="4"/>
  <c r="AO139" i="4"/>
  <c r="AJ139" i="4"/>
  <c r="AK139" i="4"/>
  <c r="AP139" i="4"/>
  <c r="AQ139" i="4"/>
  <c r="AO127" i="4"/>
  <c r="AJ127" i="4"/>
  <c r="AK127" i="4"/>
  <c r="AL127" i="4"/>
  <c r="AP127" i="4"/>
  <c r="Q127" i="4" s="1"/>
  <c r="AQ127" i="4"/>
  <c r="AO125" i="4"/>
  <c r="AP125" i="4"/>
  <c r="Q125" i="4" s="1"/>
  <c r="AQ125" i="4"/>
  <c r="AK125" i="4"/>
  <c r="AJ125" i="4"/>
  <c r="AO120" i="4"/>
  <c r="AQ120" i="4"/>
  <c r="AJ120" i="4"/>
  <c r="AP120" i="4"/>
  <c r="AK120" i="4"/>
  <c r="AO117" i="4"/>
  <c r="AK117" i="4"/>
  <c r="AJ117" i="4"/>
  <c r="AP117" i="4"/>
  <c r="Q117" i="4" s="1"/>
  <c r="AQ117" i="4"/>
  <c r="AO113" i="4"/>
  <c r="AQ113" i="4"/>
  <c r="AP113" i="4"/>
  <c r="Q113" i="4" s="1"/>
  <c r="AK113" i="4"/>
  <c r="AJ113" i="4"/>
  <c r="AL113" i="4"/>
  <c r="AO109" i="4"/>
  <c r="AP109" i="4"/>
  <c r="AK109" i="4"/>
  <c r="AQ109" i="4"/>
  <c r="AJ109" i="4"/>
  <c r="AL109" i="4"/>
  <c r="AO105" i="4"/>
  <c r="AP105" i="4"/>
  <c r="AQ105" i="4"/>
  <c r="AJ105" i="4"/>
  <c r="AK105" i="4"/>
  <c r="AO101" i="4"/>
  <c r="AQ101" i="4"/>
  <c r="AJ101" i="4"/>
  <c r="AP101" i="4"/>
  <c r="AK101" i="4"/>
  <c r="AO97" i="4"/>
  <c r="AK97" i="4"/>
  <c r="AP97" i="4"/>
  <c r="AQ97" i="4"/>
  <c r="AJ97" i="4"/>
  <c r="AO93" i="4"/>
  <c r="AQ93" i="4"/>
  <c r="AK93" i="4"/>
  <c r="AJ93" i="4"/>
  <c r="AP93" i="4"/>
  <c r="Q93" i="4" s="1"/>
  <c r="AO89" i="4"/>
  <c r="AJ89" i="4"/>
  <c r="AK89" i="4"/>
  <c r="AQ89" i="4"/>
  <c r="AP89" i="4"/>
  <c r="AO85" i="4"/>
  <c r="AP85" i="4"/>
  <c r="Q85" i="4" s="1"/>
  <c r="AJ85" i="4"/>
  <c r="AQ85" i="4"/>
  <c r="AK85" i="4"/>
  <c r="AO81" i="4"/>
  <c r="AJ81" i="4"/>
  <c r="AP81" i="4"/>
  <c r="AQ81" i="4"/>
  <c r="AK81" i="4"/>
  <c r="AO77" i="4"/>
  <c r="AP77" i="4"/>
  <c r="AK77" i="4"/>
  <c r="AJ77" i="4"/>
  <c r="AQ77" i="4"/>
  <c r="AO73" i="4"/>
  <c r="AJ73" i="4"/>
  <c r="AP73" i="4"/>
  <c r="Q73" i="4" s="1"/>
  <c r="AQ73" i="4"/>
  <c r="AK73" i="4"/>
  <c r="AO69" i="4"/>
  <c r="AJ69" i="4"/>
  <c r="AP69" i="4"/>
  <c r="Q69" i="4" s="1"/>
  <c r="AQ69" i="4"/>
  <c r="AK69" i="4"/>
  <c r="AO65" i="4"/>
  <c r="AK65" i="4"/>
  <c r="AP65" i="4"/>
  <c r="AJ65" i="4"/>
  <c r="AQ65" i="4"/>
  <c r="AO61" i="4"/>
  <c r="AK61" i="4"/>
  <c r="AP61" i="4"/>
  <c r="AJ61" i="4"/>
  <c r="AQ61" i="4"/>
  <c r="AO57" i="4"/>
  <c r="AK57" i="4"/>
  <c r="AP57" i="4"/>
  <c r="Q57" i="4" s="1"/>
  <c r="AJ57" i="4"/>
  <c r="AQ57" i="4"/>
  <c r="AO53" i="4"/>
  <c r="AJ53" i="4"/>
  <c r="AQ53" i="4"/>
  <c r="AK53" i="4"/>
  <c r="AP53" i="4"/>
  <c r="Q53" i="4" s="1"/>
  <c r="AO732" i="4"/>
  <c r="AQ732" i="4"/>
  <c r="AP732" i="4"/>
  <c r="AK732" i="4"/>
  <c r="AJ732" i="4"/>
  <c r="AL732" i="4"/>
  <c r="AO374" i="4"/>
  <c r="AK374" i="4"/>
  <c r="AJ374" i="4"/>
  <c r="AP374" i="4"/>
  <c r="Q374" i="4" s="1"/>
  <c r="AQ374" i="4"/>
  <c r="AO372" i="4"/>
  <c r="AP372" i="4"/>
  <c r="Q372" i="4" s="1"/>
  <c r="AQ372" i="4"/>
  <c r="AK372" i="4"/>
  <c r="AJ372" i="4"/>
  <c r="AO276" i="4"/>
  <c r="AQ276" i="4"/>
  <c r="AK276" i="4"/>
  <c r="AJ276" i="4"/>
  <c r="AP276" i="4"/>
  <c r="Q276" i="4" s="1"/>
  <c r="AO242" i="4"/>
  <c r="AQ242" i="4"/>
  <c r="AP242" i="4"/>
  <c r="Q242" i="4" s="1"/>
  <c r="AK242" i="4"/>
  <c r="AJ242" i="4"/>
  <c r="AO210" i="4"/>
  <c r="AQ210" i="4"/>
  <c r="AP210" i="4"/>
  <c r="Q210" i="4" s="1"/>
  <c r="AK210" i="4"/>
  <c r="AJ210" i="4"/>
  <c r="AO569" i="4"/>
  <c r="AP569" i="4"/>
  <c r="Q569" i="4" s="1"/>
  <c r="AQ569" i="4"/>
  <c r="AK569" i="4"/>
  <c r="AJ569" i="4"/>
  <c r="AO567" i="4"/>
  <c r="AQ567" i="4"/>
  <c r="AP567" i="4"/>
  <c r="AK567" i="4"/>
  <c r="AJ567" i="4"/>
  <c r="AO565" i="4"/>
  <c r="AQ565" i="4"/>
  <c r="AP565" i="4"/>
  <c r="Q565" i="4" s="1"/>
  <c r="AK565" i="4"/>
  <c r="AJ565" i="4"/>
  <c r="AO563" i="4"/>
  <c r="AQ563" i="4"/>
  <c r="AK563" i="4"/>
  <c r="AP563" i="4"/>
  <c r="Q563" i="4" s="1"/>
  <c r="AJ563" i="4"/>
  <c r="AO561" i="4"/>
  <c r="AP561" i="4"/>
  <c r="Q561" i="4" s="1"/>
  <c r="AQ561" i="4"/>
  <c r="AJ561" i="4"/>
  <c r="AK561" i="4"/>
  <c r="AO559" i="4"/>
  <c r="AQ559" i="4"/>
  <c r="AP559" i="4"/>
  <c r="AK559" i="4"/>
  <c r="AJ559" i="4"/>
  <c r="AO557" i="4"/>
  <c r="AQ557" i="4"/>
  <c r="AP557" i="4"/>
  <c r="Q557" i="4" s="1"/>
  <c r="AJ557" i="4"/>
  <c r="AK557" i="4"/>
  <c r="AO555" i="4"/>
  <c r="AP555" i="4"/>
  <c r="AQ555" i="4"/>
  <c r="AK555" i="4"/>
  <c r="AJ555" i="4"/>
  <c r="AO553" i="4"/>
  <c r="AP553" i="4"/>
  <c r="Q553" i="4" s="1"/>
  <c r="AQ553" i="4"/>
  <c r="AK553" i="4"/>
  <c r="AJ553" i="4"/>
  <c r="AO551" i="4"/>
  <c r="AQ551" i="4"/>
  <c r="AK551" i="4"/>
  <c r="AJ551" i="4"/>
  <c r="AP551" i="4"/>
  <c r="Q551" i="4" s="1"/>
  <c r="AO549" i="4"/>
  <c r="AQ549" i="4"/>
  <c r="AP549" i="4"/>
  <c r="Q549" i="4" s="1"/>
  <c r="AK549" i="4"/>
  <c r="AJ549" i="4"/>
  <c r="AO547" i="4"/>
  <c r="AP547" i="4"/>
  <c r="Q547" i="4" s="1"/>
  <c r="AJ547" i="4"/>
  <c r="AQ547" i="4"/>
  <c r="AK547" i="4"/>
  <c r="AO545" i="4"/>
  <c r="AP545" i="4"/>
  <c r="Q545" i="4" s="1"/>
  <c r="AQ545" i="4"/>
  <c r="AK545" i="4"/>
  <c r="AJ545" i="4"/>
  <c r="AO543" i="4"/>
  <c r="AP543" i="4"/>
  <c r="AQ543" i="4"/>
  <c r="AK543" i="4"/>
  <c r="AJ543" i="4"/>
  <c r="AO541" i="4"/>
  <c r="AQ541" i="4"/>
  <c r="AK541" i="4"/>
  <c r="AP541" i="4"/>
  <c r="Q541" i="4" s="1"/>
  <c r="AJ541" i="4"/>
  <c r="AO539" i="4"/>
  <c r="AQ539" i="4"/>
  <c r="AK539" i="4"/>
  <c r="AP539" i="4"/>
  <c r="AJ539" i="4"/>
  <c r="AO537" i="4"/>
  <c r="AP537" i="4"/>
  <c r="Q537" i="4" s="1"/>
  <c r="AQ537" i="4"/>
  <c r="AK537" i="4"/>
  <c r="AJ537" i="4"/>
  <c r="AO535" i="4"/>
  <c r="AP535" i="4"/>
  <c r="AQ535" i="4"/>
  <c r="AK535" i="4"/>
  <c r="AJ535" i="4"/>
  <c r="AO533" i="4"/>
  <c r="AQ533" i="4"/>
  <c r="AP533" i="4"/>
  <c r="Q533" i="4" s="1"/>
  <c r="AK533" i="4"/>
  <c r="AJ533" i="4"/>
  <c r="AO531" i="4"/>
  <c r="AP531" i="4"/>
  <c r="AQ531" i="4"/>
  <c r="AK531" i="4"/>
  <c r="AJ531" i="4"/>
  <c r="AL531" i="4"/>
  <c r="AO529" i="4"/>
  <c r="AP529" i="4"/>
  <c r="AQ529" i="4"/>
  <c r="AK529" i="4"/>
  <c r="AJ529" i="4"/>
  <c r="AL529" i="4"/>
  <c r="AO427" i="4"/>
  <c r="AQ427" i="4"/>
  <c r="AP427" i="4"/>
  <c r="Q427" i="4" s="1"/>
  <c r="AJ427" i="4"/>
  <c r="AK427" i="4"/>
  <c r="AO425" i="4"/>
  <c r="AQ425" i="4"/>
  <c r="AJ425" i="4"/>
  <c r="AP425" i="4"/>
  <c r="AK425" i="4"/>
  <c r="AO423" i="4"/>
  <c r="AQ423" i="4"/>
  <c r="AJ423" i="4"/>
  <c r="AP423" i="4"/>
  <c r="AK423" i="4"/>
  <c r="AO421" i="4"/>
  <c r="AJ421" i="4"/>
  <c r="AK421" i="4"/>
  <c r="AQ421" i="4"/>
  <c r="AP421" i="4"/>
  <c r="AO419" i="4"/>
  <c r="AP419" i="4"/>
  <c r="Q419" i="4" s="1"/>
  <c r="AJ419" i="4"/>
  <c r="AK419" i="4"/>
  <c r="AQ419" i="4"/>
  <c r="AO417" i="4"/>
  <c r="AJ417" i="4"/>
  <c r="AK417" i="4"/>
  <c r="AP417" i="4"/>
  <c r="AQ417" i="4"/>
  <c r="AO415" i="4"/>
  <c r="AQ415" i="4"/>
  <c r="AP415" i="4"/>
  <c r="AJ415" i="4"/>
  <c r="AK415" i="4"/>
  <c r="AO413" i="4"/>
  <c r="AJ413" i="4"/>
  <c r="AP413" i="4"/>
  <c r="AQ413" i="4"/>
  <c r="AK413" i="4"/>
  <c r="AO411" i="4"/>
  <c r="AL411" i="4"/>
  <c r="AP411" i="4"/>
  <c r="Q411" i="4" s="1"/>
  <c r="AJ411" i="4"/>
  <c r="AQ411" i="4"/>
  <c r="AK411" i="4"/>
  <c r="AO274" i="4"/>
  <c r="AK274" i="4"/>
  <c r="AP274" i="4"/>
  <c r="AQ274" i="4"/>
  <c r="AJ274" i="4"/>
  <c r="AO266" i="4"/>
  <c r="AQ266" i="4"/>
  <c r="AJ266" i="4"/>
  <c r="AP266" i="4"/>
  <c r="Q266" i="4" s="1"/>
  <c r="AK266" i="4"/>
  <c r="AO229" i="4"/>
  <c r="AQ229" i="4"/>
  <c r="AJ229" i="4"/>
  <c r="AP229" i="4"/>
  <c r="AK229" i="4"/>
  <c r="AO224" i="4"/>
  <c r="AP224" i="4"/>
  <c r="Q224" i="4" s="1"/>
  <c r="AJ224" i="4"/>
  <c r="AQ224" i="4"/>
  <c r="AK224" i="4"/>
  <c r="AO222" i="4"/>
  <c r="AQ222" i="4"/>
  <c r="AP222" i="4"/>
  <c r="AK222" i="4"/>
  <c r="AJ222" i="4"/>
  <c r="AO241" i="4"/>
  <c r="AK241" i="4"/>
  <c r="AP241" i="4"/>
  <c r="Q241" i="4" s="1"/>
  <c r="AL241" i="4"/>
  <c r="AJ241" i="4"/>
  <c r="AQ241" i="4"/>
  <c r="AO209" i="4"/>
  <c r="AK209" i="4"/>
  <c r="AL209" i="4"/>
  <c r="AQ209" i="4"/>
  <c r="AP209" i="4"/>
  <c r="Q209" i="4" s="1"/>
  <c r="AJ209" i="4"/>
  <c r="AO124" i="4"/>
  <c r="AP124" i="4"/>
  <c r="AK124" i="4"/>
  <c r="AQ124" i="4"/>
  <c r="AL124" i="4"/>
  <c r="AJ124" i="4"/>
  <c r="AP1002" i="4"/>
  <c r="AO1002" i="4"/>
  <c r="AQ1002" i="4"/>
  <c r="AK1002" i="4"/>
  <c r="AJ1002" i="4"/>
  <c r="AO994" i="4"/>
  <c r="AP994" i="4"/>
  <c r="AQ994" i="4"/>
  <c r="AK994" i="4"/>
  <c r="AJ994" i="4"/>
  <c r="AP986" i="4"/>
  <c r="AQ986" i="4"/>
  <c r="AO986" i="4"/>
  <c r="AK986" i="4"/>
  <c r="AJ986" i="4"/>
  <c r="AO1000" i="4"/>
  <c r="AQ1000" i="4"/>
  <c r="AP1000" i="4"/>
  <c r="Q1000" i="4" s="1"/>
  <c r="AK1000" i="4"/>
  <c r="AJ1000" i="4"/>
  <c r="AO997" i="4"/>
  <c r="AP997" i="4"/>
  <c r="Q997" i="4" s="1"/>
  <c r="AQ997" i="4"/>
  <c r="AK997" i="4"/>
  <c r="AL997" i="4"/>
  <c r="AJ997" i="4"/>
  <c r="AO995" i="4"/>
  <c r="AK995" i="4"/>
  <c r="AP995" i="4"/>
  <c r="AQ995" i="4"/>
  <c r="AJ995" i="4"/>
  <c r="AO992" i="4"/>
  <c r="AP992" i="4"/>
  <c r="AQ992" i="4"/>
  <c r="AK992" i="4"/>
  <c r="AJ992" i="4"/>
  <c r="AO989" i="4"/>
  <c r="AP989" i="4"/>
  <c r="Q989" i="4" s="1"/>
  <c r="AQ989" i="4"/>
  <c r="AK989" i="4"/>
  <c r="AJ989" i="4"/>
  <c r="AO987" i="4"/>
  <c r="AP987" i="4"/>
  <c r="AQ987" i="4"/>
  <c r="AJ987" i="4"/>
  <c r="AK987" i="4"/>
  <c r="AO984" i="4"/>
  <c r="AP984" i="4"/>
  <c r="AQ984" i="4"/>
  <c r="AK984" i="4"/>
  <c r="AJ984" i="4"/>
  <c r="AL984" i="4"/>
  <c r="AO981" i="4"/>
  <c r="AP981" i="4"/>
  <c r="Q981" i="4" s="1"/>
  <c r="AQ981" i="4"/>
  <c r="AJ981" i="4"/>
  <c r="AL981" i="4"/>
  <c r="AK981" i="4"/>
  <c r="AO979" i="4"/>
  <c r="AQ979" i="4"/>
  <c r="AP979" i="4"/>
  <c r="Q979" i="4" s="1"/>
  <c r="AJ979" i="4"/>
  <c r="AK979" i="4"/>
  <c r="AO1001" i="4"/>
  <c r="AJ1001" i="4"/>
  <c r="AP1001" i="4"/>
  <c r="Q1001" i="4" s="1"/>
  <c r="AQ1001" i="4"/>
  <c r="AK1001" i="4"/>
  <c r="AO999" i="4"/>
  <c r="AP999" i="4"/>
  <c r="Q999" i="4" s="1"/>
  <c r="AQ999" i="4"/>
  <c r="AK999" i="4"/>
  <c r="AJ999" i="4"/>
  <c r="AO990" i="4"/>
  <c r="AQ990" i="4"/>
  <c r="AK990" i="4"/>
  <c r="AP990" i="4"/>
  <c r="AJ990" i="4"/>
  <c r="AO988" i="4"/>
  <c r="AQ988" i="4"/>
  <c r="AP988" i="4"/>
  <c r="Q988" i="4" s="1"/>
  <c r="AK988" i="4"/>
  <c r="AJ988" i="4"/>
  <c r="AO985" i="4"/>
  <c r="AJ985" i="4"/>
  <c r="AP985" i="4"/>
  <c r="Q985" i="4" s="1"/>
  <c r="AQ985" i="4"/>
  <c r="AK985" i="4"/>
  <c r="AO983" i="4"/>
  <c r="AP983" i="4"/>
  <c r="Q983" i="4" s="1"/>
  <c r="AQ983" i="4"/>
  <c r="AJ983" i="4"/>
  <c r="AK983" i="4"/>
  <c r="AO978" i="4"/>
  <c r="AP978" i="4"/>
  <c r="AQ978" i="4"/>
  <c r="AK978" i="4"/>
  <c r="AJ978" i="4"/>
  <c r="AO840" i="4"/>
  <c r="AP840" i="4"/>
  <c r="AQ840" i="4"/>
  <c r="AK840" i="4"/>
  <c r="AJ840" i="4"/>
  <c r="AO816" i="4"/>
  <c r="AQ816" i="4"/>
  <c r="AP816" i="4"/>
  <c r="Q816" i="4" s="1"/>
  <c r="AK816" i="4"/>
  <c r="AJ816" i="4"/>
  <c r="AO772" i="4"/>
  <c r="AQ772" i="4"/>
  <c r="AP772" i="4"/>
  <c r="AK772" i="4"/>
  <c r="AJ772" i="4"/>
  <c r="AO770" i="4"/>
  <c r="AQ770" i="4"/>
  <c r="AP770" i="4"/>
  <c r="AK770" i="4"/>
  <c r="AJ770" i="4"/>
  <c r="AO768" i="4"/>
  <c r="AP768" i="4"/>
  <c r="AQ768" i="4"/>
  <c r="AK768" i="4"/>
  <c r="AJ768" i="4"/>
  <c r="AO766" i="4"/>
  <c r="AQ766" i="4"/>
  <c r="AL766" i="4"/>
  <c r="AP766" i="4"/>
  <c r="AJ766" i="4"/>
  <c r="AK766" i="4"/>
  <c r="AO764" i="4"/>
  <c r="AQ764" i="4"/>
  <c r="AJ764" i="4"/>
  <c r="AP764" i="4"/>
  <c r="AK764" i="4"/>
  <c r="AO762" i="4"/>
  <c r="AP762" i="4"/>
  <c r="AQ762" i="4"/>
  <c r="AJ762" i="4"/>
  <c r="AK762" i="4"/>
  <c r="AO760" i="4"/>
  <c r="AP760" i="4"/>
  <c r="AQ760" i="4"/>
  <c r="AJ760" i="4"/>
  <c r="AK760" i="4"/>
  <c r="AO758" i="4"/>
  <c r="AP758" i="4"/>
  <c r="Q758" i="4" s="1"/>
  <c r="AQ758" i="4"/>
  <c r="AK758" i="4"/>
  <c r="AJ758" i="4"/>
  <c r="AO756" i="4"/>
  <c r="AP756" i="4"/>
  <c r="AQ756" i="4"/>
  <c r="AJ756" i="4"/>
  <c r="AK756" i="4"/>
  <c r="AO754" i="4"/>
  <c r="AP754" i="4"/>
  <c r="AQ754" i="4"/>
  <c r="AJ754" i="4"/>
  <c r="AK754" i="4"/>
  <c r="AL754" i="4"/>
  <c r="AO752" i="4"/>
  <c r="AQ752" i="4"/>
  <c r="AJ752" i="4"/>
  <c r="AP752" i="4"/>
  <c r="AK752" i="4"/>
  <c r="AO740" i="4"/>
  <c r="AQ740" i="4"/>
  <c r="AJ740" i="4"/>
  <c r="AP740" i="4"/>
  <c r="AL740" i="4"/>
  <c r="AK740" i="4"/>
  <c r="AO976" i="4"/>
  <c r="AP976" i="4"/>
  <c r="AQ976" i="4"/>
  <c r="AK976" i="4"/>
  <c r="AJ976" i="4"/>
  <c r="AO973" i="4"/>
  <c r="AP973" i="4"/>
  <c r="Q973" i="4" s="1"/>
  <c r="AQ973" i="4"/>
  <c r="AK973" i="4"/>
  <c r="AJ973" i="4"/>
  <c r="AQ946" i="4"/>
  <c r="AO946" i="4"/>
  <c r="AP946" i="4"/>
  <c r="AJ946" i="4"/>
  <c r="AK946" i="4"/>
  <c r="AO941" i="4"/>
  <c r="AP941" i="4"/>
  <c r="AQ941" i="4"/>
  <c r="AJ941" i="4"/>
  <c r="AL941" i="4"/>
  <c r="AK941" i="4"/>
  <c r="AO900" i="4"/>
  <c r="AP900" i="4"/>
  <c r="Q900" i="4" s="1"/>
  <c r="AQ900" i="4"/>
  <c r="AK900" i="4"/>
  <c r="AJ900" i="4"/>
  <c r="AO898" i="4"/>
  <c r="AP898" i="4"/>
  <c r="AQ898" i="4"/>
  <c r="AK898" i="4"/>
  <c r="AJ898" i="4"/>
  <c r="AO893" i="4"/>
  <c r="AP893" i="4"/>
  <c r="AQ893" i="4"/>
  <c r="AJ893" i="4"/>
  <c r="AL893" i="4"/>
  <c r="AK893" i="4"/>
  <c r="AO998" i="4"/>
  <c r="AQ998" i="4"/>
  <c r="AP998" i="4"/>
  <c r="AK998" i="4"/>
  <c r="AJ998" i="4"/>
  <c r="AO996" i="4"/>
  <c r="AP996" i="4"/>
  <c r="AQ996" i="4"/>
  <c r="AK996" i="4"/>
  <c r="AJ996" i="4"/>
  <c r="AO993" i="4"/>
  <c r="AQ993" i="4"/>
  <c r="AP993" i="4"/>
  <c r="Q993" i="4" s="1"/>
  <c r="AK993" i="4"/>
  <c r="AJ993" i="4"/>
  <c r="AO991" i="4"/>
  <c r="AQ991" i="4"/>
  <c r="AP991" i="4"/>
  <c r="Q991" i="4" s="1"/>
  <c r="AJ991" i="4"/>
  <c r="AK991" i="4"/>
  <c r="AO982" i="4"/>
  <c r="AQ982" i="4"/>
  <c r="AP982" i="4"/>
  <c r="AK982" i="4"/>
  <c r="AJ982" i="4"/>
  <c r="AO896" i="4"/>
  <c r="AQ896" i="4"/>
  <c r="AP896" i="4"/>
  <c r="AK896" i="4"/>
  <c r="AJ896" i="4"/>
  <c r="AO894" i="4"/>
  <c r="AQ894" i="4"/>
  <c r="AP894" i="4"/>
  <c r="Q894" i="4" s="1"/>
  <c r="AK894" i="4"/>
  <c r="AJ894" i="4"/>
  <c r="AO869" i="4"/>
  <c r="AP869" i="4"/>
  <c r="AQ869" i="4"/>
  <c r="AK869" i="4"/>
  <c r="AJ869" i="4"/>
  <c r="AO853" i="4"/>
  <c r="AP853" i="4"/>
  <c r="Q853" i="4" s="1"/>
  <c r="AQ853" i="4"/>
  <c r="AK853" i="4"/>
  <c r="AJ853" i="4"/>
  <c r="AO841" i="4"/>
  <c r="AQ841" i="4"/>
  <c r="AP841" i="4"/>
  <c r="AK841" i="4"/>
  <c r="AJ841" i="4"/>
  <c r="AO823" i="4"/>
  <c r="AQ823" i="4"/>
  <c r="AP823" i="4"/>
  <c r="Q823" i="4" s="1"/>
  <c r="AJ823" i="4"/>
  <c r="AK823" i="4"/>
  <c r="AO735" i="4"/>
  <c r="AQ735" i="4"/>
  <c r="AP735" i="4"/>
  <c r="Q735" i="4" s="1"/>
  <c r="AK735" i="4"/>
  <c r="AJ735" i="4"/>
  <c r="AO718" i="4"/>
  <c r="AQ718" i="4"/>
  <c r="AP718" i="4"/>
  <c r="AK718" i="4"/>
  <c r="AJ718" i="4"/>
  <c r="AQ716" i="4"/>
  <c r="AO716" i="4"/>
  <c r="AJ716" i="4"/>
  <c r="AP716" i="4"/>
  <c r="AK716" i="4"/>
  <c r="AO713" i="4"/>
  <c r="AQ713" i="4"/>
  <c r="AJ713" i="4"/>
  <c r="AP713" i="4"/>
  <c r="Q713" i="4" s="1"/>
  <c r="AK713" i="4"/>
  <c r="AO710" i="4"/>
  <c r="AP710" i="4"/>
  <c r="AQ710" i="4"/>
  <c r="AJ710" i="4"/>
  <c r="AK710" i="4"/>
  <c r="AO890" i="4"/>
  <c r="AQ890" i="4"/>
  <c r="AP890" i="4"/>
  <c r="AJ890" i="4"/>
  <c r="AK890" i="4"/>
  <c r="AO725" i="4"/>
  <c r="AP725" i="4"/>
  <c r="AQ725" i="4"/>
  <c r="AJ725" i="4"/>
  <c r="AK725" i="4"/>
  <c r="AO722" i="4"/>
  <c r="AP722" i="4"/>
  <c r="AQ722" i="4"/>
  <c r="AK722" i="4"/>
  <c r="AJ722" i="4"/>
  <c r="AO720" i="4"/>
  <c r="AP720" i="4"/>
  <c r="AQ720" i="4"/>
  <c r="AK720" i="4"/>
  <c r="AJ720" i="4"/>
  <c r="AP715" i="4"/>
  <c r="AO715" i="4"/>
  <c r="AQ715" i="4"/>
  <c r="AK715" i="4"/>
  <c r="AJ715" i="4"/>
  <c r="AO698" i="4"/>
  <c r="AQ698" i="4"/>
  <c r="AP698" i="4"/>
  <c r="AK698" i="4"/>
  <c r="AJ698" i="4"/>
  <c r="AO682" i="4"/>
  <c r="AP682" i="4"/>
  <c r="AQ682" i="4"/>
  <c r="AK682" i="4"/>
  <c r="AJ682" i="4"/>
  <c r="AO670" i="4"/>
  <c r="AQ670" i="4"/>
  <c r="AK670" i="4"/>
  <c r="AP670" i="4"/>
  <c r="AJ670" i="4"/>
  <c r="AO654" i="4"/>
  <c r="AP654" i="4"/>
  <c r="Q654" i="4" s="1"/>
  <c r="AQ654" i="4"/>
  <c r="AK654" i="4"/>
  <c r="AJ654" i="4"/>
  <c r="AO638" i="4"/>
  <c r="AQ638" i="4"/>
  <c r="AP638" i="4"/>
  <c r="AK638" i="4"/>
  <c r="AJ638" i="4"/>
  <c r="AO622" i="4"/>
  <c r="AQ622" i="4"/>
  <c r="AK622" i="4"/>
  <c r="AJ622" i="4"/>
  <c r="AP622" i="4"/>
  <c r="Q622" i="4" s="1"/>
  <c r="AO610" i="4"/>
  <c r="AQ610" i="4"/>
  <c r="AP610" i="4"/>
  <c r="Q610" i="4" s="1"/>
  <c r="AK610" i="4"/>
  <c r="AJ610" i="4"/>
  <c r="AO512" i="4"/>
  <c r="AP512" i="4"/>
  <c r="Q512" i="4" s="1"/>
  <c r="AQ512" i="4"/>
  <c r="AK512" i="4"/>
  <c r="AL512" i="4"/>
  <c r="AJ512" i="4"/>
  <c r="AO510" i="4"/>
  <c r="AP510" i="4"/>
  <c r="Q510" i="4" s="1"/>
  <c r="AQ510" i="4"/>
  <c r="AJ510" i="4"/>
  <c r="AK510" i="4"/>
  <c r="AO508" i="4"/>
  <c r="AQ508" i="4"/>
  <c r="AJ508" i="4"/>
  <c r="AP508" i="4"/>
  <c r="Q508" i="4" s="1"/>
  <c r="AK508" i="4"/>
  <c r="AL508" i="4"/>
  <c r="AO506" i="4"/>
  <c r="AP506" i="4"/>
  <c r="AQ506" i="4"/>
  <c r="AJ506" i="4"/>
  <c r="AK506" i="4"/>
  <c r="AO504" i="4"/>
  <c r="AQ504" i="4"/>
  <c r="AP504" i="4"/>
  <c r="AK504" i="4"/>
  <c r="AJ504" i="4"/>
  <c r="AO448" i="4"/>
  <c r="AQ448" i="4"/>
  <c r="AJ448" i="4"/>
  <c r="AP448" i="4"/>
  <c r="Q448" i="4" s="1"/>
  <c r="AK448" i="4"/>
  <c r="AO446" i="4"/>
  <c r="AQ446" i="4"/>
  <c r="AJ446" i="4"/>
  <c r="AP446" i="4"/>
  <c r="AK446" i="4"/>
  <c r="AO444" i="4"/>
  <c r="AQ444" i="4"/>
  <c r="AJ444" i="4"/>
  <c r="AP444" i="4"/>
  <c r="AK444" i="4"/>
  <c r="AL444" i="4"/>
  <c r="AO442" i="4"/>
  <c r="AP442" i="4"/>
  <c r="AQ442" i="4"/>
  <c r="AJ442" i="4"/>
  <c r="AK442" i="4"/>
  <c r="AO440" i="4"/>
  <c r="AP440" i="4"/>
  <c r="Q440" i="4" s="1"/>
  <c r="AQ440" i="4"/>
  <c r="AK440" i="4"/>
  <c r="AJ440" i="4"/>
  <c r="AO394" i="4"/>
  <c r="AK394" i="4"/>
  <c r="AJ394" i="4"/>
  <c r="AP394" i="4"/>
  <c r="AQ394" i="4"/>
  <c r="AO392" i="4"/>
  <c r="AP392" i="4"/>
  <c r="AK392" i="4"/>
  <c r="AJ392" i="4"/>
  <c r="AQ392" i="4"/>
  <c r="AO362" i="4"/>
  <c r="AK362" i="4"/>
  <c r="AJ362" i="4"/>
  <c r="AP362" i="4"/>
  <c r="AQ362" i="4"/>
  <c r="AO360" i="4"/>
  <c r="AQ360" i="4"/>
  <c r="AK360" i="4"/>
  <c r="AJ360" i="4"/>
  <c r="AP360" i="4"/>
  <c r="AO330" i="4"/>
  <c r="AL330" i="4"/>
  <c r="AK330" i="4"/>
  <c r="AP330" i="4"/>
  <c r="AJ330" i="4"/>
  <c r="AQ330" i="4"/>
  <c r="AO328" i="4"/>
  <c r="AK328" i="4"/>
  <c r="AQ328" i="4"/>
  <c r="AJ328" i="4"/>
  <c r="AP328" i="4"/>
  <c r="AO308" i="4"/>
  <c r="AJ308" i="4"/>
  <c r="AK308" i="4"/>
  <c r="AP308" i="4"/>
  <c r="AL308" i="4"/>
  <c r="AQ308" i="4"/>
  <c r="AO304" i="4"/>
  <c r="AQ304" i="4"/>
  <c r="AP304" i="4"/>
  <c r="Q304" i="4" s="1"/>
  <c r="AJ304" i="4"/>
  <c r="AK304" i="4"/>
  <c r="AO300" i="4"/>
  <c r="AJ300" i="4"/>
  <c r="AL300" i="4"/>
  <c r="AP300" i="4"/>
  <c r="AK300" i="4"/>
  <c r="AQ300" i="4"/>
  <c r="AO296" i="4"/>
  <c r="AP296" i="4"/>
  <c r="AJ296" i="4"/>
  <c r="AK296" i="4"/>
  <c r="AQ296" i="4"/>
  <c r="AO265" i="4"/>
  <c r="AQ265" i="4"/>
  <c r="AP265" i="4"/>
  <c r="Q265" i="4" s="1"/>
  <c r="AK265" i="4"/>
  <c r="AJ265" i="4"/>
  <c r="AO262" i="4"/>
  <c r="AK262" i="4"/>
  <c r="AP262" i="4"/>
  <c r="Q262" i="4" s="1"/>
  <c r="AQ262" i="4"/>
  <c r="AJ262" i="4"/>
  <c r="AO246" i="4"/>
  <c r="AK246" i="4"/>
  <c r="AP246" i="4"/>
  <c r="Q246" i="4" s="1"/>
  <c r="AQ246" i="4"/>
  <c r="AJ246" i="4"/>
  <c r="AO243" i="4"/>
  <c r="AP243" i="4"/>
  <c r="AL243" i="4"/>
  <c r="AK243" i="4"/>
  <c r="AQ243" i="4"/>
  <c r="AJ243" i="4"/>
  <c r="AO237" i="4"/>
  <c r="AJ237" i="4"/>
  <c r="AP237" i="4"/>
  <c r="Q237" i="4" s="1"/>
  <c r="AQ237" i="4"/>
  <c r="AK237" i="4"/>
  <c r="AO214" i="4"/>
  <c r="AQ214" i="4"/>
  <c r="AK214" i="4"/>
  <c r="AJ214" i="4"/>
  <c r="AP214" i="4"/>
  <c r="AO211" i="4"/>
  <c r="AJ211" i="4"/>
  <c r="AK211" i="4"/>
  <c r="AP211" i="4"/>
  <c r="AQ211" i="4"/>
  <c r="AO205" i="4"/>
  <c r="AP205" i="4"/>
  <c r="AK205" i="4"/>
  <c r="AQ205" i="4"/>
  <c r="AJ205" i="4"/>
  <c r="AO161" i="4"/>
  <c r="AQ161" i="4"/>
  <c r="AP161" i="4"/>
  <c r="Q161" i="4" s="1"/>
  <c r="AK161" i="4"/>
  <c r="AJ161" i="4"/>
  <c r="AO145" i="4"/>
  <c r="AQ145" i="4"/>
  <c r="AJ145" i="4"/>
  <c r="AP145" i="4"/>
  <c r="AL145" i="4"/>
  <c r="AK145" i="4"/>
  <c r="AO129" i="4"/>
  <c r="AP129" i="4"/>
  <c r="AJ129" i="4"/>
  <c r="AQ129" i="4"/>
  <c r="AL129" i="4"/>
  <c r="AK129" i="4"/>
  <c r="AO116" i="4"/>
  <c r="AQ116" i="4"/>
  <c r="AJ116" i="4"/>
  <c r="AK116" i="4"/>
  <c r="AP116" i="4"/>
  <c r="AO112" i="4"/>
  <c r="AK112" i="4"/>
  <c r="AP112" i="4"/>
  <c r="AQ112" i="4"/>
  <c r="AJ112" i="4"/>
  <c r="AO108" i="4"/>
  <c r="AP108" i="4"/>
  <c r="Q108" i="4" s="1"/>
  <c r="AQ108" i="4"/>
  <c r="AJ108" i="4"/>
  <c r="AK108" i="4"/>
  <c r="AO104" i="4"/>
  <c r="AK104" i="4"/>
  <c r="AP104" i="4"/>
  <c r="Q104" i="4" s="1"/>
  <c r="AQ104" i="4"/>
  <c r="AJ104" i="4"/>
  <c r="AO100" i="4"/>
  <c r="AJ100" i="4"/>
  <c r="AQ100" i="4"/>
  <c r="AK100" i="4"/>
  <c r="AP100" i="4"/>
  <c r="Q100" i="4" s="1"/>
  <c r="AO96" i="4"/>
  <c r="AQ96" i="4"/>
  <c r="AP96" i="4"/>
  <c r="AJ96" i="4"/>
  <c r="AK96" i="4"/>
  <c r="AO92" i="4"/>
  <c r="AP92" i="4"/>
  <c r="Q92" i="4" s="1"/>
  <c r="AQ92" i="4"/>
  <c r="AK92" i="4"/>
  <c r="AJ92" i="4"/>
  <c r="AO88" i="4"/>
  <c r="AP88" i="4"/>
  <c r="AQ88" i="4"/>
  <c r="AK88" i="4"/>
  <c r="AJ88" i="4"/>
  <c r="AO84" i="4"/>
  <c r="AL84" i="4"/>
  <c r="AJ84" i="4"/>
  <c r="AP84" i="4"/>
  <c r="AK84" i="4"/>
  <c r="AQ84" i="4"/>
  <c r="AO80" i="4"/>
  <c r="AP80" i="4"/>
  <c r="AJ80" i="4"/>
  <c r="AQ80" i="4"/>
  <c r="AK80" i="4"/>
  <c r="AO76" i="4"/>
  <c r="AJ76" i="4"/>
  <c r="AP76" i="4"/>
  <c r="Q76" i="4" s="1"/>
  <c r="AQ76" i="4"/>
  <c r="AK76" i="4"/>
  <c r="AO72" i="4"/>
  <c r="AL72" i="4"/>
  <c r="AP72" i="4"/>
  <c r="AK72" i="4"/>
  <c r="AQ72" i="4"/>
  <c r="AJ72" i="4"/>
  <c r="AO68" i="4"/>
  <c r="AQ68" i="4"/>
  <c r="AJ68" i="4"/>
  <c r="AK68" i="4"/>
  <c r="AP68" i="4"/>
  <c r="AO64" i="4"/>
  <c r="AP64" i="4"/>
  <c r="AJ64" i="4"/>
  <c r="AQ64" i="4"/>
  <c r="AK64" i="4"/>
  <c r="AO60" i="4"/>
  <c r="AL60" i="4"/>
  <c r="AP60" i="4"/>
  <c r="AQ60" i="4"/>
  <c r="AK60" i="4"/>
  <c r="AJ60" i="4"/>
  <c r="AO56" i="4"/>
  <c r="AP56" i="4"/>
  <c r="Q56" i="4" s="1"/>
  <c r="AL56" i="4"/>
  <c r="AK56" i="4"/>
  <c r="AQ56" i="4"/>
  <c r="AJ56" i="4"/>
  <c r="AO52" i="4"/>
  <c r="AK52" i="4"/>
  <c r="AQ52" i="4"/>
  <c r="AP52" i="4"/>
  <c r="Q52" i="4" s="1"/>
  <c r="AJ52" i="4"/>
  <c r="AL52" i="4"/>
  <c r="AO977" i="4"/>
  <c r="AQ977" i="4"/>
  <c r="AP977" i="4"/>
  <c r="AJ977" i="4"/>
  <c r="AK977" i="4"/>
  <c r="AO975" i="4"/>
  <c r="AQ975" i="4"/>
  <c r="AP975" i="4"/>
  <c r="Q975" i="4" s="1"/>
  <c r="AK975" i="4"/>
  <c r="AJ975" i="4"/>
  <c r="AO965" i="4"/>
  <c r="AP965" i="4"/>
  <c r="Q965" i="4" s="1"/>
  <c r="AQ965" i="4"/>
  <c r="AK965" i="4"/>
  <c r="AL965" i="4"/>
  <c r="AJ965" i="4"/>
  <c r="AO874" i="4"/>
  <c r="AP874" i="4"/>
  <c r="Q874" i="4" s="1"/>
  <c r="AQ874" i="4"/>
  <c r="AK874" i="4"/>
  <c r="AJ874" i="4"/>
  <c r="AO736" i="4"/>
  <c r="AP736" i="4"/>
  <c r="AQ736" i="4"/>
  <c r="AK736" i="4"/>
  <c r="AJ736" i="4"/>
  <c r="AO358" i="4"/>
  <c r="AQ358" i="4"/>
  <c r="AK358" i="4"/>
  <c r="AJ358" i="4"/>
  <c r="AP358" i="4"/>
  <c r="AL358" i="4"/>
  <c r="AO356" i="4"/>
  <c r="AJ356" i="4"/>
  <c r="AQ356" i="4"/>
  <c r="AL356" i="4"/>
  <c r="AK356" i="4"/>
  <c r="AP356" i="4"/>
  <c r="Q356" i="4" s="1"/>
  <c r="AO297" i="4"/>
  <c r="AQ297" i="4"/>
  <c r="AJ297" i="4"/>
  <c r="AK297" i="4"/>
  <c r="AP297" i="4"/>
  <c r="AO293" i="4"/>
  <c r="AP293" i="4"/>
  <c r="AL293" i="4"/>
  <c r="AK293" i="4"/>
  <c r="AQ293" i="4"/>
  <c r="AJ293" i="4"/>
  <c r="AO289" i="4"/>
  <c r="AK289" i="4"/>
  <c r="AP289" i="4"/>
  <c r="Q289" i="4" s="1"/>
  <c r="AQ289" i="4"/>
  <c r="AJ289" i="4"/>
  <c r="AO268" i="4"/>
  <c r="AQ268" i="4"/>
  <c r="AP268" i="4"/>
  <c r="AL268" i="4"/>
  <c r="AK268" i="4"/>
  <c r="AJ268" i="4"/>
  <c r="AO255" i="4"/>
  <c r="AQ255" i="4"/>
  <c r="AP255" i="4"/>
  <c r="AJ255" i="4"/>
  <c r="AK255" i="4"/>
  <c r="AO249" i="4"/>
  <c r="AK249" i="4"/>
  <c r="AQ249" i="4"/>
  <c r="AJ249" i="4"/>
  <c r="AP249" i="4"/>
  <c r="AO223" i="4"/>
  <c r="AP223" i="4"/>
  <c r="Q223" i="4" s="1"/>
  <c r="AJ223" i="4"/>
  <c r="AQ223" i="4"/>
  <c r="AK223" i="4"/>
  <c r="AO217" i="4"/>
  <c r="AJ217" i="4"/>
  <c r="AP217" i="4"/>
  <c r="AQ217" i="4"/>
  <c r="AK217" i="4"/>
  <c r="AO180" i="4"/>
  <c r="AK180" i="4"/>
  <c r="AP180" i="4"/>
  <c r="AQ180" i="4"/>
  <c r="AJ180" i="4"/>
  <c r="AK8" i="4"/>
  <c r="AJ8" i="4"/>
  <c r="AO719" i="4"/>
  <c r="AQ719" i="4"/>
  <c r="AJ719" i="4"/>
  <c r="AP719" i="4"/>
  <c r="AK719" i="4"/>
  <c r="AO591" i="4"/>
  <c r="AP591" i="4"/>
  <c r="Q591" i="4" s="1"/>
  <c r="AQ591" i="4"/>
  <c r="AK591" i="4"/>
  <c r="AL591" i="4"/>
  <c r="AJ591" i="4"/>
  <c r="AO589" i="4"/>
  <c r="AQ589" i="4"/>
  <c r="AP589" i="4"/>
  <c r="AK589" i="4"/>
  <c r="AJ589" i="4"/>
  <c r="AO587" i="4"/>
  <c r="AP587" i="4"/>
  <c r="AQ587" i="4"/>
  <c r="AK587" i="4"/>
  <c r="AJ587" i="4"/>
  <c r="AO585" i="4"/>
  <c r="AP585" i="4"/>
  <c r="Q585" i="4" s="1"/>
  <c r="AQ585" i="4"/>
  <c r="AK585" i="4"/>
  <c r="AJ585" i="4"/>
  <c r="AO583" i="4"/>
  <c r="AP583" i="4"/>
  <c r="AQ583" i="4"/>
  <c r="AK583" i="4"/>
  <c r="AJ583" i="4"/>
  <c r="AO581" i="4"/>
  <c r="AQ581" i="4"/>
  <c r="AP581" i="4"/>
  <c r="AK581" i="4"/>
  <c r="AJ581" i="4"/>
  <c r="AO579" i="4"/>
  <c r="AQ579" i="4"/>
  <c r="AK579" i="4"/>
  <c r="AP579" i="4"/>
  <c r="AJ579" i="4"/>
  <c r="AO577" i="4"/>
  <c r="AP577" i="4"/>
  <c r="Q577" i="4" s="1"/>
  <c r="AQ577" i="4"/>
  <c r="AJ577" i="4"/>
  <c r="AK577" i="4"/>
  <c r="AO575" i="4"/>
  <c r="AQ575" i="4"/>
  <c r="AP575" i="4"/>
  <c r="Q575" i="4" s="1"/>
  <c r="AK575" i="4"/>
  <c r="AJ575" i="4"/>
  <c r="AO573" i="4"/>
  <c r="AQ573" i="4"/>
  <c r="AP573" i="4"/>
  <c r="AK573" i="4"/>
  <c r="AJ573" i="4"/>
  <c r="AO571" i="4"/>
  <c r="AJ571" i="4"/>
  <c r="AP571" i="4"/>
  <c r="AQ571" i="4"/>
  <c r="AL571" i="4"/>
  <c r="AK571" i="4"/>
  <c r="AO459" i="4"/>
  <c r="AP459" i="4"/>
  <c r="AQ459" i="4"/>
  <c r="AK459" i="4"/>
  <c r="AJ459" i="4"/>
  <c r="AO457" i="4"/>
  <c r="AQ457" i="4"/>
  <c r="AK457" i="4"/>
  <c r="AP457" i="4"/>
  <c r="AJ457" i="4"/>
  <c r="AO455" i="4"/>
  <c r="AQ455" i="4"/>
  <c r="AK455" i="4"/>
  <c r="AP455" i="4"/>
  <c r="AJ455" i="4"/>
  <c r="AO453" i="4"/>
  <c r="AQ453" i="4"/>
  <c r="AP453" i="4"/>
  <c r="AK453" i="4"/>
  <c r="AJ453" i="4"/>
  <c r="AO451" i="4"/>
  <c r="AK451" i="4"/>
  <c r="AP451" i="4"/>
  <c r="Q451" i="4" s="1"/>
  <c r="AQ451" i="4"/>
  <c r="AJ451" i="4"/>
  <c r="AO449" i="4"/>
  <c r="AP449" i="4"/>
  <c r="Q449" i="4" s="1"/>
  <c r="AQ449" i="4"/>
  <c r="AK449" i="4"/>
  <c r="AJ449" i="4"/>
  <c r="AO447" i="4"/>
  <c r="AQ447" i="4"/>
  <c r="AP447" i="4"/>
  <c r="AK447" i="4"/>
  <c r="AJ447" i="4"/>
  <c r="AO445" i="4"/>
  <c r="AP445" i="4"/>
  <c r="AJ445" i="4"/>
  <c r="AQ445" i="4"/>
  <c r="AK445" i="4"/>
  <c r="AO443" i="4"/>
  <c r="AQ443" i="4"/>
  <c r="AP443" i="4"/>
  <c r="Q443" i="4" s="1"/>
  <c r="AJ443" i="4"/>
  <c r="AK443" i="4"/>
  <c r="AO441" i="4"/>
  <c r="AP441" i="4"/>
  <c r="Q441" i="4" s="1"/>
  <c r="AQ441" i="4"/>
  <c r="AK441" i="4"/>
  <c r="AJ441" i="4"/>
  <c r="AO439" i="4"/>
  <c r="AQ439" i="4"/>
  <c r="AP439" i="4"/>
  <c r="AJ439" i="4"/>
  <c r="AK439" i="4"/>
  <c r="AO437" i="4"/>
  <c r="AQ437" i="4"/>
  <c r="AP437" i="4"/>
  <c r="AJ437" i="4"/>
  <c r="AK437" i="4"/>
  <c r="AO435" i="4"/>
  <c r="AQ435" i="4"/>
  <c r="AP435" i="4"/>
  <c r="Q435" i="4" s="1"/>
  <c r="AK435" i="4"/>
  <c r="AJ435" i="4"/>
  <c r="AO433" i="4"/>
  <c r="AQ433" i="4"/>
  <c r="AP433" i="4"/>
  <c r="AK433" i="4"/>
  <c r="AJ433" i="4"/>
  <c r="AO431" i="4"/>
  <c r="AP431" i="4"/>
  <c r="AK431" i="4"/>
  <c r="AJ431" i="4"/>
  <c r="AQ431" i="4"/>
  <c r="AL431" i="4"/>
  <c r="AO429" i="4"/>
  <c r="AK429" i="4"/>
  <c r="AQ429" i="4"/>
  <c r="AJ429" i="4"/>
  <c r="AP429" i="4"/>
  <c r="AO269" i="4"/>
  <c r="AJ269" i="4"/>
  <c r="AP269" i="4"/>
  <c r="AQ269" i="4"/>
  <c r="AK269" i="4"/>
  <c r="AO261" i="4"/>
  <c r="AK261" i="4"/>
  <c r="AL261" i="4"/>
  <c r="AQ261" i="4"/>
  <c r="AJ261" i="4"/>
  <c r="AP261" i="4"/>
  <c r="AO258" i="4"/>
  <c r="AJ258" i="4"/>
  <c r="AK258" i="4"/>
  <c r="AP258" i="4"/>
  <c r="AQ258" i="4"/>
  <c r="AO245" i="4"/>
  <c r="AP245" i="4"/>
  <c r="Q245" i="4" s="1"/>
  <c r="AJ245" i="4"/>
  <c r="AQ245" i="4"/>
  <c r="AK245" i="4"/>
  <c r="AO240" i="4"/>
  <c r="AJ240" i="4"/>
  <c r="AK240" i="4"/>
  <c r="AQ240" i="4"/>
  <c r="AP240" i="4"/>
  <c r="Q240" i="4" s="1"/>
  <c r="AO238" i="4"/>
  <c r="AK238" i="4"/>
  <c r="AQ238" i="4"/>
  <c r="AL238" i="4"/>
  <c r="AJ238" i="4"/>
  <c r="AP238" i="4"/>
  <c r="Q238" i="4" s="1"/>
  <c r="AP10" i="4"/>
  <c r="Q10" i="4" s="1"/>
  <c r="AK10" i="4"/>
  <c r="AJ10" i="4"/>
  <c r="AO908" i="4"/>
  <c r="AQ908" i="4"/>
  <c r="AK908" i="4"/>
  <c r="AP908" i="4"/>
  <c r="AJ908" i="4"/>
  <c r="AO906" i="4"/>
  <c r="AQ906" i="4"/>
  <c r="AL906" i="4"/>
  <c r="AP906" i="4"/>
  <c r="Q906" i="4" s="1"/>
  <c r="AK906" i="4"/>
  <c r="AJ906" i="4"/>
  <c r="AO727" i="4"/>
  <c r="AK727" i="4"/>
  <c r="AP727" i="4"/>
  <c r="AQ727" i="4"/>
  <c r="AL727" i="4"/>
  <c r="AJ727" i="4"/>
  <c r="AO717" i="4"/>
  <c r="AP717" i="4"/>
  <c r="Q717" i="4" s="1"/>
  <c r="AQ717" i="4"/>
  <c r="AJ717" i="4"/>
  <c r="AK717" i="4"/>
  <c r="AO714" i="4"/>
  <c r="AQ714" i="4"/>
  <c r="AP714" i="4"/>
  <c r="Q714" i="4" s="1"/>
  <c r="AK714" i="4"/>
  <c r="AJ714" i="4"/>
  <c r="AO712" i="4"/>
  <c r="AP712" i="4"/>
  <c r="Q712" i="4" s="1"/>
  <c r="AQ712" i="4"/>
  <c r="AK712" i="4"/>
  <c r="AJ712" i="4"/>
  <c r="AO382" i="4"/>
  <c r="AL382" i="4"/>
  <c r="AQ382" i="4"/>
  <c r="AP382" i="4"/>
  <c r="AK382" i="4"/>
  <c r="AJ382" i="4"/>
  <c r="AO380" i="4"/>
  <c r="AP380" i="4"/>
  <c r="AQ380" i="4"/>
  <c r="AJ380" i="4"/>
  <c r="AK380" i="4"/>
  <c r="AO350" i="4"/>
  <c r="AP350" i="4"/>
  <c r="Q350" i="4" s="1"/>
  <c r="AK350" i="4"/>
  <c r="AQ350" i="4"/>
  <c r="AJ350" i="4"/>
  <c r="AO348" i="4"/>
  <c r="AJ348" i="4"/>
  <c r="AP348" i="4"/>
  <c r="AK348" i="4"/>
  <c r="AQ348" i="4"/>
  <c r="AO250" i="4"/>
  <c r="AK250" i="4"/>
  <c r="AP250" i="4"/>
  <c r="AQ250" i="4"/>
  <c r="AJ250" i="4"/>
  <c r="AO218" i="4"/>
  <c r="AQ218" i="4"/>
  <c r="AP218" i="4"/>
  <c r="Q218" i="4" s="1"/>
  <c r="AK218" i="4"/>
  <c r="AJ218" i="4"/>
  <c r="AO46" i="4"/>
  <c r="AK46" i="4"/>
  <c r="AP46" i="4"/>
  <c r="AJ46" i="4"/>
  <c r="AL46" i="4"/>
  <c r="AL3" i="4"/>
  <c r="BH48" i="10"/>
  <c r="BJ48" i="10"/>
  <c r="AX48" i="10"/>
  <c r="BI48" i="10"/>
  <c r="AZ48" i="10"/>
  <c r="BI56" i="10"/>
  <c r="BH56" i="10"/>
  <c r="AY56" i="10"/>
  <c r="AX56" i="10"/>
  <c r="AZ56" i="10"/>
  <c r="BH31" i="10"/>
  <c r="BJ31" i="10"/>
  <c r="AX31" i="10"/>
  <c r="BI31" i="10"/>
  <c r="AZ31" i="10"/>
  <c r="AX30" i="10"/>
  <c r="AZ30" i="10"/>
  <c r="AX21" i="10"/>
  <c r="AZ21" i="10"/>
  <c r="BJ21" i="10"/>
  <c r="BJ30" i="10"/>
  <c r="BJ40" i="10"/>
  <c r="AY40" i="10"/>
  <c r="AX40" i="10"/>
  <c r="BH40" i="10"/>
  <c r="AZ40" i="10"/>
  <c r="BI15" i="10"/>
  <c r="AX15" i="10"/>
  <c r="AZ15" i="10"/>
  <c r="BJ15" i="10"/>
  <c r="AZ28" i="10"/>
  <c r="AX28" i="10"/>
  <c r="BJ45" i="10"/>
  <c r="BH45" i="10"/>
  <c r="AZ45" i="10"/>
  <c r="AX45" i="10"/>
  <c r="BI45" i="10"/>
  <c r="AY21" i="10"/>
  <c r="AY30" i="10"/>
  <c r="BJ37" i="10"/>
  <c r="AX37" i="10"/>
  <c r="AZ37" i="10"/>
  <c r="BI37" i="10"/>
  <c r="AX24" i="10"/>
  <c r="AZ24" i="10"/>
  <c r="AE10" i="10"/>
  <c r="T10" i="10" s="1"/>
  <c r="AQ5" i="4"/>
  <c r="AK3" i="4"/>
  <c r="AJ3" i="4"/>
  <c r="AO5" i="4"/>
  <c r="AP5" i="4"/>
  <c r="Q5" i="4" s="1"/>
  <c r="AJ5" i="4"/>
  <c r="AK5" i="4"/>
  <c r="AK6" i="4"/>
  <c r="AJ6" i="4"/>
  <c r="AL4" i="4"/>
  <c r="AK4" i="4"/>
  <c r="AJ4" i="4"/>
  <c r="AI10" i="10"/>
  <c r="AJ10" i="10"/>
  <c r="AI11" i="10"/>
  <c r="AJ11" i="10"/>
  <c r="AO676" i="4"/>
  <c r="AP676" i="4"/>
  <c r="AQ676" i="4"/>
  <c r="AK676" i="4"/>
  <c r="AJ676" i="4"/>
  <c r="AL676" i="4"/>
  <c r="AO692" i="4"/>
  <c r="AP692" i="4"/>
  <c r="AQ692" i="4"/>
  <c r="AL692" i="4"/>
  <c r="AJ692" i="4"/>
  <c r="AK692" i="4"/>
  <c r="AO644" i="4"/>
  <c r="AK644" i="4"/>
  <c r="AP644" i="4"/>
  <c r="AQ644" i="4"/>
  <c r="AJ644" i="4"/>
  <c r="AL644" i="4"/>
  <c r="AO628" i="4"/>
  <c r="AP628" i="4"/>
  <c r="AQ628" i="4"/>
  <c r="AJ628" i="4"/>
  <c r="AK628" i="4"/>
  <c r="AL628" i="4"/>
  <c r="AO612" i="4"/>
  <c r="AK612" i="4"/>
  <c r="AP612" i="4"/>
  <c r="AQ612" i="4"/>
  <c r="AL612" i="4"/>
  <c r="AJ612" i="4"/>
  <c r="AO705" i="4"/>
  <c r="AP705" i="4"/>
  <c r="AQ705" i="4"/>
  <c r="AJ705" i="4"/>
  <c r="AL705" i="4"/>
  <c r="AK705" i="4"/>
  <c r="AO689" i="4"/>
  <c r="AP689" i="4"/>
  <c r="AQ689" i="4"/>
  <c r="AK689" i="4"/>
  <c r="AL689" i="4"/>
  <c r="AJ689" i="4"/>
  <c r="AO673" i="4"/>
  <c r="AP673" i="4"/>
  <c r="AQ673" i="4"/>
  <c r="AK673" i="4"/>
  <c r="AL673" i="4"/>
  <c r="AJ673" i="4"/>
  <c r="AO657" i="4"/>
  <c r="AP657" i="4"/>
  <c r="AQ657" i="4"/>
  <c r="AJ657" i="4"/>
  <c r="AK657" i="4"/>
  <c r="AL657" i="4"/>
  <c r="AO641" i="4"/>
  <c r="AP641" i="4"/>
  <c r="AK641" i="4"/>
  <c r="AQ641" i="4"/>
  <c r="AJ641" i="4"/>
  <c r="AL641" i="4"/>
  <c r="AO625" i="4"/>
  <c r="AP625" i="4"/>
  <c r="AK625" i="4"/>
  <c r="AQ625" i="4"/>
  <c r="AJ625" i="4"/>
  <c r="AL625" i="4"/>
  <c r="AO609" i="4"/>
  <c r="AP609" i="4"/>
  <c r="AQ609" i="4"/>
  <c r="AK609" i="4"/>
  <c r="AJ609" i="4"/>
  <c r="AL609" i="4"/>
  <c r="AO399" i="4"/>
  <c r="AK399" i="4"/>
  <c r="AL399" i="4"/>
  <c r="AP399" i="4"/>
  <c r="AJ399" i="4"/>
  <c r="AQ399" i="4"/>
  <c r="AO383" i="4"/>
  <c r="AJ383" i="4"/>
  <c r="AK383" i="4"/>
  <c r="AP383" i="4"/>
  <c r="AQ383" i="4"/>
  <c r="AL383" i="4"/>
  <c r="AO367" i="4"/>
  <c r="AQ367" i="4"/>
  <c r="AJ367" i="4"/>
  <c r="AL367" i="4"/>
  <c r="AP367" i="4"/>
  <c r="Q367" i="4" s="1"/>
  <c r="AK367" i="4"/>
  <c r="AO351" i="4"/>
  <c r="AQ351" i="4"/>
  <c r="AK351" i="4"/>
  <c r="AJ351" i="4"/>
  <c r="AP351" i="4"/>
  <c r="Q351" i="4" s="1"/>
  <c r="AL351" i="4"/>
  <c r="AO335" i="4"/>
  <c r="AJ335" i="4"/>
  <c r="AK335" i="4"/>
  <c r="AP335" i="4"/>
  <c r="AL335" i="4"/>
  <c r="AQ335" i="4"/>
  <c r="AO409" i="4"/>
  <c r="AJ409" i="4"/>
  <c r="AL409" i="4"/>
  <c r="AP409" i="4"/>
  <c r="AK409" i="4"/>
  <c r="AQ409" i="4"/>
  <c r="AO393" i="4"/>
  <c r="AP393" i="4"/>
  <c r="AL393" i="4"/>
  <c r="AJ393" i="4"/>
  <c r="AQ393" i="4"/>
  <c r="AK393" i="4"/>
  <c r="AO377" i="4"/>
  <c r="AJ377" i="4"/>
  <c r="AK377" i="4"/>
  <c r="AQ377" i="4"/>
  <c r="AP377" i="4"/>
  <c r="Q377" i="4" s="1"/>
  <c r="AL377" i="4"/>
  <c r="AO361" i="4"/>
  <c r="AP361" i="4"/>
  <c r="AJ361" i="4"/>
  <c r="AQ361" i="4"/>
  <c r="AK361" i="4"/>
  <c r="AL361" i="4"/>
  <c r="AO345" i="4"/>
  <c r="AP345" i="4"/>
  <c r="AL345" i="4"/>
  <c r="AQ345" i="4"/>
  <c r="AK345" i="4"/>
  <c r="AJ345" i="4"/>
  <c r="AO329" i="4"/>
  <c r="AL329" i="4"/>
  <c r="AJ329" i="4"/>
  <c r="AQ329" i="4"/>
  <c r="AK329" i="4"/>
  <c r="AP329" i="4"/>
  <c r="AO166" i="4"/>
  <c r="AL166" i="4"/>
  <c r="AJ166" i="4"/>
  <c r="AP166" i="4"/>
  <c r="AQ166" i="4"/>
  <c r="AK166" i="4"/>
  <c r="AO158" i="4"/>
  <c r="AP158" i="4"/>
  <c r="AK158" i="4"/>
  <c r="AJ158" i="4"/>
  <c r="AQ158" i="4"/>
  <c r="AL158" i="4"/>
  <c r="AO150" i="4"/>
  <c r="AJ150" i="4"/>
  <c r="AP150" i="4"/>
  <c r="Q150" i="4" s="1"/>
  <c r="AQ150" i="4"/>
  <c r="AK150" i="4"/>
  <c r="AL150" i="4"/>
  <c r="AO142" i="4"/>
  <c r="AP142" i="4"/>
  <c r="AJ142" i="4"/>
  <c r="AK142" i="4"/>
  <c r="AL142" i="4"/>
  <c r="AQ142" i="4"/>
  <c r="AO134" i="4"/>
  <c r="AL134" i="4"/>
  <c r="AK134" i="4"/>
  <c r="AP134" i="4"/>
  <c r="AJ134" i="4"/>
  <c r="AQ134" i="4"/>
  <c r="AO126" i="4"/>
  <c r="AQ126" i="4"/>
  <c r="AJ126" i="4"/>
  <c r="AK126" i="4"/>
  <c r="AL126" i="4"/>
  <c r="AP126" i="4"/>
  <c r="BH49" i="10"/>
  <c r="AY49" i="10"/>
  <c r="BJ49" i="10"/>
  <c r="BI49" i="10"/>
  <c r="AZ49" i="10"/>
  <c r="AX49" i="10"/>
  <c r="BI41" i="10"/>
  <c r="BH41" i="10"/>
  <c r="AY41" i="10"/>
  <c r="BJ41" i="10"/>
  <c r="AZ41" i="10"/>
  <c r="AX41" i="10"/>
  <c r="AO943" i="4"/>
  <c r="AQ943" i="4"/>
  <c r="AL943" i="4"/>
  <c r="AP943" i="4"/>
  <c r="AK943" i="4"/>
  <c r="AJ943" i="4"/>
  <c r="AO911" i="4"/>
  <c r="AQ911" i="4"/>
  <c r="AK911" i="4"/>
  <c r="AJ911" i="4"/>
  <c r="AL911" i="4"/>
  <c r="AP911" i="4"/>
  <c r="AO863" i="4"/>
  <c r="AP863" i="4"/>
  <c r="AQ863" i="4"/>
  <c r="AK863" i="4"/>
  <c r="AJ863" i="4"/>
  <c r="AL863" i="4"/>
  <c r="AO968" i="4"/>
  <c r="AP968" i="4"/>
  <c r="AQ968" i="4"/>
  <c r="AK968" i="4"/>
  <c r="AJ968" i="4"/>
  <c r="AL968" i="4"/>
  <c r="AO936" i="4"/>
  <c r="AP936" i="4"/>
  <c r="AK936" i="4"/>
  <c r="AQ936" i="4"/>
  <c r="AJ936" i="4"/>
  <c r="AL936" i="4"/>
  <c r="AO868" i="4"/>
  <c r="AP868" i="4"/>
  <c r="AQ868" i="4"/>
  <c r="AL868" i="4"/>
  <c r="AJ868" i="4"/>
  <c r="AK868" i="4"/>
  <c r="AO838" i="4"/>
  <c r="AP838" i="4"/>
  <c r="AQ838" i="4"/>
  <c r="AK838" i="4"/>
  <c r="AJ838" i="4"/>
  <c r="AL838" i="4"/>
  <c r="AO852" i="4"/>
  <c r="AK852" i="4"/>
  <c r="AP852" i="4"/>
  <c r="AQ852" i="4"/>
  <c r="AL852" i="4"/>
  <c r="AJ852" i="4"/>
  <c r="AO818" i="4"/>
  <c r="AP818" i="4"/>
  <c r="AQ818" i="4"/>
  <c r="AJ818" i="4"/>
  <c r="AK818" i="4"/>
  <c r="AL818" i="4"/>
  <c r="AO809" i="4"/>
  <c r="AP809" i="4"/>
  <c r="AQ809" i="4"/>
  <c r="AJ809" i="4"/>
  <c r="AL809" i="4"/>
  <c r="AK809" i="4"/>
  <c r="AO793" i="4"/>
  <c r="AP793" i="4"/>
  <c r="AK793" i="4"/>
  <c r="AQ793" i="4"/>
  <c r="AJ793" i="4"/>
  <c r="AL793" i="4"/>
  <c r="AO777" i="4"/>
  <c r="AP777" i="4"/>
  <c r="AQ777" i="4"/>
  <c r="AK777" i="4"/>
  <c r="AJ777" i="4"/>
  <c r="AL777" i="4"/>
  <c r="AO761" i="4"/>
  <c r="AP761" i="4"/>
  <c r="AK761" i="4"/>
  <c r="AQ761" i="4"/>
  <c r="AJ761" i="4"/>
  <c r="AL761" i="4"/>
  <c r="AO742" i="4"/>
  <c r="AP742" i="4"/>
  <c r="AQ742" i="4"/>
  <c r="AJ742" i="4"/>
  <c r="AL742" i="4"/>
  <c r="AK742" i="4"/>
  <c r="AO691" i="4"/>
  <c r="AQ691" i="4"/>
  <c r="AK691" i="4"/>
  <c r="AP691" i="4"/>
  <c r="AJ691" i="4"/>
  <c r="AL691" i="4"/>
  <c r="AO659" i="4"/>
  <c r="AQ659" i="4"/>
  <c r="AK659" i="4"/>
  <c r="AL659" i="4"/>
  <c r="AP659" i="4"/>
  <c r="Q659" i="4" s="1"/>
  <c r="AJ659" i="4"/>
  <c r="AO611" i="4"/>
  <c r="AQ611" i="4"/>
  <c r="AK611" i="4"/>
  <c r="AL611" i="4"/>
  <c r="AP611" i="4"/>
  <c r="Q611" i="4" s="1"/>
  <c r="AJ611" i="4"/>
  <c r="AO688" i="4"/>
  <c r="AP688" i="4"/>
  <c r="AQ688" i="4"/>
  <c r="AJ688" i="4"/>
  <c r="AK688" i="4"/>
  <c r="AL688" i="4"/>
  <c r="AO656" i="4"/>
  <c r="AK656" i="4"/>
  <c r="AP656" i="4"/>
  <c r="Q656" i="4" s="1"/>
  <c r="AQ656" i="4"/>
  <c r="AJ656" i="4"/>
  <c r="AL656" i="4"/>
  <c r="AO624" i="4"/>
  <c r="AP624" i="4"/>
  <c r="AQ624" i="4"/>
  <c r="AJ624" i="4"/>
  <c r="AL624" i="4"/>
  <c r="AK624" i="4"/>
  <c r="AO685" i="4"/>
  <c r="AP685" i="4"/>
  <c r="AQ685" i="4"/>
  <c r="AK685" i="4"/>
  <c r="AL685" i="4"/>
  <c r="AJ685" i="4"/>
  <c r="AO653" i="4"/>
  <c r="AK653" i="4"/>
  <c r="AP653" i="4"/>
  <c r="AQ653" i="4"/>
  <c r="AJ653" i="4"/>
  <c r="AL653" i="4"/>
  <c r="AO621" i="4"/>
  <c r="AP621" i="4"/>
  <c r="AK621" i="4"/>
  <c r="AQ621" i="4"/>
  <c r="AJ621" i="4"/>
  <c r="AL621" i="4"/>
  <c r="AO395" i="4"/>
  <c r="AL395" i="4"/>
  <c r="AJ395" i="4"/>
  <c r="AQ395" i="4"/>
  <c r="AP395" i="4"/>
  <c r="Q395" i="4" s="1"/>
  <c r="AK395" i="4"/>
  <c r="AO347" i="4"/>
  <c r="AK347" i="4"/>
  <c r="AQ347" i="4"/>
  <c r="AL347" i="4"/>
  <c r="AP347" i="4"/>
  <c r="AJ347" i="4"/>
  <c r="AO405" i="4"/>
  <c r="AQ405" i="4"/>
  <c r="AL405" i="4"/>
  <c r="AJ405" i="4"/>
  <c r="AP405" i="4"/>
  <c r="Q405" i="4" s="1"/>
  <c r="AK405" i="4"/>
  <c r="AO357" i="4"/>
  <c r="AQ357" i="4"/>
  <c r="AJ357" i="4"/>
  <c r="AK357" i="4"/>
  <c r="AP357" i="4"/>
  <c r="Q357" i="4" s="1"/>
  <c r="AL357" i="4"/>
  <c r="AO325" i="4"/>
  <c r="AQ325" i="4"/>
  <c r="AL325" i="4"/>
  <c r="AJ325" i="4"/>
  <c r="AP325" i="4"/>
  <c r="Q325" i="4" s="1"/>
  <c r="AK325" i="4"/>
  <c r="AO156" i="4"/>
  <c r="AP156" i="4"/>
  <c r="AK156" i="4"/>
  <c r="AQ156" i="4"/>
  <c r="AL156" i="4"/>
  <c r="AJ156" i="4"/>
  <c r="AO148" i="4"/>
  <c r="AJ148" i="4"/>
  <c r="AP148" i="4"/>
  <c r="AK148" i="4"/>
  <c r="AQ148" i="4"/>
  <c r="AL148" i="4"/>
  <c r="AO132" i="4"/>
  <c r="AK132" i="4"/>
  <c r="AP132" i="4"/>
  <c r="Q132" i="4" s="1"/>
  <c r="AJ132" i="4"/>
  <c r="AL132" i="4"/>
  <c r="AQ132" i="4"/>
  <c r="AO122" i="4"/>
  <c r="AQ122" i="4"/>
  <c r="AK122" i="4"/>
  <c r="AL122" i="4"/>
  <c r="AP122" i="4"/>
  <c r="Q122" i="4" s="1"/>
  <c r="AJ122" i="4"/>
  <c r="AA12" i="10"/>
  <c r="AO971" i="4"/>
  <c r="AQ971" i="4"/>
  <c r="AK971" i="4"/>
  <c r="AJ971" i="4"/>
  <c r="AP971" i="4"/>
  <c r="Q971" i="4" s="1"/>
  <c r="AL971" i="4"/>
  <c r="AO955" i="4"/>
  <c r="AP955" i="4"/>
  <c r="AQ955" i="4"/>
  <c r="AK955" i="4"/>
  <c r="AL955" i="4"/>
  <c r="AJ955" i="4"/>
  <c r="AO939" i="4"/>
  <c r="AQ939" i="4"/>
  <c r="AK939" i="4"/>
  <c r="AJ939" i="4"/>
  <c r="AL939" i="4"/>
  <c r="AP939" i="4"/>
  <c r="AO923" i="4"/>
  <c r="AP923" i="4"/>
  <c r="AQ923" i="4"/>
  <c r="AJ923" i="4"/>
  <c r="AL923" i="4"/>
  <c r="AK923" i="4"/>
  <c r="AO907" i="4"/>
  <c r="AQ907" i="4"/>
  <c r="AP907" i="4"/>
  <c r="AL907" i="4"/>
  <c r="AJ907" i="4"/>
  <c r="AK907" i="4"/>
  <c r="AO891" i="4"/>
  <c r="AP891" i="4"/>
  <c r="AK891" i="4"/>
  <c r="AQ891" i="4"/>
  <c r="AJ891" i="4"/>
  <c r="AL891" i="4"/>
  <c r="AO875" i="4"/>
  <c r="AQ875" i="4"/>
  <c r="AK875" i="4"/>
  <c r="AP875" i="4"/>
  <c r="AJ875" i="4"/>
  <c r="AL875" i="4"/>
  <c r="AO859" i="4"/>
  <c r="AP859" i="4"/>
  <c r="AK859" i="4"/>
  <c r="AQ859" i="4"/>
  <c r="AL859" i="4"/>
  <c r="AJ859" i="4"/>
  <c r="AO843" i="4"/>
  <c r="AQ843" i="4"/>
  <c r="AK843" i="4"/>
  <c r="AL843" i="4"/>
  <c r="AP843" i="4"/>
  <c r="Q843" i="4" s="1"/>
  <c r="AJ843" i="4"/>
  <c r="AO964" i="4"/>
  <c r="AP964" i="4"/>
  <c r="AQ964" i="4"/>
  <c r="AJ964" i="4"/>
  <c r="AK964" i="4"/>
  <c r="AL964" i="4"/>
  <c r="AO948" i="4"/>
  <c r="AP948" i="4"/>
  <c r="AK948" i="4"/>
  <c r="AQ948" i="4"/>
  <c r="AL948" i="4"/>
  <c r="AJ948" i="4"/>
  <c r="AO932" i="4"/>
  <c r="AP932" i="4"/>
  <c r="AQ932" i="4"/>
  <c r="AK932" i="4"/>
  <c r="AL932" i="4"/>
  <c r="AJ932" i="4"/>
  <c r="AO880" i="4"/>
  <c r="AP880" i="4"/>
  <c r="AQ880" i="4"/>
  <c r="AJ880" i="4"/>
  <c r="AL880" i="4"/>
  <c r="AK880" i="4"/>
  <c r="AX8" i="10"/>
  <c r="AZ8" i="10"/>
  <c r="AY8" i="10"/>
  <c r="AO866" i="4"/>
  <c r="AP866" i="4"/>
  <c r="Q866" i="4" s="1"/>
  <c r="AQ866" i="4"/>
  <c r="AK866" i="4"/>
  <c r="AJ866" i="4"/>
  <c r="AL866" i="4"/>
  <c r="AO850" i="4"/>
  <c r="AP850" i="4"/>
  <c r="Q850" i="4" s="1"/>
  <c r="AQ850" i="4"/>
  <c r="AJ850" i="4"/>
  <c r="AL850" i="4"/>
  <c r="AK850" i="4"/>
  <c r="AO817" i="4"/>
  <c r="AP817" i="4"/>
  <c r="Q817" i="4" s="1"/>
  <c r="AQ817" i="4"/>
  <c r="AK817" i="4"/>
  <c r="AL817" i="4"/>
  <c r="AJ817" i="4"/>
  <c r="AO844" i="4"/>
  <c r="AP844" i="4"/>
  <c r="Q844" i="4" s="1"/>
  <c r="AQ844" i="4"/>
  <c r="AL844" i="4"/>
  <c r="AJ844" i="4"/>
  <c r="AK844" i="4"/>
  <c r="AO830" i="4"/>
  <c r="AK830" i="4"/>
  <c r="AP830" i="4"/>
  <c r="AQ830" i="4"/>
  <c r="AL830" i="4"/>
  <c r="AJ830" i="4"/>
  <c r="AO814" i="4"/>
  <c r="AP814" i="4"/>
  <c r="Q814" i="4" s="1"/>
  <c r="AQ814" i="4"/>
  <c r="AK814" i="4"/>
  <c r="AL814" i="4"/>
  <c r="AJ814" i="4"/>
  <c r="AO733" i="4"/>
  <c r="AK733" i="4"/>
  <c r="AP733" i="4"/>
  <c r="AQ733" i="4"/>
  <c r="AJ733" i="4"/>
  <c r="AL733" i="4"/>
  <c r="AO807" i="4"/>
  <c r="AP807" i="4"/>
  <c r="Q807" i="4" s="1"/>
  <c r="AQ807" i="4"/>
  <c r="AK807" i="4"/>
  <c r="AJ807" i="4"/>
  <c r="AL807" i="4"/>
  <c r="AO799" i="4"/>
  <c r="AP799" i="4"/>
  <c r="Q799" i="4" s="1"/>
  <c r="AQ799" i="4"/>
  <c r="AJ799" i="4"/>
  <c r="AL799" i="4"/>
  <c r="AK799" i="4"/>
  <c r="AO791" i="4"/>
  <c r="AP791" i="4"/>
  <c r="Q791" i="4" s="1"/>
  <c r="AQ791" i="4"/>
  <c r="AK791" i="4"/>
  <c r="AL791" i="4"/>
  <c r="AJ791" i="4"/>
  <c r="AO783" i="4"/>
  <c r="AQ783" i="4"/>
  <c r="AK783" i="4"/>
  <c r="AP783" i="4"/>
  <c r="Q783" i="4" s="1"/>
  <c r="AL783" i="4"/>
  <c r="AJ783" i="4"/>
  <c r="AO775" i="4"/>
  <c r="AQ775" i="4"/>
  <c r="AP775" i="4"/>
  <c r="AK775" i="4"/>
  <c r="AL775" i="4"/>
  <c r="AJ775" i="4"/>
  <c r="AO767" i="4"/>
  <c r="AP767" i="4"/>
  <c r="Q767" i="4" s="1"/>
  <c r="AQ767" i="4"/>
  <c r="AK767" i="4"/>
  <c r="AJ767" i="4"/>
  <c r="AL767" i="4"/>
  <c r="AO759" i="4"/>
  <c r="AP759" i="4"/>
  <c r="Q759" i="4" s="1"/>
  <c r="AQ759" i="4"/>
  <c r="AK759" i="4"/>
  <c r="AL759" i="4"/>
  <c r="AJ759" i="4"/>
  <c r="AO751" i="4"/>
  <c r="AQ751" i="4"/>
  <c r="AK751" i="4"/>
  <c r="AL751" i="4"/>
  <c r="AP751" i="4"/>
  <c r="AJ751" i="4"/>
  <c r="AO738" i="4"/>
  <c r="AP738" i="4"/>
  <c r="Q738" i="4" s="1"/>
  <c r="AQ738" i="4"/>
  <c r="AJ738" i="4"/>
  <c r="AL738" i="4"/>
  <c r="AK738" i="4"/>
  <c r="AO703" i="4"/>
  <c r="AP703" i="4"/>
  <c r="Q703" i="4" s="1"/>
  <c r="AQ703" i="4"/>
  <c r="AL703" i="4"/>
  <c r="AK703" i="4"/>
  <c r="AJ703" i="4"/>
  <c r="AO687" i="4"/>
  <c r="AQ687" i="4"/>
  <c r="AP687" i="4"/>
  <c r="AK687" i="4"/>
  <c r="AL687" i="4"/>
  <c r="AJ687" i="4"/>
  <c r="AO671" i="4"/>
  <c r="AP671" i="4"/>
  <c r="Q671" i="4" s="1"/>
  <c r="AQ671" i="4"/>
  <c r="AK671" i="4"/>
  <c r="AJ671" i="4"/>
  <c r="AL671" i="4"/>
  <c r="AO655" i="4"/>
  <c r="AP655" i="4"/>
  <c r="Q655" i="4" s="1"/>
  <c r="AQ655" i="4"/>
  <c r="AK655" i="4"/>
  <c r="AL655" i="4"/>
  <c r="AJ655" i="4"/>
  <c r="AO639" i="4"/>
  <c r="AP639" i="4"/>
  <c r="Q639" i="4" s="1"/>
  <c r="AQ639" i="4"/>
  <c r="AK639" i="4"/>
  <c r="AL639" i="4"/>
  <c r="AJ639" i="4"/>
  <c r="AO623" i="4"/>
  <c r="AP623" i="4"/>
  <c r="Q623" i="4" s="1"/>
  <c r="AQ623" i="4"/>
  <c r="AK623" i="4"/>
  <c r="AJ623" i="4"/>
  <c r="AL623" i="4"/>
  <c r="AO607" i="4"/>
  <c r="AK607" i="4"/>
  <c r="AL607" i="4"/>
  <c r="AP607" i="4"/>
  <c r="Q607" i="4" s="1"/>
  <c r="AQ607" i="4"/>
  <c r="AJ607" i="4"/>
  <c r="AO700" i="4"/>
  <c r="AP700" i="4"/>
  <c r="Q700" i="4" s="1"/>
  <c r="AK700" i="4"/>
  <c r="AQ700" i="4"/>
  <c r="AJ700" i="4"/>
  <c r="AL700" i="4"/>
  <c r="AO684" i="4"/>
  <c r="AP684" i="4"/>
  <c r="Q684" i="4" s="1"/>
  <c r="AQ684" i="4"/>
  <c r="AK684" i="4"/>
  <c r="AL684" i="4"/>
  <c r="AJ684" i="4"/>
  <c r="AO668" i="4"/>
  <c r="AK668" i="4"/>
  <c r="AP668" i="4"/>
  <c r="AQ668" i="4"/>
  <c r="AJ668" i="4"/>
  <c r="AL668" i="4"/>
  <c r="AO652" i="4"/>
  <c r="AP652" i="4"/>
  <c r="Q652" i="4" s="1"/>
  <c r="AQ652" i="4"/>
  <c r="AK652" i="4"/>
  <c r="AL652" i="4"/>
  <c r="AJ652" i="4"/>
  <c r="AO636" i="4"/>
  <c r="AP636" i="4"/>
  <c r="Q636" i="4" s="1"/>
  <c r="AQ636" i="4"/>
  <c r="AK636" i="4"/>
  <c r="AL636" i="4"/>
  <c r="AJ636" i="4"/>
  <c r="AO620" i="4"/>
  <c r="AP620" i="4"/>
  <c r="Q620" i="4" s="1"/>
  <c r="AQ620" i="4"/>
  <c r="AJ620" i="4"/>
  <c r="AL620" i="4"/>
  <c r="AK620" i="4"/>
  <c r="AO604" i="4"/>
  <c r="AP604" i="4"/>
  <c r="Q604" i="4" s="1"/>
  <c r="AK604" i="4"/>
  <c r="AQ604" i="4"/>
  <c r="AL604" i="4"/>
  <c r="AJ604" i="4"/>
  <c r="AO697" i="4"/>
  <c r="AP697" i="4"/>
  <c r="Q697" i="4" s="1"/>
  <c r="AK697" i="4"/>
  <c r="AJ697" i="4"/>
  <c r="AQ697" i="4"/>
  <c r="AL697" i="4"/>
  <c r="AO681" i="4"/>
  <c r="AP681" i="4"/>
  <c r="Q681" i="4" s="1"/>
  <c r="AQ681" i="4"/>
  <c r="AJ681" i="4"/>
  <c r="AL681" i="4"/>
  <c r="AK681" i="4"/>
  <c r="AO665" i="4"/>
  <c r="AP665" i="4"/>
  <c r="Q665" i="4" s="1"/>
  <c r="AQ665" i="4"/>
  <c r="AK665" i="4"/>
  <c r="AJ665" i="4"/>
  <c r="AL665" i="4"/>
  <c r="AO649" i="4"/>
  <c r="AP649" i="4"/>
  <c r="Q649" i="4" s="1"/>
  <c r="AK649" i="4"/>
  <c r="AQ649" i="4"/>
  <c r="AJ649" i="4"/>
  <c r="AL649" i="4"/>
  <c r="AO633" i="4"/>
  <c r="AP633" i="4"/>
  <c r="AK633" i="4"/>
  <c r="AQ633" i="4"/>
  <c r="AJ633" i="4"/>
  <c r="AL633" i="4"/>
  <c r="AO617" i="4"/>
  <c r="AP617" i="4"/>
  <c r="Q617" i="4" s="1"/>
  <c r="AQ617" i="4"/>
  <c r="AK617" i="4"/>
  <c r="AJ617" i="4"/>
  <c r="AL617" i="4"/>
  <c r="AO407" i="4"/>
  <c r="AK407" i="4"/>
  <c r="AJ407" i="4"/>
  <c r="AL407" i="4"/>
  <c r="AP407" i="4"/>
  <c r="AQ407" i="4"/>
  <c r="AO391" i="4"/>
  <c r="AJ391" i="4"/>
  <c r="AP391" i="4"/>
  <c r="AQ391" i="4"/>
  <c r="AK391" i="4"/>
  <c r="AL391" i="4"/>
  <c r="AO375" i="4"/>
  <c r="AK375" i="4"/>
  <c r="AL375" i="4"/>
  <c r="AQ375" i="4"/>
  <c r="AP375" i="4"/>
  <c r="AJ375" i="4"/>
  <c r="AO359" i="4"/>
  <c r="AJ359" i="4"/>
  <c r="AL359" i="4"/>
  <c r="AP359" i="4"/>
  <c r="Q359" i="4" s="1"/>
  <c r="AQ359" i="4"/>
  <c r="AK359" i="4"/>
  <c r="AO343" i="4"/>
  <c r="AK343" i="4"/>
  <c r="AP343" i="4"/>
  <c r="AJ343" i="4"/>
  <c r="AQ343" i="4"/>
  <c r="AL343" i="4"/>
  <c r="AO327" i="4"/>
  <c r="AQ327" i="4"/>
  <c r="AJ327" i="4"/>
  <c r="AK327" i="4"/>
  <c r="AL327" i="4"/>
  <c r="AP327" i="4"/>
  <c r="Q327" i="4" s="1"/>
  <c r="AO401" i="4"/>
  <c r="AQ401" i="4"/>
  <c r="AK401" i="4"/>
  <c r="AJ401" i="4"/>
  <c r="AL401" i="4"/>
  <c r="AP401" i="4"/>
  <c r="Q401" i="4" s="1"/>
  <c r="AO385" i="4"/>
  <c r="AJ385" i="4"/>
  <c r="AL385" i="4"/>
  <c r="AK385" i="4"/>
  <c r="AQ385" i="4"/>
  <c r="AP385" i="4"/>
  <c r="Q385" i="4" s="1"/>
  <c r="AO369" i="4"/>
  <c r="AK369" i="4"/>
  <c r="AJ369" i="4"/>
  <c r="AP369" i="4"/>
  <c r="Q369" i="4" s="1"/>
  <c r="AL369" i="4"/>
  <c r="AQ369" i="4"/>
  <c r="AO353" i="4"/>
  <c r="AP353" i="4"/>
  <c r="Q353" i="4" s="1"/>
  <c r="AK353" i="4"/>
  <c r="AJ353" i="4"/>
  <c r="AQ353" i="4"/>
  <c r="AL353" i="4"/>
  <c r="AO337" i="4"/>
  <c r="AL337" i="4"/>
  <c r="AK337" i="4"/>
  <c r="AP337" i="4"/>
  <c r="Q337" i="4" s="1"/>
  <c r="AJ337" i="4"/>
  <c r="AQ337" i="4"/>
  <c r="AO321" i="4"/>
  <c r="AJ321" i="4"/>
  <c r="AK321" i="4"/>
  <c r="AQ321" i="4"/>
  <c r="AL321" i="4"/>
  <c r="AP321" i="4"/>
  <c r="Q321" i="4" s="1"/>
  <c r="AO162" i="4"/>
  <c r="AK162" i="4"/>
  <c r="AP162" i="4"/>
  <c r="AJ162" i="4"/>
  <c r="AL162" i="4"/>
  <c r="AQ162" i="4"/>
  <c r="AO154" i="4"/>
  <c r="AP154" i="4"/>
  <c r="Q154" i="4" s="1"/>
  <c r="AK154" i="4"/>
  <c r="AJ154" i="4"/>
  <c r="AQ154" i="4"/>
  <c r="AL154" i="4"/>
  <c r="AO146" i="4"/>
  <c r="AL146" i="4"/>
  <c r="AJ146" i="4"/>
  <c r="AK146" i="4"/>
  <c r="AQ146" i="4"/>
  <c r="AP146" i="4"/>
  <c r="Q146" i="4" s="1"/>
  <c r="AO138" i="4"/>
  <c r="AK138" i="4"/>
  <c r="AP138" i="4"/>
  <c r="Q138" i="4" s="1"/>
  <c r="AL138" i="4"/>
  <c r="AQ138" i="4"/>
  <c r="AJ138" i="4"/>
  <c r="AO130" i="4"/>
  <c r="AQ130" i="4"/>
  <c r="AP130" i="4"/>
  <c r="AK130" i="4"/>
  <c r="AL130" i="4"/>
  <c r="AJ130" i="4"/>
  <c r="AO118" i="4"/>
  <c r="AL118" i="4"/>
  <c r="AJ118" i="4"/>
  <c r="AP118" i="4"/>
  <c r="Q118" i="4" s="1"/>
  <c r="AQ118" i="4"/>
  <c r="AK118" i="4"/>
  <c r="AO963" i="4"/>
  <c r="AP963" i="4"/>
  <c r="Q963" i="4" s="1"/>
  <c r="AQ963" i="4"/>
  <c r="AK963" i="4"/>
  <c r="AL963" i="4"/>
  <c r="AJ963" i="4"/>
  <c r="AO947" i="4"/>
  <c r="AQ947" i="4"/>
  <c r="AJ947" i="4"/>
  <c r="AK947" i="4"/>
  <c r="AL947" i="4"/>
  <c r="AP947" i="4"/>
  <c r="Q947" i="4" s="1"/>
  <c r="AO931" i="4"/>
  <c r="AP931" i="4"/>
  <c r="Q931" i="4" s="1"/>
  <c r="AQ931" i="4"/>
  <c r="AJ931" i="4"/>
  <c r="AK931" i="4"/>
  <c r="AL931" i="4"/>
  <c r="AO915" i="4"/>
  <c r="AQ915" i="4"/>
  <c r="AK915" i="4"/>
  <c r="AP915" i="4"/>
  <c r="AJ915" i="4"/>
  <c r="AL915" i="4"/>
  <c r="AO899" i="4"/>
  <c r="AP899" i="4"/>
  <c r="Q899" i="4" s="1"/>
  <c r="AQ899" i="4"/>
  <c r="AK899" i="4"/>
  <c r="AJ899" i="4"/>
  <c r="AL899" i="4"/>
  <c r="AO883" i="4"/>
  <c r="AQ883" i="4"/>
  <c r="AP883" i="4"/>
  <c r="AL883" i="4"/>
  <c r="AK883" i="4"/>
  <c r="AJ883" i="4"/>
  <c r="AO867" i="4"/>
  <c r="AP867" i="4"/>
  <c r="Q867" i="4" s="1"/>
  <c r="AQ867" i="4"/>
  <c r="AK867" i="4"/>
  <c r="AJ867" i="4"/>
  <c r="AL867" i="4"/>
  <c r="AO851" i="4"/>
  <c r="AQ851" i="4"/>
  <c r="AL851" i="4"/>
  <c r="AP851" i="4"/>
  <c r="AK851" i="4"/>
  <c r="AJ851" i="4"/>
  <c r="AO956" i="4"/>
  <c r="AP956" i="4"/>
  <c r="Q956" i="4" s="1"/>
  <c r="AQ956" i="4"/>
  <c r="AK956" i="4"/>
  <c r="AL956" i="4"/>
  <c r="AJ956" i="4"/>
  <c r="AO940" i="4"/>
  <c r="AP940" i="4"/>
  <c r="Q940" i="4" s="1"/>
  <c r="AQ940" i="4"/>
  <c r="AK940" i="4"/>
  <c r="AL940" i="4"/>
  <c r="AJ940" i="4"/>
  <c r="AO888" i="4"/>
  <c r="AP888" i="4"/>
  <c r="Q888" i="4" s="1"/>
  <c r="AQ888" i="4"/>
  <c r="AK888" i="4"/>
  <c r="AL888" i="4"/>
  <c r="AJ888" i="4"/>
  <c r="AO872" i="4"/>
  <c r="AP872" i="4"/>
  <c r="Q872" i="4" s="1"/>
  <c r="AQ872" i="4"/>
  <c r="AK872" i="4"/>
  <c r="AJ872" i="4"/>
  <c r="AL872" i="4"/>
  <c r="AO858" i="4"/>
  <c r="AP858" i="4"/>
  <c r="Q858" i="4" s="1"/>
  <c r="AQ858" i="4"/>
  <c r="AK858" i="4"/>
  <c r="AJ858" i="4"/>
  <c r="AL858" i="4"/>
  <c r="AO842" i="4"/>
  <c r="AP842" i="4"/>
  <c r="Q842" i="4" s="1"/>
  <c r="AK842" i="4"/>
  <c r="AQ842" i="4"/>
  <c r="AL842" i="4"/>
  <c r="AJ842" i="4"/>
  <c r="AO825" i="4"/>
  <c r="AP825" i="4"/>
  <c r="Q825" i="4" s="1"/>
  <c r="AQ825" i="4"/>
  <c r="AK825" i="4"/>
  <c r="AJ825" i="4"/>
  <c r="AL825" i="4"/>
  <c r="AO860" i="4"/>
  <c r="AP860" i="4"/>
  <c r="Q860" i="4" s="1"/>
  <c r="AQ860" i="4"/>
  <c r="AK860" i="4"/>
  <c r="AJ860" i="4"/>
  <c r="AL860" i="4"/>
  <c r="AO834" i="4"/>
  <c r="AP834" i="4"/>
  <c r="Q834" i="4" s="1"/>
  <c r="AQ834" i="4"/>
  <c r="AJ834" i="4"/>
  <c r="AK834" i="4"/>
  <c r="AL834" i="4"/>
  <c r="AO822" i="4"/>
  <c r="AP822" i="4"/>
  <c r="Q822" i="4" s="1"/>
  <c r="AQ822" i="4"/>
  <c r="AK822" i="4"/>
  <c r="AL822" i="4"/>
  <c r="AJ822" i="4"/>
  <c r="AO741" i="4"/>
  <c r="AP741" i="4"/>
  <c r="AK741" i="4"/>
  <c r="AQ741" i="4"/>
  <c r="AL741" i="4"/>
  <c r="AJ741" i="4"/>
  <c r="AO811" i="4"/>
  <c r="AQ811" i="4"/>
  <c r="AP811" i="4"/>
  <c r="AL811" i="4"/>
  <c r="AJ811" i="4"/>
  <c r="AK811" i="4"/>
  <c r="AO803" i="4"/>
  <c r="AP803" i="4"/>
  <c r="Q803" i="4" s="1"/>
  <c r="AQ803" i="4"/>
  <c r="AK803" i="4"/>
  <c r="AJ803" i="4"/>
  <c r="AL803" i="4"/>
  <c r="AO795" i="4"/>
  <c r="AP795" i="4"/>
  <c r="Q795" i="4" s="1"/>
  <c r="AK795" i="4"/>
  <c r="AQ795" i="4"/>
  <c r="AL795" i="4"/>
  <c r="AJ795" i="4"/>
  <c r="AO787" i="4"/>
  <c r="AQ787" i="4"/>
  <c r="AJ787" i="4"/>
  <c r="AK787" i="4"/>
  <c r="AP787" i="4"/>
  <c r="AL787" i="4"/>
  <c r="AO779" i="4"/>
  <c r="AQ779" i="4"/>
  <c r="AK779" i="4"/>
  <c r="AJ779" i="4"/>
  <c r="AP779" i="4"/>
  <c r="AL779" i="4"/>
  <c r="AO771" i="4"/>
  <c r="AP771" i="4"/>
  <c r="Q771" i="4" s="1"/>
  <c r="AQ771" i="4"/>
  <c r="AK771" i="4"/>
  <c r="AL771" i="4"/>
  <c r="AJ771" i="4"/>
  <c r="AO763" i="4"/>
  <c r="AP763" i="4"/>
  <c r="Q763" i="4" s="1"/>
  <c r="AQ763" i="4"/>
  <c r="AK763" i="4"/>
  <c r="AJ763" i="4"/>
  <c r="AL763" i="4"/>
  <c r="AO755" i="4"/>
  <c r="AQ755" i="4"/>
  <c r="AK755" i="4"/>
  <c r="AP755" i="4"/>
  <c r="Q755" i="4" s="1"/>
  <c r="AJ755" i="4"/>
  <c r="AL755" i="4"/>
  <c r="AO746" i="4"/>
  <c r="AP746" i="4"/>
  <c r="Q746" i="4" s="1"/>
  <c r="AQ746" i="4"/>
  <c r="AK746" i="4"/>
  <c r="AL746" i="4"/>
  <c r="AJ746" i="4"/>
  <c r="AO730" i="4"/>
  <c r="AP730" i="4"/>
  <c r="Q730" i="4" s="1"/>
  <c r="AQ730" i="4"/>
  <c r="AK730" i="4"/>
  <c r="AL730" i="4"/>
  <c r="AJ730" i="4"/>
  <c r="AO695" i="4"/>
  <c r="AK695" i="4"/>
  <c r="AP695" i="4"/>
  <c r="AQ695" i="4"/>
  <c r="AJ695" i="4"/>
  <c r="AL695" i="4"/>
  <c r="AO679" i="4"/>
  <c r="AQ679" i="4"/>
  <c r="AP679" i="4"/>
  <c r="AL679" i="4"/>
  <c r="AK679" i="4"/>
  <c r="AJ679" i="4"/>
  <c r="AO663" i="4"/>
  <c r="AQ663" i="4"/>
  <c r="AK663" i="4"/>
  <c r="AL663" i="4"/>
  <c r="AP663" i="4"/>
  <c r="AJ663" i="4"/>
  <c r="AO647" i="4"/>
  <c r="AQ647" i="4"/>
  <c r="AP647" i="4"/>
  <c r="AL647" i="4"/>
  <c r="AJ647" i="4"/>
  <c r="AK647" i="4"/>
  <c r="AO631" i="4"/>
  <c r="AK631" i="4"/>
  <c r="AP631" i="4"/>
  <c r="AQ631" i="4"/>
  <c r="AL631" i="4"/>
  <c r="AJ631" i="4"/>
  <c r="AO615" i="4"/>
  <c r="AP615" i="4"/>
  <c r="Q615" i="4" s="1"/>
  <c r="AQ615" i="4"/>
  <c r="AJ615" i="4"/>
  <c r="AL615" i="4"/>
  <c r="AK615" i="4"/>
  <c r="AO708" i="4"/>
  <c r="AP708" i="4"/>
  <c r="Q708" i="4" s="1"/>
  <c r="AQ708" i="4"/>
  <c r="AK708" i="4"/>
  <c r="AL708" i="4"/>
  <c r="AJ708" i="4"/>
  <c r="AO660" i="4"/>
  <c r="AP660" i="4"/>
  <c r="Q660" i="4" s="1"/>
  <c r="AQ660" i="4"/>
  <c r="AK660" i="4"/>
  <c r="AJ660" i="4"/>
  <c r="AL660" i="4"/>
  <c r="AJ9" i="10"/>
  <c r="AI9" i="10"/>
  <c r="AO123" i="4"/>
  <c r="AP123" i="4"/>
  <c r="Q123" i="4" s="1"/>
  <c r="AQ123" i="4"/>
  <c r="AL123" i="4"/>
  <c r="AK123" i="4"/>
  <c r="AJ123" i="4"/>
  <c r="AL19" i="4"/>
  <c r="AO19" i="4"/>
  <c r="AQ19" i="4"/>
  <c r="AK19" i="4"/>
  <c r="AJ19" i="4"/>
  <c r="AP19" i="4"/>
  <c r="Q19" i="4" s="1"/>
  <c r="AO959" i="4"/>
  <c r="AP959" i="4"/>
  <c r="Q959" i="4" s="1"/>
  <c r="AQ959" i="4"/>
  <c r="AJ959" i="4"/>
  <c r="AK959" i="4"/>
  <c r="AL959" i="4"/>
  <c r="AO927" i="4"/>
  <c r="AP927" i="4"/>
  <c r="Q927" i="4" s="1"/>
  <c r="AQ927" i="4"/>
  <c r="AJ927" i="4"/>
  <c r="AL927" i="4"/>
  <c r="AK927" i="4"/>
  <c r="AO895" i="4"/>
  <c r="AP895" i="4"/>
  <c r="Q895" i="4" s="1"/>
  <c r="AQ895" i="4"/>
  <c r="AL895" i="4"/>
  <c r="AK895" i="4"/>
  <c r="AJ895" i="4"/>
  <c r="AO879" i="4"/>
  <c r="AQ879" i="4"/>
  <c r="AP879" i="4"/>
  <c r="AL879" i="4"/>
  <c r="AJ879" i="4"/>
  <c r="AK879" i="4"/>
  <c r="AO847" i="4"/>
  <c r="AQ847" i="4"/>
  <c r="AK847" i="4"/>
  <c r="AP847" i="4"/>
  <c r="Q847" i="4" s="1"/>
  <c r="AL847" i="4"/>
  <c r="AJ847" i="4"/>
  <c r="AO952" i="4"/>
  <c r="AP952" i="4"/>
  <c r="Q952" i="4" s="1"/>
  <c r="AQ952" i="4"/>
  <c r="AL952" i="4"/>
  <c r="AK952" i="4"/>
  <c r="AJ952" i="4"/>
  <c r="AO884" i="4"/>
  <c r="AP884" i="4"/>
  <c r="Q884" i="4" s="1"/>
  <c r="AQ884" i="4"/>
  <c r="AJ884" i="4"/>
  <c r="AK884" i="4"/>
  <c r="AL884" i="4"/>
  <c r="AO870" i="4"/>
  <c r="AP870" i="4"/>
  <c r="Q870" i="4" s="1"/>
  <c r="AQ870" i="4"/>
  <c r="AK870" i="4"/>
  <c r="AJ870" i="4"/>
  <c r="AL870" i="4"/>
  <c r="AO854" i="4"/>
  <c r="AP854" i="4"/>
  <c r="Q854" i="4" s="1"/>
  <c r="AQ854" i="4"/>
  <c r="AL854" i="4"/>
  <c r="AJ854" i="4"/>
  <c r="AK854" i="4"/>
  <c r="AO821" i="4"/>
  <c r="AP821" i="4"/>
  <c r="Q821" i="4" s="1"/>
  <c r="AQ821" i="4"/>
  <c r="AK821" i="4"/>
  <c r="AL821" i="4"/>
  <c r="AJ821" i="4"/>
  <c r="AO832" i="4"/>
  <c r="AP832" i="4"/>
  <c r="AK832" i="4"/>
  <c r="AQ832" i="4"/>
  <c r="AJ832" i="4"/>
  <c r="AL832" i="4"/>
  <c r="AO737" i="4"/>
  <c r="AP737" i="4"/>
  <c r="Q737" i="4" s="1"/>
  <c r="AK737" i="4"/>
  <c r="AQ737" i="4"/>
  <c r="AJ737" i="4"/>
  <c r="AL737" i="4"/>
  <c r="AO801" i="4"/>
  <c r="AP801" i="4"/>
  <c r="AK801" i="4"/>
  <c r="AQ801" i="4"/>
  <c r="AL801" i="4"/>
  <c r="AJ801" i="4"/>
  <c r="AO785" i="4"/>
  <c r="AP785" i="4"/>
  <c r="Q785" i="4" s="1"/>
  <c r="AQ785" i="4"/>
  <c r="AK785" i="4"/>
  <c r="AJ785" i="4"/>
  <c r="AL785" i="4"/>
  <c r="AO769" i="4"/>
  <c r="AP769" i="4"/>
  <c r="AK769" i="4"/>
  <c r="AQ769" i="4"/>
  <c r="AL769" i="4"/>
  <c r="AJ769" i="4"/>
  <c r="AO753" i="4"/>
  <c r="AP753" i="4"/>
  <c r="Q753" i="4" s="1"/>
  <c r="AQ753" i="4"/>
  <c r="AJ753" i="4"/>
  <c r="AK753" i="4"/>
  <c r="AL753" i="4"/>
  <c r="AO707" i="4"/>
  <c r="AP707" i="4"/>
  <c r="AK707" i="4"/>
  <c r="AQ707" i="4"/>
  <c r="AJ707" i="4"/>
  <c r="AL707" i="4"/>
  <c r="AO675" i="4"/>
  <c r="AP675" i="4"/>
  <c r="Q675" i="4" s="1"/>
  <c r="AQ675" i="4"/>
  <c r="AK675" i="4"/>
  <c r="AL675" i="4"/>
  <c r="AJ675" i="4"/>
  <c r="AO643" i="4"/>
  <c r="AQ643" i="4"/>
  <c r="AK643" i="4"/>
  <c r="AP643" i="4"/>
  <c r="Q643" i="4" s="1"/>
  <c r="AL643" i="4"/>
  <c r="AJ643" i="4"/>
  <c r="AO627" i="4"/>
  <c r="AQ627" i="4"/>
  <c r="AJ627" i="4"/>
  <c r="AP627" i="4"/>
  <c r="AL627" i="4"/>
  <c r="AK627" i="4"/>
  <c r="AO704" i="4"/>
  <c r="AP704" i="4"/>
  <c r="Q704" i="4" s="1"/>
  <c r="AQ704" i="4"/>
  <c r="AJ704" i="4"/>
  <c r="AL704" i="4"/>
  <c r="AK704" i="4"/>
  <c r="AO672" i="4"/>
  <c r="AK672" i="4"/>
  <c r="AP672" i="4"/>
  <c r="AQ672" i="4"/>
  <c r="AL672" i="4"/>
  <c r="AJ672" i="4"/>
  <c r="AO640" i="4"/>
  <c r="AP640" i="4"/>
  <c r="AK640" i="4"/>
  <c r="AQ640" i="4"/>
  <c r="AJ640" i="4"/>
  <c r="AL640" i="4"/>
  <c r="AO608" i="4"/>
  <c r="AP608" i="4"/>
  <c r="Q608" i="4" s="1"/>
  <c r="AK608" i="4"/>
  <c r="AQ608" i="4"/>
  <c r="AL608" i="4"/>
  <c r="AJ608" i="4"/>
  <c r="AO701" i="4"/>
  <c r="AP701" i="4"/>
  <c r="Q701" i="4" s="1"/>
  <c r="AQ701" i="4"/>
  <c r="AJ701" i="4"/>
  <c r="AK701" i="4"/>
  <c r="AL701" i="4"/>
  <c r="AO669" i="4"/>
  <c r="AK669" i="4"/>
  <c r="AP669" i="4"/>
  <c r="AQ669" i="4"/>
  <c r="AL669" i="4"/>
  <c r="AJ669" i="4"/>
  <c r="AO637" i="4"/>
  <c r="AJ637" i="4"/>
  <c r="AP637" i="4"/>
  <c r="AQ637" i="4"/>
  <c r="AK637" i="4"/>
  <c r="AL637" i="4"/>
  <c r="AO605" i="4"/>
  <c r="AK605" i="4"/>
  <c r="AP605" i="4"/>
  <c r="AQ605" i="4"/>
  <c r="AL605" i="4"/>
  <c r="AJ605" i="4"/>
  <c r="AO379" i="4"/>
  <c r="AP379" i="4"/>
  <c r="AJ379" i="4"/>
  <c r="AL379" i="4"/>
  <c r="AK379" i="4"/>
  <c r="AQ379" i="4"/>
  <c r="AO363" i="4"/>
  <c r="AQ363" i="4"/>
  <c r="AK363" i="4"/>
  <c r="AJ363" i="4"/>
  <c r="AL363" i="4"/>
  <c r="AP363" i="4"/>
  <c r="Q363" i="4" s="1"/>
  <c r="AO331" i="4"/>
  <c r="AP331" i="4"/>
  <c r="Q331" i="4" s="1"/>
  <c r="AJ331" i="4"/>
  <c r="AK331" i="4"/>
  <c r="AQ331" i="4"/>
  <c r="AL331" i="4"/>
  <c r="AO389" i="4"/>
  <c r="AJ389" i="4"/>
  <c r="AQ389" i="4"/>
  <c r="AK389" i="4"/>
  <c r="AL389" i="4"/>
  <c r="AP389" i="4"/>
  <c r="Q389" i="4" s="1"/>
  <c r="AO373" i="4"/>
  <c r="AP373" i="4"/>
  <c r="Q373" i="4" s="1"/>
  <c r="AQ373" i="4"/>
  <c r="AL373" i="4"/>
  <c r="AJ373" i="4"/>
  <c r="AK373" i="4"/>
  <c r="AO341" i="4"/>
  <c r="AJ341" i="4"/>
  <c r="AK341" i="4"/>
  <c r="AQ341" i="4"/>
  <c r="AP341" i="4"/>
  <c r="AL341" i="4"/>
  <c r="AO164" i="4"/>
  <c r="AK164" i="4"/>
  <c r="AL164" i="4"/>
  <c r="AJ164" i="4"/>
  <c r="AQ164" i="4"/>
  <c r="AP164" i="4"/>
  <c r="Q164" i="4" s="1"/>
  <c r="AO140" i="4"/>
  <c r="AP140" i="4"/>
  <c r="Q140" i="4" s="1"/>
  <c r="AJ140" i="4"/>
  <c r="AQ140" i="4"/>
  <c r="AL140" i="4"/>
  <c r="AK140" i="4"/>
  <c r="AY57" i="10"/>
  <c r="BJ57" i="10"/>
  <c r="BI57" i="10"/>
  <c r="BH57" i="10"/>
  <c r="AZ57" i="10"/>
  <c r="AX57" i="10"/>
  <c r="AO119" i="4"/>
  <c r="AJ119" i="4"/>
  <c r="AL119" i="4"/>
  <c r="AK119" i="4"/>
  <c r="AP119" i="4"/>
  <c r="AQ119" i="4"/>
  <c r="AC12" i="10"/>
  <c r="AK43" i="4"/>
  <c r="AP43" i="4"/>
  <c r="AL43" i="4"/>
  <c r="AO43" i="4"/>
  <c r="AQ43" i="4"/>
  <c r="AJ43" i="4"/>
  <c r="AO967" i="4"/>
  <c r="AQ967" i="4"/>
  <c r="AK967" i="4"/>
  <c r="AL967" i="4"/>
  <c r="AJ967" i="4"/>
  <c r="AP967" i="4"/>
  <c r="AO951" i="4"/>
  <c r="AP951" i="4"/>
  <c r="AQ951" i="4"/>
  <c r="AJ951" i="4"/>
  <c r="AK951" i="4"/>
  <c r="AL951" i="4"/>
  <c r="AO935" i="4"/>
  <c r="AQ935" i="4"/>
  <c r="AK935" i="4"/>
  <c r="AL935" i="4"/>
  <c r="AJ935" i="4"/>
  <c r="AP935" i="4"/>
  <c r="AO919" i="4"/>
  <c r="AQ919" i="4"/>
  <c r="AK919" i="4"/>
  <c r="AP919" i="4"/>
  <c r="AL919" i="4"/>
  <c r="AJ919" i="4"/>
  <c r="AO903" i="4"/>
  <c r="AP903" i="4"/>
  <c r="AQ903" i="4"/>
  <c r="AJ903" i="4"/>
  <c r="AL903" i="4"/>
  <c r="AK903" i="4"/>
  <c r="AO887" i="4"/>
  <c r="AP887" i="4"/>
  <c r="AQ887" i="4"/>
  <c r="AK887" i="4"/>
  <c r="AJ887" i="4"/>
  <c r="AL887" i="4"/>
  <c r="AO871" i="4"/>
  <c r="AQ871" i="4"/>
  <c r="AK871" i="4"/>
  <c r="AP871" i="4"/>
  <c r="AL871" i="4"/>
  <c r="AJ871" i="4"/>
  <c r="AO855" i="4"/>
  <c r="AP855" i="4"/>
  <c r="AQ855" i="4"/>
  <c r="AK855" i="4"/>
  <c r="AL855" i="4"/>
  <c r="AJ855" i="4"/>
  <c r="AO839" i="4"/>
  <c r="AQ839" i="4"/>
  <c r="AP839" i="4"/>
  <c r="AK839" i="4"/>
  <c r="AJ839" i="4"/>
  <c r="AL839" i="4"/>
  <c r="AO960" i="4"/>
  <c r="AP960" i="4"/>
  <c r="AQ960" i="4"/>
  <c r="AK960" i="4"/>
  <c r="AL960" i="4"/>
  <c r="AJ960" i="4"/>
  <c r="AO944" i="4"/>
  <c r="AJ944" i="4"/>
  <c r="AP944" i="4"/>
  <c r="AQ944" i="4"/>
  <c r="AK944" i="4"/>
  <c r="AL944" i="4"/>
  <c r="AO892" i="4"/>
  <c r="AP892" i="4"/>
  <c r="AQ892" i="4"/>
  <c r="AK892" i="4"/>
  <c r="AJ892" i="4"/>
  <c r="AL892" i="4"/>
  <c r="AO876" i="4"/>
  <c r="AK876" i="4"/>
  <c r="AP876" i="4"/>
  <c r="AQ876" i="4"/>
  <c r="AJ876" i="4"/>
  <c r="AL876" i="4"/>
  <c r="AO862" i="4"/>
  <c r="AK862" i="4"/>
  <c r="AP862" i="4"/>
  <c r="Q862" i="4" s="1"/>
  <c r="AQ862" i="4"/>
  <c r="AJ862" i="4"/>
  <c r="AL862" i="4"/>
  <c r="AO846" i="4"/>
  <c r="AP846" i="4"/>
  <c r="AQ846" i="4"/>
  <c r="AK846" i="4"/>
  <c r="AL846" i="4"/>
  <c r="AJ846" i="4"/>
  <c r="AO829" i="4"/>
  <c r="AL829" i="4"/>
  <c r="AP829" i="4"/>
  <c r="Q829" i="4" s="1"/>
  <c r="AQ829" i="4"/>
  <c r="AK829" i="4"/>
  <c r="AJ829" i="4"/>
  <c r="AO813" i="4"/>
  <c r="AK813" i="4"/>
  <c r="AP813" i="4"/>
  <c r="AQ813" i="4"/>
  <c r="AJ813" i="4"/>
  <c r="AL813" i="4"/>
  <c r="AO836" i="4"/>
  <c r="AK836" i="4"/>
  <c r="AP836" i="4"/>
  <c r="Q836" i="4" s="1"/>
  <c r="AQ836" i="4"/>
  <c r="AJ836" i="4"/>
  <c r="AL836" i="4"/>
  <c r="AO826" i="4"/>
  <c r="AP826" i="4"/>
  <c r="AQ826" i="4"/>
  <c r="AK826" i="4"/>
  <c r="AL826" i="4"/>
  <c r="AJ826" i="4"/>
  <c r="AO745" i="4"/>
  <c r="AP745" i="4"/>
  <c r="AQ745" i="4"/>
  <c r="AJ745" i="4"/>
  <c r="AK745" i="4"/>
  <c r="AL745" i="4"/>
  <c r="AO729" i="4"/>
  <c r="AP729" i="4"/>
  <c r="AQ729" i="4"/>
  <c r="AL729" i="4"/>
  <c r="AJ729" i="4"/>
  <c r="AK729" i="4"/>
  <c r="AO805" i="4"/>
  <c r="AK805" i="4"/>
  <c r="AP805" i="4"/>
  <c r="Q805" i="4" s="1"/>
  <c r="AJ805" i="4"/>
  <c r="AQ805" i="4"/>
  <c r="AL805" i="4"/>
  <c r="AO797" i="4"/>
  <c r="AP797" i="4"/>
  <c r="AQ797" i="4"/>
  <c r="AK797" i="4"/>
  <c r="AL797" i="4"/>
  <c r="AJ797" i="4"/>
  <c r="AO789" i="4"/>
  <c r="AK789" i="4"/>
  <c r="AP789" i="4"/>
  <c r="Q789" i="4" s="1"/>
  <c r="AQ789" i="4"/>
  <c r="AL789" i="4"/>
  <c r="AJ789" i="4"/>
  <c r="AO781" i="4"/>
  <c r="AK781" i="4"/>
  <c r="AP781" i="4"/>
  <c r="AQ781" i="4"/>
  <c r="AJ781" i="4"/>
  <c r="AL781" i="4"/>
  <c r="AO773" i="4"/>
  <c r="AP773" i="4"/>
  <c r="AJ773" i="4"/>
  <c r="AQ773" i="4"/>
  <c r="AL773" i="4"/>
  <c r="AK773" i="4"/>
  <c r="AO765" i="4"/>
  <c r="AP765" i="4"/>
  <c r="AJ765" i="4"/>
  <c r="AQ765" i="4"/>
  <c r="AL765" i="4"/>
  <c r="AK765" i="4"/>
  <c r="AO757" i="4"/>
  <c r="AP757" i="4"/>
  <c r="AQ757" i="4"/>
  <c r="AJ757" i="4"/>
  <c r="AL757" i="4"/>
  <c r="AK757" i="4"/>
  <c r="AO749" i="4"/>
  <c r="AK749" i="4"/>
  <c r="AP749" i="4"/>
  <c r="AQ749" i="4"/>
  <c r="AL749" i="4"/>
  <c r="AJ749" i="4"/>
  <c r="AO734" i="4"/>
  <c r="AP734" i="4"/>
  <c r="AQ734" i="4"/>
  <c r="AK734" i="4"/>
  <c r="AJ734" i="4"/>
  <c r="AL734" i="4"/>
  <c r="AO699" i="4"/>
  <c r="AP699" i="4"/>
  <c r="AQ699" i="4"/>
  <c r="AK699" i="4"/>
  <c r="AJ699" i="4"/>
  <c r="AL699" i="4"/>
  <c r="AO683" i="4"/>
  <c r="AQ683" i="4"/>
  <c r="AK683" i="4"/>
  <c r="AP683" i="4"/>
  <c r="AL683" i="4"/>
  <c r="AJ683" i="4"/>
  <c r="AO667" i="4"/>
  <c r="AP667" i="4"/>
  <c r="AQ667" i="4"/>
  <c r="AK667" i="4"/>
  <c r="AL667" i="4"/>
  <c r="AJ667" i="4"/>
  <c r="AO651" i="4"/>
  <c r="AQ651" i="4"/>
  <c r="AK651" i="4"/>
  <c r="AJ651" i="4"/>
  <c r="AP651" i="4"/>
  <c r="Q651" i="4" s="1"/>
  <c r="AL651" i="4"/>
  <c r="AO635" i="4"/>
  <c r="AP635" i="4"/>
  <c r="AQ635" i="4"/>
  <c r="AL635" i="4"/>
  <c r="AK635" i="4"/>
  <c r="AJ635" i="4"/>
  <c r="AO619" i="4"/>
  <c r="AP619" i="4"/>
  <c r="AK619" i="4"/>
  <c r="AQ619" i="4"/>
  <c r="AL619" i="4"/>
  <c r="AJ619" i="4"/>
  <c r="AO603" i="4"/>
  <c r="AQ603" i="4"/>
  <c r="AL603" i="4"/>
  <c r="AK603" i="4"/>
  <c r="AJ603" i="4"/>
  <c r="AP603" i="4"/>
  <c r="AO696" i="4"/>
  <c r="AK696" i="4"/>
  <c r="AP696" i="4"/>
  <c r="Q696" i="4" s="1"/>
  <c r="AQ696" i="4"/>
  <c r="AL696" i="4"/>
  <c r="AJ696" i="4"/>
  <c r="AO680" i="4"/>
  <c r="AP680" i="4"/>
  <c r="AQ680" i="4"/>
  <c r="AK680" i="4"/>
  <c r="AL680" i="4"/>
  <c r="AJ680" i="4"/>
  <c r="AO664" i="4"/>
  <c r="AP664" i="4"/>
  <c r="AK664" i="4"/>
  <c r="AQ664" i="4"/>
  <c r="AJ664" i="4"/>
  <c r="AL664" i="4"/>
  <c r="AO648" i="4"/>
  <c r="AP648" i="4"/>
  <c r="AQ648" i="4"/>
  <c r="AK648" i="4"/>
  <c r="AJ648" i="4"/>
  <c r="AL648" i="4"/>
  <c r="AO632" i="4"/>
  <c r="AP632" i="4"/>
  <c r="AQ632" i="4"/>
  <c r="AK632" i="4"/>
  <c r="AJ632" i="4"/>
  <c r="AL632" i="4"/>
  <c r="AO616" i="4"/>
  <c r="AP616" i="4"/>
  <c r="AQ616" i="4"/>
  <c r="AJ616" i="4"/>
  <c r="AK616" i="4"/>
  <c r="AL616" i="4"/>
  <c r="AO709" i="4"/>
  <c r="AP709" i="4"/>
  <c r="AQ709" i="4"/>
  <c r="AK709" i="4"/>
  <c r="AL709" i="4"/>
  <c r="AJ709" i="4"/>
  <c r="AO693" i="4"/>
  <c r="AP693" i="4"/>
  <c r="AK693" i="4"/>
  <c r="AL693" i="4"/>
  <c r="AQ693" i="4"/>
  <c r="AJ693" i="4"/>
  <c r="AO677" i="4"/>
  <c r="AP677" i="4"/>
  <c r="AK677" i="4"/>
  <c r="AQ677" i="4"/>
  <c r="AL677" i="4"/>
  <c r="AJ677" i="4"/>
  <c r="AO661" i="4"/>
  <c r="AP661" i="4"/>
  <c r="AK661" i="4"/>
  <c r="AL661" i="4"/>
  <c r="AQ661" i="4"/>
  <c r="AJ661" i="4"/>
  <c r="AO645" i="4"/>
  <c r="AP645" i="4"/>
  <c r="AQ645" i="4"/>
  <c r="AK645" i="4"/>
  <c r="AL645" i="4"/>
  <c r="AJ645" i="4"/>
  <c r="AO629" i="4"/>
  <c r="AK629" i="4"/>
  <c r="AP629" i="4"/>
  <c r="AL629" i="4"/>
  <c r="AQ629" i="4"/>
  <c r="AJ629" i="4"/>
  <c r="AO613" i="4"/>
  <c r="AP613" i="4"/>
  <c r="AQ613" i="4"/>
  <c r="AK613" i="4"/>
  <c r="AJ613" i="4"/>
  <c r="AL613" i="4"/>
  <c r="AO403" i="4"/>
  <c r="AL403" i="4"/>
  <c r="AK403" i="4"/>
  <c r="AQ403" i="4"/>
  <c r="AP403" i="4"/>
  <c r="Q403" i="4" s="1"/>
  <c r="AJ403" i="4"/>
  <c r="AO387" i="4"/>
  <c r="AQ387" i="4"/>
  <c r="AL387" i="4"/>
  <c r="AJ387" i="4"/>
  <c r="AP387" i="4"/>
  <c r="Q387" i="4" s="1"/>
  <c r="AK387" i="4"/>
  <c r="AO371" i="4"/>
  <c r="AP371" i="4"/>
  <c r="AJ371" i="4"/>
  <c r="AK371" i="4"/>
  <c r="AQ371" i="4"/>
  <c r="AL371" i="4"/>
  <c r="AO355" i="4"/>
  <c r="AP355" i="4"/>
  <c r="AJ355" i="4"/>
  <c r="AQ355" i="4"/>
  <c r="AL355" i="4"/>
  <c r="AK355" i="4"/>
  <c r="AO339" i="4"/>
  <c r="AJ339" i="4"/>
  <c r="AQ339" i="4"/>
  <c r="AL339" i="4"/>
  <c r="AP339" i="4"/>
  <c r="Q339" i="4" s="1"/>
  <c r="AK339" i="4"/>
  <c r="AO323" i="4"/>
  <c r="AJ323" i="4"/>
  <c r="AP323" i="4"/>
  <c r="Q323" i="4" s="1"/>
  <c r="AQ323" i="4"/>
  <c r="AK323" i="4"/>
  <c r="AL323" i="4"/>
  <c r="AO397" i="4"/>
  <c r="AP397" i="4"/>
  <c r="AK397" i="4"/>
  <c r="AL397" i="4"/>
  <c r="AQ397" i="4"/>
  <c r="AJ397" i="4"/>
  <c r="AO381" i="4"/>
  <c r="AL381" i="4"/>
  <c r="AJ381" i="4"/>
  <c r="AQ381" i="4"/>
  <c r="AK381" i="4"/>
  <c r="AP381" i="4"/>
  <c r="AO365" i="4"/>
  <c r="AK365" i="4"/>
  <c r="AL365" i="4"/>
  <c r="AP365" i="4"/>
  <c r="AJ365" i="4"/>
  <c r="AQ365" i="4"/>
  <c r="AO349" i="4"/>
  <c r="AJ349" i="4"/>
  <c r="AP349" i="4"/>
  <c r="Q349" i="4" s="1"/>
  <c r="AK349" i="4"/>
  <c r="AQ349" i="4"/>
  <c r="AL349" i="4"/>
  <c r="AO333" i="4"/>
  <c r="AP333" i="4"/>
  <c r="AJ333" i="4"/>
  <c r="AL333" i="4"/>
  <c r="AQ333" i="4"/>
  <c r="AK333" i="4"/>
  <c r="AO168" i="4"/>
  <c r="AK168" i="4"/>
  <c r="AL168" i="4"/>
  <c r="AQ168" i="4"/>
  <c r="AJ168" i="4"/>
  <c r="AP168" i="4"/>
  <c r="AO160" i="4"/>
  <c r="AK160" i="4"/>
  <c r="AP160" i="4"/>
  <c r="AL160" i="4"/>
  <c r="AJ160" i="4"/>
  <c r="AQ160" i="4"/>
  <c r="AO152" i="4"/>
  <c r="AP152" i="4"/>
  <c r="AL152" i="4"/>
  <c r="AJ152" i="4"/>
  <c r="AQ152" i="4"/>
  <c r="AK152" i="4"/>
  <c r="AO144" i="4"/>
  <c r="AP144" i="4"/>
  <c r="AK144" i="4"/>
  <c r="AJ144" i="4"/>
  <c r="AQ144" i="4"/>
  <c r="AL144" i="4"/>
  <c r="AO136" i="4"/>
  <c r="AL136" i="4"/>
  <c r="AK136" i="4"/>
  <c r="AQ136" i="4"/>
  <c r="AP136" i="4"/>
  <c r="Q136" i="4" s="1"/>
  <c r="AJ136" i="4"/>
  <c r="AO128" i="4"/>
  <c r="AQ128" i="4"/>
  <c r="AJ128" i="4"/>
  <c r="AP128" i="4"/>
  <c r="AL128" i="4"/>
  <c r="AK128" i="4"/>
  <c r="BH18" i="10"/>
  <c r="BJ18" i="10"/>
  <c r="AY18" i="10"/>
  <c r="BI18" i="10"/>
  <c r="AX18" i="10"/>
  <c r="AZ18" i="10"/>
  <c r="C20" i="9" l="1"/>
  <c r="C21" i="9"/>
  <c r="B62" i="3"/>
  <c r="C61" i="3" s="1"/>
  <c r="C62" i="3" s="1"/>
  <c r="I7" i="9" s="1"/>
  <c r="C15" i="9"/>
  <c r="O10" i="10"/>
  <c r="N9" i="10"/>
  <c r="N10" i="10"/>
  <c r="M8" i="10"/>
  <c r="N8" i="10"/>
  <c r="P3" i="4"/>
  <c r="O3" i="4"/>
  <c r="M10" i="10"/>
  <c r="M9" i="10"/>
  <c r="P238" i="4"/>
  <c r="O238" i="4"/>
  <c r="O240" i="4"/>
  <c r="P240" i="4"/>
  <c r="Q429" i="4"/>
  <c r="O431" i="4"/>
  <c r="P431" i="4"/>
  <c r="O433" i="4"/>
  <c r="P433" i="4"/>
  <c r="Q439" i="4"/>
  <c r="O441" i="4"/>
  <c r="P441" i="4"/>
  <c r="P443" i="4"/>
  <c r="O443" i="4"/>
  <c r="Q445" i="4"/>
  <c r="Q447" i="4"/>
  <c r="O449" i="4"/>
  <c r="P449" i="4"/>
  <c r="O455" i="4"/>
  <c r="P455" i="4"/>
  <c r="Q457" i="4"/>
  <c r="Q571" i="4"/>
  <c r="O573" i="4"/>
  <c r="P573" i="4"/>
  <c r="O579" i="4"/>
  <c r="P579" i="4"/>
  <c r="O581" i="4"/>
  <c r="P581" i="4"/>
  <c r="O589" i="4"/>
  <c r="P589" i="4"/>
  <c r="P8" i="4"/>
  <c r="O8" i="4"/>
  <c r="O180" i="4"/>
  <c r="P180" i="4"/>
  <c r="Q217" i="4"/>
  <c r="Q249" i="4"/>
  <c r="P297" i="4"/>
  <c r="O297" i="4"/>
  <c r="O965" i="4"/>
  <c r="P965" i="4"/>
  <c r="P64" i="4"/>
  <c r="O64" i="4"/>
  <c r="O72" i="4"/>
  <c r="P72" i="4"/>
  <c r="O76" i="4"/>
  <c r="P76" i="4"/>
  <c r="Q80" i="4"/>
  <c r="Q84" i="4"/>
  <c r="Q96" i="4"/>
  <c r="P100" i="4"/>
  <c r="O100" i="4"/>
  <c r="Q112" i="4"/>
  <c r="P116" i="4"/>
  <c r="O116" i="4"/>
  <c r="P129" i="4"/>
  <c r="O129" i="4"/>
  <c r="Q129" i="4"/>
  <c r="Q145" i="4"/>
  <c r="Q205" i="4"/>
  <c r="O211" i="4"/>
  <c r="P211" i="4"/>
  <c r="P237" i="4"/>
  <c r="O237" i="4"/>
  <c r="O300" i="4"/>
  <c r="P300" i="4"/>
  <c r="Q308" i="4"/>
  <c r="Q328" i="4"/>
  <c r="O330" i="4"/>
  <c r="P330" i="4"/>
  <c r="Q392" i="4"/>
  <c r="O440" i="4"/>
  <c r="P440" i="4"/>
  <c r="O442" i="4"/>
  <c r="P442" i="4"/>
  <c r="Q446" i="4"/>
  <c r="O448" i="4"/>
  <c r="P448" i="4"/>
  <c r="O508" i="4"/>
  <c r="P508" i="4"/>
  <c r="O512" i="4"/>
  <c r="P512" i="4"/>
  <c r="Q638" i="4"/>
  <c r="P654" i="4"/>
  <c r="O654" i="4"/>
  <c r="Q682" i="4"/>
  <c r="Q698" i="4"/>
  <c r="O715" i="4"/>
  <c r="P715" i="4"/>
  <c r="Q722" i="4"/>
  <c r="O710" i="4"/>
  <c r="P710" i="4"/>
  <c r="O718" i="4"/>
  <c r="P718" i="4"/>
  <c r="Q841" i="4"/>
  <c r="P853" i="4"/>
  <c r="O853" i="4"/>
  <c r="Q896" i="4"/>
  <c r="O982" i="4"/>
  <c r="P982" i="4"/>
  <c r="O991" i="4"/>
  <c r="P991" i="4"/>
  <c r="O998" i="4"/>
  <c r="P998" i="4"/>
  <c r="O893" i="4"/>
  <c r="P893" i="4"/>
  <c r="Q893" i="4"/>
  <c r="P900" i="4"/>
  <c r="O900" i="4"/>
  <c r="O941" i="4"/>
  <c r="P941" i="4"/>
  <c r="Q941" i="4"/>
  <c r="Q946" i="4"/>
  <c r="O973" i="4"/>
  <c r="P973" i="4"/>
  <c r="Q752" i="4"/>
  <c r="Q754" i="4"/>
  <c r="O758" i="4"/>
  <c r="P758" i="4"/>
  <c r="P760" i="4"/>
  <c r="O760" i="4"/>
  <c r="Q762" i="4"/>
  <c r="Q768" i="4"/>
  <c r="Q770" i="4"/>
  <c r="O772" i="4"/>
  <c r="P772" i="4"/>
  <c r="Q840" i="4"/>
  <c r="O985" i="4"/>
  <c r="P985" i="4"/>
  <c r="O990" i="4"/>
  <c r="P990" i="4"/>
  <c r="O999" i="4"/>
  <c r="P999" i="4"/>
  <c r="O1001" i="4"/>
  <c r="P1001" i="4"/>
  <c r="Q984" i="4"/>
  <c r="O989" i="4"/>
  <c r="P989" i="4"/>
  <c r="P995" i="4"/>
  <c r="O995" i="4"/>
  <c r="O997" i="4"/>
  <c r="P997" i="4"/>
  <c r="O1002" i="4"/>
  <c r="P1002" i="4"/>
  <c r="Q124" i="4"/>
  <c r="O241" i="4"/>
  <c r="P241" i="4"/>
  <c r="Q222" i="4"/>
  <c r="O229" i="4"/>
  <c r="P229" i="4"/>
  <c r="Q274" i="4"/>
  <c r="Q415" i="4"/>
  <c r="Q417" i="4"/>
  <c r="Q425" i="4"/>
  <c r="P427" i="4"/>
  <c r="O427" i="4"/>
  <c r="P537" i="4"/>
  <c r="O537" i="4"/>
  <c r="P545" i="4"/>
  <c r="O545" i="4"/>
  <c r="O547" i="4"/>
  <c r="P547" i="4"/>
  <c r="O551" i="4"/>
  <c r="P551" i="4"/>
  <c r="P553" i="4"/>
  <c r="O553" i="4"/>
  <c r="Q559" i="4"/>
  <c r="Q567" i="4"/>
  <c r="P569" i="4"/>
  <c r="O569" i="4"/>
  <c r="O276" i="4"/>
  <c r="P276" i="4"/>
  <c r="P372" i="4"/>
  <c r="O372" i="4"/>
  <c r="Q732" i="4"/>
  <c r="P53" i="4"/>
  <c r="O53" i="4"/>
  <c r="O61" i="4"/>
  <c r="P61" i="4"/>
  <c r="Q65" i="4"/>
  <c r="O73" i="4"/>
  <c r="P73" i="4"/>
  <c r="Q77" i="4"/>
  <c r="Q81" i="4"/>
  <c r="Q89" i="4"/>
  <c r="Q97" i="4"/>
  <c r="Q101" i="4"/>
  <c r="O105" i="4"/>
  <c r="P105" i="4"/>
  <c r="O109" i="4"/>
  <c r="P109" i="4"/>
  <c r="P117" i="4"/>
  <c r="O117" i="4"/>
  <c r="O125" i="4"/>
  <c r="P125" i="4"/>
  <c r="O139" i="4"/>
  <c r="P139" i="4"/>
  <c r="O200" i="4"/>
  <c r="P200" i="4"/>
  <c r="Q232" i="4"/>
  <c r="O418" i="4"/>
  <c r="P418" i="4"/>
  <c r="O420" i="4"/>
  <c r="P420" i="4"/>
  <c r="P422" i="4"/>
  <c r="O422" i="4"/>
  <c r="O424" i="4"/>
  <c r="P424" i="4"/>
  <c r="O428" i="4"/>
  <c r="P428" i="4"/>
  <c r="O432" i="4"/>
  <c r="P432" i="4"/>
  <c r="P482" i="4"/>
  <c r="O482" i="4"/>
  <c r="Q486" i="4"/>
  <c r="O488" i="4"/>
  <c r="P488" i="4"/>
  <c r="Q490" i="4"/>
  <c r="O502" i="4"/>
  <c r="P502" i="4"/>
  <c r="Q618" i="4"/>
  <c r="O650" i="4"/>
  <c r="P650" i="4"/>
  <c r="Q666" i="4"/>
  <c r="Q731" i="4"/>
  <c r="Q819" i="4"/>
  <c r="Q833" i="4"/>
  <c r="O835" i="4"/>
  <c r="P835" i="4"/>
  <c r="Q865" i="4"/>
  <c r="Q889" i="4"/>
  <c r="Q750" i="4"/>
  <c r="O806" i="4"/>
  <c r="P806" i="4"/>
  <c r="Q808" i="4"/>
  <c r="O810" i="4"/>
  <c r="P810" i="4"/>
  <c r="Q848" i="4"/>
  <c r="O881" i="4"/>
  <c r="P881" i="4"/>
  <c r="O966" i="4"/>
  <c r="P966" i="4"/>
  <c r="Q29" i="4"/>
  <c r="Q7" i="4"/>
  <c r="O234" i="4"/>
  <c r="P234" i="4"/>
  <c r="Q366" i="4"/>
  <c r="Q398" i="4"/>
  <c r="O206" i="4"/>
  <c r="P206" i="4"/>
  <c r="O208" i="4"/>
  <c r="P208" i="4"/>
  <c r="O322" i="4"/>
  <c r="P322" i="4"/>
  <c r="Q338" i="4"/>
  <c r="O493" i="4"/>
  <c r="P493" i="4"/>
  <c r="O495" i="4"/>
  <c r="P495" i="4"/>
  <c r="P513" i="4"/>
  <c r="O513" i="4"/>
  <c r="Q527" i="4"/>
  <c r="O949" i="4"/>
  <c r="P949" i="4"/>
  <c r="P980" i="4"/>
  <c r="O980" i="4"/>
  <c r="Q201" i="4"/>
  <c r="P207" i="4"/>
  <c r="O207" i="4"/>
  <c r="O233" i="4"/>
  <c r="P233" i="4"/>
  <c r="O317" i="4"/>
  <c r="P317" i="4"/>
  <c r="Q326" i="4"/>
  <c r="Q711" i="4"/>
  <c r="O723" i="4"/>
  <c r="P723" i="4"/>
  <c r="O728" i="4"/>
  <c r="P728" i="4"/>
  <c r="Q901" i="4"/>
  <c r="O58" i="4"/>
  <c r="P58" i="4"/>
  <c r="O62" i="4"/>
  <c r="P62" i="4"/>
  <c r="P78" i="4"/>
  <c r="O78" i="4"/>
  <c r="Q82" i="4"/>
  <c r="Q90" i="4"/>
  <c r="P94" i="4"/>
  <c r="O94" i="4"/>
  <c r="O102" i="4"/>
  <c r="P102" i="4"/>
  <c r="O179" i="4"/>
  <c r="P179" i="4"/>
  <c r="Q183" i="4"/>
  <c r="P187" i="4"/>
  <c r="O187" i="4"/>
  <c r="Q195" i="4"/>
  <c r="O221" i="4"/>
  <c r="P221" i="4"/>
  <c r="P227" i="4"/>
  <c r="O227" i="4"/>
  <c r="O230" i="4"/>
  <c r="P230" i="4"/>
  <c r="Q257" i="4"/>
  <c r="Q408" i="4"/>
  <c r="O414" i="4"/>
  <c r="P414" i="4"/>
  <c r="O416" i="4"/>
  <c r="P416" i="4"/>
  <c r="O476" i="4"/>
  <c r="P476" i="4"/>
  <c r="Q550" i="4"/>
  <c r="O554" i="4"/>
  <c r="P554" i="4"/>
  <c r="P558" i="4"/>
  <c r="O558" i="4"/>
  <c r="P566" i="4"/>
  <c r="O566" i="4"/>
  <c r="Q574" i="4"/>
  <c r="Q578" i="4"/>
  <c r="Q580" i="4"/>
  <c r="P582" i="4"/>
  <c r="O582" i="4"/>
  <c r="O584" i="4"/>
  <c r="P584" i="4"/>
  <c r="P590" i="4"/>
  <c r="O590" i="4"/>
  <c r="O592" i="4"/>
  <c r="P592" i="4"/>
  <c r="Q594" i="4"/>
  <c r="O596" i="4"/>
  <c r="P596" i="4"/>
  <c r="P598" i="4"/>
  <c r="O598" i="4"/>
  <c r="P630" i="4"/>
  <c r="O630" i="4"/>
  <c r="Q690" i="4"/>
  <c r="P743" i="4"/>
  <c r="O743" i="4"/>
  <c r="O921" i="4"/>
  <c r="P921" i="4"/>
  <c r="Q928" i="4"/>
  <c r="O957" i="4"/>
  <c r="P957" i="4"/>
  <c r="Q790" i="4"/>
  <c r="Q792" i="4"/>
  <c r="O794" i="4"/>
  <c r="P794" i="4"/>
  <c r="Q796" i="4"/>
  <c r="O798" i="4"/>
  <c r="P798" i="4"/>
  <c r="Q804" i="4"/>
  <c r="O856" i="4"/>
  <c r="P856" i="4"/>
  <c r="Q918" i="4"/>
  <c r="O920" i="4"/>
  <c r="P920" i="4"/>
  <c r="Q30" i="4"/>
  <c r="O933" i="4"/>
  <c r="P933" i="4"/>
  <c r="Q970" i="4"/>
  <c r="Q972" i="4"/>
  <c r="O197" i="4"/>
  <c r="P197" i="4"/>
  <c r="O254" i="4"/>
  <c r="P254" i="4"/>
  <c r="Q256" i="4"/>
  <c r="O384" i="4"/>
  <c r="P384" i="4"/>
  <c r="O461" i="4"/>
  <c r="P461" i="4"/>
  <c r="P467" i="4"/>
  <c r="O467" i="4"/>
  <c r="O469" i="4"/>
  <c r="P469" i="4"/>
  <c r="Q473" i="4"/>
  <c r="O481" i="4"/>
  <c r="P481" i="4"/>
  <c r="O485" i="4"/>
  <c r="P485" i="4"/>
  <c r="Q487" i="4"/>
  <c r="O595" i="4"/>
  <c r="P595" i="4"/>
  <c r="Q599" i="4"/>
  <c r="Q121" i="4"/>
  <c r="O188" i="4"/>
  <c r="P188" i="4"/>
  <c r="O226" i="4"/>
  <c r="P226" i="4"/>
  <c r="P305" i="4"/>
  <c r="O305" i="4"/>
  <c r="Q313" i="4"/>
  <c r="O340" i="4"/>
  <c r="P340" i="4"/>
  <c r="O404" i="4"/>
  <c r="P404" i="4"/>
  <c r="O51" i="4"/>
  <c r="P51" i="4"/>
  <c r="Q71" i="4"/>
  <c r="P75" i="4"/>
  <c r="O75" i="4"/>
  <c r="Q79" i="4"/>
  <c r="P95" i="4"/>
  <c r="O95" i="4"/>
  <c r="O99" i="4"/>
  <c r="P99" i="4"/>
  <c r="O107" i="4"/>
  <c r="P107" i="4"/>
  <c r="Q111" i="4"/>
  <c r="Q131" i="4"/>
  <c r="Q147" i="4"/>
  <c r="O151" i="4"/>
  <c r="P151" i="4"/>
  <c r="O167" i="4"/>
  <c r="P167" i="4"/>
  <c r="Q259" i="4"/>
  <c r="Q454" i="4"/>
  <c r="Q462" i="4"/>
  <c r="Q464" i="4"/>
  <c r="O466" i="4"/>
  <c r="P466" i="4"/>
  <c r="O470" i="4"/>
  <c r="P470" i="4"/>
  <c r="Q518" i="4"/>
  <c r="O520" i="4"/>
  <c r="P520" i="4"/>
  <c r="Q524" i="4"/>
  <c r="P526" i="4"/>
  <c r="O526" i="4"/>
  <c r="Q530" i="4"/>
  <c r="Q536" i="4"/>
  <c r="O540" i="4"/>
  <c r="P540" i="4"/>
  <c r="P542" i="4"/>
  <c r="O542" i="4"/>
  <c r="O548" i="4"/>
  <c r="P548" i="4"/>
  <c r="O658" i="4"/>
  <c r="P658" i="4"/>
  <c r="O686" i="4"/>
  <c r="P686" i="4"/>
  <c r="Q721" i="4"/>
  <c r="O739" i="4"/>
  <c r="P739" i="4"/>
  <c r="Q857" i="4"/>
  <c r="O873" i="4"/>
  <c r="P873" i="4"/>
  <c r="Q905" i="4"/>
  <c r="O910" i="4"/>
  <c r="P910" i="4"/>
  <c r="O958" i="4"/>
  <c r="P958" i="4"/>
  <c r="Q916" i="4"/>
  <c r="P774" i="4"/>
  <c r="O774" i="4"/>
  <c r="O950" i="4"/>
  <c r="P950" i="4"/>
  <c r="Q181" i="4"/>
  <c r="O170" i="4"/>
  <c r="P170" i="4"/>
  <c r="Q185" i="4"/>
  <c r="P271" i="4"/>
  <c r="O271" i="4"/>
  <c r="O280" i="4"/>
  <c r="P280" i="4"/>
  <c r="Q203" i="4"/>
  <c r="P298" i="4"/>
  <c r="O298" i="4"/>
  <c r="O251" i="4"/>
  <c r="P251" i="4"/>
  <c r="Q174" i="4"/>
  <c r="O236" i="4"/>
  <c r="P236" i="4"/>
  <c r="O215" i="4"/>
  <c r="P215" i="4"/>
  <c r="Q199" i="4"/>
  <c r="Q169" i="4"/>
  <c r="O212" i="4"/>
  <c r="P212" i="4"/>
  <c r="O182" i="4"/>
  <c r="P182" i="4"/>
  <c r="P190" i="4"/>
  <c r="O190" i="4"/>
  <c r="P303" i="4"/>
  <c r="O136" i="4"/>
  <c r="P136" i="4"/>
  <c r="P616" i="4"/>
  <c r="O616" i="4"/>
  <c r="O664" i="4"/>
  <c r="P664" i="4"/>
  <c r="P635" i="4"/>
  <c r="O635" i="4"/>
  <c r="O944" i="4"/>
  <c r="P944" i="4"/>
  <c r="P627" i="4"/>
  <c r="O627" i="4"/>
  <c r="O927" i="4"/>
  <c r="P927" i="4"/>
  <c r="O660" i="4"/>
  <c r="P660" i="4"/>
  <c r="P138" i="4"/>
  <c r="O138" i="4"/>
  <c r="O652" i="4"/>
  <c r="P652" i="4"/>
  <c r="O850" i="4"/>
  <c r="P850" i="4"/>
  <c r="O621" i="4"/>
  <c r="P621" i="4"/>
  <c r="P611" i="4"/>
  <c r="O611" i="4"/>
  <c r="O377" i="4"/>
  <c r="P377" i="4"/>
  <c r="O657" i="4"/>
  <c r="P657" i="4"/>
  <c r="O382" i="4"/>
  <c r="P382" i="4"/>
  <c r="P727" i="4"/>
  <c r="O727" i="4"/>
  <c r="Q128" i="4"/>
  <c r="O152" i="4"/>
  <c r="P152" i="4"/>
  <c r="Q152" i="4"/>
  <c r="Q168" i="4"/>
  <c r="P168" i="4"/>
  <c r="O168" i="4"/>
  <c r="Q365" i="4"/>
  <c r="Q381" i="4"/>
  <c r="O355" i="4"/>
  <c r="P355" i="4"/>
  <c r="Q355" i="4"/>
  <c r="P371" i="4"/>
  <c r="O371" i="4"/>
  <c r="P387" i="4"/>
  <c r="O387" i="4"/>
  <c r="Q613" i="4"/>
  <c r="Q645" i="4"/>
  <c r="Q677" i="4"/>
  <c r="Q709" i="4"/>
  <c r="Q632" i="4"/>
  <c r="O648" i="4"/>
  <c r="P648" i="4"/>
  <c r="Q664" i="4"/>
  <c r="O680" i="4"/>
  <c r="P680" i="4"/>
  <c r="O696" i="4"/>
  <c r="P696" i="4"/>
  <c r="P603" i="4"/>
  <c r="O603" i="4"/>
  <c r="Q619" i="4"/>
  <c r="O667" i="4"/>
  <c r="P667" i="4"/>
  <c r="O699" i="4"/>
  <c r="P699" i="4"/>
  <c r="Q734" i="4"/>
  <c r="O757" i="4"/>
  <c r="P757" i="4"/>
  <c r="Q757" i="4"/>
  <c r="P773" i="4"/>
  <c r="O773" i="4"/>
  <c r="Q773" i="4"/>
  <c r="P789" i="4"/>
  <c r="O789" i="4"/>
  <c r="P797" i="4"/>
  <c r="O797" i="4"/>
  <c r="P805" i="4"/>
  <c r="O805" i="4"/>
  <c r="Q745" i="4"/>
  <c r="O826" i="4"/>
  <c r="P826" i="4"/>
  <c r="P836" i="4"/>
  <c r="O836" i="4"/>
  <c r="O846" i="4"/>
  <c r="P846" i="4"/>
  <c r="O862" i="4"/>
  <c r="P862" i="4"/>
  <c r="Q892" i="4"/>
  <c r="Q960" i="4"/>
  <c r="O839" i="4"/>
  <c r="P839" i="4"/>
  <c r="Q855" i="4"/>
  <c r="Q871" i="4"/>
  <c r="Q887" i="4"/>
  <c r="Q951" i="4"/>
  <c r="Q43" i="4"/>
  <c r="Q119" i="4"/>
  <c r="Q341" i="4"/>
  <c r="Q637" i="4"/>
  <c r="O640" i="4"/>
  <c r="P640" i="4"/>
  <c r="O643" i="4"/>
  <c r="P643" i="4"/>
  <c r="O707" i="4"/>
  <c r="P707" i="4"/>
  <c r="O753" i="4"/>
  <c r="P753" i="4"/>
  <c r="O769" i="4"/>
  <c r="P769" i="4"/>
  <c r="O801" i="4"/>
  <c r="P801" i="4"/>
  <c r="O832" i="4"/>
  <c r="P832" i="4"/>
  <c r="O952" i="4"/>
  <c r="P952" i="4"/>
  <c r="O847" i="4"/>
  <c r="P847" i="4"/>
  <c r="Q647" i="4"/>
  <c r="Q663" i="4"/>
  <c r="Q679" i="4"/>
  <c r="O755" i="4"/>
  <c r="P755" i="4"/>
  <c r="Q779" i="4"/>
  <c r="O741" i="4"/>
  <c r="P741" i="4"/>
  <c r="O851" i="4"/>
  <c r="P851" i="4"/>
  <c r="O883" i="4"/>
  <c r="P883" i="4"/>
  <c r="Q130" i="4"/>
  <c r="Q162" i="4"/>
  <c r="O337" i="4"/>
  <c r="P337" i="4"/>
  <c r="O401" i="4"/>
  <c r="P401" i="4"/>
  <c r="Q343" i="4"/>
  <c r="O391" i="4"/>
  <c r="P391" i="4"/>
  <c r="O633" i="4"/>
  <c r="P633" i="4"/>
  <c r="O697" i="4"/>
  <c r="P697" i="4"/>
  <c r="P751" i="4"/>
  <c r="O751" i="4"/>
  <c r="O783" i="4"/>
  <c r="P783" i="4"/>
  <c r="Q733" i="4"/>
  <c r="Q830" i="4"/>
  <c r="Q932" i="4"/>
  <c r="Q964" i="4"/>
  <c r="Q859" i="4"/>
  <c r="Q875" i="4"/>
  <c r="Q891" i="4"/>
  <c r="P923" i="4"/>
  <c r="O923" i="4"/>
  <c r="Q923" i="4"/>
  <c r="Q955" i="4"/>
  <c r="O132" i="4"/>
  <c r="P132" i="4"/>
  <c r="O148" i="4"/>
  <c r="P148" i="4"/>
  <c r="Q156" i="4"/>
  <c r="O347" i="4"/>
  <c r="P347" i="4"/>
  <c r="Q621" i="4"/>
  <c r="Q685" i="4"/>
  <c r="O656" i="4"/>
  <c r="P656" i="4"/>
  <c r="Q761" i="4"/>
  <c r="O777" i="4"/>
  <c r="P777" i="4"/>
  <c r="Q793" i="4"/>
  <c r="Q818" i="4"/>
  <c r="Q838" i="4"/>
  <c r="Q936" i="4"/>
  <c r="O968" i="4"/>
  <c r="P968" i="4"/>
  <c r="Q863" i="4"/>
  <c r="O126" i="4"/>
  <c r="P126" i="4"/>
  <c r="O142" i="4"/>
  <c r="P142" i="4"/>
  <c r="O166" i="4"/>
  <c r="P166" i="4"/>
  <c r="Q345" i="4"/>
  <c r="Q335" i="4"/>
  <c r="Q399" i="4"/>
  <c r="Q609" i="4"/>
  <c r="Q641" i="4"/>
  <c r="Q673" i="4"/>
  <c r="O689" i="4"/>
  <c r="P689" i="4"/>
  <c r="O705" i="4"/>
  <c r="P705" i="4"/>
  <c r="Q705" i="4"/>
  <c r="Q628" i="4"/>
  <c r="P692" i="4"/>
  <c r="O692" i="4"/>
  <c r="Q692" i="4"/>
  <c r="P676" i="4"/>
  <c r="O676" i="4"/>
  <c r="O6" i="4"/>
  <c r="P6" i="4"/>
  <c r="Q250" i="4"/>
  <c r="P348" i="4"/>
  <c r="O348" i="4"/>
  <c r="Q380" i="4"/>
  <c r="Q382" i="4"/>
  <c r="Q908" i="4"/>
  <c r="Q258" i="4"/>
  <c r="Q261" i="4"/>
  <c r="O261" i="4"/>
  <c r="P261" i="4"/>
  <c r="Q269" i="4"/>
  <c r="Q431" i="4"/>
  <c r="Q433" i="4"/>
  <c r="P435" i="4"/>
  <c r="O435" i="4"/>
  <c r="O437" i="4"/>
  <c r="P437" i="4"/>
  <c r="O445" i="4"/>
  <c r="P445" i="4"/>
  <c r="O457" i="4"/>
  <c r="P457" i="4"/>
  <c r="P459" i="4"/>
  <c r="O459" i="4"/>
  <c r="O571" i="4"/>
  <c r="P571" i="4"/>
  <c r="Q573" i="4"/>
  <c r="O575" i="4"/>
  <c r="P575" i="4"/>
  <c r="P577" i="4"/>
  <c r="O577" i="4"/>
  <c r="Q581" i="4"/>
  <c r="O583" i="4"/>
  <c r="P583" i="4"/>
  <c r="Q587" i="4"/>
  <c r="Q589" i="4"/>
  <c r="P255" i="4"/>
  <c r="O255" i="4"/>
  <c r="Q268" i="4"/>
  <c r="Q293" i="4"/>
  <c r="P356" i="4"/>
  <c r="O356" i="4"/>
  <c r="O358" i="4"/>
  <c r="P358" i="4"/>
  <c r="O736" i="4"/>
  <c r="P736" i="4"/>
  <c r="O975" i="4"/>
  <c r="P975" i="4"/>
  <c r="O977" i="4"/>
  <c r="P977" i="4"/>
  <c r="Q60" i="4"/>
  <c r="Q68" i="4"/>
  <c r="Q72" i="4"/>
  <c r="O80" i="4"/>
  <c r="P80" i="4"/>
  <c r="O88" i="4"/>
  <c r="P88" i="4"/>
  <c r="P108" i="4"/>
  <c r="O108" i="4"/>
  <c r="O112" i="4"/>
  <c r="P112" i="4"/>
  <c r="O161" i="4"/>
  <c r="P161" i="4"/>
  <c r="O214" i="4"/>
  <c r="P214" i="4"/>
  <c r="Q243" i="4"/>
  <c r="Q296" i="4"/>
  <c r="Q300" i="4"/>
  <c r="O304" i="4"/>
  <c r="P304" i="4"/>
  <c r="O308" i="4"/>
  <c r="P308" i="4"/>
  <c r="O360" i="4"/>
  <c r="P360" i="4"/>
  <c r="Q362" i="4"/>
  <c r="P394" i="4"/>
  <c r="O394" i="4"/>
  <c r="Q506" i="4"/>
  <c r="O510" i="4"/>
  <c r="P510" i="4"/>
  <c r="O610" i="4"/>
  <c r="P610" i="4"/>
  <c r="Q670" i="4"/>
  <c r="O720" i="4"/>
  <c r="P720" i="4"/>
  <c r="Q725" i="4"/>
  <c r="Q890" i="4"/>
  <c r="O713" i="4"/>
  <c r="P713" i="4"/>
  <c r="Q718" i="4"/>
  <c r="P735" i="4"/>
  <c r="O735" i="4"/>
  <c r="O823" i="4"/>
  <c r="P823" i="4"/>
  <c r="P869" i="4"/>
  <c r="O869" i="4"/>
  <c r="Q982" i="4"/>
  <c r="Q996" i="4"/>
  <c r="Q998" i="4"/>
  <c r="Q898" i="4"/>
  <c r="O976" i="4"/>
  <c r="P976" i="4"/>
  <c r="O740" i="4"/>
  <c r="P740" i="4"/>
  <c r="O754" i="4"/>
  <c r="P754" i="4"/>
  <c r="Q756" i="4"/>
  <c r="O762" i="4"/>
  <c r="P762" i="4"/>
  <c r="Q766" i="4"/>
  <c r="Q772" i="4"/>
  <c r="O816" i="4"/>
  <c r="P816" i="4"/>
  <c r="Q978" i="4"/>
  <c r="P979" i="4"/>
  <c r="O979" i="4"/>
  <c r="Q987" i="4"/>
  <c r="O992" i="4"/>
  <c r="P992" i="4"/>
  <c r="O1000" i="4"/>
  <c r="P1000" i="4"/>
  <c r="Q986" i="4"/>
  <c r="Q994" i="4"/>
  <c r="Q229" i="4"/>
  <c r="O266" i="4"/>
  <c r="P266" i="4"/>
  <c r="O274" i="4"/>
  <c r="P274" i="4"/>
  <c r="O413" i="4"/>
  <c r="P413" i="4"/>
  <c r="O417" i="4"/>
  <c r="P417" i="4"/>
  <c r="P419" i="4"/>
  <c r="O419" i="4"/>
  <c r="Q421" i="4"/>
  <c r="Q529" i="4"/>
  <c r="O531" i="4"/>
  <c r="P531" i="4"/>
  <c r="Q535" i="4"/>
  <c r="Q539" i="4"/>
  <c r="Q543" i="4"/>
  <c r="O555" i="4"/>
  <c r="P555" i="4"/>
  <c r="O557" i="4"/>
  <c r="P557" i="4"/>
  <c r="P210" i="4"/>
  <c r="O210" i="4"/>
  <c r="O65" i="4"/>
  <c r="P65" i="4"/>
  <c r="O97" i="4"/>
  <c r="P97" i="4"/>
  <c r="Q109" i="4"/>
  <c r="O113" i="4"/>
  <c r="P113" i="4"/>
  <c r="P141" i="4"/>
  <c r="O141" i="4"/>
  <c r="O143" i="4"/>
  <c r="P143" i="4"/>
  <c r="Q157" i="4"/>
  <c r="O159" i="4"/>
  <c r="P159" i="4"/>
  <c r="O267" i="4"/>
  <c r="P267" i="4"/>
  <c r="O288" i="4"/>
  <c r="P288" i="4"/>
  <c r="O292" i="4"/>
  <c r="P292" i="4"/>
  <c r="O426" i="4"/>
  <c r="P426" i="4"/>
  <c r="O436" i="4"/>
  <c r="P436" i="4"/>
  <c r="Q438" i="4"/>
  <c r="P490" i="4"/>
  <c r="O490" i="4"/>
  <c r="O496" i="4"/>
  <c r="P496" i="4"/>
  <c r="Q500" i="4"/>
  <c r="Q502" i="4"/>
  <c r="P606" i="4"/>
  <c r="O606" i="4"/>
  <c r="O618" i="4"/>
  <c r="P618" i="4"/>
  <c r="Q634" i="4"/>
  <c r="O731" i="4"/>
  <c r="P731" i="4"/>
  <c r="Q747" i="4"/>
  <c r="O831" i="4"/>
  <c r="P831" i="4"/>
  <c r="Q835" i="4"/>
  <c r="P837" i="4"/>
  <c r="O837" i="4"/>
  <c r="O849" i="4"/>
  <c r="P849" i="4"/>
  <c r="O937" i="4"/>
  <c r="P937" i="4"/>
  <c r="Q942" i="4"/>
  <c r="O748" i="4"/>
  <c r="P748" i="4"/>
  <c r="P812" i="4"/>
  <c r="O812" i="4"/>
  <c r="Q881" i="4"/>
  <c r="O886" i="4"/>
  <c r="P886" i="4"/>
  <c r="Q934" i="4"/>
  <c r="Q961" i="4"/>
  <c r="O29" i="4"/>
  <c r="P29" i="4"/>
  <c r="O7" i="4"/>
  <c r="P7" i="4"/>
  <c r="P202" i="4"/>
  <c r="O202" i="4"/>
  <c r="Q332" i="4"/>
  <c r="P364" i="4"/>
  <c r="O364" i="4"/>
  <c r="O366" i="4"/>
  <c r="P366" i="4"/>
  <c r="Q206" i="4"/>
  <c r="O213" i="4"/>
  <c r="P213" i="4"/>
  <c r="O370" i="4"/>
  <c r="P370" i="4"/>
  <c r="O499" i="4"/>
  <c r="P499" i="4"/>
  <c r="O507" i="4"/>
  <c r="P507" i="4"/>
  <c r="Q511" i="4"/>
  <c r="O515" i="4"/>
  <c r="P515" i="4"/>
  <c r="Q519" i="4"/>
  <c r="O523" i="4"/>
  <c r="P523" i="4"/>
  <c r="P201" i="4"/>
  <c r="O201" i="4"/>
  <c r="O239" i="4"/>
  <c r="P239" i="4"/>
  <c r="O279" i="4"/>
  <c r="P279" i="4"/>
  <c r="P326" i="4"/>
  <c r="O326" i="4"/>
  <c r="P388" i="4"/>
  <c r="O388" i="4"/>
  <c r="Q723" i="4"/>
  <c r="Q938" i="4"/>
  <c r="O50" i="4"/>
  <c r="P50" i="4"/>
  <c r="Q58" i="4"/>
  <c r="O82" i="4"/>
  <c r="P82" i="4"/>
  <c r="O90" i="4"/>
  <c r="P90" i="4"/>
  <c r="Q106" i="4"/>
  <c r="O114" i="4"/>
  <c r="P114" i="4"/>
  <c r="O183" i="4"/>
  <c r="P183" i="4"/>
  <c r="P195" i="4"/>
  <c r="O195" i="4"/>
  <c r="Q230" i="4"/>
  <c r="O253" i="4"/>
  <c r="P253" i="4"/>
  <c r="Q273" i="4"/>
  <c r="Q346" i="4"/>
  <c r="P408" i="4"/>
  <c r="O408" i="4"/>
  <c r="Q410" i="4"/>
  <c r="Q416" i="4"/>
  <c r="O472" i="4"/>
  <c r="P472" i="4"/>
  <c r="O478" i="4"/>
  <c r="P478" i="4"/>
  <c r="O480" i="4"/>
  <c r="P480" i="4"/>
  <c r="Q556" i="4"/>
  <c r="Q558" i="4"/>
  <c r="O560" i="4"/>
  <c r="P560" i="4"/>
  <c r="Q566" i="4"/>
  <c r="O568" i="4"/>
  <c r="P568" i="4"/>
  <c r="Q572" i="4"/>
  <c r="P574" i="4"/>
  <c r="O574" i="4"/>
  <c r="O576" i="4"/>
  <c r="P576" i="4"/>
  <c r="Q588" i="4"/>
  <c r="Q590" i="4"/>
  <c r="P600" i="4"/>
  <c r="O600" i="4"/>
  <c r="Q614" i="4"/>
  <c r="Q630" i="4"/>
  <c r="P646" i="4"/>
  <c r="O646" i="4"/>
  <c r="Q706" i="4"/>
  <c r="Q861" i="4"/>
  <c r="O926" i="4"/>
  <c r="P926" i="4"/>
  <c r="O928" i="4"/>
  <c r="P928" i="4"/>
  <c r="Q877" i="4"/>
  <c r="O925" i="4"/>
  <c r="P925" i="4"/>
  <c r="O962" i="4"/>
  <c r="P962" i="4"/>
  <c r="Q784" i="4"/>
  <c r="P788" i="4"/>
  <c r="O788" i="4"/>
  <c r="O800" i="4"/>
  <c r="P800" i="4"/>
  <c r="Q802" i="4"/>
  <c r="Q824" i="4"/>
  <c r="Q856" i="4"/>
  <c r="O913" i="4"/>
  <c r="P913" i="4"/>
  <c r="Q920" i="4"/>
  <c r="P30" i="4"/>
  <c r="O30" i="4"/>
  <c r="O336" i="4"/>
  <c r="P336" i="4"/>
  <c r="O352" i="4"/>
  <c r="P352" i="4"/>
  <c r="O400" i="4"/>
  <c r="P400" i="4"/>
  <c r="Q461" i="4"/>
  <c r="O463" i="4"/>
  <c r="P463" i="4"/>
  <c r="Q467" i="4"/>
  <c r="O477" i="4"/>
  <c r="P477" i="4"/>
  <c r="Q479" i="4"/>
  <c r="O487" i="4"/>
  <c r="P487" i="4"/>
  <c r="O489" i="4"/>
  <c r="P489" i="4"/>
  <c r="O491" i="4"/>
  <c r="P491" i="4"/>
  <c r="Q593" i="4"/>
  <c r="O597" i="4"/>
  <c r="P597" i="4"/>
  <c r="P599" i="4"/>
  <c r="O599" i="4"/>
  <c r="P885" i="4"/>
  <c r="O885" i="4"/>
  <c r="Q922" i="4"/>
  <c r="O121" i="4"/>
  <c r="P121" i="4"/>
  <c r="Q184" i="4"/>
  <c r="Q188" i="4"/>
  <c r="Q305" i="4"/>
  <c r="O313" i="4"/>
  <c r="P313" i="4"/>
  <c r="O406" i="4"/>
  <c r="P406" i="4"/>
  <c r="Q59" i="4"/>
  <c r="O63" i="4"/>
  <c r="P63" i="4"/>
  <c r="Q67" i="4"/>
  <c r="Q91" i="4"/>
  <c r="Q99" i="4"/>
  <c r="Q115" i="4"/>
  <c r="O131" i="4"/>
  <c r="P131" i="4"/>
  <c r="Q133" i="4"/>
  <c r="Q135" i="4"/>
  <c r="O149" i="4"/>
  <c r="P149" i="4"/>
  <c r="P216" i="4"/>
  <c r="O216" i="4"/>
  <c r="O248" i="4"/>
  <c r="P248" i="4"/>
  <c r="O450" i="4"/>
  <c r="P450" i="4"/>
  <c r="O454" i="4"/>
  <c r="P454" i="4"/>
  <c r="Q456" i="4"/>
  <c r="O458" i="4"/>
  <c r="P458" i="4"/>
  <c r="P460" i="4"/>
  <c r="O460" i="4"/>
  <c r="O462" i="4"/>
  <c r="P462" i="4"/>
  <c r="Q470" i="4"/>
  <c r="O514" i="4"/>
  <c r="P514" i="4"/>
  <c r="Q520" i="4"/>
  <c r="O522" i="4"/>
  <c r="P522" i="4"/>
  <c r="O528" i="4"/>
  <c r="P528" i="4"/>
  <c r="Q532" i="4"/>
  <c r="P534" i="4"/>
  <c r="O534" i="4"/>
  <c r="Q546" i="4"/>
  <c r="Q548" i="4"/>
  <c r="O626" i="4"/>
  <c r="P626" i="4"/>
  <c r="O702" i="4"/>
  <c r="P702" i="4"/>
  <c r="O724" i="4"/>
  <c r="P724" i="4"/>
  <c r="O726" i="4"/>
  <c r="P726" i="4"/>
  <c r="Q845" i="4"/>
  <c r="O905" i="4"/>
  <c r="P905" i="4"/>
  <c r="Q953" i="4"/>
  <c r="O909" i="4"/>
  <c r="P909" i="4"/>
  <c r="Q774" i="4"/>
  <c r="O776" i="4"/>
  <c r="P776" i="4"/>
  <c r="Q780" i="4"/>
  <c r="O782" i="4"/>
  <c r="P782" i="4"/>
  <c r="Q864" i="4"/>
  <c r="Q897" i="4"/>
  <c r="O902" i="4"/>
  <c r="P902" i="4"/>
  <c r="O904" i="4"/>
  <c r="P904" i="4"/>
  <c r="Q904" i="4"/>
  <c r="Q945" i="4"/>
  <c r="P181" i="4"/>
  <c r="O181" i="4"/>
  <c r="P263" i="4"/>
  <c r="O263" i="4"/>
  <c r="P176" i="4"/>
  <c r="O176" i="4"/>
  <c r="P244" i="4"/>
  <c r="O244" i="4"/>
  <c r="O220" i="4"/>
  <c r="P220" i="4"/>
  <c r="P185" i="4"/>
  <c r="O185" i="4"/>
  <c r="O228" i="4"/>
  <c r="P228" i="4"/>
  <c r="O203" i="4"/>
  <c r="P203" i="4"/>
  <c r="O174" i="4"/>
  <c r="P174" i="4"/>
  <c r="Q173" i="4"/>
  <c r="O319" i="4"/>
  <c r="P319" i="4"/>
  <c r="O178" i="4"/>
  <c r="P178" i="4"/>
  <c r="Q196" i="4"/>
  <c r="P169" i="4"/>
  <c r="O169" i="4"/>
  <c r="O28" i="4"/>
  <c r="P28" i="4"/>
  <c r="O171" i="4"/>
  <c r="P171" i="4"/>
  <c r="P231" i="4"/>
  <c r="O231" i="4"/>
  <c r="Q264" i="4"/>
  <c r="O284" i="4"/>
  <c r="P284" i="4"/>
  <c r="P291" i="4"/>
  <c r="O16" i="4"/>
  <c r="P16" i="4"/>
  <c r="O281" i="4"/>
  <c r="P281" i="4"/>
  <c r="P307" i="4"/>
  <c r="Q219" i="4"/>
  <c r="P20" i="4"/>
  <c r="P252" i="4"/>
  <c r="O252" i="4"/>
  <c r="P619" i="4"/>
  <c r="O619" i="4"/>
  <c r="O651" i="4"/>
  <c r="P651" i="4"/>
  <c r="O919" i="4"/>
  <c r="P919" i="4"/>
  <c r="O140" i="4"/>
  <c r="P140" i="4"/>
  <c r="O331" i="4"/>
  <c r="P331" i="4"/>
  <c r="O669" i="4"/>
  <c r="P669" i="4"/>
  <c r="P730" i="4"/>
  <c r="O730" i="4"/>
  <c r="O771" i="4"/>
  <c r="P771" i="4"/>
  <c r="O787" i="4"/>
  <c r="P787" i="4"/>
  <c r="O803" i="4"/>
  <c r="P803" i="4"/>
  <c r="O825" i="4"/>
  <c r="P825" i="4"/>
  <c r="O118" i="4"/>
  <c r="P118" i="4"/>
  <c r="P146" i="4"/>
  <c r="O146" i="4"/>
  <c r="O359" i="4"/>
  <c r="P359" i="4"/>
  <c r="O665" i="4"/>
  <c r="P665" i="4"/>
  <c r="P684" i="4"/>
  <c r="O684" i="4"/>
  <c r="P738" i="4"/>
  <c r="O738" i="4"/>
  <c r="O767" i="4"/>
  <c r="P767" i="4"/>
  <c r="P844" i="4"/>
  <c r="O844" i="4"/>
  <c r="O817" i="4"/>
  <c r="P817" i="4"/>
  <c r="O866" i="4"/>
  <c r="P866" i="4"/>
  <c r="O156" i="4"/>
  <c r="P156" i="4"/>
  <c r="O688" i="4"/>
  <c r="P688" i="4"/>
  <c r="O351" i="4"/>
  <c r="P351" i="4"/>
  <c r="O383" i="4"/>
  <c r="P383" i="4"/>
  <c r="O641" i="4"/>
  <c r="P641" i="4"/>
  <c r="O144" i="4"/>
  <c r="P144" i="4"/>
  <c r="Q160" i="4"/>
  <c r="O381" i="4"/>
  <c r="P381" i="4"/>
  <c r="O397" i="4"/>
  <c r="P397" i="4"/>
  <c r="O661" i="4"/>
  <c r="P661" i="4"/>
  <c r="O693" i="4"/>
  <c r="P693" i="4"/>
  <c r="Q781" i="4"/>
  <c r="O745" i="4"/>
  <c r="P745" i="4"/>
  <c r="Q813" i="4"/>
  <c r="P829" i="4"/>
  <c r="O829" i="4"/>
  <c r="Q876" i="4"/>
  <c r="Q944" i="4"/>
  <c r="Q839" i="4"/>
  <c r="O871" i="4"/>
  <c r="P871" i="4"/>
  <c r="O935" i="4"/>
  <c r="P935" i="4"/>
  <c r="O951" i="4"/>
  <c r="P951" i="4"/>
  <c r="O967" i="4"/>
  <c r="P967" i="4"/>
  <c r="O43" i="4"/>
  <c r="P43" i="4"/>
  <c r="O119" i="4"/>
  <c r="P119" i="4"/>
  <c r="O164" i="4"/>
  <c r="P164" i="4"/>
  <c r="O373" i="4"/>
  <c r="P373" i="4"/>
  <c r="O389" i="4"/>
  <c r="P389" i="4"/>
  <c r="Q379" i="4"/>
  <c r="Q640" i="4"/>
  <c r="O704" i="4"/>
  <c r="P704" i="4"/>
  <c r="Q627" i="4"/>
  <c r="O675" i="4"/>
  <c r="P675" i="4"/>
  <c r="Q707" i="4"/>
  <c r="Q769" i="4"/>
  <c r="O785" i="4"/>
  <c r="P785" i="4"/>
  <c r="Q801" i="4"/>
  <c r="Q832" i="4"/>
  <c r="P821" i="4"/>
  <c r="O821" i="4"/>
  <c r="O854" i="4"/>
  <c r="P854" i="4"/>
  <c r="O870" i="4"/>
  <c r="P870" i="4"/>
  <c r="O19" i="4"/>
  <c r="P19" i="4"/>
  <c r="P708" i="4"/>
  <c r="O708" i="4"/>
  <c r="P615" i="4"/>
  <c r="O615" i="4"/>
  <c r="P647" i="4"/>
  <c r="O647" i="4"/>
  <c r="O746" i="4"/>
  <c r="P746" i="4"/>
  <c r="O763" i="4"/>
  <c r="P763" i="4"/>
  <c r="Q741" i="4"/>
  <c r="O822" i="4"/>
  <c r="P822" i="4"/>
  <c r="P860" i="4"/>
  <c r="O860" i="4"/>
  <c r="O872" i="4"/>
  <c r="P872" i="4"/>
  <c r="P940" i="4"/>
  <c r="O940" i="4"/>
  <c r="Q851" i="4"/>
  <c r="Q915" i="4"/>
  <c r="P947" i="4"/>
  <c r="O947" i="4"/>
  <c r="P162" i="4"/>
  <c r="O162" i="4"/>
  <c r="O369" i="4"/>
  <c r="P369" i="4"/>
  <c r="O385" i="4"/>
  <c r="P385" i="4"/>
  <c r="O327" i="4"/>
  <c r="P327" i="4"/>
  <c r="O343" i="4"/>
  <c r="P343" i="4"/>
  <c r="O375" i="4"/>
  <c r="P375" i="4"/>
  <c r="O407" i="4"/>
  <c r="P407" i="4"/>
  <c r="P617" i="4"/>
  <c r="O617" i="4"/>
  <c r="Q633" i="4"/>
  <c r="P620" i="4"/>
  <c r="O620" i="4"/>
  <c r="P636" i="4"/>
  <c r="O636" i="4"/>
  <c r="P607" i="4"/>
  <c r="O607" i="4"/>
  <c r="P623" i="4"/>
  <c r="O623" i="4"/>
  <c r="P655" i="4"/>
  <c r="O655" i="4"/>
  <c r="P687" i="4"/>
  <c r="O687" i="4"/>
  <c r="P759" i="4"/>
  <c r="O759" i="4"/>
  <c r="O775" i="4"/>
  <c r="P775" i="4"/>
  <c r="O791" i="4"/>
  <c r="P791" i="4"/>
  <c r="O799" i="4"/>
  <c r="P799" i="4"/>
  <c r="O807" i="4"/>
  <c r="P807" i="4"/>
  <c r="O733" i="4"/>
  <c r="P733" i="4"/>
  <c r="O814" i="4"/>
  <c r="P814" i="4"/>
  <c r="O830" i="4"/>
  <c r="P830" i="4"/>
  <c r="P948" i="4"/>
  <c r="O948" i="4"/>
  <c r="P964" i="4"/>
  <c r="O964" i="4"/>
  <c r="O843" i="4"/>
  <c r="P843" i="4"/>
  <c r="O875" i="4"/>
  <c r="P875" i="4"/>
  <c r="Q907" i="4"/>
  <c r="P939" i="4"/>
  <c r="O939" i="4"/>
  <c r="P971" i="4"/>
  <c r="O971" i="4"/>
  <c r="O122" i="4"/>
  <c r="P122" i="4"/>
  <c r="Q148" i="4"/>
  <c r="Q347" i="4"/>
  <c r="Q653" i="4"/>
  <c r="O659" i="4"/>
  <c r="P659" i="4"/>
  <c r="O818" i="4"/>
  <c r="P818" i="4"/>
  <c r="Q852" i="4"/>
  <c r="O911" i="4"/>
  <c r="P911" i="4"/>
  <c r="O943" i="4"/>
  <c r="P943" i="4"/>
  <c r="O150" i="4"/>
  <c r="P150" i="4"/>
  <c r="O158" i="4"/>
  <c r="P158" i="4"/>
  <c r="O345" i="4"/>
  <c r="P345" i="4"/>
  <c r="O409" i="4"/>
  <c r="P409" i="4"/>
  <c r="O335" i="4"/>
  <c r="P335" i="4"/>
  <c r="P625" i="4"/>
  <c r="O625" i="4"/>
  <c r="Q612" i="4"/>
  <c r="P628" i="4"/>
  <c r="O628" i="4"/>
  <c r="Q644" i="4"/>
  <c r="P5" i="4"/>
  <c r="O5" i="4"/>
  <c r="O250" i="4"/>
  <c r="P250" i="4"/>
  <c r="Q348" i="4"/>
  <c r="P380" i="4"/>
  <c r="O380" i="4"/>
  <c r="O712" i="4"/>
  <c r="P712" i="4"/>
  <c r="P908" i="4"/>
  <c r="O908" i="4"/>
  <c r="O10" i="4"/>
  <c r="P10" i="4"/>
  <c r="P258" i="4"/>
  <c r="O258" i="4"/>
  <c r="O439" i="4"/>
  <c r="P439" i="4"/>
  <c r="O453" i="4"/>
  <c r="P453" i="4"/>
  <c r="P585" i="4"/>
  <c r="O585" i="4"/>
  <c r="O591" i="4"/>
  <c r="P591" i="4"/>
  <c r="P719" i="4"/>
  <c r="O719" i="4"/>
  <c r="O217" i="4"/>
  <c r="P217" i="4"/>
  <c r="O874" i="4"/>
  <c r="P874" i="4"/>
  <c r="O52" i="4"/>
  <c r="P52" i="4"/>
  <c r="P56" i="4"/>
  <c r="O56" i="4"/>
  <c r="O68" i="4"/>
  <c r="P68" i="4"/>
  <c r="O92" i="4"/>
  <c r="P92" i="4"/>
  <c r="O96" i="4"/>
  <c r="P96" i="4"/>
  <c r="P145" i="4"/>
  <c r="O145" i="4"/>
  <c r="O246" i="4"/>
  <c r="P246" i="4"/>
  <c r="O265" i="4"/>
  <c r="P265" i="4"/>
  <c r="O444" i="4"/>
  <c r="P444" i="4"/>
  <c r="P504" i="4"/>
  <c r="O504" i="4"/>
  <c r="O506" i="4"/>
  <c r="P506" i="4"/>
  <c r="P670" i="4"/>
  <c r="O670" i="4"/>
  <c r="O682" i="4"/>
  <c r="P682" i="4"/>
  <c r="P722" i="4"/>
  <c r="O722" i="4"/>
  <c r="O725" i="4"/>
  <c r="P725" i="4"/>
  <c r="P716" i="4"/>
  <c r="O716" i="4"/>
  <c r="O894" i="4"/>
  <c r="P894" i="4"/>
  <c r="O993" i="4"/>
  <c r="P993" i="4"/>
  <c r="O946" i="4"/>
  <c r="P946" i="4"/>
  <c r="O756" i="4"/>
  <c r="P756" i="4"/>
  <c r="O764" i="4"/>
  <c r="P764" i="4"/>
  <c r="P768" i="4"/>
  <c r="O768" i="4"/>
  <c r="O840" i="4"/>
  <c r="P840" i="4"/>
  <c r="P988" i="4"/>
  <c r="O988" i="4"/>
  <c r="O981" i="4"/>
  <c r="P981" i="4"/>
  <c r="O984" i="4"/>
  <c r="P984" i="4"/>
  <c r="P987" i="4"/>
  <c r="O987" i="4"/>
  <c r="O986" i="4"/>
  <c r="P986" i="4"/>
  <c r="O209" i="4"/>
  <c r="P209" i="4"/>
  <c r="O415" i="4"/>
  <c r="P415" i="4"/>
  <c r="O423" i="4"/>
  <c r="P423" i="4"/>
  <c r="O533" i="4"/>
  <c r="P533" i="4"/>
  <c r="O539" i="4"/>
  <c r="P539" i="4"/>
  <c r="O549" i="4"/>
  <c r="P549" i="4"/>
  <c r="O563" i="4"/>
  <c r="P563" i="4"/>
  <c r="O565" i="4"/>
  <c r="P565" i="4"/>
  <c r="O242" i="4"/>
  <c r="P242" i="4"/>
  <c r="P81" i="4"/>
  <c r="O81" i="4"/>
  <c r="O89" i="4"/>
  <c r="P89" i="4"/>
  <c r="O120" i="4"/>
  <c r="P120" i="4"/>
  <c r="O155" i="4"/>
  <c r="P155" i="4"/>
  <c r="O157" i="4"/>
  <c r="P157" i="4"/>
  <c r="P285" i="4"/>
  <c r="O285" i="4"/>
  <c r="P430" i="4"/>
  <c r="O430" i="4"/>
  <c r="O434" i="4"/>
  <c r="P434" i="4"/>
  <c r="O484" i="4"/>
  <c r="P484" i="4"/>
  <c r="O492" i="4"/>
  <c r="P492" i="4"/>
  <c r="P498" i="4"/>
  <c r="O498" i="4"/>
  <c r="O666" i="4"/>
  <c r="P666" i="4"/>
  <c r="O678" i="4"/>
  <c r="P678" i="4"/>
  <c r="O889" i="4"/>
  <c r="P889" i="4"/>
  <c r="O974" i="4"/>
  <c r="P974" i="4"/>
  <c r="O750" i="4"/>
  <c r="P750" i="4"/>
  <c r="O808" i="4"/>
  <c r="P808" i="4"/>
  <c r="P828" i="4"/>
  <c r="O828" i="4"/>
  <c r="O934" i="4"/>
  <c r="P934" i="4"/>
  <c r="O31" i="4"/>
  <c r="P31" i="4"/>
  <c r="P26" i="4"/>
  <c r="O26" i="4"/>
  <c r="O332" i="4"/>
  <c r="P332" i="4"/>
  <c r="O338" i="4"/>
  <c r="P338" i="4"/>
  <c r="P402" i="4"/>
  <c r="O402" i="4"/>
  <c r="O501" i="4"/>
  <c r="P501" i="4"/>
  <c r="O503" i="4"/>
  <c r="P503" i="4"/>
  <c r="O509" i="4"/>
  <c r="P509" i="4"/>
  <c r="O517" i="4"/>
  <c r="P517" i="4"/>
  <c r="O519" i="4"/>
  <c r="P519" i="4"/>
  <c r="O527" i="4"/>
  <c r="P527" i="4"/>
  <c r="O260" i="4"/>
  <c r="P260" i="4"/>
  <c r="O901" i="4"/>
  <c r="P901" i="4"/>
  <c r="O54" i="4"/>
  <c r="P54" i="4"/>
  <c r="O66" i="4"/>
  <c r="P66" i="4"/>
  <c r="P70" i="4"/>
  <c r="O70" i="4"/>
  <c r="O106" i="4"/>
  <c r="P106" i="4"/>
  <c r="O137" i="4"/>
  <c r="P137" i="4"/>
  <c r="O153" i="4"/>
  <c r="P153" i="4"/>
  <c r="O273" i="4"/>
  <c r="P273" i="4"/>
  <c r="O282" i="4"/>
  <c r="P282" i="4"/>
  <c r="O344" i="4"/>
  <c r="P344" i="4"/>
  <c r="O346" i="4"/>
  <c r="P346" i="4"/>
  <c r="O410" i="4"/>
  <c r="P410" i="4"/>
  <c r="O412" i="4"/>
  <c r="P412" i="4"/>
  <c r="P474" i="4"/>
  <c r="O474" i="4"/>
  <c r="O562" i="4"/>
  <c r="P562" i="4"/>
  <c r="O564" i="4"/>
  <c r="P564" i="4"/>
  <c r="O570" i="4"/>
  <c r="P570" i="4"/>
  <c r="O578" i="4"/>
  <c r="P578" i="4"/>
  <c r="O580" i="4"/>
  <c r="P580" i="4"/>
  <c r="O586" i="4"/>
  <c r="P586" i="4"/>
  <c r="O594" i="4"/>
  <c r="P594" i="4"/>
  <c r="O602" i="4"/>
  <c r="P602" i="4"/>
  <c r="P614" i="4"/>
  <c r="O614" i="4"/>
  <c r="P662" i="4"/>
  <c r="O662" i="4"/>
  <c r="O954" i="4"/>
  <c r="P954" i="4"/>
  <c r="O706" i="4"/>
  <c r="P706" i="4"/>
  <c r="O815" i="4"/>
  <c r="P815" i="4"/>
  <c r="O827" i="4"/>
  <c r="P827" i="4"/>
  <c r="P861" i="4"/>
  <c r="O861" i="4"/>
  <c r="P744" i="4"/>
  <c r="O744" i="4"/>
  <c r="O790" i="4"/>
  <c r="P790" i="4"/>
  <c r="P796" i="4"/>
  <c r="O796" i="4"/>
  <c r="O802" i="4"/>
  <c r="P802" i="4"/>
  <c r="P804" i="4"/>
  <c r="O804" i="4"/>
  <c r="O918" i="4"/>
  <c r="P918" i="4"/>
  <c r="O970" i="4"/>
  <c r="P970" i="4"/>
  <c r="P972" i="4"/>
  <c r="O972" i="4"/>
  <c r="O465" i="4"/>
  <c r="P465" i="4"/>
  <c r="O471" i="4"/>
  <c r="P471" i="4"/>
  <c r="O473" i="4"/>
  <c r="P473" i="4"/>
  <c r="P475" i="4"/>
  <c r="O475" i="4"/>
  <c r="P483" i="4"/>
  <c r="O483" i="4"/>
  <c r="P593" i="4"/>
  <c r="O593" i="4"/>
  <c r="O301" i="4"/>
  <c r="P301" i="4"/>
  <c r="O309" i="4"/>
  <c r="P309" i="4"/>
  <c r="O83" i="4"/>
  <c r="P83" i="4"/>
  <c r="O87" i="4"/>
  <c r="P87" i="4"/>
  <c r="O91" i="4"/>
  <c r="P91" i="4"/>
  <c r="O111" i="4"/>
  <c r="P111" i="4"/>
  <c r="O133" i="4"/>
  <c r="P133" i="4"/>
  <c r="O147" i="4"/>
  <c r="P147" i="4"/>
  <c r="O163" i="4"/>
  <c r="P163" i="4"/>
  <c r="P452" i="4"/>
  <c r="O452" i="4"/>
  <c r="P468" i="4"/>
  <c r="O468" i="4"/>
  <c r="O516" i="4"/>
  <c r="P516" i="4"/>
  <c r="P518" i="4"/>
  <c r="O518" i="4"/>
  <c r="O524" i="4"/>
  <c r="P524" i="4"/>
  <c r="O530" i="4"/>
  <c r="P530" i="4"/>
  <c r="O536" i="4"/>
  <c r="P536" i="4"/>
  <c r="O538" i="4"/>
  <c r="P538" i="4"/>
  <c r="O878" i="4"/>
  <c r="P878" i="4"/>
  <c r="O912" i="4"/>
  <c r="P912" i="4"/>
  <c r="O953" i="4"/>
  <c r="P953" i="4"/>
  <c r="O914" i="4"/>
  <c r="P914" i="4"/>
  <c r="O778" i="4"/>
  <c r="P778" i="4"/>
  <c r="P820" i="4"/>
  <c r="O820" i="4"/>
  <c r="O864" i="4"/>
  <c r="P864" i="4"/>
  <c r="O22" i="4"/>
  <c r="P22" i="4"/>
  <c r="O278" i="4"/>
  <c r="P278" i="4"/>
  <c r="P24" i="4"/>
  <c r="O24" i="4"/>
  <c r="O172" i="4"/>
  <c r="P172" i="4"/>
  <c r="O14" i="4"/>
  <c r="P14" i="4"/>
  <c r="O294" i="4"/>
  <c r="P294" i="4"/>
  <c r="P196" i="4"/>
  <c r="O196" i="4"/>
  <c r="O199" i="4"/>
  <c r="P199" i="4"/>
  <c r="O177" i="4"/>
  <c r="P177" i="4"/>
  <c r="O204" i="4"/>
  <c r="P204" i="4"/>
  <c r="O315" i="4"/>
  <c r="P315" i="4"/>
  <c r="O189" i="4"/>
  <c r="P189" i="4"/>
  <c r="Q190" i="4"/>
  <c r="O677" i="4"/>
  <c r="P677" i="4"/>
  <c r="O683" i="4"/>
  <c r="P683" i="4"/>
  <c r="O605" i="4"/>
  <c r="P605" i="4"/>
  <c r="O672" i="4"/>
  <c r="P672" i="4"/>
  <c r="O879" i="4"/>
  <c r="P879" i="4"/>
  <c r="P631" i="4"/>
  <c r="O631" i="4"/>
  <c r="P695" i="4"/>
  <c r="O695" i="4"/>
  <c r="O811" i="4"/>
  <c r="P811" i="4"/>
  <c r="O858" i="4"/>
  <c r="P858" i="4"/>
  <c r="O888" i="4"/>
  <c r="P888" i="4"/>
  <c r="P956" i="4"/>
  <c r="O956" i="4"/>
  <c r="O867" i="4"/>
  <c r="P867" i="4"/>
  <c r="P899" i="4"/>
  <c r="O899" i="4"/>
  <c r="P963" i="4"/>
  <c r="O963" i="4"/>
  <c r="O130" i="4"/>
  <c r="P130" i="4"/>
  <c r="O681" i="4"/>
  <c r="P681" i="4"/>
  <c r="O668" i="4"/>
  <c r="P668" i="4"/>
  <c r="P639" i="4"/>
  <c r="O639" i="4"/>
  <c r="P671" i="4"/>
  <c r="O671" i="4"/>
  <c r="O859" i="4"/>
  <c r="P859" i="4"/>
  <c r="P891" i="4"/>
  <c r="O891" i="4"/>
  <c r="O691" i="4"/>
  <c r="P691" i="4"/>
  <c r="O761" i="4"/>
  <c r="P761" i="4"/>
  <c r="O793" i="4"/>
  <c r="P793" i="4"/>
  <c r="O936" i="4"/>
  <c r="P936" i="4"/>
  <c r="O134" i="4"/>
  <c r="P134" i="4"/>
  <c r="O329" i="4"/>
  <c r="P329" i="4"/>
  <c r="O361" i="4"/>
  <c r="P361" i="4"/>
  <c r="O46" i="4"/>
  <c r="P46" i="4"/>
  <c r="O323" i="4"/>
  <c r="P323" i="4"/>
  <c r="P403" i="4"/>
  <c r="O403" i="4"/>
  <c r="Q629" i="4"/>
  <c r="Q749" i="4"/>
  <c r="O128" i="4"/>
  <c r="P128" i="4"/>
  <c r="Q144" i="4"/>
  <c r="O160" i="4"/>
  <c r="P160" i="4"/>
  <c r="P333" i="4"/>
  <c r="O333" i="4"/>
  <c r="Q333" i="4"/>
  <c r="P349" i="4"/>
  <c r="O349" i="4"/>
  <c r="O365" i="4"/>
  <c r="P365" i="4"/>
  <c r="Q397" i="4"/>
  <c r="O339" i="4"/>
  <c r="P339" i="4"/>
  <c r="Q371" i="4"/>
  <c r="O613" i="4"/>
  <c r="P613" i="4"/>
  <c r="O629" i="4"/>
  <c r="P629" i="4"/>
  <c r="O645" i="4"/>
  <c r="P645" i="4"/>
  <c r="Q661" i="4"/>
  <c r="Q693" i="4"/>
  <c r="O709" i="4"/>
  <c r="P709" i="4"/>
  <c r="Q616" i="4"/>
  <c r="P632" i="4"/>
  <c r="O632" i="4"/>
  <c r="Q648" i="4"/>
  <c r="Q680" i="4"/>
  <c r="Q603" i="4"/>
  <c r="Q635" i="4"/>
  <c r="Q667" i="4"/>
  <c r="Q683" i="4"/>
  <c r="Q699" i="4"/>
  <c r="O734" i="4"/>
  <c r="P734" i="4"/>
  <c r="O749" i="4"/>
  <c r="P749" i="4"/>
  <c r="P765" i="4"/>
  <c r="O765" i="4"/>
  <c r="Q765" i="4"/>
  <c r="P781" i="4"/>
  <c r="O781" i="4"/>
  <c r="Q797" i="4"/>
  <c r="O729" i="4"/>
  <c r="P729" i="4"/>
  <c r="Q729" i="4"/>
  <c r="Q826" i="4"/>
  <c r="P813" i="4"/>
  <c r="O813" i="4"/>
  <c r="Q846" i="4"/>
  <c r="P876" i="4"/>
  <c r="O876" i="4"/>
  <c r="P892" i="4"/>
  <c r="O892" i="4"/>
  <c r="O960" i="4"/>
  <c r="P960" i="4"/>
  <c r="O855" i="4"/>
  <c r="P855" i="4"/>
  <c r="O887" i="4"/>
  <c r="P887" i="4"/>
  <c r="O903" i="4"/>
  <c r="P903" i="4"/>
  <c r="Q903" i="4"/>
  <c r="Q919" i="4"/>
  <c r="Q935" i="4"/>
  <c r="Q967" i="4"/>
  <c r="P341" i="4"/>
  <c r="O341" i="4"/>
  <c r="P363" i="4"/>
  <c r="O363" i="4"/>
  <c r="P379" i="4"/>
  <c r="O379" i="4"/>
  <c r="Q605" i="4"/>
  <c r="O637" i="4"/>
  <c r="P637" i="4"/>
  <c r="Q669" i="4"/>
  <c r="O701" i="4"/>
  <c r="P701" i="4"/>
  <c r="P608" i="4"/>
  <c r="O608" i="4"/>
  <c r="Q672" i="4"/>
  <c r="O737" i="4"/>
  <c r="P737" i="4"/>
  <c r="P884" i="4"/>
  <c r="O884" i="4"/>
  <c r="Q879" i="4"/>
  <c r="O895" i="4"/>
  <c r="P895" i="4"/>
  <c r="O959" i="4"/>
  <c r="P959" i="4"/>
  <c r="P123" i="4"/>
  <c r="O123" i="4"/>
  <c r="Q631" i="4"/>
  <c r="P663" i="4"/>
  <c r="O663" i="4"/>
  <c r="P679" i="4"/>
  <c r="O679" i="4"/>
  <c r="Q695" i="4"/>
  <c r="O779" i="4"/>
  <c r="P779" i="4"/>
  <c r="Q787" i="4"/>
  <c r="O795" i="4"/>
  <c r="P795" i="4"/>
  <c r="Q811" i="4"/>
  <c r="O834" i="4"/>
  <c r="P834" i="4"/>
  <c r="O842" i="4"/>
  <c r="P842" i="4"/>
  <c r="Q883" i="4"/>
  <c r="P915" i="4"/>
  <c r="O915" i="4"/>
  <c r="P931" i="4"/>
  <c r="O931" i="4"/>
  <c r="P154" i="4"/>
  <c r="O154" i="4"/>
  <c r="O321" i="4"/>
  <c r="P321" i="4"/>
  <c r="O353" i="4"/>
  <c r="P353" i="4"/>
  <c r="Q375" i="4"/>
  <c r="Q391" i="4"/>
  <c r="Q407" i="4"/>
  <c r="O649" i="4"/>
  <c r="P649" i="4"/>
  <c r="P604" i="4"/>
  <c r="O604" i="4"/>
  <c r="Q668" i="4"/>
  <c r="P700" i="4"/>
  <c r="O700" i="4"/>
  <c r="Q687" i="4"/>
  <c r="P703" i="4"/>
  <c r="O703" i="4"/>
  <c r="Q751" i="4"/>
  <c r="Q775" i="4"/>
  <c r="O880" i="4"/>
  <c r="P880" i="4"/>
  <c r="Q880" i="4"/>
  <c r="P932" i="4"/>
  <c r="O932" i="4"/>
  <c r="Q948" i="4"/>
  <c r="P907" i="4"/>
  <c r="O907" i="4"/>
  <c r="Q939" i="4"/>
  <c r="P955" i="4"/>
  <c r="O955" i="4"/>
  <c r="P325" i="4"/>
  <c r="O325" i="4"/>
  <c r="P357" i="4"/>
  <c r="O357" i="4"/>
  <c r="O405" i="4"/>
  <c r="P405" i="4"/>
  <c r="P395" i="4"/>
  <c r="O395" i="4"/>
  <c r="O653" i="4"/>
  <c r="P653" i="4"/>
  <c r="O685" i="4"/>
  <c r="P685" i="4"/>
  <c r="P624" i="4"/>
  <c r="O624" i="4"/>
  <c r="Q624" i="4"/>
  <c r="Q688" i="4"/>
  <c r="Q691" i="4"/>
  <c r="O742" i="4"/>
  <c r="P742" i="4"/>
  <c r="Q742" i="4"/>
  <c r="Q777" i="4"/>
  <c r="O809" i="4"/>
  <c r="P809" i="4"/>
  <c r="Q809" i="4"/>
  <c r="P852" i="4"/>
  <c r="O852" i="4"/>
  <c r="O838" i="4"/>
  <c r="P838" i="4"/>
  <c r="P868" i="4"/>
  <c r="O868" i="4"/>
  <c r="Q868" i="4"/>
  <c r="Q968" i="4"/>
  <c r="O863" i="4"/>
  <c r="P863" i="4"/>
  <c r="Q911" i="4"/>
  <c r="Q943" i="4"/>
  <c r="Q126" i="4"/>
  <c r="Q134" i="4"/>
  <c r="Q142" i="4"/>
  <c r="Q158" i="4"/>
  <c r="Q166" i="4"/>
  <c r="Q329" i="4"/>
  <c r="Q361" i="4"/>
  <c r="O393" i="4"/>
  <c r="P393" i="4"/>
  <c r="Q393" i="4"/>
  <c r="Q409" i="4"/>
  <c r="O367" i="4"/>
  <c r="P367" i="4"/>
  <c r="Q383" i="4"/>
  <c r="O399" i="4"/>
  <c r="P399" i="4"/>
  <c r="P609" i="4"/>
  <c r="O609" i="4"/>
  <c r="Q625" i="4"/>
  <c r="Q657" i="4"/>
  <c r="O673" i="4"/>
  <c r="P673" i="4"/>
  <c r="Q689" i="4"/>
  <c r="P612" i="4"/>
  <c r="O612" i="4"/>
  <c r="O644" i="4"/>
  <c r="P644" i="4"/>
  <c r="Q676" i="4"/>
  <c r="Q46" i="4"/>
  <c r="O218" i="4"/>
  <c r="P218" i="4"/>
  <c r="O350" i="4"/>
  <c r="P350" i="4"/>
  <c r="O714" i="4"/>
  <c r="P714" i="4"/>
  <c r="O717" i="4"/>
  <c r="P717" i="4"/>
  <c r="Q727" i="4"/>
  <c r="O906" i="4"/>
  <c r="P906" i="4"/>
  <c r="P245" i="4"/>
  <c r="O245" i="4"/>
  <c r="O269" i="4"/>
  <c r="P269" i="4"/>
  <c r="O429" i="4"/>
  <c r="P429" i="4"/>
  <c r="Q437" i="4"/>
  <c r="O447" i="4"/>
  <c r="P447" i="4"/>
  <c r="P451" i="4"/>
  <c r="O451" i="4"/>
  <c r="Q453" i="4"/>
  <c r="Q455" i="4"/>
  <c r="Q459" i="4"/>
  <c r="Q579" i="4"/>
  <c r="Q583" i="4"/>
  <c r="O587" i="4"/>
  <c r="P587" i="4"/>
  <c r="Q719" i="4"/>
  <c r="Q180" i="4"/>
  <c r="O223" i="4"/>
  <c r="P223" i="4"/>
  <c r="O249" i="4"/>
  <c r="P249" i="4"/>
  <c r="Q255" i="4"/>
  <c r="O268" i="4"/>
  <c r="P268" i="4"/>
  <c r="O289" i="4"/>
  <c r="P289" i="4"/>
  <c r="O293" i="4"/>
  <c r="P293" i="4"/>
  <c r="Q297" i="4"/>
  <c r="Q358" i="4"/>
  <c r="Q736" i="4"/>
  <c r="Q977" i="4"/>
  <c r="O60" i="4"/>
  <c r="P60" i="4"/>
  <c r="Q64" i="4"/>
  <c r="O84" i="4"/>
  <c r="P84" i="4"/>
  <c r="Q88" i="4"/>
  <c r="O104" i="4"/>
  <c r="P104" i="4"/>
  <c r="Q116" i="4"/>
  <c r="O205" i="4"/>
  <c r="P205" i="4"/>
  <c r="Q211" i="4"/>
  <c r="Q214" i="4"/>
  <c r="O243" i="4"/>
  <c r="P243" i="4"/>
  <c r="O262" i="4"/>
  <c r="P262" i="4"/>
  <c r="O296" i="4"/>
  <c r="P296" i="4"/>
  <c r="O328" i="4"/>
  <c r="P328" i="4"/>
  <c r="Q330" i="4"/>
  <c r="Q360" i="4"/>
  <c r="O362" i="4"/>
  <c r="P362" i="4"/>
  <c r="O392" i="4"/>
  <c r="P392" i="4"/>
  <c r="Q394" i="4"/>
  <c r="Q442" i="4"/>
  <c r="Q444" i="4"/>
  <c r="P446" i="4"/>
  <c r="O446" i="4"/>
  <c r="Q504" i="4"/>
  <c r="P622" i="4"/>
  <c r="O622" i="4"/>
  <c r="P638" i="4"/>
  <c r="O638" i="4"/>
  <c r="O698" i="4"/>
  <c r="P698" i="4"/>
  <c r="Q715" i="4"/>
  <c r="Q720" i="4"/>
  <c r="O890" i="4"/>
  <c r="P890" i="4"/>
  <c r="Q710" i="4"/>
  <c r="Q716" i="4"/>
  <c r="O841" i="4"/>
  <c r="P841" i="4"/>
  <c r="Q869" i="4"/>
  <c r="O896" i="4"/>
  <c r="P896" i="4"/>
  <c r="P996" i="4"/>
  <c r="O996" i="4"/>
  <c r="O898" i="4"/>
  <c r="P898" i="4"/>
  <c r="Q976" i="4"/>
  <c r="Q740" i="4"/>
  <c r="P752" i="4"/>
  <c r="O752" i="4"/>
  <c r="Q760" i="4"/>
  <c r="Q764" i="4"/>
  <c r="O766" i="4"/>
  <c r="P766" i="4"/>
  <c r="O770" i="4"/>
  <c r="P770" i="4"/>
  <c r="O978" i="4"/>
  <c r="P978" i="4"/>
  <c r="O983" i="4"/>
  <c r="P983" i="4"/>
  <c r="Q990" i="4"/>
  <c r="Q992" i="4"/>
  <c r="Q995" i="4"/>
  <c r="O994" i="4"/>
  <c r="P994" i="4"/>
  <c r="Q1002" i="4"/>
  <c r="P124" i="4"/>
  <c r="O124" i="4"/>
  <c r="O222" i="4"/>
  <c r="P222" i="4"/>
  <c r="P224" i="4"/>
  <c r="O224" i="4"/>
  <c r="P411" i="4"/>
  <c r="O411" i="4"/>
  <c r="Q413" i="4"/>
  <c r="O421" i="4"/>
  <c r="P421" i="4"/>
  <c r="Q423" i="4"/>
  <c r="O425" i="4"/>
  <c r="P425" i="4"/>
  <c r="P529" i="4"/>
  <c r="O529" i="4"/>
  <c r="Q531" i="4"/>
  <c r="O535" i="4"/>
  <c r="P535" i="4"/>
  <c r="O541" i="4"/>
  <c r="P541" i="4"/>
  <c r="O543" i="4"/>
  <c r="P543" i="4"/>
  <c r="Q555" i="4"/>
  <c r="O559" i="4"/>
  <c r="P559" i="4"/>
  <c r="P561" i="4"/>
  <c r="O561" i="4"/>
  <c r="O567" i="4"/>
  <c r="P567" i="4"/>
  <c r="O374" i="4"/>
  <c r="P374" i="4"/>
  <c r="O732" i="4"/>
  <c r="P732" i="4"/>
  <c r="O57" i="4"/>
  <c r="P57" i="4"/>
  <c r="Q61" i="4"/>
  <c r="O69" i="4"/>
  <c r="P69" i="4"/>
  <c r="O77" i="4"/>
  <c r="P77" i="4"/>
  <c r="O85" i="4"/>
  <c r="P85" i="4"/>
  <c r="O93" i="4"/>
  <c r="P93" i="4"/>
  <c r="O101" i="4"/>
  <c r="P101" i="4"/>
  <c r="Q105" i="4"/>
  <c r="Q120" i="4"/>
  <c r="O127" i="4"/>
  <c r="P127" i="4"/>
  <c r="Q139" i="4"/>
  <c r="Q141" i="4"/>
  <c r="Q143" i="4"/>
  <c r="Q159" i="4"/>
  <c r="O232" i="4"/>
  <c r="P232" i="4"/>
  <c r="Q285" i="4"/>
  <c r="Q288" i="4"/>
  <c r="Q422" i="4"/>
  <c r="Q424" i="4"/>
  <c r="Q426" i="4"/>
  <c r="Q428" i="4"/>
  <c r="Q430" i="4"/>
  <c r="Q436" i="4"/>
  <c r="P438" i="4"/>
  <c r="O438" i="4"/>
  <c r="Q482" i="4"/>
  <c r="Q484" i="4"/>
  <c r="O486" i="4"/>
  <c r="P486" i="4"/>
  <c r="Q492" i="4"/>
  <c r="O494" i="4"/>
  <c r="P494" i="4"/>
  <c r="Q496" i="4"/>
  <c r="Q498" i="4"/>
  <c r="O500" i="4"/>
  <c r="P500" i="4"/>
  <c r="O634" i="4"/>
  <c r="P634" i="4"/>
  <c r="Q678" i="4"/>
  <c r="O694" i="4"/>
  <c r="P694" i="4"/>
  <c r="O747" i="4"/>
  <c r="P747" i="4"/>
  <c r="O819" i="4"/>
  <c r="P819" i="4"/>
  <c r="Q831" i="4"/>
  <c r="O833" i="4"/>
  <c r="P833" i="4"/>
  <c r="Q837" i="4"/>
  <c r="O865" i="4"/>
  <c r="P865" i="4"/>
  <c r="Q937" i="4"/>
  <c r="O942" i="4"/>
  <c r="P942" i="4"/>
  <c r="O969" i="4"/>
  <c r="P969" i="4"/>
  <c r="Q828" i="4"/>
  <c r="O848" i="4"/>
  <c r="P848" i="4"/>
  <c r="Q886" i="4"/>
  <c r="O929" i="4"/>
  <c r="P929" i="4"/>
  <c r="O961" i="4"/>
  <c r="P961" i="4"/>
  <c r="O9" i="4"/>
  <c r="P9" i="4"/>
  <c r="Q202" i="4"/>
  <c r="P334" i="4"/>
  <c r="O334" i="4"/>
  <c r="O396" i="4"/>
  <c r="P396" i="4"/>
  <c r="O398" i="4"/>
  <c r="P398" i="4"/>
  <c r="Q213" i="4"/>
  <c r="Q322" i="4"/>
  <c r="O354" i="4"/>
  <c r="P354" i="4"/>
  <c r="Q370" i="4"/>
  <c r="O386" i="4"/>
  <c r="P386" i="4"/>
  <c r="Q402" i="4"/>
  <c r="Q495" i="4"/>
  <c r="P497" i="4"/>
  <c r="O497" i="4"/>
  <c r="Q499" i="4"/>
  <c r="Q501" i="4"/>
  <c r="Q503" i="4"/>
  <c r="P505" i="4"/>
  <c r="O505" i="4"/>
  <c r="Q507" i="4"/>
  <c r="Q509" i="4"/>
  <c r="O511" i="4"/>
  <c r="P511" i="4"/>
  <c r="Q515" i="4"/>
  <c r="Q517" i="4"/>
  <c r="P521" i="4"/>
  <c r="O521" i="4"/>
  <c r="O525" i="4"/>
  <c r="P525" i="4"/>
  <c r="Q233" i="4"/>
  <c r="Q239" i="4"/>
  <c r="Q260" i="4"/>
  <c r="Q317" i="4"/>
  <c r="O324" i="4"/>
  <c r="P324" i="4"/>
  <c r="O390" i="4"/>
  <c r="P390" i="4"/>
  <c r="P711" i="4"/>
  <c r="O711" i="4"/>
  <c r="Q728" i="4"/>
  <c r="O938" i="4"/>
  <c r="P938" i="4"/>
  <c r="Q54" i="4"/>
  <c r="Q62" i="4"/>
  <c r="Q66" i="4"/>
  <c r="Q70" i="4"/>
  <c r="O74" i="4"/>
  <c r="P74" i="4"/>
  <c r="P86" i="4"/>
  <c r="O86" i="4"/>
  <c r="O98" i="4"/>
  <c r="P98" i="4"/>
  <c r="Q102" i="4"/>
  <c r="Q110" i="4"/>
  <c r="O110" i="4"/>
  <c r="P110" i="4"/>
  <c r="Q114" i="4"/>
  <c r="Q137" i="4"/>
  <c r="Q179" i="4"/>
  <c r="O191" i="4"/>
  <c r="P191" i="4"/>
  <c r="O198" i="4"/>
  <c r="P198" i="4"/>
  <c r="O257" i="4"/>
  <c r="P257" i="4"/>
  <c r="P270" i="4"/>
  <c r="O270" i="4"/>
  <c r="Q344" i="4"/>
  <c r="O376" i="4"/>
  <c r="P376" i="4"/>
  <c r="O378" i="4"/>
  <c r="P378" i="4"/>
  <c r="Q414" i="4"/>
  <c r="P550" i="4"/>
  <c r="O550" i="4"/>
  <c r="O552" i="4"/>
  <c r="P552" i="4"/>
  <c r="Q554" i="4"/>
  <c r="O556" i="4"/>
  <c r="P556" i="4"/>
  <c r="Q564" i="4"/>
  <c r="Q568" i="4"/>
  <c r="O572" i="4"/>
  <c r="P572" i="4"/>
  <c r="Q584" i="4"/>
  <c r="O588" i="4"/>
  <c r="P588" i="4"/>
  <c r="Q596" i="4"/>
  <c r="Q600" i="4"/>
  <c r="Q646" i="4"/>
  <c r="Q662" i="4"/>
  <c r="O690" i="4"/>
  <c r="P690" i="4"/>
  <c r="O917" i="4"/>
  <c r="P917" i="4"/>
  <c r="Q917" i="4"/>
  <c r="P877" i="4"/>
  <c r="O877" i="4"/>
  <c r="O882" i="4"/>
  <c r="P882" i="4"/>
  <c r="Q882" i="4"/>
  <c r="Q925" i="4"/>
  <c r="O930" i="4"/>
  <c r="P930" i="4"/>
  <c r="O784" i="4"/>
  <c r="P784" i="4"/>
  <c r="O786" i="4"/>
  <c r="P786" i="4"/>
  <c r="O792" i="4"/>
  <c r="P792" i="4"/>
  <c r="Q798" i="4"/>
  <c r="Q800" i="4"/>
  <c r="O824" i="4"/>
  <c r="P824" i="4"/>
  <c r="O225" i="4"/>
  <c r="P225" i="4"/>
  <c r="Q933" i="4"/>
  <c r="Q254" i="4"/>
  <c r="O256" i="4"/>
  <c r="P256" i="4"/>
  <c r="Q336" i="4"/>
  <c r="Q352" i="4"/>
  <c r="O368" i="4"/>
  <c r="P368" i="4"/>
  <c r="Q400" i="4"/>
  <c r="Q465" i="4"/>
  <c r="Q469" i="4"/>
  <c r="O479" i="4"/>
  <c r="P479" i="4"/>
  <c r="Q481" i="4"/>
  <c r="Q485" i="4"/>
  <c r="Q489" i="4"/>
  <c r="P601" i="4"/>
  <c r="O601" i="4"/>
  <c r="Q885" i="4"/>
  <c r="O922" i="4"/>
  <c r="P922" i="4"/>
  <c r="P924" i="4"/>
  <c r="O924" i="4"/>
  <c r="P184" i="4"/>
  <c r="O184" i="4"/>
  <c r="O192" i="4"/>
  <c r="P192" i="4"/>
  <c r="Q226" i="4"/>
  <c r="Q340" i="4"/>
  <c r="O342" i="4"/>
  <c r="P342" i="4"/>
  <c r="Q406" i="4"/>
  <c r="O55" i="4"/>
  <c r="P55" i="4"/>
  <c r="P59" i="4"/>
  <c r="O59" i="4"/>
  <c r="P67" i="4"/>
  <c r="O67" i="4"/>
  <c r="O71" i="4"/>
  <c r="P71" i="4"/>
  <c r="Q75" i="4"/>
  <c r="O79" i="4"/>
  <c r="P79" i="4"/>
  <c r="P103" i="4"/>
  <c r="O103" i="4"/>
  <c r="O115" i="4"/>
  <c r="P115" i="4"/>
  <c r="P135" i="4"/>
  <c r="O135" i="4"/>
  <c r="Q151" i="4"/>
  <c r="P165" i="4"/>
  <c r="O165" i="4"/>
  <c r="Q167" i="4"/>
  <c r="Q216" i="4"/>
  <c r="O259" i="4"/>
  <c r="P259" i="4"/>
  <c r="P275" i="4"/>
  <c r="O275" i="4"/>
  <c r="O312" i="4"/>
  <c r="P312" i="4"/>
  <c r="Q452" i="4"/>
  <c r="O456" i="4"/>
  <c r="P456" i="4"/>
  <c r="Q460" i="4"/>
  <c r="O464" i="4"/>
  <c r="P464" i="4"/>
  <c r="Q522" i="4"/>
  <c r="Q526" i="4"/>
  <c r="O532" i="4"/>
  <c r="P532" i="4"/>
  <c r="Q538" i="4"/>
  <c r="Q542" i="4"/>
  <c r="O544" i="4"/>
  <c r="P544" i="4"/>
  <c r="O546" i="4"/>
  <c r="P546" i="4"/>
  <c r="Q626" i="4"/>
  <c r="O642" i="4"/>
  <c r="P642" i="4"/>
  <c r="Q658" i="4"/>
  <c r="O674" i="4"/>
  <c r="P674" i="4"/>
  <c r="Q686" i="4"/>
  <c r="O721" i="4"/>
  <c r="P721" i="4"/>
  <c r="Q724" i="4"/>
  <c r="Q739" i="4"/>
  <c r="P845" i="4"/>
  <c r="O845" i="4"/>
  <c r="O857" i="4"/>
  <c r="P857" i="4"/>
  <c r="Q878" i="4"/>
  <c r="Q909" i="4"/>
  <c r="Q914" i="4"/>
  <c r="P916" i="4"/>
  <c r="O916" i="4"/>
  <c r="O780" i="4"/>
  <c r="P780" i="4"/>
  <c r="Q782" i="4"/>
  <c r="O897" i="4"/>
  <c r="P897" i="4"/>
  <c r="Q902" i="4"/>
  <c r="O945" i="4"/>
  <c r="P945" i="4"/>
  <c r="O310" i="4"/>
  <c r="P310" i="4"/>
  <c r="Q176" i="4"/>
  <c r="O25" i="4"/>
  <c r="P25" i="4"/>
  <c r="Q220" i="4"/>
  <c r="Q298" i="4"/>
  <c r="Q14" i="4"/>
  <c r="Q251" i="4"/>
  <c r="O314" i="4"/>
  <c r="P314" i="4"/>
  <c r="Q215" i="4"/>
  <c r="O173" i="4"/>
  <c r="P173" i="4"/>
  <c r="P175" i="4"/>
  <c r="O175" i="4"/>
  <c r="O287" i="4"/>
  <c r="P287" i="4"/>
  <c r="Q231" i="4"/>
  <c r="O264" i="4"/>
  <c r="P264" i="4"/>
  <c r="Q315" i="4"/>
  <c r="O277" i="4"/>
  <c r="P277" i="4"/>
  <c r="Q182" i="4"/>
  <c r="O193" i="4"/>
  <c r="P193" i="4"/>
  <c r="P219" i="4"/>
  <c r="O219" i="4"/>
  <c r="O4" i="4"/>
  <c r="P4" i="4"/>
  <c r="AM9" i="10"/>
  <c r="U9" i="10" s="1"/>
  <c r="AE11" i="10"/>
  <c r="T11" i="10" s="1"/>
  <c r="AC13" i="10"/>
  <c r="AC14" i="10" s="1"/>
  <c r="AC15" i="10" s="1"/>
  <c r="AG12" i="10"/>
  <c r="AH12" i="10" s="1"/>
  <c r="AA13" i="10"/>
  <c r="AG13" i="10" l="1"/>
  <c r="AH13" i="10" s="1"/>
  <c r="AM10" i="10"/>
  <c r="U10" i="10" s="1"/>
  <c r="AE12" i="10"/>
  <c r="T12" i="10" s="1"/>
  <c r="AI12" i="10"/>
  <c r="AJ12" i="10"/>
  <c r="AA14" i="10"/>
  <c r="AI13" i="10" l="1"/>
  <c r="AJ13" i="10"/>
  <c r="U11" i="10"/>
  <c r="AM11" i="10"/>
  <c r="AE13" i="10"/>
  <c r="T13" i="10" s="1"/>
  <c r="AA15" i="10"/>
  <c r="AG14" i="10"/>
  <c r="AH14" i="10" s="1"/>
  <c r="AG15" i="10" l="1"/>
  <c r="AH15" i="10" s="1"/>
  <c r="AM12" i="10"/>
  <c r="U12" i="10" s="1"/>
  <c r="AE14" i="10"/>
  <c r="T14" i="10" s="1"/>
  <c r="AJ14" i="10"/>
  <c r="AI14" i="10"/>
  <c r="AA16" i="10"/>
  <c r="AC16" i="10"/>
  <c r="AG16" i="10" s="1"/>
  <c r="AH16" i="10" s="1"/>
  <c r="AM13" i="10" l="1"/>
  <c r="U13" i="10" s="1"/>
  <c r="AE15" i="10"/>
  <c r="T15" i="10" s="1"/>
  <c r="AJ16" i="10"/>
  <c r="AI16" i="10"/>
  <c r="AI15" i="10"/>
  <c r="AJ15" i="10"/>
  <c r="AC17" i="10"/>
  <c r="AA17" i="10"/>
  <c r="AM14" i="10" l="1"/>
  <c r="U14" i="10" s="1"/>
  <c r="AE16" i="10"/>
  <c r="T16" i="10" s="1"/>
  <c r="U16" i="10" s="1"/>
  <c r="AC18" i="10"/>
  <c r="AG18" i="10" s="1"/>
  <c r="AH18" i="10" s="1"/>
  <c r="AA18" i="10"/>
  <c r="AG17" i="10"/>
  <c r="AH17" i="10" s="1"/>
  <c r="AE17" i="10" l="1"/>
  <c r="T17" i="10" s="1"/>
  <c r="AM15" i="10"/>
  <c r="U15" i="10" s="1"/>
  <c r="AJ18" i="10"/>
  <c r="AI18" i="10"/>
  <c r="AC19" i="10"/>
  <c r="AG19" i="10" s="1"/>
  <c r="AA19" i="10"/>
  <c r="AJ17" i="10"/>
  <c r="AI17" i="10"/>
  <c r="AM16" i="10" l="1"/>
  <c r="AE18" i="10"/>
  <c r="T18" i="10" s="1"/>
  <c r="U17" i="10"/>
  <c r="AA20" i="10"/>
  <c r="AC20" i="10"/>
  <c r="AG20" i="10" s="1"/>
  <c r="AH20" i="10" s="1"/>
  <c r="AH19" i="10"/>
  <c r="AE19" i="10" l="1"/>
  <c r="T19" i="10" s="1"/>
  <c r="AM17" i="10"/>
  <c r="AI20" i="10"/>
  <c r="AJ20" i="10"/>
  <c r="AI19" i="10"/>
  <c r="AJ19" i="10"/>
  <c r="AC21" i="10"/>
  <c r="AG21" i="10" s="1"/>
  <c r="AA21" i="10"/>
  <c r="U18" i="10" l="1"/>
  <c r="AM18" i="10"/>
  <c r="AE20" i="10"/>
  <c r="T20" i="10" s="1"/>
  <c r="U19" i="10"/>
  <c r="AA22" i="10"/>
  <c r="AC22" i="10"/>
  <c r="AG22" i="10" s="1"/>
  <c r="AH21" i="10"/>
  <c r="AE21" i="10" l="1"/>
  <c r="T21" i="10" s="1"/>
  <c r="AM19" i="10"/>
  <c r="AJ21" i="10"/>
  <c r="AI21" i="10"/>
  <c r="AC23" i="10"/>
  <c r="AG23" i="10" s="1"/>
  <c r="AA23" i="10"/>
  <c r="AH22" i="10"/>
  <c r="AM20" i="10" l="1"/>
  <c r="U20" i="10"/>
  <c r="AE22" i="10"/>
  <c r="T22" i="10" s="1"/>
  <c r="U21" i="10"/>
  <c r="AJ22" i="10"/>
  <c r="AI22" i="10"/>
  <c r="AA24" i="10"/>
  <c r="AC24" i="10"/>
  <c r="AH23" i="10"/>
  <c r="AE23" i="10" l="1"/>
  <c r="T23" i="10" s="1"/>
  <c r="AM21" i="10"/>
  <c r="AC25" i="10"/>
  <c r="AG25" i="10" s="1"/>
  <c r="AA25" i="10"/>
  <c r="AJ23" i="10"/>
  <c r="AI23" i="10"/>
  <c r="AG24" i="10"/>
  <c r="AH24" i="10" s="1"/>
  <c r="AM22" i="10" l="1"/>
  <c r="U22" i="10"/>
  <c r="AE24" i="10"/>
  <c r="T24" i="10" s="1"/>
  <c r="U23" i="10"/>
  <c r="AI24" i="10"/>
  <c r="AJ24" i="10"/>
  <c r="AC26" i="10"/>
  <c r="AG26" i="10" s="1"/>
  <c r="AA26" i="10"/>
  <c r="AH25" i="10"/>
  <c r="AH26" i="10" l="1"/>
  <c r="AI26" i="10" s="1"/>
  <c r="AE25" i="10"/>
  <c r="T25" i="10" s="1"/>
  <c r="AM23" i="10"/>
  <c r="AA27" i="10"/>
  <c r="AI25" i="10"/>
  <c r="AJ25" i="10"/>
  <c r="AC27" i="10"/>
  <c r="AG27" i="10" s="1"/>
  <c r="AJ26" i="10" l="1"/>
  <c r="AH27" i="10"/>
  <c r="AI27" i="10" s="1"/>
  <c r="U24" i="10"/>
  <c r="AM24" i="10"/>
  <c r="AE26" i="10"/>
  <c r="T26" i="10" s="1"/>
  <c r="AC28" i="10"/>
  <c r="AA28" i="10"/>
  <c r="AJ27" i="10" l="1"/>
  <c r="AG28" i="10"/>
  <c r="AH28" i="10" s="1"/>
  <c r="AE27" i="10"/>
  <c r="T27" i="10" s="1"/>
  <c r="U25" i="10"/>
  <c r="AM25" i="10"/>
  <c r="AA29" i="10"/>
  <c r="AC29" i="10"/>
  <c r="AI28" i="10" l="1"/>
  <c r="AJ28" i="10"/>
  <c r="U26" i="10"/>
  <c r="AM26" i="10"/>
  <c r="AE28" i="10"/>
  <c r="T28" i="10" s="1"/>
  <c r="AC30" i="10"/>
  <c r="AG29" i="10"/>
  <c r="AH29" i="10" s="1"/>
  <c r="AA30" i="10"/>
  <c r="AM27" i="10" l="1"/>
  <c r="U27" i="10"/>
  <c r="AE29" i="10"/>
  <c r="T29" i="10" s="1"/>
  <c r="AA31" i="10"/>
  <c r="AJ29" i="10"/>
  <c r="AI29" i="10"/>
  <c r="AC31" i="10"/>
  <c r="AG31" i="10" s="1"/>
  <c r="AG30" i="10"/>
  <c r="AH30" i="10" s="1"/>
  <c r="U28" i="10" l="1"/>
  <c r="AM28" i="10"/>
  <c r="AH31" i="10"/>
  <c r="AJ31" i="10" s="1"/>
  <c r="AE30" i="10"/>
  <c r="T30" i="10" s="1"/>
  <c r="U29" i="10"/>
  <c r="AJ30" i="10"/>
  <c r="AI30" i="10"/>
  <c r="AA32" i="10"/>
  <c r="AC32" i="10"/>
  <c r="AG32" i="10" s="1"/>
  <c r="AI31" i="10" l="1"/>
  <c r="AM29" i="10"/>
  <c r="AH32" i="10"/>
  <c r="AI32" i="10" s="1"/>
  <c r="AE31" i="10"/>
  <c r="T31" i="10" s="1"/>
  <c r="U30" i="10"/>
  <c r="AC33" i="10"/>
  <c r="AG33" i="10" s="1"/>
  <c r="AA33" i="10"/>
  <c r="AM30" i="10" l="1"/>
  <c r="AJ32" i="10"/>
  <c r="AE32" i="10"/>
  <c r="T32" i="10" s="1"/>
  <c r="AC34" i="10"/>
  <c r="AG34" i="10" s="1"/>
  <c r="AA34" i="10"/>
  <c r="AH33" i="10"/>
  <c r="AH34" i="10" l="1"/>
  <c r="AI34" i="10" s="1"/>
  <c r="AM31" i="10"/>
  <c r="U31" i="10"/>
  <c r="AE33" i="10"/>
  <c r="T33" i="10" s="1"/>
  <c r="AJ33" i="10"/>
  <c r="AI33" i="10"/>
  <c r="AA35" i="10"/>
  <c r="AC35" i="10"/>
  <c r="AJ34" i="10" l="1"/>
  <c r="AE34" i="10"/>
  <c r="T34" i="10" s="1"/>
  <c r="AM32" i="10"/>
  <c r="U32" i="10"/>
  <c r="AC36" i="10"/>
  <c r="AA36" i="10"/>
  <c r="AG35" i="10"/>
  <c r="AH35" i="10" s="1"/>
  <c r="AM33" i="10" l="1"/>
  <c r="U33" i="10"/>
  <c r="AE35" i="10"/>
  <c r="T35" i="10" s="1"/>
  <c r="AA37" i="10"/>
  <c r="AJ35" i="10"/>
  <c r="AI35" i="10"/>
  <c r="AC37" i="10"/>
  <c r="AG37" i="10" s="1"/>
  <c r="AG36" i="10"/>
  <c r="AH36" i="10" s="1"/>
  <c r="U34" i="10" l="1"/>
  <c r="AM34" i="10"/>
  <c r="AE36" i="10"/>
  <c r="T36" i="10" s="1"/>
  <c r="U35" i="10"/>
  <c r="AI36" i="10"/>
  <c r="AJ36" i="10"/>
  <c r="AC38" i="10"/>
  <c r="AH37" i="10"/>
  <c r="AA38" i="10"/>
  <c r="AE37" i="10" l="1"/>
  <c r="T37" i="10" s="1"/>
  <c r="U36" i="10"/>
  <c r="AM35" i="10"/>
  <c r="AC39" i="10"/>
  <c r="AJ37" i="10"/>
  <c r="AI37" i="10"/>
  <c r="AA39" i="10"/>
  <c r="AG38" i="10"/>
  <c r="AH38" i="10" s="1"/>
  <c r="AE38" i="10" l="1"/>
  <c r="T38" i="10" s="1"/>
  <c r="U37" i="10"/>
  <c r="AM36" i="10"/>
  <c r="AJ38" i="10"/>
  <c r="AI38" i="10"/>
  <c r="AA40" i="10"/>
  <c r="AC40" i="10"/>
  <c r="AG39" i="10"/>
  <c r="AH39" i="10" s="1"/>
  <c r="AE39" i="10" l="1"/>
  <c r="T39" i="10" s="1"/>
  <c r="AM37" i="10"/>
  <c r="AJ39" i="10"/>
  <c r="AI39" i="10"/>
  <c r="AC41" i="10"/>
  <c r="AG41" i="10" s="1"/>
  <c r="AG40" i="10"/>
  <c r="AH40" i="10" s="1"/>
  <c r="AA41" i="10"/>
  <c r="U38" i="10" l="1"/>
  <c r="AM38" i="10"/>
  <c r="AE40" i="10"/>
  <c r="T40" i="10" s="1"/>
  <c r="AI40" i="10"/>
  <c r="AJ40" i="10"/>
  <c r="AC42" i="10"/>
  <c r="AA42" i="10"/>
  <c r="AH41" i="10"/>
  <c r="AM39" i="10" l="1"/>
  <c r="U39" i="10"/>
  <c r="AE41" i="10"/>
  <c r="T41" i="10" s="1"/>
  <c r="U40" i="10"/>
  <c r="AA43" i="10"/>
  <c r="AC43" i="10"/>
  <c r="AG43" i="10" s="1"/>
  <c r="AI41" i="10"/>
  <c r="AJ41" i="10"/>
  <c r="AG42" i="10"/>
  <c r="AH42" i="10" s="1"/>
  <c r="AE42" i="10" l="1"/>
  <c r="T42" i="10" s="1"/>
  <c r="AM40" i="10"/>
  <c r="AC44" i="10"/>
  <c r="AJ42" i="10"/>
  <c r="AI42" i="10"/>
  <c r="AH43" i="10"/>
  <c r="AA44" i="10"/>
  <c r="U41" i="10" l="1"/>
  <c r="AM41" i="10"/>
  <c r="AE43" i="10"/>
  <c r="T43" i="10" s="1"/>
  <c r="U42" i="10"/>
  <c r="AI43" i="10"/>
  <c r="AJ43" i="10"/>
  <c r="AC45" i="10"/>
  <c r="AG45" i="10" s="1"/>
  <c r="AA45" i="10"/>
  <c r="AG44" i="10"/>
  <c r="AH44" i="10" s="1"/>
  <c r="AH45" i="10" l="1"/>
  <c r="AI45" i="10" s="1"/>
  <c r="AM42" i="10"/>
  <c r="AE44" i="10"/>
  <c r="T44" i="10" s="1"/>
  <c r="U43" i="10"/>
  <c r="AI44" i="10"/>
  <c r="AJ44" i="10"/>
  <c r="AA46" i="10"/>
  <c r="AC46" i="10"/>
  <c r="AJ45" i="10" l="1"/>
  <c r="AM43" i="10"/>
  <c r="AG46" i="10"/>
  <c r="AH46" i="10" s="1"/>
  <c r="AE45" i="10"/>
  <c r="T45" i="10" s="1"/>
  <c r="AA47" i="10"/>
  <c r="AC47" i="10"/>
  <c r="AG47" i="10" s="1"/>
  <c r="AI46" i="10" l="1"/>
  <c r="AJ46" i="10"/>
  <c r="AE46" i="10"/>
  <c r="T46" i="10" s="1"/>
  <c r="U44" i="10"/>
  <c r="AM44" i="10"/>
  <c r="AC48" i="10"/>
  <c r="AH47" i="10"/>
  <c r="AA48" i="10"/>
  <c r="U45" i="10" l="1"/>
  <c r="AM45" i="10"/>
  <c r="AE47" i="10"/>
  <c r="T47" i="10" s="1"/>
  <c r="AC49" i="10"/>
  <c r="AG49" i="10" s="1"/>
  <c r="AH49" i="10" s="1"/>
  <c r="AI47" i="10"/>
  <c r="AJ47" i="10"/>
  <c r="AA49" i="10"/>
  <c r="AG48" i="10"/>
  <c r="AH48" i="10" s="1"/>
  <c r="U46" i="10" l="1"/>
  <c r="AM46" i="10"/>
  <c r="AE48" i="10"/>
  <c r="T48" i="10" s="1"/>
  <c r="U47" i="10"/>
  <c r="AJ49" i="10"/>
  <c r="AI49" i="10"/>
  <c r="AA50" i="10"/>
  <c r="AI48" i="10"/>
  <c r="AJ48" i="10"/>
  <c r="AC50" i="10"/>
  <c r="AG50" i="10" s="1"/>
  <c r="AH50" i="10" s="1"/>
  <c r="AM47" i="10" l="1"/>
  <c r="AE49" i="10"/>
  <c r="T49" i="10" s="1"/>
  <c r="AI50" i="10"/>
  <c r="AJ50" i="10"/>
  <c r="AA51" i="10"/>
  <c r="AC51" i="10"/>
  <c r="AG51" i="10" s="1"/>
  <c r="AM48" i="10" l="1"/>
  <c r="U48" i="10"/>
  <c r="AE50" i="10"/>
  <c r="T50" i="10" s="1"/>
  <c r="AC52" i="10"/>
  <c r="AH51" i="10"/>
  <c r="AA52" i="10"/>
  <c r="U49" i="10" l="1"/>
  <c r="AM49" i="10"/>
  <c r="AE51" i="10"/>
  <c r="T51" i="10" s="1"/>
  <c r="AA53" i="10"/>
  <c r="AJ51" i="10"/>
  <c r="AI51" i="10"/>
  <c r="AC53" i="10"/>
  <c r="AG52" i="10"/>
  <c r="AH52" i="10" s="1"/>
  <c r="U50" i="10" l="1"/>
  <c r="AM50" i="10"/>
  <c r="AE52" i="10"/>
  <c r="T52" i="10" s="1"/>
  <c r="U51" i="10"/>
  <c r="AA54" i="10"/>
  <c r="AC54" i="10"/>
  <c r="AG54" i="10" s="1"/>
  <c r="AI52" i="10"/>
  <c r="AJ52" i="10"/>
  <c r="AG53" i="10"/>
  <c r="AH53" i="10" s="1"/>
  <c r="AM51" i="10" l="1"/>
  <c r="AE53" i="10"/>
  <c r="T53" i="10" s="1"/>
  <c r="U52" i="10"/>
  <c r="AI53" i="10"/>
  <c r="AJ53" i="10"/>
  <c r="AH54" i="10"/>
  <c r="AC55" i="10"/>
  <c r="AG55" i="10" s="1"/>
  <c r="AH55" i="10" s="1"/>
  <c r="AA55" i="10"/>
  <c r="AE54" i="10" l="1"/>
  <c r="T54" i="10" s="1"/>
  <c r="U53" i="10"/>
  <c r="AM52" i="10"/>
  <c r="AI55" i="10"/>
  <c r="AJ55" i="10"/>
  <c r="AA56" i="10"/>
  <c r="AI54" i="10"/>
  <c r="AJ54" i="10"/>
  <c r="AC56" i="10"/>
  <c r="AE55" i="10" l="1"/>
  <c r="T55" i="10" s="1"/>
  <c r="U54" i="10"/>
  <c r="AM53" i="10"/>
  <c r="AC57" i="10"/>
  <c r="AG57" i="10" s="1"/>
  <c r="AH57" i="10" s="1"/>
  <c r="AA57" i="10"/>
  <c r="AG56" i="10"/>
  <c r="AH56" i="10" s="1"/>
  <c r="AM54" i="10" l="1"/>
  <c r="AE56" i="10"/>
  <c r="T56" i="10" s="1"/>
  <c r="AI57" i="10"/>
  <c r="AJ57" i="10"/>
  <c r="AI56" i="10"/>
  <c r="AJ56" i="10"/>
  <c r="U55" i="10" l="1"/>
  <c r="AM55" i="10"/>
  <c r="AE57" i="10"/>
  <c r="T57" i="10" s="1"/>
  <c r="U56" i="10"/>
  <c r="U57" i="10" l="1"/>
  <c r="AM57" i="10"/>
  <c r="AM56" i="10"/>
</calcChain>
</file>

<file path=xl/sharedStrings.xml><?xml version="1.0" encoding="utf-8"?>
<sst xmlns="http://schemas.openxmlformats.org/spreadsheetml/2006/main" count="419" uniqueCount="303">
  <si>
    <t>2000年女児身長偏差計算表</t>
    <phoneticPr fontId="1"/>
  </si>
  <si>
    <t>2000年男児身長偏差計算表</t>
    <phoneticPr fontId="1"/>
  </si>
  <si>
    <t>mean</t>
    <phoneticPr fontId="1"/>
  </si>
  <si>
    <t>SD</t>
    <phoneticPr fontId="1"/>
  </si>
  <si>
    <t>y=ax+b</t>
  </si>
  <si>
    <t>male</t>
  </si>
  <si>
    <t>y=2.06*10^-3X^2-0.1166X+6.5273</t>
    <phoneticPr fontId="1"/>
  </si>
  <si>
    <t>101-140</t>
    <phoneticPr fontId="1"/>
  </si>
  <si>
    <t>140-149</t>
    <phoneticPr fontId="1"/>
  </si>
  <si>
    <t>149-184</t>
    <phoneticPr fontId="1"/>
  </si>
  <si>
    <t>149-171</t>
    <phoneticPr fontId="1"/>
  </si>
  <si>
    <t>female</t>
  </si>
  <si>
    <t>y=2.49*10^-3-0.1858x+9.0360</t>
    <phoneticPr fontId="1"/>
  </si>
  <si>
    <t>伊藤式</t>
    <rPh sb="0" eb="2">
      <t>イトウ</t>
    </rPh>
    <rPh sb="2" eb="3">
      <t>シキ</t>
    </rPh>
    <phoneticPr fontId="1"/>
  </si>
  <si>
    <t>村田式</t>
    <rPh sb="0" eb="2">
      <t>ムラタ</t>
    </rPh>
    <rPh sb="2" eb="3">
      <t>シキ</t>
    </rPh>
    <phoneticPr fontId="1"/>
  </si>
  <si>
    <t>L</t>
    <phoneticPr fontId="1"/>
  </si>
  <si>
    <t>male</t>
    <phoneticPr fontId="1"/>
  </si>
  <si>
    <t>female</t>
    <phoneticPr fontId="1"/>
  </si>
  <si>
    <t>S</t>
    <phoneticPr fontId="1"/>
  </si>
  <si>
    <t>M</t>
    <phoneticPr fontId="1"/>
  </si>
  <si>
    <t>No</t>
    <phoneticPr fontId="1"/>
  </si>
  <si>
    <t>名前</t>
    <rPh sb="0" eb="2">
      <t>ナマエ</t>
    </rPh>
    <phoneticPr fontId="1"/>
  </si>
  <si>
    <t>BMI</t>
    <phoneticPr fontId="1"/>
  </si>
  <si>
    <t>BMI-SDS</t>
    <phoneticPr fontId="1"/>
  </si>
  <si>
    <t>年</t>
    <rPh sb="0" eb="1">
      <t>ネン</t>
    </rPh>
    <phoneticPr fontId="1"/>
  </si>
  <si>
    <t>月</t>
    <rPh sb="0" eb="1">
      <t>ツキ</t>
    </rPh>
    <phoneticPr fontId="1"/>
  </si>
  <si>
    <t>L</t>
    <phoneticPr fontId="1"/>
  </si>
  <si>
    <t>M</t>
    <phoneticPr fontId="1"/>
  </si>
  <si>
    <t>S</t>
    <phoneticPr fontId="1"/>
  </si>
  <si>
    <t>月齢</t>
    <rPh sb="0" eb="2">
      <t>ゲツレイ</t>
    </rPh>
    <phoneticPr fontId="1"/>
  </si>
  <si>
    <t>身長SDS</t>
    <rPh sb="0" eb="2">
      <t>シンチョウ</t>
    </rPh>
    <phoneticPr fontId="1"/>
  </si>
  <si>
    <t>幼児</t>
    <rPh sb="0" eb="2">
      <t>ヨウジ</t>
    </rPh>
    <phoneticPr fontId="1"/>
  </si>
  <si>
    <t>男性</t>
    <rPh sb="0" eb="2">
      <t>ダンセイ</t>
    </rPh>
    <phoneticPr fontId="1"/>
  </si>
  <si>
    <t>学童</t>
    <rPh sb="0" eb="2">
      <t>ガクドウ</t>
    </rPh>
    <phoneticPr fontId="1"/>
  </si>
  <si>
    <t>女性</t>
    <rPh sb="0" eb="2">
      <t>ジョセイ</t>
    </rPh>
    <phoneticPr fontId="1"/>
  </si>
  <si>
    <t>体重
(kg)</t>
    <rPh sb="0" eb="2">
      <t>タイジュウ</t>
    </rPh>
    <phoneticPr fontId="1"/>
  </si>
  <si>
    <t>身長
(cm)</t>
    <rPh sb="0" eb="2">
      <t>シンチョウ</t>
    </rPh>
    <phoneticPr fontId="1"/>
  </si>
  <si>
    <t>検査日
(YY/MM/DD)</t>
    <rPh sb="0" eb="2">
      <t>ケンサ</t>
    </rPh>
    <rPh sb="2" eb="3">
      <t>ヒ</t>
    </rPh>
    <phoneticPr fontId="1"/>
  </si>
  <si>
    <t>生年月日
(YY/MM/DD)</t>
    <rPh sb="0" eb="2">
      <t>セイネン</t>
    </rPh>
    <rPh sb="2" eb="4">
      <t>ガッピ</t>
    </rPh>
    <phoneticPr fontId="1"/>
  </si>
  <si>
    <t>性別
(M,F)</t>
    <rPh sb="0" eb="2">
      <t>セイベツ</t>
    </rPh>
    <phoneticPr fontId="1"/>
  </si>
  <si>
    <t>0-78</t>
    <phoneticPr fontId="1"/>
  </si>
  <si>
    <t>78-150</t>
    <phoneticPr fontId="1"/>
  </si>
  <si>
    <t>150-210</t>
    <phoneticPr fontId="1"/>
  </si>
  <si>
    <t>0-69</t>
    <phoneticPr fontId="1"/>
  </si>
  <si>
    <t>69-150</t>
    <phoneticPr fontId="1"/>
  </si>
  <si>
    <t>0-90</t>
    <phoneticPr fontId="1"/>
  </si>
  <si>
    <t>90-210</t>
    <phoneticPr fontId="1"/>
  </si>
  <si>
    <t>0-2.5</t>
    <phoneticPr fontId="1"/>
  </si>
  <si>
    <t>2.5-9.5</t>
    <phoneticPr fontId="1"/>
  </si>
  <si>
    <t>9.5-26.75</t>
    <phoneticPr fontId="1"/>
  </si>
  <si>
    <t>26.75-90</t>
    <phoneticPr fontId="1"/>
  </si>
  <si>
    <t>90-150</t>
    <phoneticPr fontId="1"/>
  </si>
  <si>
    <t>肥満度（性別年齢別身長別標準体重による）（％）</t>
    <rPh sb="0" eb="3">
      <t>ヒマンド</t>
    </rPh>
    <rPh sb="4" eb="6">
      <t>セイベツ</t>
    </rPh>
    <rPh sb="6" eb="8">
      <t>ネンレイ</t>
    </rPh>
    <rPh sb="8" eb="9">
      <t>ベツ</t>
    </rPh>
    <rPh sb="9" eb="11">
      <t>シンチョウ</t>
    </rPh>
    <rPh sb="11" eb="12">
      <t>ベツ</t>
    </rPh>
    <rPh sb="12" eb="14">
      <t>ヒョウジュン</t>
    </rPh>
    <rPh sb="14" eb="16">
      <t>タイジュウ</t>
    </rPh>
    <phoneticPr fontId="1"/>
  </si>
  <si>
    <t>肥満度（性別身長別標準体重による）（％）</t>
    <rPh sb="0" eb="3">
      <t>ヒマンド</t>
    </rPh>
    <rPh sb="4" eb="6">
      <t>セイベツ</t>
    </rPh>
    <rPh sb="6" eb="8">
      <t>シンチョウ</t>
    </rPh>
    <rPh sb="8" eb="9">
      <t>ベツ</t>
    </rPh>
    <rPh sb="9" eb="11">
      <t>ヒョウジュン</t>
    </rPh>
    <rPh sb="11" eb="13">
      <t>タイジュウ</t>
    </rPh>
    <phoneticPr fontId="1"/>
  </si>
  <si>
    <t>年齢</t>
    <rPh sb="0" eb="2">
      <t>ネンレイ</t>
    </rPh>
    <phoneticPr fontId="1"/>
  </si>
  <si>
    <t>幼児期標準体重</t>
    <rPh sb="0" eb="3">
      <t>ヨウジキ</t>
    </rPh>
    <rPh sb="3" eb="5">
      <t>ヒョウジュン</t>
    </rPh>
    <rPh sb="5" eb="7">
      <t>タイジュウ</t>
    </rPh>
    <phoneticPr fontId="1"/>
  </si>
  <si>
    <t>学童期標準体重</t>
    <rPh sb="0" eb="2">
      <t>ガクドウ</t>
    </rPh>
    <rPh sb="2" eb="3">
      <t>キ</t>
    </rPh>
    <rPh sb="3" eb="5">
      <t>ヒョウジュン</t>
    </rPh>
    <rPh sb="5" eb="7">
      <t>タイジュウ</t>
    </rPh>
    <phoneticPr fontId="1"/>
  </si>
  <si>
    <t>学童期</t>
    <rPh sb="0" eb="3">
      <t>ガクドウキ</t>
    </rPh>
    <phoneticPr fontId="1"/>
  </si>
  <si>
    <t>幼児期</t>
    <rPh sb="0" eb="3">
      <t>ヨウジキ</t>
    </rPh>
    <phoneticPr fontId="1"/>
  </si>
  <si>
    <t>年齢
(十進法)</t>
    <rPh sb="0" eb="2">
      <t>ネンレイ</t>
    </rPh>
    <rPh sb="4" eb="7">
      <t>ジュッシンホウ</t>
    </rPh>
    <phoneticPr fontId="1"/>
  </si>
  <si>
    <t>体格指数計算ファイル</t>
    <rPh sb="0" eb="2">
      <t>タイカク</t>
    </rPh>
    <rPh sb="2" eb="4">
      <t>シスウ</t>
    </rPh>
    <rPh sb="4" eb="6">
      <t>ケイサン</t>
    </rPh>
    <phoneticPr fontId="1"/>
  </si>
  <si>
    <t>使い方</t>
    <rPh sb="0" eb="1">
      <t>ツカ</t>
    </rPh>
    <rPh sb="2" eb="3">
      <t>カタ</t>
    </rPh>
    <phoneticPr fontId="1"/>
  </si>
  <si>
    <t>http://www.auxology.jp/</t>
    <phoneticPr fontId="1"/>
  </si>
  <si>
    <t>入力項目は「No」、「名前」、「性別」、「生年月日」、「検査日」、「身長」と「体重」からなります。このうち、体格指数の計算に必須な項目は「性別」、「生年月日」、「検査日」、「身長」と「体重」です。</t>
    <rPh sb="0" eb="2">
      <t>ニュウリョク</t>
    </rPh>
    <rPh sb="2" eb="4">
      <t>コウモク</t>
    </rPh>
    <rPh sb="11" eb="13">
      <t>ナマエ</t>
    </rPh>
    <rPh sb="16" eb="18">
      <t>セイベツ</t>
    </rPh>
    <rPh sb="21" eb="23">
      <t>セイネン</t>
    </rPh>
    <rPh sb="23" eb="25">
      <t>ガッピ</t>
    </rPh>
    <rPh sb="28" eb="31">
      <t>ケンサビ</t>
    </rPh>
    <rPh sb="34" eb="36">
      <t>シンチョウ</t>
    </rPh>
    <rPh sb="39" eb="41">
      <t>タイジュウ</t>
    </rPh>
    <rPh sb="54" eb="56">
      <t>タイカク</t>
    </rPh>
    <rPh sb="56" eb="58">
      <t>シスウ</t>
    </rPh>
    <rPh sb="59" eb="61">
      <t>ケイサン</t>
    </rPh>
    <rPh sb="62" eb="64">
      <t>ヒッス</t>
    </rPh>
    <rPh sb="65" eb="67">
      <t>コウモク</t>
    </rPh>
    <phoneticPr fontId="1"/>
  </si>
  <si>
    <t>入力項目</t>
    <rPh sb="0" eb="2">
      <t>ニュウリョク</t>
    </rPh>
    <rPh sb="2" eb="4">
      <t>コウモク</t>
    </rPh>
    <phoneticPr fontId="1"/>
  </si>
  <si>
    <t>性別</t>
    <rPh sb="0" eb="2">
      <t>セイベツ</t>
    </rPh>
    <phoneticPr fontId="1"/>
  </si>
  <si>
    <t>日付</t>
    <rPh sb="0" eb="2">
      <t>ヒヅケ</t>
    </rPh>
    <phoneticPr fontId="1"/>
  </si>
  <si>
    <t>計測値</t>
    <rPh sb="0" eb="3">
      <t>ケイソクチ</t>
    </rPh>
    <phoneticPr fontId="1"/>
  </si>
  <si>
    <t>「身長」と「体重」はそれぞれ、cm、kgで入力してください。</t>
    <rPh sb="21" eb="23">
      <t>ニュウリョク</t>
    </rPh>
    <phoneticPr fontId="1"/>
  </si>
  <si>
    <t>計算結果</t>
    <rPh sb="0" eb="2">
      <t>ケイサン</t>
    </rPh>
    <rPh sb="2" eb="4">
      <t>ケッカ</t>
    </rPh>
    <phoneticPr fontId="1"/>
  </si>
  <si>
    <t>年齢（十進法）</t>
    <rPh sb="0" eb="2">
      <t>ネンレイ</t>
    </rPh>
    <rPh sb="3" eb="6">
      <t>ジュッシンホウ</t>
    </rPh>
    <phoneticPr fontId="1"/>
  </si>
  <si>
    <t>計算から除外される場合</t>
    <rPh sb="0" eb="2">
      <t>ケイサン</t>
    </rPh>
    <rPh sb="4" eb="6">
      <t>ジョガイ</t>
    </rPh>
    <rPh sb="9" eb="11">
      <t>バアイ</t>
    </rPh>
    <phoneticPr fontId="1"/>
  </si>
  <si>
    <t>年齢では「1歳未満、17歳7か月以上」、身長では「幼児期の身長70cm未満、身長120cm以上」、および「学童期の肥満度（性別身長別標準体重による）では101cm未満、男児は181cm以上、女児は174cm以上」は標準体重を規定する範囲からはずれるため、「*」と表示されます。</t>
    <rPh sb="0" eb="2">
      <t>ネンレイ</t>
    </rPh>
    <rPh sb="6" eb="7">
      <t>サイ</t>
    </rPh>
    <rPh sb="7" eb="9">
      <t>ミマン</t>
    </rPh>
    <rPh sb="12" eb="13">
      <t>サイ</t>
    </rPh>
    <rPh sb="15" eb="16">
      <t>ゲツ</t>
    </rPh>
    <rPh sb="16" eb="18">
      <t>イジョウ</t>
    </rPh>
    <rPh sb="20" eb="22">
      <t>シンチョウ</t>
    </rPh>
    <rPh sb="25" eb="28">
      <t>ヨウジキ</t>
    </rPh>
    <rPh sb="29" eb="31">
      <t>シンチョウ</t>
    </rPh>
    <rPh sb="35" eb="37">
      <t>ミマン</t>
    </rPh>
    <rPh sb="38" eb="40">
      <t>シンチョウ</t>
    </rPh>
    <rPh sb="45" eb="47">
      <t>イジョウ</t>
    </rPh>
    <rPh sb="53" eb="56">
      <t>ガクドウキ</t>
    </rPh>
    <rPh sb="57" eb="60">
      <t>ヒマンド</t>
    </rPh>
    <rPh sb="61" eb="63">
      <t>セイベツ</t>
    </rPh>
    <rPh sb="63" eb="66">
      <t>シンチョウベツ</t>
    </rPh>
    <rPh sb="66" eb="70">
      <t>ヒョウジュンタイジュウ</t>
    </rPh>
    <rPh sb="81" eb="83">
      <t>ミマン</t>
    </rPh>
    <rPh sb="84" eb="86">
      <t>ダンジ</t>
    </rPh>
    <rPh sb="92" eb="94">
      <t>イジョウ</t>
    </rPh>
    <rPh sb="95" eb="97">
      <t>ジョジ</t>
    </rPh>
    <rPh sb="103" eb="105">
      <t>イジョウ</t>
    </rPh>
    <rPh sb="107" eb="111">
      <t>ヒョウジュンタイジュウ</t>
    </rPh>
    <rPh sb="112" eb="114">
      <t>キテイ</t>
    </rPh>
    <rPh sb="116" eb="118">
      <t>ハンイ</t>
    </rPh>
    <rPh sb="131" eb="133">
      <t>ヒョウジ</t>
    </rPh>
    <phoneticPr fontId="1"/>
  </si>
  <si>
    <t>肥満度</t>
    <rPh sb="0" eb="3">
      <t>ヒマンド</t>
    </rPh>
    <phoneticPr fontId="1"/>
  </si>
  <si>
    <t>年齢では「17歳7か月以上」で「*」と表示されます。</t>
    <rPh sb="0" eb="2">
      <t>ネンレイ</t>
    </rPh>
    <rPh sb="7" eb="8">
      <t>サイ</t>
    </rPh>
    <rPh sb="10" eb="11">
      <t>ゲツ</t>
    </rPh>
    <rPh sb="11" eb="13">
      <t>イジョウ</t>
    </rPh>
    <rPh sb="19" eb="21">
      <t>ヒョウジ</t>
    </rPh>
    <phoneticPr fontId="1"/>
  </si>
  <si>
    <t>計算結果のみを他のシート、あるいはファイルにコピーしたい場合</t>
    <rPh sb="0" eb="2">
      <t>ケイサン</t>
    </rPh>
    <rPh sb="2" eb="4">
      <t>ケッカ</t>
    </rPh>
    <rPh sb="7" eb="8">
      <t>タ</t>
    </rPh>
    <rPh sb="28" eb="30">
      <t>バアイ</t>
    </rPh>
    <phoneticPr fontId="1"/>
  </si>
  <si>
    <t>コピーしたい範囲を指定してください。
ペースとしたい場所にカーソルを移動させ、「貼り付け」－「形式を選択して貼り付け」で「値」を選択してから、「OK」してください。</t>
    <rPh sb="6" eb="8">
      <t>ハンイ</t>
    </rPh>
    <rPh sb="9" eb="11">
      <t>シテイ</t>
    </rPh>
    <rPh sb="26" eb="28">
      <t>バショ</t>
    </rPh>
    <rPh sb="34" eb="36">
      <t>イドウ</t>
    </rPh>
    <rPh sb="40" eb="41">
      <t>ハ</t>
    </rPh>
    <rPh sb="42" eb="43">
      <t>ツ</t>
    </rPh>
    <rPh sb="47" eb="49">
      <t>ケイシキ</t>
    </rPh>
    <rPh sb="50" eb="52">
      <t>センタク</t>
    </rPh>
    <rPh sb="54" eb="55">
      <t>ハ</t>
    </rPh>
    <rPh sb="56" eb="57">
      <t>ツ</t>
    </rPh>
    <rPh sb="61" eb="62">
      <t>アタイ</t>
    </rPh>
    <rPh sb="64" eb="66">
      <t>センタク</t>
    </rPh>
    <phoneticPr fontId="1"/>
  </si>
  <si>
    <t>シートの構成などを変更したい場合</t>
    <rPh sb="4" eb="6">
      <t>コウセイ</t>
    </rPh>
    <rPh sb="9" eb="11">
      <t>ヘンコウ</t>
    </rPh>
    <rPh sb="14" eb="16">
      <t>バアイ</t>
    </rPh>
    <phoneticPr fontId="1"/>
  </si>
  <si>
    <t>問い合わせ窓口</t>
    <rPh sb="0" eb="1">
      <t>ト</t>
    </rPh>
    <rPh sb="2" eb="3">
      <t>ア</t>
    </rPh>
    <rPh sb="5" eb="7">
      <t>マドグチ</t>
    </rPh>
    <phoneticPr fontId="1"/>
  </si>
  <si>
    <t>ファイルのversionの確認</t>
    <rPh sb="13" eb="15">
      <t>カクニン</t>
    </rPh>
    <phoneticPr fontId="1"/>
  </si>
  <si>
    <t>著作権</t>
    <rPh sb="0" eb="3">
      <t>チョサクケン</t>
    </rPh>
    <phoneticPr fontId="1"/>
  </si>
  <si>
    <t>日本成長学会雑誌 17(2):84-99,2011</t>
  </si>
  <si>
    <t>本ファイルの著作権は日本小児内分泌学会と日本成長学会にあります。</t>
    <rPh sb="0" eb="1">
      <t>ホン</t>
    </rPh>
    <rPh sb="6" eb="9">
      <t>チョサクケン</t>
    </rPh>
    <phoneticPr fontId="1"/>
  </si>
  <si>
    <t>本ファイルは学会の責任で制作しておりますので、改変して再配布することは禁止します。また改変を防ぐためにシートやブックにはパスワードをかけて保護しています。変更を希望される場合には「問い合わせ窓口」にご連絡ください。</t>
    <rPh sb="0" eb="1">
      <t>ホン</t>
    </rPh>
    <rPh sb="6" eb="8">
      <t>ガッカイ</t>
    </rPh>
    <rPh sb="9" eb="11">
      <t>セキニン</t>
    </rPh>
    <rPh sb="12" eb="14">
      <t>セイサク</t>
    </rPh>
    <rPh sb="23" eb="25">
      <t>カイヘン</t>
    </rPh>
    <rPh sb="27" eb="30">
      <t>サイハイフ</t>
    </rPh>
    <rPh sb="35" eb="37">
      <t>キンシ</t>
    </rPh>
    <rPh sb="43" eb="45">
      <t>カイヘン</t>
    </rPh>
    <rPh sb="46" eb="47">
      <t>フセ</t>
    </rPh>
    <rPh sb="69" eb="71">
      <t>ホゴ</t>
    </rPh>
    <rPh sb="77" eb="79">
      <t>ヘンコウ</t>
    </rPh>
    <rPh sb="80" eb="82">
      <t>キボウ</t>
    </rPh>
    <rPh sb="85" eb="87">
      <t>バアイ</t>
    </rPh>
    <rPh sb="100" eb="102">
      <t>レンラク</t>
    </rPh>
    <phoneticPr fontId="1"/>
  </si>
  <si>
    <t>本ファイルにおいてバグ等が見つかって、ファイルを修正する場合があります。ファイル名と本シート（readme）にはファイルのversionと作成日を記しますので、常にダウンロードされたホームページなどをご確認し、新しいファイルがアップロードされている場合には更新してご使用ください。</t>
    <rPh sb="0" eb="1">
      <t>ホン</t>
    </rPh>
    <rPh sb="11" eb="12">
      <t>トウ</t>
    </rPh>
    <rPh sb="13" eb="14">
      <t>ミ</t>
    </rPh>
    <rPh sb="24" eb="26">
      <t>シュウセイ</t>
    </rPh>
    <rPh sb="28" eb="30">
      <t>バアイ</t>
    </rPh>
    <rPh sb="40" eb="41">
      <t>メイ</t>
    </rPh>
    <rPh sb="42" eb="43">
      <t>ホン</t>
    </rPh>
    <rPh sb="73" eb="74">
      <t>シル</t>
    </rPh>
    <rPh sb="80" eb="81">
      <t>ツネ</t>
    </rPh>
    <rPh sb="101" eb="103">
      <t>カクニン</t>
    </rPh>
    <rPh sb="105" eb="106">
      <t>アタラ</t>
    </rPh>
    <rPh sb="124" eb="126">
      <t>バアイ</t>
    </rPh>
    <rPh sb="128" eb="130">
      <t>コウシン</t>
    </rPh>
    <rPh sb="133" eb="135">
      <t>シヨウ</t>
    </rPh>
    <phoneticPr fontId="1"/>
  </si>
  <si>
    <t>日本小児科学会雑誌115(10):1705-1709,2011</t>
    <phoneticPr fontId="1"/>
  </si>
  <si>
    <t>制作</t>
    <rPh sb="0" eb="2">
      <t>セイサク</t>
    </rPh>
    <phoneticPr fontId="1"/>
  </si>
  <si>
    <t>注意</t>
    <rPh sb="0" eb="2">
      <t>チュウイ</t>
    </rPh>
    <phoneticPr fontId="1"/>
  </si>
  <si>
    <t>仕様が変更されることがあります。ｖersionを確認してお使いください。</t>
    <rPh sb="0" eb="2">
      <t>シヨウ</t>
    </rPh>
    <rPh sb="3" eb="5">
      <t>ヘンコウ</t>
    </rPh>
    <rPh sb="24" eb="26">
      <t>カクニン</t>
    </rPh>
    <rPh sb="29" eb="30">
      <t>ツカ</t>
    </rPh>
    <phoneticPr fontId="1"/>
  </si>
  <si>
    <t>引用</t>
    <rPh sb="0" eb="2">
      <t>インヨウ</t>
    </rPh>
    <phoneticPr fontId="1"/>
  </si>
  <si>
    <t>文献等に引用する場合はそれぞれの投稿規定に従いますが、基本的にはダウンロー</t>
  </si>
  <si>
    <t>ドしたホームページのURLとダウンロードあるいはアクセスした日付を記述してください。</t>
    <phoneticPr fontId="1"/>
  </si>
  <si>
    <t>計算可能な人数</t>
    <rPh sb="0" eb="2">
      <t>ケイサン</t>
    </rPh>
    <rPh sb="2" eb="4">
      <t>カノウ</t>
    </rPh>
    <rPh sb="5" eb="7">
      <t>ニンズウ</t>
    </rPh>
    <phoneticPr fontId="1"/>
  </si>
  <si>
    <t>本ファイルは1000人分のデータ処理に対応します。それよりも多くのデータを処理する場合は個別にご相談に応じます。「問い合わせ窓口」にご連絡ください。</t>
    <rPh sb="0" eb="1">
      <t>ホン</t>
    </rPh>
    <rPh sb="10" eb="11">
      <t>ニン</t>
    </rPh>
    <rPh sb="11" eb="12">
      <t>ブン</t>
    </rPh>
    <rPh sb="16" eb="18">
      <t>ショリ</t>
    </rPh>
    <rPh sb="19" eb="21">
      <t>タイオウ</t>
    </rPh>
    <rPh sb="30" eb="31">
      <t>オオ</t>
    </rPh>
    <rPh sb="37" eb="39">
      <t>ショリ</t>
    </rPh>
    <rPh sb="41" eb="43">
      <t>バアイ</t>
    </rPh>
    <rPh sb="44" eb="46">
      <t>コベツ</t>
    </rPh>
    <rPh sb="48" eb="50">
      <t>ソウダン</t>
    </rPh>
    <rPh sb="51" eb="52">
      <t>オウ</t>
    </rPh>
    <rPh sb="57" eb="58">
      <t>ト</t>
    </rPh>
    <rPh sb="59" eb="60">
      <t>ア</t>
    </rPh>
    <rPh sb="62" eb="64">
      <t>マドグチ</t>
    </rPh>
    <rPh sb="67" eb="69">
      <t>レンラク</t>
    </rPh>
    <phoneticPr fontId="1"/>
  </si>
  <si>
    <t>成長学会　info@auxology.jp　　　日本小児内分泌学会事務局　jspe@ac-square.co.jp　</t>
    <rPh sb="0" eb="2">
      <t>セイチョウ</t>
    </rPh>
    <rPh sb="2" eb="4">
      <t>ガッカイ</t>
    </rPh>
    <rPh sb="24" eb="26">
      <t>ニホン</t>
    </rPh>
    <rPh sb="26" eb="28">
      <t>ショウニ</t>
    </rPh>
    <rPh sb="28" eb="31">
      <t>ナイブンピツ</t>
    </rPh>
    <rPh sb="31" eb="33">
      <t>ガッカイ</t>
    </rPh>
    <rPh sb="33" eb="36">
      <t>ジムキョク</t>
    </rPh>
    <phoneticPr fontId="1"/>
  </si>
  <si>
    <t>「生年月日」と「検査日」はMicrosoft Excelの日付入力形式に従ってください。すなわち「YY/MM/DD」という形式です。たとえば2011年11月1日は「2011/11/1」となります。</t>
    <rPh sb="29" eb="31">
      <t>ヒヅケ</t>
    </rPh>
    <rPh sb="31" eb="33">
      <t>ニュウリョク</t>
    </rPh>
    <rPh sb="33" eb="35">
      <t>ケイシキ</t>
    </rPh>
    <rPh sb="36" eb="37">
      <t>シタガ</t>
    </rPh>
    <rPh sb="61" eb="63">
      <t>ケイシキ</t>
    </rPh>
    <rPh sb="74" eb="75">
      <t>ネン</t>
    </rPh>
    <rPh sb="77" eb="78">
      <t>ガツ</t>
    </rPh>
    <rPh sb="79" eb="80">
      <t>ニチ</t>
    </rPh>
    <phoneticPr fontId="1"/>
  </si>
  <si>
    <t>男性は「M」で、女性は「F」で入力してください。いずれも半角で入力してください。全角の「Ｆ」は男性と認識されますので、ご注意ください。</t>
    <rPh sb="0" eb="2">
      <t>ダンセイ</t>
    </rPh>
    <rPh sb="8" eb="10">
      <t>ジョセイ</t>
    </rPh>
    <rPh sb="15" eb="17">
      <t>ニュウリョク</t>
    </rPh>
    <rPh sb="28" eb="30">
      <t>ハンカク</t>
    </rPh>
    <rPh sb="31" eb="33">
      <t>ニュウリョク</t>
    </rPh>
    <rPh sb="40" eb="42">
      <t>ゼンカク</t>
    </rPh>
    <rPh sb="47" eb="49">
      <t>ダンセイ</t>
    </rPh>
    <rPh sb="50" eb="52">
      <t>ニンシキ</t>
    </rPh>
    <rPh sb="60" eb="62">
      <t>チュウイ</t>
    </rPh>
    <phoneticPr fontId="1"/>
  </si>
  <si>
    <t>十進法年齢</t>
    <rPh sb="0" eb="3">
      <t>ジュッシンホウ</t>
    </rPh>
    <rPh sb="3" eb="5">
      <t>ネンレイ</t>
    </rPh>
    <phoneticPr fontId="1"/>
  </si>
  <si>
    <t>月齢範囲</t>
    <rPh sb="0" eb="2">
      <t>ゲツレイ</t>
    </rPh>
    <rPh sb="2" eb="4">
      <t>ハンイ</t>
    </rPh>
    <phoneticPr fontId="1"/>
  </si>
  <si>
    <t>45まで</t>
    <phoneticPr fontId="1"/>
  </si>
  <si>
    <t>45から</t>
    <phoneticPr fontId="1"/>
  </si>
  <si>
    <t>Male</t>
    <phoneticPr fontId="1"/>
  </si>
  <si>
    <t>l(fw)</t>
    <phoneticPr fontId="1"/>
  </si>
  <si>
    <t>s(fw)</t>
    <phoneticPr fontId="1"/>
  </si>
  <si>
    <t>m(fw)</t>
    <phoneticPr fontId="1"/>
  </si>
  <si>
    <t>0から</t>
    <phoneticPr fontId="1"/>
  </si>
  <si>
    <t>43.8まで</t>
    <phoneticPr fontId="1"/>
  </si>
  <si>
    <t>43.8から</t>
    <phoneticPr fontId="1"/>
  </si>
  <si>
    <t>123まで</t>
    <phoneticPr fontId="1"/>
  </si>
  <si>
    <t>123から</t>
    <phoneticPr fontId="1"/>
  </si>
  <si>
    <t>156まで</t>
    <phoneticPr fontId="1"/>
  </si>
  <si>
    <t>156から</t>
    <phoneticPr fontId="1"/>
  </si>
  <si>
    <t>186まで</t>
    <phoneticPr fontId="1"/>
  </si>
  <si>
    <t>186から</t>
    <phoneticPr fontId="1"/>
  </si>
  <si>
    <t>210まで</t>
    <phoneticPr fontId="1"/>
  </si>
  <si>
    <t>female</t>
    <phoneticPr fontId="1"/>
  </si>
  <si>
    <t>l(mw)</t>
    <phoneticPr fontId="1"/>
  </si>
  <si>
    <t>s(mw)</t>
    <phoneticPr fontId="1"/>
  </si>
  <si>
    <t>m(mw)</t>
    <phoneticPr fontId="1"/>
  </si>
  <si>
    <t>153まで</t>
    <phoneticPr fontId="1"/>
  </si>
  <si>
    <t>153から</t>
    <phoneticPr fontId="1"/>
  </si>
  <si>
    <t>162まで</t>
    <phoneticPr fontId="1"/>
  </si>
  <si>
    <t>162から</t>
    <phoneticPr fontId="1"/>
  </si>
  <si>
    <t>BMI percentile and SDS</t>
    <phoneticPr fontId="1"/>
  </si>
  <si>
    <t>Body Weight percentile and SDS</t>
    <phoneticPr fontId="1"/>
  </si>
  <si>
    <t>0-186</t>
    <phoneticPr fontId="1"/>
  </si>
  <si>
    <t>0-156</t>
    <phoneticPr fontId="1"/>
  </si>
  <si>
    <t>186-210</t>
    <phoneticPr fontId="1"/>
  </si>
  <si>
    <t>156-210</t>
    <phoneticPr fontId="1"/>
  </si>
  <si>
    <t>0-43.8</t>
    <phoneticPr fontId="1"/>
  </si>
  <si>
    <t>L</t>
    <phoneticPr fontId="1"/>
  </si>
  <si>
    <t>S1</t>
    <phoneticPr fontId="1"/>
  </si>
  <si>
    <t>S2</t>
    <phoneticPr fontId="1"/>
  </si>
  <si>
    <t>M1</t>
    <phoneticPr fontId="1"/>
  </si>
  <si>
    <t>M2</t>
    <phoneticPr fontId="1"/>
  </si>
  <si>
    <t>M3</t>
    <phoneticPr fontId="1"/>
  </si>
  <si>
    <t>L1</t>
    <phoneticPr fontId="1"/>
  </si>
  <si>
    <t>L2</t>
    <phoneticPr fontId="1"/>
  </si>
  <si>
    <t>S1</t>
    <phoneticPr fontId="1"/>
  </si>
  <si>
    <t>S2</t>
    <phoneticPr fontId="1"/>
  </si>
  <si>
    <t>M1</t>
    <phoneticPr fontId="1"/>
  </si>
  <si>
    <t>M2</t>
    <phoneticPr fontId="1"/>
  </si>
  <si>
    <t>M3</t>
    <phoneticPr fontId="1"/>
  </si>
  <si>
    <t>S3</t>
  </si>
  <si>
    <t>7乗</t>
    <rPh sb="1" eb="2">
      <t>ジョウ</t>
    </rPh>
    <phoneticPr fontId="1"/>
  </si>
  <si>
    <t>6乗</t>
    <rPh sb="1" eb="2">
      <t>ジョウ</t>
    </rPh>
    <phoneticPr fontId="1"/>
  </si>
  <si>
    <t>5乗</t>
    <rPh sb="1" eb="2">
      <t>ジョウ</t>
    </rPh>
    <phoneticPr fontId="1"/>
  </si>
  <si>
    <t>4乗</t>
    <rPh sb="1" eb="2">
      <t>ジョウ</t>
    </rPh>
    <phoneticPr fontId="1"/>
  </si>
  <si>
    <t>3乗</t>
    <rPh sb="1" eb="2">
      <t>ジョウ</t>
    </rPh>
    <phoneticPr fontId="1"/>
  </si>
  <si>
    <t>2乗</t>
    <rPh sb="1" eb="2">
      <t>ジョウ</t>
    </rPh>
    <phoneticPr fontId="1"/>
  </si>
  <si>
    <t>1乗</t>
    <rPh sb="1" eb="2">
      <t>ジョウ</t>
    </rPh>
    <phoneticPr fontId="1"/>
  </si>
  <si>
    <t>10乗</t>
    <rPh sb="2" eb="3">
      <t>ジョウ</t>
    </rPh>
    <phoneticPr fontId="1"/>
  </si>
  <si>
    <t>9乗</t>
    <rPh sb="1" eb="2">
      <t>ジョウ</t>
    </rPh>
    <phoneticPr fontId="1"/>
  </si>
  <si>
    <t>8乗</t>
    <rPh sb="1" eb="2">
      <t>ジョウ</t>
    </rPh>
    <phoneticPr fontId="1"/>
  </si>
  <si>
    <t>186-210</t>
    <phoneticPr fontId="1"/>
  </si>
  <si>
    <t>156-162</t>
    <phoneticPr fontId="1"/>
  </si>
  <si>
    <t>162-186</t>
    <phoneticPr fontId="1"/>
  </si>
  <si>
    <t>156-162</t>
    <phoneticPr fontId="1"/>
  </si>
  <si>
    <t>186-210</t>
    <phoneticPr fontId="1"/>
  </si>
  <si>
    <t>162-186</t>
    <phoneticPr fontId="1"/>
  </si>
  <si>
    <t>43.8-45</t>
    <phoneticPr fontId="1"/>
  </si>
  <si>
    <t>0-43.8</t>
    <phoneticPr fontId="1"/>
  </si>
  <si>
    <t>45-123</t>
    <phoneticPr fontId="1"/>
  </si>
  <si>
    <t>43.8-45</t>
    <phoneticPr fontId="1"/>
  </si>
  <si>
    <t>45-123</t>
    <phoneticPr fontId="1"/>
  </si>
  <si>
    <t>123-156</t>
    <phoneticPr fontId="1"/>
  </si>
  <si>
    <t>weight</t>
    <phoneticPr fontId="1"/>
  </si>
  <si>
    <t>moage</t>
    <phoneticPr fontId="1"/>
  </si>
  <si>
    <t>constant</t>
    <phoneticPr fontId="1"/>
  </si>
  <si>
    <t>male M</t>
    <phoneticPr fontId="1"/>
  </si>
  <si>
    <t>female M</t>
    <phoneticPr fontId="1"/>
  </si>
  <si>
    <t>male S</t>
    <phoneticPr fontId="1"/>
  </si>
  <si>
    <t>female S</t>
    <phoneticPr fontId="1"/>
  </si>
  <si>
    <t>123-186</t>
    <phoneticPr fontId="1"/>
  </si>
  <si>
    <t>186-210</t>
    <phoneticPr fontId="1"/>
  </si>
  <si>
    <t>male L</t>
    <phoneticPr fontId="1"/>
  </si>
  <si>
    <t>female L</t>
    <phoneticPr fontId="1"/>
  </si>
  <si>
    <t>性</t>
    <rPh sb="0" eb="1">
      <t>セイ</t>
    </rPh>
    <phoneticPr fontId="1"/>
  </si>
  <si>
    <t>生年月日</t>
    <rPh sb="0" eb="2">
      <t>セイネン</t>
    </rPh>
    <rPh sb="2" eb="4">
      <t>ガッピ</t>
    </rPh>
    <phoneticPr fontId="1"/>
  </si>
  <si>
    <t>体重SDS</t>
    <rPh sb="0" eb="2">
      <t>タイジュウ</t>
    </rPh>
    <phoneticPr fontId="1"/>
  </si>
  <si>
    <t>month</t>
    <phoneticPr fontId="1"/>
  </si>
  <si>
    <t>year</t>
    <phoneticPr fontId="1"/>
  </si>
  <si>
    <t>小児慢性疾病意見書用計算式</t>
    <rPh sb="0" eb="2">
      <t>ショウニ</t>
    </rPh>
    <rPh sb="2" eb="4">
      <t>マンセイ</t>
    </rPh>
    <rPh sb="4" eb="6">
      <t>シッペイ</t>
    </rPh>
    <rPh sb="6" eb="9">
      <t>イケンショ</t>
    </rPh>
    <rPh sb="9" eb="10">
      <t>ヨウ</t>
    </rPh>
    <rPh sb="10" eb="12">
      <t>ケイサン</t>
    </rPh>
    <rPh sb="12" eb="13">
      <t>シキ</t>
    </rPh>
    <phoneticPr fontId="1"/>
  </si>
  <si>
    <t>months</t>
    <phoneticPr fontId="1"/>
  </si>
  <si>
    <t>M</t>
    <phoneticPr fontId="1"/>
  </si>
  <si>
    <t>F</t>
    <phoneticPr fontId="1"/>
  </si>
  <si>
    <t>伊藤式：性別身長別標準体重による</t>
    <rPh sb="0" eb="2">
      <t>イトウ</t>
    </rPh>
    <rPh sb="2" eb="3">
      <t>シキ</t>
    </rPh>
    <rPh sb="4" eb="6">
      <t>セイベツ</t>
    </rPh>
    <phoneticPr fontId="1"/>
  </si>
  <si>
    <t>肥満度計算</t>
    <rPh sb="0" eb="3">
      <t>ヒマンド</t>
    </rPh>
    <rPh sb="3" eb="5">
      <t>ケイサン</t>
    </rPh>
    <phoneticPr fontId="1"/>
  </si>
  <si>
    <t>村田式：性別年齢別身長別標準体重による</t>
    <rPh sb="0" eb="2">
      <t>ムラタ</t>
    </rPh>
    <rPh sb="2" eb="3">
      <t>シキ</t>
    </rPh>
    <phoneticPr fontId="1"/>
  </si>
  <si>
    <t>本委員会で提言した体格指数(身長SDS、肥満度、BMIパーセンタイルとBMI-SDS）を上記入力項目を参照することにより計算しています。またBW-SDSも算出できます。</t>
    <rPh sb="0" eb="1">
      <t>ホン</t>
    </rPh>
    <rPh sb="1" eb="4">
      <t>イインカイ</t>
    </rPh>
    <rPh sb="5" eb="7">
      <t>テイゲン</t>
    </rPh>
    <rPh sb="9" eb="11">
      <t>タイカク</t>
    </rPh>
    <rPh sb="11" eb="13">
      <t>シスウ</t>
    </rPh>
    <rPh sb="14" eb="16">
      <t>シンチョウ</t>
    </rPh>
    <rPh sb="20" eb="23">
      <t>ヒマンド</t>
    </rPh>
    <rPh sb="44" eb="46">
      <t>ジョウキ</t>
    </rPh>
    <rPh sb="46" eb="48">
      <t>ニュウリョク</t>
    </rPh>
    <rPh sb="48" eb="50">
      <t>コウモク</t>
    </rPh>
    <rPh sb="51" eb="53">
      <t>サンショウ</t>
    </rPh>
    <rPh sb="60" eb="62">
      <t>ケイサン</t>
    </rPh>
    <rPh sb="77" eb="79">
      <t>サンシュツ</t>
    </rPh>
    <phoneticPr fontId="1"/>
  </si>
  <si>
    <t>制作責任者：伊藤善也</t>
    <rPh sb="0" eb="2">
      <t>セイサク</t>
    </rPh>
    <rPh sb="2" eb="5">
      <t>セキニンシャ</t>
    </rPh>
    <rPh sb="6" eb="10">
      <t>イトウ</t>
    </rPh>
    <phoneticPr fontId="1"/>
  </si>
  <si>
    <t>身長　cm</t>
    <rPh sb="0" eb="2">
      <t>シンチョウ</t>
    </rPh>
    <phoneticPr fontId="1"/>
  </si>
  <si>
    <t>体重　kg</t>
    <rPh sb="0" eb="2">
      <t>タイジュウ</t>
    </rPh>
    <phoneticPr fontId="1"/>
  </si>
  <si>
    <t>年齢 (十進法) 歳</t>
    <rPh sb="0" eb="2">
      <t>ネンレイ</t>
    </rPh>
    <rPh sb="4" eb="7">
      <t>ジュッシンホウ</t>
    </rPh>
    <rPh sb="9" eb="10">
      <t>サイ</t>
    </rPh>
    <phoneticPr fontId="1"/>
  </si>
  <si>
    <t>肥満度（幼児期）　％</t>
    <rPh sb="0" eb="3">
      <t>ヒマンド</t>
    </rPh>
    <rPh sb="4" eb="7">
      <t>ヨウジキ</t>
    </rPh>
    <phoneticPr fontId="1"/>
  </si>
  <si>
    <t>肥満度（村田式）　％</t>
    <rPh sb="0" eb="3">
      <t>ヒマンド</t>
    </rPh>
    <rPh sb="4" eb="6">
      <t>ムラタ</t>
    </rPh>
    <rPh sb="6" eb="7">
      <t>シキ</t>
    </rPh>
    <phoneticPr fontId="1"/>
  </si>
  <si>
    <t>肥満度（伊藤式）　％</t>
    <rPh sb="0" eb="3">
      <t>ヒマンド</t>
    </rPh>
    <rPh sb="4" eb="6">
      <t>イトウ</t>
    </rPh>
    <rPh sb="6" eb="7">
      <t>シキ</t>
    </rPh>
    <phoneticPr fontId="1"/>
  </si>
  <si>
    <t>BMI</t>
    <phoneticPr fontId="1"/>
  </si>
  <si>
    <t>BMI percentile</t>
    <phoneticPr fontId="1"/>
  </si>
  <si>
    <t>BMI-SDS</t>
    <phoneticPr fontId="1"/>
  </si>
  <si>
    <t>「歳」と「月」でも年齢を表示します。この場合の「月」は日常的に用いる方法で求めています。すなわち、１か月の日数とは関係なく、表示します。たとえば2月1日から3月1日は1か月経過したと判断します。v2までは日数を30.4375で除していたため、上記は１か月に満たないと判断していました。</t>
    <rPh sb="1" eb="2">
      <t>サイ</t>
    </rPh>
    <rPh sb="5" eb="6">
      <t>ツキ</t>
    </rPh>
    <rPh sb="9" eb="11">
      <t>ネンレイ</t>
    </rPh>
    <rPh sb="12" eb="14">
      <t>ヒョウジ</t>
    </rPh>
    <rPh sb="20" eb="22">
      <t>バアイ</t>
    </rPh>
    <rPh sb="24" eb="25">
      <t>ツキ</t>
    </rPh>
    <rPh sb="27" eb="29">
      <t>ニチジョウ</t>
    </rPh>
    <rPh sb="29" eb="30">
      <t>テキ</t>
    </rPh>
    <rPh sb="31" eb="32">
      <t>モチ</t>
    </rPh>
    <rPh sb="34" eb="36">
      <t>ホウホウ</t>
    </rPh>
    <rPh sb="37" eb="38">
      <t>モト</t>
    </rPh>
    <rPh sb="51" eb="52">
      <t>ゲツ</t>
    </rPh>
    <rPh sb="53" eb="55">
      <t>ニッスウ</t>
    </rPh>
    <rPh sb="57" eb="59">
      <t>カンケイ</t>
    </rPh>
    <rPh sb="62" eb="64">
      <t>ヒョウジ</t>
    </rPh>
    <rPh sb="73" eb="74">
      <t>ガツ</t>
    </rPh>
    <rPh sb="75" eb="76">
      <t>ニチ</t>
    </rPh>
    <rPh sb="79" eb="80">
      <t>ガツ</t>
    </rPh>
    <rPh sb="81" eb="82">
      <t>ニチ</t>
    </rPh>
    <rPh sb="85" eb="86">
      <t>ゲツ</t>
    </rPh>
    <rPh sb="86" eb="88">
      <t>ケイカ</t>
    </rPh>
    <rPh sb="91" eb="93">
      <t>ハンダン</t>
    </rPh>
    <rPh sb="102" eb="104">
      <t>ニッスウ</t>
    </rPh>
    <rPh sb="113" eb="114">
      <t>ジョ</t>
    </rPh>
    <rPh sb="121" eb="123">
      <t>ジョウキ</t>
    </rPh>
    <rPh sb="126" eb="127">
      <t>ゲツ</t>
    </rPh>
    <rPh sb="128" eb="129">
      <t>ミ</t>
    </rPh>
    <rPh sb="133" eb="135">
      <t>ハンダン</t>
    </rPh>
    <phoneticPr fontId="1"/>
  </si>
  <si>
    <t>BMIおよび体重のパーセンタイルおよびSDS</t>
    <rPh sb="6" eb="8">
      <t>タイジュウ</t>
    </rPh>
    <phoneticPr fontId="1"/>
  </si>
  <si>
    <t>成長率SDS</t>
    <rPh sb="0" eb="3">
      <t>セイチョウリツ</t>
    </rPh>
    <phoneticPr fontId="1"/>
  </si>
  <si>
    <t>No</t>
    <phoneticPr fontId="1"/>
  </si>
  <si>
    <t>L</t>
    <phoneticPr fontId="1"/>
  </si>
  <si>
    <t>M</t>
    <phoneticPr fontId="1"/>
  </si>
  <si>
    <t>S</t>
    <phoneticPr fontId="1"/>
  </si>
  <si>
    <t>IGF-I</t>
    <phoneticPr fontId="1"/>
  </si>
  <si>
    <t>BMI</t>
    <phoneticPr fontId="1"/>
  </si>
  <si>
    <t>BMI %ile</t>
    <phoneticPr fontId="1"/>
  </si>
  <si>
    <t>BMI-SDS</t>
    <phoneticPr fontId="1"/>
  </si>
  <si>
    <t>IGF-I
%ile</t>
    <phoneticPr fontId="1"/>
  </si>
  <si>
    <t>IGF-I
SDS</t>
    <phoneticPr fontId="1"/>
  </si>
  <si>
    <r>
      <rPr>
        <sz val="9"/>
        <color indexed="8"/>
        <rFont val="ＭＳ 明朝"/>
        <family val="1"/>
        <charset val="128"/>
      </rPr>
      <t>表</t>
    </r>
    <r>
      <rPr>
        <sz val="9"/>
        <color indexed="8"/>
        <rFont val="Century"/>
        <family val="1"/>
      </rPr>
      <t xml:space="preserve">1a. </t>
    </r>
    <r>
      <rPr>
        <sz val="9"/>
        <color indexed="8"/>
        <rFont val="ＭＳ 明朝"/>
        <family val="1"/>
        <charset val="128"/>
      </rPr>
      <t>日本人男性の各年齢における血中</t>
    </r>
    <r>
      <rPr>
        <sz val="9"/>
        <color indexed="8"/>
        <rFont val="Century"/>
        <family val="1"/>
      </rPr>
      <t>IGF-I</t>
    </r>
    <r>
      <rPr>
        <sz val="9"/>
        <color indexed="8"/>
        <rFont val="ＭＳ 明朝"/>
        <family val="1"/>
        <charset val="128"/>
      </rPr>
      <t>濃度の</t>
    </r>
    <r>
      <rPr>
        <sz val="9"/>
        <color indexed="8"/>
        <rFont val="Century"/>
        <family val="1"/>
      </rPr>
      <t>L,M,S</t>
    </r>
    <r>
      <rPr>
        <sz val="9"/>
        <color indexed="8"/>
        <rFont val="ＭＳ 明朝"/>
        <family val="1"/>
        <charset val="128"/>
      </rPr>
      <t>値と</t>
    </r>
    <r>
      <rPr>
        <sz val="9"/>
        <color indexed="8"/>
        <rFont val="Century"/>
        <family val="1"/>
      </rPr>
      <t>±2SD</t>
    </r>
    <r>
      <rPr>
        <sz val="9"/>
        <color indexed="8"/>
        <rFont val="ＭＳ 明朝"/>
        <family val="1"/>
        <charset val="128"/>
      </rPr>
      <t>、</t>
    </r>
    <r>
      <rPr>
        <sz val="9"/>
        <color indexed="8"/>
        <rFont val="Century"/>
        <family val="1"/>
      </rPr>
      <t>±1SD</t>
    </r>
    <r>
      <rPr>
        <sz val="9"/>
        <color indexed="8"/>
        <rFont val="ＭＳ 明朝"/>
        <family val="1"/>
        <charset val="128"/>
      </rPr>
      <t>および中央値</t>
    </r>
    <rPh sb="8" eb="10">
      <t>ダンセイ</t>
    </rPh>
    <phoneticPr fontId="6"/>
  </si>
  <si>
    <r>
      <t>表</t>
    </r>
    <r>
      <rPr>
        <sz val="9"/>
        <color indexed="8"/>
        <rFont val="Century"/>
        <family val="1"/>
      </rPr>
      <t xml:space="preserve">1b. </t>
    </r>
    <r>
      <rPr>
        <sz val="9"/>
        <color indexed="8"/>
        <rFont val="ＭＳ 明朝"/>
        <family val="1"/>
        <charset val="128"/>
      </rPr>
      <t>日本人女性の各年齢における血中</t>
    </r>
    <r>
      <rPr>
        <sz val="9"/>
        <color indexed="8"/>
        <rFont val="Century"/>
        <family val="1"/>
      </rPr>
      <t>IGF-I</t>
    </r>
    <r>
      <rPr>
        <sz val="9"/>
        <color indexed="8"/>
        <rFont val="ＭＳ 明朝"/>
        <family val="1"/>
        <charset val="128"/>
      </rPr>
      <t>濃度の</t>
    </r>
    <r>
      <rPr>
        <sz val="9"/>
        <color indexed="8"/>
        <rFont val="Century"/>
        <family val="1"/>
      </rPr>
      <t>L,M,S</t>
    </r>
    <r>
      <rPr>
        <sz val="9"/>
        <color indexed="8"/>
        <rFont val="ＭＳ 明朝"/>
        <family val="1"/>
        <charset val="128"/>
      </rPr>
      <t>値と±</t>
    </r>
    <r>
      <rPr>
        <sz val="9"/>
        <color indexed="8"/>
        <rFont val="Century"/>
        <family val="1"/>
      </rPr>
      <t>2SD</t>
    </r>
    <r>
      <rPr>
        <sz val="9"/>
        <color indexed="8"/>
        <rFont val="ＭＳ 明朝"/>
        <family val="1"/>
        <charset val="128"/>
      </rPr>
      <t>、±</t>
    </r>
    <r>
      <rPr>
        <sz val="9"/>
        <color indexed="8"/>
        <rFont val="Century"/>
        <family val="1"/>
      </rPr>
      <t>1SD</t>
    </r>
    <r>
      <rPr>
        <sz val="9"/>
        <color indexed="8"/>
        <rFont val="ＭＳ 明朝"/>
        <family val="1"/>
        <charset val="128"/>
      </rPr>
      <t>および中央値</t>
    </r>
    <phoneticPr fontId="6"/>
  </si>
  <si>
    <r>
      <t>年齢</t>
    </r>
    <r>
      <rPr>
        <sz val="9"/>
        <color indexed="8"/>
        <rFont val="Century"/>
        <family val="1"/>
      </rPr>
      <t>(</t>
    </r>
    <r>
      <rPr>
        <sz val="9"/>
        <color indexed="8"/>
        <rFont val="ＭＳ 明朝"/>
        <family val="1"/>
        <charset val="128"/>
      </rPr>
      <t>歳</t>
    </r>
    <r>
      <rPr>
        <sz val="9"/>
        <color indexed="8"/>
        <rFont val="Century"/>
        <family val="1"/>
      </rPr>
      <t>)</t>
    </r>
  </si>
  <si>
    <t>L</t>
  </si>
  <si>
    <t>M</t>
  </si>
  <si>
    <t>S</t>
  </si>
  <si>
    <t>-2SD</t>
  </si>
  <si>
    <t>-1SD</t>
  </si>
  <si>
    <t>中央値</t>
  </si>
  <si>
    <r>
      <t>＋</t>
    </r>
    <r>
      <rPr>
        <sz val="11"/>
        <color indexed="8"/>
        <rFont val="Century"/>
        <family val="1"/>
      </rPr>
      <t>1SD</t>
    </r>
  </si>
  <si>
    <r>
      <t>＋</t>
    </r>
    <r>
      <rPr>
        <sz val="11"/>
        <color indexed="8"/>
        <rFont val="Century"/>
        <family val="1"/>
      </rPr>
      <t>2SD</t>
    </r>
  </si>
  <si>
    <t>+1SD</t>
  </si>
  <si>
    <t>+2SD</t>
  </si>
  <si>
    <t>BMI</t>
    <phoneticPr fontId="1"/>
  </si>
  <si>
    <t>１９９０年男児成長率ＳＤ計算表</t>
    <rPh sb="7" eb="10">
      <t>セイチョウリツ</t>
    </rPh>
    <phoneticPr fontId="1"/>
  </si>
  <si>
    <t>１９９０年女児成長率ＳＤ計算表</t>
    <rPh sb="5" eb="7">
      <t>ジョジ</t>
    </rPh>
    <rPh sb="7" eb="10">
      <t>セイチョウリツ</t>
    </rPh>
    <phoneticPr fontId="1"/>
  </si>
  <si>
    <t>成長率計算列</t>
    <rPh sb="0" eb="3">
      <t>セイチョウリツ</t>
    </rPh>
    <rPh sb="3" eb="5">
      <t>ケイサン</t>
    </rPh>
    <rPh sb="5" eb="6">
      <t>レツ</t>
    </rPh>
    <phoneticPr fontId="1"/>
  </si>
  <si>
    <t>成長率 cm/年</t>
    <rPh sb="0" eb="3">
      <t>セイチョウリツ</t>
    </rPh>
    <rPh sb="7" eb="8">
      <t>ネン</t>
    </rPh>
    <phoneticPr fontId="1"/>
  </si>
  <si>
    <t>成長率
SDS</t>
    <rPh sb="0" eb="3">
      <t>セイチョウリツ</t>
    </rPh>
    <phoneticPr fontId="1"/>
  </si>
  <si>
    <r>
      <t>成長率</t>
    </r>
    <r>
      <rPr>
        <sz val="10"/>
        <rFont val="ＭＳ Ｐゴシック"/>
        <family val="3"/>
        <charset val="128"/>
      </rPr>
      <t xml:space="preserve">
cm/year</t>
    </r>
    <rPh sb="0" eb="3">
      <t>セイチョウリツ</t>
    </rPh>
    <phoneticPr fontId="1"/>
  </si>
  <si>
    <t>中間点
歳</t>
    <rPh sb="0" eb="3">
      <t>チュウカンテン</t>
    </rPh>
    <rPh sb="4" eb="5">
      <t>サイ</t>
    </rPh>
    <phoneticPr fontId="1"/>
  </si>
  <si>
    <t>中間点
月</t>
    <rPh sb="0" eb="3">
      <t>チュウカンテン</t>
    </rPh>
    <rPh sb="4" eb="5">
      <t>ツキ</t>
    </rPh>
    <phoneticPr fontId="1"/>
  </si>
  <si>
    <t>months 2</t>
    <phoneticPr fontId="1"/>
  </si>
  <si>
    <t>months2</t>
    <phoneticPr fontId="1"/>
  </si>
  <si>
    <t>b41</t>
    <phoneticPr fontId="1"/>
  </si>
  <si>
    <t>: ○歳○月</t>
    <rPh sb="3" eb="4">
      <t>サイ</t>
    </rPh>
    <rPh sb="5" eb="6">
      <t>ツキ</t>
    </rPh>
    <phoneticPr fontId="1"/>
  </si>
  <si>
    <t>: 標準体重（幼児期、学童期）</t>
    <rPh sb="2" eb="6">
      <t>ヒョウジュンタイジュウ</t>
    </rPh>
    <rPh sb="7" eb="10">
      <t>ヨウジキ</t>
    </rPh>
    <rPh sb="11" eb="14">
      <t>ガクドウキ</t>
    </rPh>
    <phoneticPr fontId="1"/>
  </si>
  <si>
    <t>中間点</t>
    <rPh sb="0" eb="3">
      <t>チュウカンテン</t>
    </rPh>
    <phoneticPr fontId="1"/>
  </si>
  <si>
    <t>年齢</t>
    <rPh sb="0" eb="2">
      <t>ネンレイ</t>
    </rPh>
    <phoneticPr fontId="1"/>
  </si>
  <si>
    <t>成長率SDS</t>
    <rPh sb="0" eb="3">
      <t>セイチョウリツ</t>
    </rPh>
    <phoneticPr fontId="1"/>
  </si>
  <si>
    <t>〒090-0011 北海道北見市曙町664-1 日本赤十字北海道看護大学臨床医学領域
伊藤善也（yoshiya.ito@gmail.com）</t>
    <rPh sb="10" eb="13">
      <t>ホッカイドウ</t>
    </rPh>
    <rPh sb="13" eb="16">
      <t>キタミシ</t>
    </rPh>
    <rPh sb="16" eb="18">
      <t>アケボノチョウ</t>
    </rPh>
    <rPh sb="24" eb="29">
      <t>ニホンセキジュウジ</t>
    </rPh>
    <rPh sb="29" eb="32">
      <t>ホッカイドウ</t>
    </rPh>
    <rPh sb="32" eb="36">
      <t>カンゴダイガク</t>
    </rPh>
    <rPh sb="36" eb="38">
      <t>リンショウ</t>
    </rPh>
    <rPh sb="38" eb="40">
      <t>イガク</t>
    </rPh>
    <rPh sb="40" eb="42">
      <t>リョウイキ</t>
    </rPh>
    <rPh sb="43" eb="47">
      <t>イトウ</t>
    </rPh>
    <phoneticPr fontId="1"/>
  </si>
  <si>
    <r>
      <rPr>
        <sz val="14"/>
        <rFont val="ＭＳ Ｐゴシック"/>
        <family val="3"/>
        <charset val="128"/>
      </rPr>
      <t xml:space="preserve">成長率計算
</t>
    </r>
    <r>
      <rPr>
        <sz val="10"/>
        <rFont val="ＭＳ Ｐゴシック"/>
        <family val="3"/>
        <charset val="128"/>
      </rPr>
      <t xml:space="preserve">
→成長率およびそのSDSを求める測定日に文字を入れてください。</t>
    </r>
    <rPh sb="0" eb="3">
      <t>セイチョウリツ</t>
    </rPh>
    <rPh sb="3" eb="5">
      <t>ケイサン</t>
    </rPh>
    <rPh sb="8" eb="11">
      <t>セイチョウリツ</t>
    </rPh>
    <rPh sb="20" eb="21">
      <t>モト</t>
    </rPh>
    <rPh sb="23" eb="26">
      <t>ソクテイビ</t>
    </rPh>
    <rPh sb="27" eb="29">
      <t>モジ</t>
    </rPh>
    <rPh sb="30" eb="31">
      <t>イ</t>
    </rPh>
    <phoneticPr fontId="1"/>
  </si>
  <si>
    <t>Δ身長</t>
    <rPh sb="1" eb="3">
      <t>シンチョウ</t>
    </rPh>
    <phoneticPr fontId="1"/>
  </si>
  <si>
    <t>計測日</t>
    <rPh sb="0" eb="2">
      <t>ケイソク</t>
    </rPh>
    <rPh sb="2" eb="3">
      <t>ビ</t>
    </rPh>
    <phoneticPr fontId="1"/>
  </si>
  <si>
    <t>計測日２</t>
    <rPh sb="0" eb="2">
      <t>ケイソク</t>
    </rPh>
    <rPh sb="2" eb="3">
      <t>ビ</t>
    </rPh>
    <phoneticPr fontId="1"/>
  </si>
  <si>
    <t>C7</t>
    <phoneticPr fontId="1"/>
  </si>
  <si>
    <t>F7</t>
    <phoneticPr fontId="1"/>
  </si>
  <si>
    <t>HV</t>
    <phoneticPr fontId="1"/>
  </si>
  <si>
    <t>２点間の年齢が1歳未満、男児17歳10か月以上、女児17歳4か月以上は成長率の平均値と標準偏差値の参照値がありませんので、NA(not available)と表示されます。</t>
    <rPh sb="1" eb="3">
      <t>テンカン</t>
    </rPh>
    <rPh sb="4" eb="6">
      <t>ネンレイ</t>
    </rPh>
    <phoneticPr fontId="1"/>
  </si>
  <si>
    <t>Endocr J. 59(9):771-80, 2012　：　IGF-I</t>
    <phoneticPr fontId="1"/>
  </si>
  <si>
    <t>Clin Pediatr Endocrinol 1(1):5-13, 1992　：　成長率</t>
    <rPh sb="42" eb="45">
      <t>セイチョウリツ</t>
    </rPh>
    <phoneticPr fontId="1"/>
  </si>
  <si>
    <t>　このMicrosoft Excelファイルは日本小児内分泌学会・日本成長学会合同標準値委員会が発表した「日本人の体格の評価に関する基本的な考え方」およびその資料に準拠して制作しました。それぞれは以下のホームページおよび日本成長学会雑誌と日本小児科学会雑誌に掲載されていますので参照してください。また体重SDS, IGF-I SDSの計算はT Isojimaらの論文（2012, 2016）より, 成長率の計算はS Suwaらの論文（1992）より引用しています。</t>
    <rPh sb="23" eb="25">
      <t>ニホン</t>
    </rPh>
    <rPh sb="25" eb="27">
      <t>ショウニ</t>
    </rPh>
    <rPh sb="27" eb="30">
      <t>ナイブンピツ</t>
    </rPh>
    <rPh sb="30" eb="32">
      <t>ガッカイ</t>
    </rPh>
    <rPh sb="33" eb="35">
      <t>ニホン</t>
    </rPh>
    <rPh sb="35" eb="37">
      <t>セイチョウ</t>
    </rPh>
    <rPh sb="37" eb="39">
      <t>ガッカイ</t>
    </rPh>
    <rPh sb="39" eb="41">
      <t>ゴウドウ</t>
    </rPh>
    <rPh sb="41" eb="44">
      <t>ヒョウジュンチ</t>
    </rPh>
    <rPh sb="44" eb="47">
      <t>イインカイ</t>
    </rPh>
    <rPh sb="48" eb="50">
      <t>ハッピョウ</t>
    </rPh>
    <rPh sb="53" eb="56">
      <t>ニホンジン</t>
    </rPh>
    <rPh sb="57" eb="59">
      <t>タイカク</t>
    </rPh>
    <rPh sb="60" eb="62">
      <t>ヒョウカ</t>
    </rPh>
    <rPh sb="63" eb="64">
      <t>カン</t>
    </rPh>
    <rPh sb="66" eb="69">
      <t>キホンテキ</t>
    </rPh>
    <rPh sb="70" eb="71">
      <t>カンガ</t>
    </rPh>
    <rPh sb="72" eb="73">
      <t>カタ</t>
    </rPh>
    <rPh sb="79" eb="81">
      <t>シリョウ</t>
    </rPh>
    <rPh sb="82" eb="84">
      <t>ジュンキョ</t>
    </rPh>
    <rPh sb="86" eb="88">
      <t>セイサク</t>
    </rPh>
    <rPh sb="98" eb="100">
      <t>イカ</t>
    </rPh>
    <rPh sb="110" eb="112">
      <t>ニホン</t>
    </rPh>
    <rPh sb="112" eb="114">
      <t>セイチョウ</t>
    </rPh>
    <rPh sb="114" eb="116">
      <t>ガッカイ</t>
    </rPh>
    <rPh sb="116" eb="118">
      <t>ザッシ</t>
    </rPh>
    <rPh sb="119" eb="121">
      <t>ニホン</t>
    </rPh>
    <rPh sb="121" eb="124">
      <t>ショウニカ</t>
    </rPh>
    <rPh sb="124" eb="126">
      <t>ガッカイ</t>
    </rPh>
    <rPh sb="126" eb="128">
      <t>ザッシ</t>
    </rPh>
    <rPh sb="129" eb="131">
      <t>ケイサイ</t>
    </rPh>
    <rPh sb="139" eb="141">
      <t>サンショウ</t>
    </rPh>
    <rPh sb="150" eb="152">
      <t>タイジュウ</t>
    </rPh>
    <rPh sb="167" eb="169">
      <t>ケイサン</t>
    </rPh>
    <rPh sb="181" eb="183">
      <t>ロンブン</t>
    </rPh>
    <rPh sb="199" eb="202">
      <t>セイチョウリツ</t>
    </rPh>
    <rPh sb="203" eb="205">
      <t>ケイサン</t>
    </rPh>
    <rPh sb="214" eb="216">
      <t>ロンブン</t>
    </rPh>
    <rPh sb="224" eb="226">
      <t>インヨウ</t>
    </rPh>
    <phoneticPr fontId="1"/>
  </si>
  <si>
    <r>
      <rPr>
        <sz val="14"/>
        <rFont val="ＭＳ Ｐゴシック"/>
        <family val="3"/>
        <charset val="128"/>
      </rPr>
      <t xml:space="preserve">成長率計算 </t>
    </r>
    <r>
      <rPr>
        <sz val="12"/>
        <rFont val="ＭＳ Ｐゴシック"/>
        <family val="3"/>
        <charset val="128"/>
      </rPr>
      <t xml:space="preserve"> 計測日　～　計測日２　間</t>
    </r>
    <rPh sb="0" eb="3">
      <t>セイチョウリツ</t>
    </rPh>
    <rPh sb="3" eb="5">
      <t>ケイサン</t>
    </rPh>
    <rPh sb="7" eb="9">
      <t>ケイソク</t>
    </rPh>
    <rPh sb="9" eb="10">
      <t>ビ</t>
    </rPh>
    <rPh sb="13" eb="15">
      <t>ケイソク</t>
    </rPh>
    <rPh sb="15" eb="16">
      <t>ビ</t>
    </rPh>
    <rPh sb="18" eb="19">
      <t>カン</t>
    </rPh>
    <phoneticPr fontId="1"/>
  </si>
  <si>
    <t>http://jspe.umin.jp/medical/taikaku.html</t>
    <phoneticPr fontId="1"/>
  </si>
  <si>
    <t>Clin Pediatr Endocrinol 20:47-49, 2011　：　BMI-SDS</t>
    <phoneticPr fontId="1"/>
  </si>
  <si>
    <t>Clin Pediatr Endocrinol 25: 77-82, 2016　：　肥満度</t>
    <rPh sb="42" eb="45">
      <t>ヒマンド</t>
    </rPh>
    <phoneticPr fontId="1"/>
  </si>
  <si>
    <t>Clin Pediatr Endocrinol 25: 71-76, 2016　：　体重SDS</t>
    <rPh sb="42" eb="44">
      <t>タイジュウ</t>
    </rPh>
    <phoneticPr fontId="1"/>
  </si>
  <si>
    <t>186-210</t>
    <phoneticPr fontId="1"/>
  </si>
  <si>
    <t>v3.1</t>
    <phoneticPr fontId="1"/>
  </si>
  <si>
    <t>体重</t>
    <rPh sb="0" eb="2">
      <t>タイジュウ</t>
    </rPh>
    <phoneticPr fontId="1"/>
  </si>
  <si>
    <t>体重SDS</t>
    <rPh sb="0" eb="2">
      <t>タイジュウ</t>
    </rPh>
    <phoneticPr fontId="1"/>
  </si>
  <si>
    <t>v3</t>
    <phoneticPr fontId="1"/>
  </si>
  <si>
    <t>2．縦断解析成長率計算シートに体重SDSの算出機能を追加しました。</t>
  </si>
  <si>
    <t>1．年齢の計算方法の変更：365.25日を1年とする方法から、月と日で年齢を決める方法に変更しました。</t>
    <phoneticPr fontId="1"/>
  </si>
  <si>
    <t>2．体重SDSの算出機能の追加</t>
    <phoneticPr fontId="1"/>
  </si>
  <si>
    <t>3．成長率の計算機能の追加</t>
    <phoneticPr fontId="1"/>
  </si>
  <si>
    <t>4．IGF-I SDS、パーセンタイル計算機能の追加</t>
    <phoneticPr fontId="1"/>
  </si>
  <si>
    <t>IGF-I percentile and SDS</t>
    <phoneticPr fontId="1"/>
  </si>
  <si>
    <t>IGF-I
SDS</t>
    <phoneticPr fontId="1"/>
  </si>
  <si>
    <t>v3.2</t>
    <phoneticPr fontId="1"/>
  </si>
  <si>
    <t>日本小児内分泌学会成長曲線管理委員会・日本成長学会成長研究委員会</t>
    <rPh sb="0" eb="2">
      <t>ニホン</t>
    </rPh>
    <rPh sb="2" eb="4">
      <t>ショウニ</t>
    </rPh>
    <rPh sb="4" eb="7">
      <t>ナイブンピツ</t>
    </rPh>
    <rPh sb="7" eb="9">
      <t>ガッカイ</t>
    </rPh>
    <rPh sb="9" eb="13">
      <t>セイチョウキョクセン</t>
    </rPh>
    <rPh sb="13" eb="15">
      <t>カンリ</t>
    </rPh>
    <rPh sb="15" eb="18">
      <t>イインカイ</t>
    </rPh>
    <rPh sb="19" eb="21">
      <t>ニホン</t>
    </rPh>
    <rPh sb="21" eb="23">
      <t>セイチョウ</t>
    </rPh>
    <rPh sb="23" eb="25">
      <t>ガッカイ</t>
    </rPh>
    <rPh sb="25" eb="27">
      <t>セイチョウ</t>
    </rPh>
    <rPh sb="27" eb="29">
      <t>ケンキュウ</t>
    </rPh>
    <rPh sb="29" eb="32">
      <t>イインカイ</t>
    </rPh>
    <phoneticPr fontId="1"/>
  </si>
  <si>
    <t>たとえば　　　日本小児内分泌学会・日本成長学会成長研究委員会：http://jspe.umin.jp/medical/chart_dl.html　（最終アクセス日：2018年4月1日）　　　です。</t>
    <rPh sb="23" eb="25">
      <t>セイチョウ</t>
    </rPh>
    <rPh sb="25" eb="27">
      <t>ケンキュウ</t>
    </rPh>
    <rPh sb="27" eb="30">
      <t>イインカイ</t>
    </rPh>
    <phoneticPr fontId="1"/>
  </si>
  <si>
    <t>前versionでは起点となる日からの日数を365.25で除すことにより、年齢（十進法）を求めていました。今回は閏日の有無には関係なく、月と日で年齢を判断します。ただし、十進法で表す年齢の小数点以下の部分は閏日を含んだ日数に基づいて計算するように設定しました。なお、表示桁数は小数点４桁として、表示される年齢が表示上、繰り上がらないようにしています。</t>
    <rPh sb="133" eb="135">
      <t>ヒョウジ</t>
    </rPh>
    <rPh sb="135" eb="137">
      <t>ケタスウ</t>
    </rPh>
    <rPh sb="138" eb="141">
      <t>ショウスウテン</t>
    </rPh>
    <rPh sb="142" eb="143">
      <t>ケタ</t>
    </rPh>
    <rPh sb="147" eb="149">
      <t>ヒョウジ</t>
    </rPh>
    <rPh sb="152" eb="154">
      <t>ネンレイ</t>
    </rPh>
    <rPh sb="155" eb="157">
      <t>ヒョウジ</t>
    </rPh>
    <rPh sb="157" eb="158">
      <t>ジョウ</t>
    </rPh>
    <rPh sb="159" eb="160">
      <t>ク</t>
    </rPh>
    <rPh sb="161" eb="162">
      <t>ア</t>
    </rPh>
    <phoneticPr fontId="1"/>
  </si>
  <si>
    <t>「小児慢性特定疾病意見書記載項目計算」「縦断解析成長率計算」のシートでは成長率SDSを求めることができます。「小児慢性特定疾病意見書記載項目計算」では2点間で、「縦断解析成長率計算」ではB列にマークした間で成長率を計算します。ただし、後者では測定データを日付番（昇順、古いデータから順に）に並べてください。昇順ではない場合はNA(not available)を表示します。</t>
    <rPh sb="1" eb="3">
      <t>ショウニ</t>
    </rPh>
    <rPh sb="3" eb="5">
      <t>マンセイ</t>
    </rPh>
    <rPh sb="5" eb="7">
      <t>トクテイ</t>
    </rPh>
    <rPh sb="7" eb="9">
      <t>シッペイ</t>
    </rPh>
    <rPh sb="9" eb="12">
      <t>イケンショ</t>
    </rPh>
    <rPh sb="12" eb="14">
      <t>キサイ</t>
    </rPh>
    <rPh sb="14" eb="16">
      <t>コウモク</t>
    </rPh>
    <rPh sb="16" eb="18">
      <t>ケイサン</t>
    </rPh>
    <rPh sb="20" eb="22">
      <t>ジュウダン</t>
    </rPh>
    <rPh sb="22" eb="24">
      <t>カイセキ</t>
    </rPh>
    <rPh sb="24" eb="27">
      <t>セイチョウリツ</t>
    </rPh>
    <rPh sb="27" eb="29">
      <t>ケイサン</t>
    </rPh>
    <rPh sb="36" eb="39">
      <t>セイチョウリツ</t>
    </rPh>
    <rPh sb="43" eb="44">
      <t>モト</t>
    </rPh>
    <rPh sb="59" eb="61">
      <t>トクテイ</t>
    </rPh>
    <rPh sb="76" eb="77">
      <t>テン</t>
    </rPh>
    <rPh sb="77" eb="78">
      <t>アイダ</t>
    </rPh>
    <rPh sb="94" eb="95">
      <t>レツ</t>
    </rPh>
    <rPh sb="101" eb="102">
      <t>アイダ</t>
    </rPh>
    <rPh sb="103" eb="106">
      <t>セイチョウリツ</t>
    </rPh>
    <rPh sb="107" eb="109">
      <t>ケイサン</t>
    </rPh>
    <rPh sb="117" eb="119">
      <t>コウシャ</t>
    </rPh>
    <rPh sb="121" eb="123">
      <t>ソクテイ</t>
    </rPh>
    <rPh sb="127" eb="129">
      <t>ヒヅケ</t>
    </rPh>
    <rPh sb="131" eb="133">
      <t>ショウジュン</t>
    </rPh>
    <rPh sb="134" eb="135">
      <t>フル</t>
    </rPh>
    <rPh sb="141" eb="142">
      <t>ジュン</t>
    </rPh>
    <rPh sb="145" eb="146">
      <t>ナラ</t>
    </rPh>
    <rPh sb="153" eb="155">
      <t>ショウジュン</t>
    </rPh>
    <rPh sb="159" eb="161">
      <t>バアイ</t>
    </rPh>
    <rPh sb="180" eb="182">
      <t>ヒョウジ</t>
    </rPh>
    <phoneticPr fontId="1"/>
  </si>
  <si>
    <r>
      <t xml:space="preserve">IGF-I
</t>
    </r>
    <r>
      <rPr>
        <sz val="10"/>
        <rFont val="ＭＳ Ｐゴシック"/>
        <family val="3"/>
        <charset val="128"/>
      </rPr>
      <t>(ng/ml)</t>
    </r>
    <phoneticPr fontId="1"/>
  </si>
  <si>
    <t>IGF-I
(ng/ml)</t>
    <phoneticPr fontId="1"/>
  </si>
  <si>
    <t>IGF-I SDS</t>
    <phoneticPr fontId="1"/>
  </si>
  <si>
    <t>IGF-I percentile</t>
    <phoneticPr fontId="1"/>
  </si>
  <si>
    <t>IGF-I ng/ml</t>
    <phoneticPr fontId="1"/>
  </si>
  <si>
    <t>性</t>
    <rPh sb="0" eb="1">
      <t>セイ</t>
    </rPh>
    <phoneticPr fontId="1"/>
  </si>
  <si>
    <t>生年月日</t>
    <rPh sb="0" eb="2">
      <t>セイネン</t>
    </rPh>
    <rPh sb="2" eb="4">
      <t>ガッピ</t>
    </rPh>
    <phoneticPr fontId="1"/>
  </si>
  <si>
    <t>検査日</t>
    <rPh sb="0" eb="3">
      <t>ケンサビ</t>
    </rPh>
    <phoneticPr fontId="1"/>
  </si>
  <si>
    <t>IGF-I</t>
    <phoneticPr fontId="1"/>
  </si>
  <si>
    <t>L</t>
    <phoneticPr fontId="1"/>
  </si>
  <si>
    <t>M</t>
    <phoneticPr fontId="1"/>
  </si>
  <si>
    <t>S</t>
    <phoneticPr fontId="1"/>
  </si>
  <si>
    <t>percentile</t>
    <phoneticPr fontId="1"/>
  </si>
  <si>
    <t>SDS</t>
    <phoneticPr fontId="1"/>
  </si>
  <si>
    <t>大薗恵一、田中敏章、横谷進、加藤則子、伊藤善也、立花克彦、杉原茂孝、長谷川奉延、大関武彦、加藤則子、村田光範、神崎晋、木下英一、安蔵慎、磯島豪、井ノ口美香子、鈴木滋</t>
    <rPh sb="0" eb="2">
      <t>オオゾノ</t>
    </rPh>
    <rPh sb="2" eb="4">
      <t>ケイイチ</t>
    </rPh>
    <rPh sb="5" eb="7">
      <t>タナカ</t>
    </rPh>
    <rPh sb="7" eb="9">
      <t>トシアキ</t>
    </rPh>
    <rPh sb="10" eb="12">
      <t>ヨコヤ</t>
    </rPh>
    <rPh sb="12" eb="13">
      <t>ススム</t>
    </rPh>
    <rPh sb="14" eb="16">
      <t>カトウ</t>
    </rPh>
    <rPh sb="16" eb="18">
      <t>ノリコ</t>
    </rPh>
    <rPh sb="19" eb="23">
      <t>イトウ</t>
    </rPh>
    <rPh sb="24" eb="26">
      <t>タチバナ</t>
    </rPh>
    <rPh sb="26" eb="28">
      <t>カツヒコ</t>
    </rPh>
    <rPh sb="29" eb="31">
      <t>スギハラ</t>
    </rPh>
    <rPh sb="31" eb="33">
      <t>シゲタカ</t>
    </rPh>
    <rPh sb="34" eb="37">
      <t>ハセガワ</t>
    </rPh>
    <rPh sb="37" eb="38">
      <t>ミツグ</t>
    </rPh>
    <rPh sb="38" eb="39">
      <t>ススム</t>
    </rPh>
    <rPh sb="40" eb="42">
      <t>オオゼキ</t>
    </rPh>
    <rPh sb="42" eb="44">
      <t>タケヒコ</t>
    </rPh>
    <rPh sb="50" eb="52">
      <t>ムラタ</t>
    </rPh>
    <rPh sb="52" eb="53">
      <t>ヒカリ</t>
    </rPh>
    <rPh sb="68" eb="70">
      <t>イソジマ</t>
    </rPh>
    <rPh sb="70" eb="71">
      <t>ツヨシ</t>
    </rPh>
    <phoneticPr fontId="1"/>
  </si>
  <si>
    <t>身長SDS</t>
    <rPh sb="0" eb="2">
      <t>シンチョウ</t>
    </rPh>
    <phoneticPr fontId="1"/>
  </si>
  <si>
    <t>身長SDSは17歳6ヶ月まで計算するのを基本としていますが、小児慢性特定疾病では18歳未満の基準身長を定めていますので、「小児慢性特定疾病意見書記載項目計算」シートでは18歳未満まで身長SDSを表示するように設定しています。</t>
    <rPh sb="0" eb="2">
      <t>シンチョウ</t>
    </rPh>
    <rPh sb="8" eb="9">
      <t>サイ</t>
    </rPh>
    <rPh sb="11" eb="12">
      <t>ゲツ</t>
    </rPh>
    <rPh sb="14" eb="16">
      <t>ケイサン</t>
    </rPh>
    <rPh sb="20" eb="22">
      <t>キホン</t>
    </rPh>
    <rPh sb="30" eb="32">
      <t>ショウニ</t>
    </rPh>
    <rPh sb="32" eb="34">
      <t>マンセイ</t>
    </rPh>
    <rPh sb="34" eb="36">
      <t>トクテイ</t>
    </rPh>
    <rPh sb="36" eb="38">
      <t>シッペイ</t>
    </rPh>
    <rPh sb="42" eb="43">
      <t>サイ</t>
    </rPh>
    <rPh sb="43" eb="45">
      <t>ミマン</t>
    </rPh>
    <rPh sb="46" eb="48">
      <t>キジュン</t>
    </rPh>
    <rPh sb="48" eb="50">
      <t>シンチョウ</t>
    </rPh>
    <rPh sb="51" eb="52">
      <t>サダ</t>
    </rPh>
    <rPh sb="61" eb="63">
      <t>ショウニ</t>
    </rPh>
    <rPh sb="63" eb="65">
      <t>マンセイ</t>
    </rPh>
    <rPh sb="65" eb="67">
      <t>トクテイ</t>
    </rPh>
    <rPh sb="67" eb="69">
      <t>シッペイ</t>
    </rPh>
    <rPh sb="69" eb="72">
      <t>イケンショ</t>
    </rPh>
    <rPh sb="72" eb="74">
      <t>キサイ</t>
    </rPh>
    <rPh sb="74" eb="76">
      <t>コウモク</t>
    </rPh>
    <rPh sb="76" eb="78">
      <t>ケイサン</t>
    </rPh>
    <rPh sb="86" eb="87">
      <t>サイ</t>
    </rPh>
    <rPh sb="87" eb="89">
      <t>ミマン</t>
    </rPh>
    <rPh sb="91" eb="93">
      <t>シンチョウ</t>
    </rPh>
    <rPh sb="97" eb="99">
      <t>ヒョウジ</t>
    </rPh>
    <rPh sb="104" eb="106">
      <t>セッテイ</t>
    </rPh>
    <phoneticPr fontId="1"/>
  </si>
  <si>
    <t>1．10歳女児でIGF-I %ileとSDSを計算できないプログラムミスを解消しました。</t>
  </si>
  <si>
    <t>2．全シートに体重SDSを求める列を設けました。</t>
  </si>
  <si>
    <t>3．「data sheet」にIGF-I %ileとSDSを求める列を加えました。</t>
  </si>
  <si>
    <t>4．小児慢性特定疾病意見書記載項目計算 シートにIGF-I %ileとSDSを計算する項目を加えました。</t>
  </si>
  <si>
    <t>v3.3</t>
    <phoneticPr fontId="1"/>
  </si>
  <si>
    <t>v3.2の4で説明しましたようにシート「小児慢性特定疾病意見書記載項目計算」にIGFｰIの計算機能を加えました。しかしながら、SDSの欄にパーセンタイルが、パーセンタイルの欄にSDSが表示されていましたので、修正しました。</t>
    <rPh sb="7" eb="9">
      <t>セツメイ</t>
    </rPh>
    <rPh sb="45" eb="47">
      <t>ケイサン</t>
    </rPh>
    <rPh sb="47" eb="49">
      <t>キノウ</t>
    </rPh>
    <rPh sb="50" eb="51">
      <t>クワ</t>
    </rPh>
    <rPh sb="67" eb="68">
      <t>ラン</t>
    </rPh>
    <rPh sb="86" eb="87">
      <t>ラン</t>
    </rPh>
    <rPh sb="92" eb="94">
      <t>ヒョウジ</t>
    </rPh>
    <rPh sb="104" eb="106">
      <t>シュウセイ</t>
    </rPh>
    <phoneticPr fontId="1"/>
  </si>
  <si>
    <t>5．「縦断解析成長率計算」で計測値の1行目（8行）と2行目（9行）間の成長率を正しく求められない誤りを修正しました。</t>
    <rPh sb="3" eb="5">
      <t>ジュウダン</t>
    </rPh>
    <rPh sb="5" eb="7">
      <t>カイセキ</t>
    </rPh>
    <rPh sb="7" eb="10">
      <t>セイチョウリツ</t>
    </rPh>
    <rPh sb="10" eb="12">
      <t>ケイサン</t>
    </rPh>
    <rPh sb="14" eb="17">
      <t>ケイソクチ</t>
    </rPh>
    <rPh sb="19" eb="21">
      <t>ギョウメ</t>
    </rPh>
    <rPh sb="23" eb="24">
      <t>ギョウ</t>
    </rPh>
    <rPh sb="27" eb="29">
      <t>ギョウメ</t>
    </rPh>
    <rPh sb="31" eb="32">
      <t>ギョウ</t>
    </rPh>
    <rPh sb="33" eb="34">
      <t>カン</t>
    </rPh>
    <rPh sb="35" eb="38">
      <t>セイチョウリツ</t>
    </rPh>
    <rPh sb="39" eb="40">
      <t>タダ</t>
    </rPh>
    <rPh sb="42" eb="43">
      <t>モト</t>
    </rPh>
    <rPh sb="48" eb="49">
      <t>アヤマ</t>
    </rPh>
    <rPh sb="51" eb="53">
      <t>シュウセイ</t>
    </rPh>
    <phoneticPr fontId="1"/>
  </si>
  <si>
    <t>1．体重SDSの計算において15.5歳より大きい年齢のL値を計算する式に誤りがありましたので、修正しました。</t>
    <phoneticPr fontId="1"/>
  </si>
  <si>
    <t>ver3.3   2018/5/7  ファイル名：taikakushisu_v3.3.xlsx</t>
    <rPh sb="23" eb="24">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</si>
</sst>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
    <numFmt numFmtId="177" formatCode="0.000_ "/>
    <numFmt numFmtId="178" formatCode="0.00_ "/>
    <numFmt numFmtId="179" formatCode="0_);[Red]\(0\)"/>
    <numFmt numFmtId="180" formatCode="0_ "/>
    <numFmt numFmtId="181" formatCode="0.000000000_ "/>
    <numFmt numFmtId="182" formatCode="0.0000000000_ "/>
    <numFmt numFmtId="183" formatCode="0.00000E+00"/>
    <numFmt numFmtId="184" formatCode="0.00000000_ "/>
    <numFmt numFmtId="185" formatCode="0.000000_ "/>
    <numFmt numFmtId="186" formatCode="0.0"/>
    <numFmt numFmtId="187" formatCode="0.0000_ "/>
    <numFmt numFmtId="188" formatCode="0.0000000"/>
    <numFmt numFmtId="189" formatCode="0.0000"/>
    <numFmt numFmtId="190" formatCode="0.00000000000000000"/>
  </numFmts>
  <fonts count="17" x14ac:knownFonts="1">
    <font>
      <sz val="11"/>
      <name val="ＭＳ Ｐゴシック"/>
      <family val="3"/>
      <charset val="128"/>
    </font>
    <font>
      <sz val="6"/>
      <name val="ＭＳ Ｐゴシック"/>
      <family val="3"/>
      <charset val="128"/>
    </font>
    <font>
      <sz val="11"/>
      <name val="Times New Roman"/>
      <family val="1"/>
    </font>
    <font>
      <sz val="16"/>
      <name val="ＭＳ Ｐゴシック"/>
      <family val="3"/>
      <charset val="128"/>
    </font>
    <font>
      <sz val="9"/>
      <color indexed="8"/>
      <name val="ＭＳ 明朝"/>
      <family val="1"/>
      <charset val="128"/>
    </font>
    <font>
      <sz val="9"/>
      <color indexed="8"/>
      <name val="Century"/>
      <family val="1"/>
    </font>
    <font>
      <sz val="6"/>
      <name val="ＭＳ Ｐゴシック"/>
      <family val="3"/>
      <charset val="128"/>
    </font>
    <font>
      <sz val="11"/>
      <color indexed="8"/>
      <name val="Century"/>
      <family val="1"/>
    </font>
    <font>
      <sz val="10"/>
      <name val="ＭＳ Ｐゴシック"/>
      <family val="3"/>
      <charset val="128"/>
    </font>
    <font>
      <sz val="14"/>
      <name val="ＭＳ Ｐゴシック"/>
      <family val="3"/>
      <charset val="128"/>
    </font>
    <font>
      <sz val="12"/>
      <name val="ＭＳ Ｐゴシック"/>
      <family val="3"/>
      <charset val="128"/>
    </font>
    <font>
      <sz val="9"/>
      <color theme="1"/>
      <name val="Century Gothic"/>
      <family val="2"/>
    </font>
    <font>
      <sz val="9"/>
      <color theme="1"/>
      <name val="ＭＳ Ｐゴシック"/>
      <family val="3"/>
      <charset val="128"/>
      <scheme val="minor"/>
    </font>
    <font>
      <sz val="9"/>
      <color theme="1"/>
      <name val="ＭＳ 明朝"/>
      <family val="1"/>
      <charset val="128"/>
    </font>
    <font>
      <sz val="9"/>
      <color theme="1"/>
      <name val="Century"/>
      <family val="1"/>
    </font>
    <font>
      <sz val="11"/>
      <color theme="1"/>
      <name val="Century"/>
      <family val="1"/>
    </font>
    <font>
      <sz val="11"/>
      <color theme="1"/>
      <name val="ＭＳ 明朝"/>
      <family val="1"/>
      <charset val="128"/>
    </font>
  </fonts>
  <fills count="14">
    <fill>
      <patternFill patternType="none"/>
    </fill>
    <fill>
      <patternFill patternType="gray125"/>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40"/>
        <bgColor indexed="64"/>
      </patternFill>
    </fill>
    <fill>
      <patternFill patternType="solid">
        <fgColor indexed="14"/>
        <bgColor indexed="64"/>
      </patternFill>
    </fill>
    <fill>
      <patternFill patternType="solid">
        <fgColor indexed="27"/>
        <bgColor indexed="64"/>
      </patternFill>
    </fill>
    <fill>
      <patternFill patternType="solid">
        <fgColor indexed="41"/>
        <bgColor indexed="64"/>
      </patternFill>
    </fill>
    <fill>
      <patternFill patternType="solid">
        <fgColor indexed="26"/>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8" tint="0.79998168889431442"/>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10"/>
      </left>
      <right style="thick">
        <color indexed="10"/>
      </right>
      <top style="thick">
        <color indexed="10"/>
      </top>
      <bottom style="thick">
        <color indexed="10"/>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89">
    <xf numFmtId="0" fontId="0" fillId="0" borderId="0" xfId="0">
      <alignment vertical="center"/>
    </xf>
    <xf numFmtId="0" fontId="0" fillId="0" borderId="0" xfId="0" applyProtection="1">
      <alignment vertical="center"/>
      <protection hidden="1"/>
    </xf>
    <xf numFmtId="176" fontId="0" fillId="0" borderId="0" xfId="0" applyNumberFormat="1" applyProtection="1">
      <alignment vertical="center"/>
      <protection hidden="1"/>
    </xf>
    <xf numFmtId="177" fontId="0" fillId="0" borderId="0" xfId="0" applyNumberFormat="1">
      <alignment vertical="center"/>
    </xf>
    <xf numFmtId="0" fontId="0" fillId="0" borderId="0" xfId="0" applyProtection="1">
      <alignment vertical="center"/>
    </xf>
    <xf numFmtId="0" fontId="0" fillId="0" borderId="0" xfId="0" applyAlignment="1" applyProtection="1">
      <alignment horizontal="center" vertical="center" wrapText="1"/>
    </xf>
    <xf numFmtId="176" fontId="0" fillId="0" borderId="0" xfId="0" applyNumberFormat="1" applyAlignment="1" applyProtection="1">
      <alignment horizontal="center" vertical="center" wrapText="1"/>
    </xf>
    <xf numFmtId="0" fontId="0" fillId="0" borderId="0" xfId="0" applyAlignment="1" applyProtection="1">
      <alignment horizontal="center" vertical="center" wrapText="1"/>
      <protection hidden="1"/>
    </xf>
    <xf numFmtId="178" fontId="0" fillId="0" borderId="0" xfId="0" applyNumberFormat="1" applyProtection="1">
      <alignment vertical="center"/>
      <protection hidden="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5" xfId="0" applyBorder="1">
      <alignment vertical="center"/>
    </xf>
    <xf numFmtId="0" fontId="0" fillId="2" borderId="6" xfId="0" applyFill="1" applyBorder="1">
      <alignment vertical="center"/>
    </xf>
    <xf numFmtId="0" fontId="0" fillId="0" borderId="7" xfId="0" applyBorder="1">
      <alignment vertical="center"/>
    </xf>
    <xf numFmtId="0" fontId="0" fillId="0" borderId="8" xfId="0" applyBorder="1">
      <alignment vertical="center"/>
    </xf>
    <xf numFmtId="0" fontId="0" fillId="3" borderId="1" xfId="0" applyFill="1" applyBorder="1">
      <alignment vertical="center"/>
    </xf>
    <xf numFmtId="0" fontId="0" fillId="0" borderId="6" xfId="0" applyBorder="1">
      <alignment vertical="center"/>
    </xf>
    <xf numFmtId="0" fontId="0" fillId="0" borderId="0" xfId="0" applyAlignment="1" applyProtection="1">
      <alignment vertical="center" wrapText="1"/>
    </xf>
    <xf numFmtId="0" fontId="0" fillId="4" borderId="0" xfId="0" applyFill="1" applyProtection="1">
      <alignment vertical="center"/>
      <protection locked="0"/>
    </xf>
    <xf numFmtId="14" fontId="0" fillId="4" borderId="0" xfId="0" applyNumberFormat="1" applyFill="1" applyProtection="1">
      <alignment vertical="center"/>
      <protection locked="0"/>
    </xf>
    <xf numFmtId="176" fontId="0" fillId="4" borderId="0" xfId="0" applyNumberFormat="1" applyFill="1" applyProtection="1">
      <alignment vertical="center"/>
      <protection locked="0"/>
    </xf>
    <xf numFmtId="0" fontId="0" fillId="0" borderId="0" xfId="0" applyProtection="1">
      <alignment vertical="center"/>
      <protection locked="0"/>
    </xf>
    <xf numFmtId="176" fontId="0" fillId="0" borderId="0" xfId="0" applyNumberFormat="1" applyProtection="1">
      <alignment vertical="center"/>
      <protection locked="0"/>
    </xf>
    <xf numFmtId="178" fontId="0" fillId="0" borderId="0" xfId="0" applyNumberFormat="1" applyProtection="1">
      <alignment vertical="center"/>
      <protection locked="0"/>
    </xf>
    <xf numFmtId="179" fontId="0" fillId="0" borderId="0" xfId="0" applyNumberFormat="1" applyProtection="1">
      <alignment vertical="center"/>
      <protection locked="0"/>
    </xf>
    <xf numFmtId="0" fontId="0" fillId="0" borderId="0" xfId="0" applyAlignment="1" applyProtection="1">
      <alignment horizontal="left" vertical="top" wrapText="1"/>
    </xf>
    <xf numFmtId="0" fontId="0" fillId="0" borderId="0" xfId="0" applyAlignment="1" applyProtection="1">
      <alignment horizontal="right" vertical="center"/>
    </xf>
    <xf numFmtId="0" fontId="0" fillId="0" borderId="0" xfId="0" applyAlignment="1" applyProtection="1">
      <alignment horizontal="right" vertical="top"/>
    </xf>
    <xf numFmtId="180" fontId="0" fillId="0" borderId="0" xfId="0" applyNumberFormat="1" applyProtection="1">
      <alignment vertical="center"/>
      <protection locked="0"/>
    </xf>
    <xf numFmtId="0" fontId="0" fillId="0" borderId="0" xfId="0" applyAlignment="1" applyProtection="1">
      <alignment horizontal="center" vertical="center" wrapText="1"/>
      <protection locked="0"/>
    </xf>
    <xf numFmtId="0" fontId="0" fillId="0" borderId="0" xfId="0" applyAlignment="1" applyProtection="1">
      <alignment vertical="center" wrapText="1"/>
      <protection locked="0"/>
    </xf>
    <xf numFmtId="180" fontId="0" fillId="0" borderId="0" xfId="0" applyNumberFormat="1" applyAlignment="1" applyProtection="1">
      <alignment horizontal="center" vertical="center"/>
      <protection locked="0"/>
    </xf>
    <xf numFmtId="11" fontId="0" fillId="0" borderId="0" xfId="0" applyNumberFormat="1" applyProtection="1">
      <alignment vertical="center"/>
      <protection locked="0"/>
    </xf>
    <xf numFmtId="0" fontId="3" fillId="0" borderId="9" xfId="0" applyFont="1" applyBorder="1">
      <alignment vertical="center"/>
    </xf>
    <xf numFmtId="187" fontId="0" fillId="0" borderId="0" xfId="0" applyNumberFormat="1" applyProtection="1">
      <alignment vertical="center"/>
      <protection hidden="1"/>
    </xf>
    <xf numFmtId="188" fontId="0" fillId="0" borderId="0" xfId="0" applyNumberFormat="1" applyProtection="1">
      <alignment vertical="center"/>
      <protection locked="0"/>
    </xf>
    <xf numFmtId="14" fontId="0" fillId="0" borderId="0" xfId="0" applyNumberFormat="1" applyProtection="1">
      <alignment vertical="center"/>
      <protection locked="0"/>
    </xf>
    <xf numFmtId="0" fontId="0" fillId="0" borderId="0" xfId="0" applyNumberFormat="1" applyProtection="1">
      <alignment vertical="center"/>
      <protection hidden="1"/>
    </xf>
    <xf numFmtId="0" fontId="3" fillId="0" borderId="9" xfId="0" applyFont="1" applyBorder="1" applyAlignment="1" applyProtection="1">
      <alignment horizontal="center" vertical="center"/>
      <protection hidden="1"/>
    </xf>
    <xf numFmtId="2" fontId="3" fillId="0" borderId="9" xfId="0" applyNumberFormat="1" applyFont="1" applyBorder="1" applyAlignment="1" applyProtection="1">
      <alignment horizontal="center" vertical="center"/>
      <protection hidden="1"/>
    </xf>
    <xf numFmtId="186" fontId="3" fillId="0" borderId="9" xfId="0" applyNumberFormat="1" applyFont="1" applyBorder="1" applyAlignment="1" applyProtection="1">
      <alignment horizontal="center" vertical="center"/>
      <protection hidden="1"/>
    </xf>
    <xf numFmtId="178" fontId="0" fillId="0" borderId="0" xfId="0" applyNumberFormat="1" applyAlignment="1" applyProtection="1">
      <alignment horizontal="center" vertical="center"/>
      <protection hidden="1"/>
    </xf>
    <xf numFmtId="0" fontId="0" fillId="0" borderId="0" xfId="0" applyFill="1" applyProtection="1">
      <alignment vertical="center"/>
    </xf>
    <xf numFmtId="0" fontId="0" fillId="0" borderId="0" xfId="0" applyFill="1" applyAlignment="1" applyProtection="1">
      <alignment vertical="center" wrapText="1"/>
    </xf>
    <xf numFmtId="0" fontId="0" fillId="0" borderId="0" xfId="0" applyFill="1" applyAlignment="1" applyProtection="1">
      <alignment vertical="top" wrapText="1"/>
    </xf>
    <xf numFmtId="0" fontId="0" fillId="0" borderId="0" xfId="0" applyFill="1">
      <alignment vertical="center"/>
    </xf>
    <xf numFmtId="0" fontId="0" fillId="5" borderId="0" xfId="0" applyFill="1" applyProtection="1">
      <alignment vertical="center"/>
    </xf>
    <xf numFmtId="181" fontId="0" fillId="0" borderId="0" xfId="0" applyNumberFormat="1" applyProtection="1">
      <alignment vertical="center"/>
    </xf>
    <xf numFmtId="0" fontId="0" fillId="6" borderId="0" xfId="0" applyFill="1" applyProtection="1">
      <alignment vertical="center"/>
    </xf>
    <xf numFmtId="182" fontId="0" fillId="0" borderId="0" xfId="0" applyNumberFormat="1" applyProtection="1">
      <alignment vertical="center"/>
    </xf>
    <xf numFmtId="183" fontId="0" fillId="0" borderId="0" xfId="0" applyNumberFormat="1" applyProtection="1">
      <alignment vertical="center"/>
    </xf>
    <xf numFmtId="184" fontId="0" fillId="0" borderId="0" xfId="0" applyNumberFormat="1" applyProtection="1">
      <alignment vertical="center"/>
    </xf>
    <xf numFmtId="185" fontId="0" fillId="0" borderId="0" xfId="0" applyNumberFormat="1" applyProtection="1">
      <alignment vertical="center"/>
    </xf>
    <xf numFmtId="11" fontId="0" fillId="0" borderId="0" xfId="0" applyNumberFormat="1" applyProtection="1">
      <alignment vertical="center"/>
    </xf>
    <xf numFmtId="180" fontId="0" fillId="11" borderId="0" xfId="0" applyNumberFormat="1" applyFill="1" applyAlignment="1" applyProtection="1">
      <alignment horizontal="center" vertical="center"/>
    </xf>
    <xf numFmtId="180" fontId="0" fillId="0" borderId="0" xfId="0" applyNumberFormat="1" applyProtection="1">
      <alignment vertical="center"/>
    </xf>
    <xf numFmtId="176" fontId="0" fillId="0" borderId="0" xfId="0" applyNumberFormat="1" applyProtection="1">
      <alignment vertical="center"/>
    </xf>
    <xf numFmtId="178" fontId="0" fillId="0" borderId="0" xfId="0" applyNumberFormat="1" applyAlignment="1" applyProtection="1">
      <alignment horizontal="center" vertical="center" wrapText="1"/>
    </xf>
    <xf numFmtId="178" fontId="0" fillId="0" borderId="0" xfId="0" applyNumberFormat="1" applyProtection="1">
      <alignment vertical="center"/>
    </xf>
    <xf numFmtId="178" fontId="0" fillId="0" borderId="0" xfId="0" applyNumberFormat="1" applyAlignment="1" applyProtection="1">
      <alignment horizontal="center" vertical="center"/>
    </xf>
    <xf numFmtId="0" fontId="0" fillId="0" borderId="1" xfId="0" applyBorder="1" applyProtection="1">
      <alignment vertical="center"/>
      <protection hidden="1"/>
    </xf>
    <xf numFmtId="0" fontId="0" fillId="0" borderId="2" xfId="0" applyBorder="1" applyProtection="1">
      <alignment vertical="center"/>
      <protection hidden="1"/>
    </xf>
    <xf numFmtId="0" fontId="0" fillId="0" borderId="3" xfId="0" applyBorder="1" applyProtection="1">
      <alignment vertical="center"/>
      <protection hidden="1"/>
    </xf>
    <xf numFmtId="0" fontId="0" fillId="0" borderId="4" xfId="0" applyBorder="1" applyProtection="1">
      <alignment vertical="center"/>
      <protection hidden="1"/>
    </xf>
    <xf numFmtId="0" fontId="0" fillId="0" borderId="0" xfId="0" applyBorder="1" applyProtection="1">
      <alignment vertical="center"/>
      <protection hidden="1"/>
    </xf>
    <xf numFmtId="0" fontId="0" fillId="0" borderId="5" xfId="0" applyBorder="1" applyProtection="1">
      <alignment vertical="center"/>
      <protection hidden="1"/>
    </xf>
    <xf numFmtId="0" fontId="0" fillId="5" borderId="0" xfId="0" applyFill="1" applyProtection="1">
      <alignment vertical="center"/>
      <protection hidden="1"/>
    </xf>
    <xf numFmtId="0" fontId="0" fillId="0" borderId="0" xfId="0" applyNumberFormat="1" applyFill="1" applyBorder="1" applyProtection="1">
      <alignment vertical="center"/>
      <protection hidden="1"/>
    </xf>
    <xf numFmtId="11" fontId="0" fillId="0" borderId="0" xfId="0" applyNumberFormat="1" applyFill="1" applyBorder="1" applyProtection="1">
      <alignment vertical="center"/>
      <protection hidden="1"/>
    </xf>
    <xf numFmtId="11" fontId="0" fillId="0" borderId="0" xfId="0" applyNumberFormat="1" applyBorder="1" applyProtection="1">
      <alignment vertical="center"/>
      <protection hidden="1"/>
    </xf>
    <xf numFmtId="0" fontId="0" fillId="0" borderId="10" xfId="0" applyBorder="1" applyProtection="1">
      <alignment vertical="center"/>
      <protection hidden="1"/>
    </xf>
    <xf numFmtId="11" fontId="0" fillId="7" borderId="0" xfId="0" applyNumberFormat="1" applyFill="1" applyBorder="1" applyProtection="1">
      <alignment vertical="center"/>
      <protection hidden="1"/>
    </xf>
    <xf numFmtId="11" fontId="0" fillId="8" borderId="0" xfId="0" applyNumberFormat="1" applyFill="1" applyBorder="1" applyProtection="1">
      <alignment vertical="center"/>
      <protection hidden="1"/>
    </xf>
    <xf numFmtId="0" fontId="0" fillId="6" borderId="0" xfId="0" applyFill="1" applyProtection="1">
      <alignment vertical="center"/>
      <protection hidden="1"/>
    </xf>
    <xf numFmtId="0" fontId="0" fillId="0" borderId="0" xfId="0" applyFill="1" applyBorder="1" applyProtection="1">
      <alignment vertical="center"/>
      <protection hidden="1"/>
    </xf>
    <xf numFmtId="11" fontId="0" fillId="11" borderId="0" xfId="0" applyNumberFormat="1" applyFill="1" applyBorder="1" applyProtection="1">
      <alignment vertical="center"/>
      <protection hidden="1"/>
    </xf>
    <xf numFmtId="0" fontId="0" fillId="9" borderId="0" xfId="0" applyFill="1" applyBorder="1" applyProtection="1">
      <alignment vertical="center"/>
      <protection hidden="1"/>
    </xf>
    <xf numFmtId="2" fontId="0" fillId="0" borderId="0" xfId="0" applyNumberFormat="1" applyBorder="1" applyAlignment="1" applyProtection="1">
      <alignment horizontal="center"/>
      <protection hidden="1"/>
    </xf>
    <xf numFmtId="11" fontId="0" fillId="9" borderId="0" xfId="0" applyNumberFormat="1" applyFill="1" applyBorder="1" applyProtection="1">
      <alignment vertical="center"/>
      <protection hidden="1"/>
    </xf>
    <xf numFmtId="0" fontId="0" fillId="0" borderId="6" xfId="0" applyBorder="1" applyProtection="1">
      <alignment vertical="center"/>
      <protection hidden="1"/>
    </xf>
    <xf numFmtId="0" fontId="0" fillId="0" borderId="7" xfId="0" applyBorder="1" applyProtection="1">
      <alignment vertical="center"/>
      <protection hidden="1"/>
    </xf>
    <xf numFmtId="0" fontId="0" fillId="0" borderId="8" xfId="0" applyBorder="1" applyProtection="1">
      <alignment vertical="center"/>
      <protection hidden="1"/>
    </xf>
    <xf numFmtId="0" fontId="0" fillId="9" borderId="0" xfId="0" applyNumberFormat="1" applyFill="1" applyBorder="1" applyProtection="1">
      <alignment vertical="center"/>
      <protection hidden="1"/>
    </xf>
    <xf numFmtId="0" fontId="0" fillId="11" borderId="0" xfId="0" applyNumberFormat="1" applyFill="1" applyBorder="1" applyProtection="1">
      <alignment vertical="center"/>
      <protection hidden="1"/>
    </xf>
    <xf numFmtId="11" fontId="0" fillId="0" borderId="0" xfId="0" applyNumberFormat="1" applyProtection="1">
      <alignment vertical="center"/>
      <protection hidden="1"/>
    </xf>
    <xf numFmtId="0" fontId="2" fillId="0" borderId="0" xfId="0" applyFont="1" applyFill="1" applyProtection="1">
      <alignment vertical="center"/>
      <protection hidden="1"/>
    </xf>
    <xf numFmtId="0" fontId="0" fillId="10" borderId="0" xfId="0" applyFill="1" applyBorder="1" applyProtection="1">
      <alignment vertical="center"/>
      <protection hidden="1"/>
    </xf>
    <xf numFmtId="0" fontId="0" fillId="11" borderId="0" xfId="0" applyFill="1" applyProtection="1">
      <alignment vertical="center"/>
      <protection hidden="1"/>
    </xf>
    <xf numFmtId="0" fontId="3" fillId="0" borderId="9" xfId="0" applyFont="1" applyBorder="1" applyAlignment="1">
      <alignment horizontal="center" vertical="center"/>
    </xf>
    <xf numFmtId="0" fontId="0" fillId="0" borderId="11" xfId="0" applyBorder="1" applyProtection="1">
      <alignment vertical="center"/>
      <protection locked="0"/>
    </xf>
    <xf numFmtId="0" fontId="0" fillId="0" borderId="12" xfId="0" applyBorder="1" applyProtection="1">
      <alignment vertical="center"/>
      <protection locked="0"/>
    </xf>
    <xf numFmtId="0" fontId="0" fillId="0" borderId="13"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4" borderId="14" xfId="0" applyFill="1" applyBorder="1" applyProtection="1">
      <alignment vertical="center"/>
      <protection locked="0"/>
    </xf>
    <xf numFmtId="0" fontId="0" fillId="4" borderId="15" xfId="0" applyFill="1" applyBorder="1" applyProtection="1">
      <alignment vertical="center"/>
      <protection locked="0"/>
    </xf>
    <xf numFmtId="14" fontId="0" fillId="4" borderId="15" xfId="0" applyNumberFormat="1" applyFill="1" applyBorder="1" applyProtection="1">
      <alignment vertical="center"/>
      <protection locked="0"/>
    </xf>
    <xf numFmtId="0" fontId="0" fillId="0" borderId="11" xfId="0" applyBorder="1" applyProtection="1">
      <alignment vertical="center"/>
    </xf>
    <xf numFmtId="0" fontId="0" fillId="0" borderId="12" xfId="0" applyBorder="1" applyProtection="1">
      <alignment vertical="center"/>
    </xf>
    <xf numFmtId="178" fontId="0" fillId="0" borderId="11" xfId="0" applyNumberFormat="1" applyBorder="1" applyProtection="1">
      <alignment vertical="center"/>
    </xf>
    <xf numFmtId="178" fontId="0" fillId="0" borderId="12" xfId="0" applyNumberFormat="1" applyBorder="1" applyAlignment="1" applyProtection="1">
      <alignment horizontal="center" vertical="center"/>
    </xf>
    <xf numFmtId="0" fontId="0" fillId="0" borderId="14" xfId="0" applyBorder="1" applyAlignment="1" applyProtection="1">
      <alignment horizontal="center" vertical="center" wrapText="1"/>
    </xf>
    <xf numFmtId="176" fontId="0" fillId="0" borderId="15" xfId="0" applyNumberFormat="1" applyBorder="1" applyAlignment="1" applyProtection="1">
      <alignment horizontal="center" vertical="center" wrapText="1"/>
    </xf>
    <xf numFmtId="178" fontId="0" fillId="0" borderId="14" xfId="0" applyNumberFormat="1" applyBorder="1" applyAlignment="1" applyProtection="1">
      <alignment horizontal="center" vertical="center" wrapText="1"/>
    </xf>
    <xf numFmtId="178" fontId="0" fillId="0" borderId="15" xfId="0" applyNumberFormat="1" applyBorder="1" applyAlignment="1" applyProtection="1">
      <alignment horizontal="center" vertical="center" wrapText="1"/>
    </xf>
    <xf numFmtId="0" fontId="0" fillId="0" borderId="15" xfId="0" applyBorder="1" applyAlignment="1" applyProtection="1">
      <alignment vertical="center" wrapText="1"/>
    </xf>
    <xf numFmtId="0" fontId="0" fillId="0" borderId="15" xfId="0" applyBorder="1" applyAlignment="1" applyProtection="1">
      <alignment horizontal="center" vertical="center" wrapText="1"/>
    </xf>
    <xf numFmtId="179" fontId="0" fillId="0" borderId="0" xfId="0" applyNumberFormat="1" applyAlignment="1" applyProtection="1">
      <alignment horizontal="center" vertical="center" wrapText="1"/>
      <protection hidden="1"/>
    </xf>
    <xf numFmtId="0" fontId="0" fillId="4" borderId="0" xfId="0" applyNumberFormat="1" applyFill="1" applyProtection="1">
      <alignment vertical="center"/>
      <protection locked="0"/>
    </xf>
    <xf numFmtId="176" fontId="0" fillId="0" borderId="0" xfId="0" applyNumberFormat="1" applyAlignment="1" applyProtection="1">
      <alignment horizontal="center" vertical="center"/>
      <protection hidden="1"/>
    </xf>
    <xf numFmtId="180" fontId="0" fillId="0" borderId="0" xfId="0" applyNumberFormat="1" applyProtection="1">
      <alignment vertical="center"/>
      <protection hidden="1"/>
    </xf>
    <xf numFmtId="0" fontId="0" fillId="0" borderId="16" xfId="0" applyBorder="1" applyProtection="1">
      <alignment vertical="center"/>
      <protection locked="0"/>
    </xf>
    <xf numFmtId="0" fontId="0" fillId="0" borderId="17" xfId="0" applyBorder="1" applyAlignment="1" applyProtection="1">
      <alignment horizontal="center" vertical="center" wrapText="1"/>
    </xf>
    <xf numFmtId="0" fontId="0" fillId="4" borderId="18" xfId="0" applyFill="1" applyBorder="1" applyAlignment="1" applyProtection="1">
      <alignment horizontal="center" vertical="center"/>
      <protection locked="0"/>
    </xf>
    <xf numFmtId="0" fontId="11" fillId="0" borderId="0" xfId="0" applyFont="1">
      <alignment vertical="center"/>
    </xf>
    <xf numFmtId="0" fontId="12" fillId="0" borderId="0" xfId="0" applyFont="1">
      <alignment vertical="center"/>
    </xf>
    <xf numFmtId="177" fontId="12" fillId="0" borderId="0" xfId="0" applyNumberFormat="1" applyFont="1">
      <alignment vertical="center"/>
    </xf>
    <xf numFmtId="0" fontId="0" fillId="0" borderId="0" xfId="0" applyFont="1">
      <alignment vertical="center"/>
    </xf>
    <xf numFmtId="0" fontId="13" fillId="0" borderId="0" xfId="0" applyFont="1">
      <alignment vertical="center"/>
    </xf>
    <xf numFmtId="0" fontId="13" fillId="0" borderId="19" xfId="0" applyFont="1" applyBorder="1" applyAlignment="1">
      <alignment horizontal="center" vertical="center"/>
    </xf>
    <xf numFmtId="177" fontId="14" fillId="0" borderId="20" xfId="0" applyNumberFormat="1" applyFont="1" applyBorder="1" applyAlignment="1">
      <alignment horizontal="center" vertical="center"/>
    </xf>
    <xf numFmtId="0" fontId="14" fillId="0" borderId="20" xfId="0" applyFont="1" applyBorder="1" applyAlignment="1">
      <alignment horizontal="center" vertical="center"/>
    </xf>
    <xf numFmtId="177" fontId="14" fillId="0" borderId="19" xfId="0" applyNumberFormat="1" applyFont="1" applyBorder="1" applyAlignment="1">
      <alignment horizontal="center" vertical="center"/>
    </xf>
    <xf numFmtId="0" fontId="15" fillId="0" borderId="20" xfId="0" applyFont="1" applyBorder="1" applyAlignment="1">
      <alignment horizontal="center" vertical="center"/>
    </xf>
    <xf numFmtId="0" fontId="16" fillId="0" borderId="20" xfId="0" applyFont="1" applyBorder="1" applyAlignment="1">
      <alignment horizontal="center" vertical="center"/>
    </xf>
    <xf numFmtId="0" fontId="14" fillId="0" borderId="5" xfId="0" applyFont="1" applyBorder="1" applyAlignment="1">
      <alignment horizontal="center" vertical="center"/>
    </xf>
    <xf numFmtId="177" fontId="14" fillId="0" borderId="0" xfId="0" applyNumberFormat="1" applyFont="1" applyBorder="1" applyAlignment="1">
      <alignment horizontal="center" vertical="center"/>
    </xf>
    <xf numFmtId="0" fontId="14" fillId="0" borderId="0" xfId="0" applyFont="1" applyBorder="1" applyAlignment="1">
      <alignment horizontal="center" vertical="center"/>
    </xf>
    <xf numFmtId="177" fontId="14" fillId="0" borderId="5" xfId="0" applyNumberFormat="1" applyFont="1" applyBorder="1" applyAlignment="1">
      <alignment horizontal="center" vertical="center"/>
    </xf>
    <xf numFmtId="0" fontId="15" fillId="0" borderId="0" xfId="0" applyFont="1" applyBorder="1" applyAlignment="1">
      <alignment horizontal="center" vertical="center"/>
    </xf>
    <xf numFmtId="0" fontId="14" fillId="0" borderId="8" xfId="0" applyFont="1" applyBorder="1" applyAlignment="1">
      <alignment horizontal="center" vertical="center"/>
    </xf>
    <xf numFmtId="177" fontId="14" fillId="0" borderId="7" xfId="0" applyNumberFormat="1" applyFont="1" applyBorder="1" applyAlignment="1">
      <alignment horizontal="center" vertical="center"/>
    </xf>
    <xf numFmtId="0" fontId="14" fillId="0" borderId="7" xfId="0" applyFont="1" applyBorder="1" applyAlignment="1">
      <alignment horizontal="center" vertical="center"/>
    </xf>
    <xf numFmtId="177" fontId="14" fillId="0" borderId="8" xfId="0" applyNumberFormat="1" applyFont="1" applyBorder="1" applyAlignment="1">
      <alignment horizontal="center" vertical="center"/>
    </xf>
    <xf numFmtId="0" fontId="15" fillId="0" borderId="7" xfId="0" applyFont="1" applyBorder="1" applyAlignment="1">
      <alignment horizontal="center" vertical="center"/>
    </xf>
    <xf numFmtId="0" fontId="0" fillId="0" borderId="0" xfId="0" applyAlignment="1"/>
    <xf numFmtId="176" fontId="0" fillId="0" borderId="0" xfId="0" applyNumberFormat="1" applyAlignment="1"/>
    <xf numFmtId="2" fontId="0" fillId="0" borderId="0" xfId="0" applyNumberFormat="1" applyProtection="1">
      <alignment vertical="center"/>
      <protection locked="0"/>
    </xf>
    <xf numFmtId="2" fontId="0" fillId="0" borderId="0" xfId="0" applyNumberFormat="1" applyAlignment="1" applyProtection="1">
      <alignment horizontal="center" vertical="center"/>
      <protection hidden="1"/>
    </xf>
    <xf numFmtId="0" fontId="0" fillId="0" borderId="21" xfId="0" applyNumberFormat="1" applyBorder="1" applyAlignment="1" applyProtection="1">
      <alignment horizontal="center" vertical="center"/>
      <protection locked="0"/>
    </xf>
    <xf numFmtId="0" fontId="0" fillId="0" borderId="22" xfId="0" applyNumberFormat="1" applyBorder="1" applyAlignment="1" applyProtection="1">
      <alignment horizontal="center" vertical="center"/>
      <protection locked="0"/>
    </xf>
    <xf numFmtId="186" fontId="0" fillId="0" borderId="0" xfId="0" applyNumberFormat="1" applyProtection="1">
      <alignment vertical="center"/>
      <protection locked="0"/>
    </xf>
    <xf numFmtId="2" fontId="0" fillId="0" borderId="0" xfId="0" applyNumberFormat="1" applyAlignment="1" applyProtection="1">
      <alignment horizontal="left" vertical="center"/>
      <protection hidden="1"/>
    </xf>
    <xf numFmtId="0" fontId="0" fillId="0" borderId="0" xfId="0" applyAlignment="1" applyProtection="1">
      <alignment horizontal="center" vertical="center"/>
      <protection locked="0"/>
    </xf>
    <xf numFmtId="0" fontId="3" fillId="0" borderId="0" xfId="0" applyFont="1" applyBorder="1" applyAlignment="1" applyProtection="1">
      <alignment horizontal="center" vertical="center"/>
      <protection locked="0"/>
    </xf>
    <xf numFmtId="2" fontId="3" fillId="0" borderId="0" xfId="0" applyNumberFormat="1" applyFont="1" applyBorder="1" applyAlignment="1" applyProtection="1">
      <alignment horizontal="center" vertical="center"/>
      <protection hidden="1"/>
    </xf>
    <xf numFmtId="186" fontId="3" fillId="0" borderId="0" xfId="0" applyNumberFormat="1" applyFont="1" applyBorder="1" applyAlignment="1" applyProtection="1">
      <alignment horizontal="center" vertical="center"/>
      <protection hidden="1"/>
    </xf>
    <xf numFmtId="0" fontId="0" fillId="0" borderId="18"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9" xfId="0" applyBorder="1" applyAlignment="1"/>
    <xf numFmtId="176" fontId="0" fillId="0" borderId="9" xfId="0" applyNumberFormat="1" applyBorder="1" applyAlignment="1"/>
    <xf numFmtId="178" fontId="0" fillId="0" borderId="9" xfId="0" applyNumberFormat="1" applyBorder="1" applyAlignment="1"/>
    <xf numFmtId="0" fontId="0" fillId="0" borderId="0" xfId="0" quotePrefix="1" applyProtection="1">
      <alignment vertical="center"/>
    </xf>
    <xf numFmtId="0" fontId="0" fillId="0" borderId="0" xfId="0" quotePrefix="1" applyProtection="1">
      <alignment vertical="center"/>
      <protection locked="0"/>
    </xf>
    <xf numFmtId="189" fontId="3" fillId="0" borderId="9" xfId="0" applyNumberFormat="1" applyFont="1" applyBorder="1" applyAlignment="1" applyProtection="1">
      <alignment horizontal="center" vertical="center"/>
      <protection hidden="1"/>
    </xf>
    <xf numFmtId="189" fontId="0" fillId="0" borderId="0" xfId="0" applyNumberFormat="1" applyAlignment="1" applyProtection="1">
      <alignment horizontal="center" vertical="center"/>
      <protection hidden="1"/>
    </xf>
    <xf numFmtId="189" fontId="0" fillId="0" borderId="0" xfId="0" applyNumberFormat="1">
      <alignment vertical="center"/>
    </xf>
    <xf numFmtId="2" fontId="0" fillId="0" borderId="0" xfId="0" applyNumberFormat="1" applyProtection="1">
      <alignment vertical="center"/>
    </xf>
    <xf numFmtId="0" fontId="3" fillId="0" borderId="23" xfId="0" applyFont="1" applyBorder="1" applyAlignment="1" applyProtection="1">
      <alignment horizontal="center" vertical="center"/>
      <protection locked="0"/>
    </xf>
    <xf numFmtId="2" fontId="3" fillId="0" borderId="23" xfId="0" applyNumberFormat="1" applyFont="1" applyBorder="1" applyAlignment="1" applyProtection="1">
      <alignment horizontal="center" vertical="center"/>
      <protection locked="0"/>
    </xf>
    <xf numFmtId="0" fontId="3" fillId="12" borderId="9" xfId="0" applyFont="1" applyFill="1" applyBorder="1" applyAlignment="1" applyProtection="1">
      <alignment horizontal="center" vertical="center"/>
      <protection locked="0"/>
    </xf>
    <xf numFmtId="14" fontId="3" fillId="12" borderId="9" xfId="0" applyNumberFormat="1" applyFont="1" applyFill="1" applyBorder="1" applyAlignment="1" applyProtection="1">
      <alignment horizontal="center" vertical="center"/>
      <protection locked="0"/>
    </xf>
    <xf numFmtId="186" fontId="3" fillId="12" borderId="9" xfId="0" applyNumberFormat="1" applyFont="1" applyFill="1" applyBorder="1" applyAlignment="1" applyProtection="1">
      <alignment horizontal="center" vertical="center"/>
      <protection locked="0"/>
    </xf>
    <xf numFmtId="0" fontId="0" fillId="0" borderId="12" xfId="0" applyBorder="1" applyAlignment="1" applyProtection="1">
      <alignment horizontal="center" vertical="center"/>
    </xf>
    <xf numFmtId="0" fontId="0" fillId="0" borderId="0" xfId="0" quotePrefix="1" applyProtection="1">
      <alignment vertical="center"/>
      <protection hidden="1"/>
    </xf>
    <xf numFmtId="179" fontId="0" fillId="0" borderId="0" xfId="0" applyNumberFormat="1" applyProtection="1">
      <alignment vertical="center"/>
    </xf>
    <xf numFmtId="179" fontId="0" fillId="0" borderId="0" xfId="0" applyNumberFormat="1" applyAlignment="1" applyProtection="1">
      <alignment horizontal="center" vertical="center" wrapText="1"/>
    </xf>
    <xf numFmtId="180" fontId="0" fillId="0" borderId="0" xfId="0" applyNumberFormat="1" applyAlignment="1" applyProtection="1">
      <alignment horizontal="center" vertical="center"/>
    </xf>
    <xf numFmtId="188" fontId="0" fillId="0" borderId="0" xfId="0" applyNumberFormat="1" applyProtection="1">
      <alignment vertical="center"/>
    </xf>
    <xf numFmtId="0" fontId="0" fillId="0" borderId="0" xfId="0" applyNumberFormat="1" applyFill="1" applyBorder="1" applyProtection="1">
      <alignment vertical="center"/>
    </xf>
    <xf numFmtId="188" fontId="0" fillId="0" borderId="0" xfId="0" applyNumberFormat="1" applyFill="1" applyProtection="1">
      <alignment vertical="center"/>
    </xf>
    <xf numFmtId="177" fontId="0" fillId="0" borderId="0" xfId="0" applyNumberFormat="1" applyProtection="1">
      <alignment vertical="center"/>
      <protection locked="0"/>
    </xf>
    <xf numFmtId="0" fontId="0" fillId="0" borderId="0" xfId="0" applyNumberFormat="1" applyProtection="1">
      <alignment vertical="center"/>
      <protection locked="0"/>
    </xf>
    <xf numFmtId="0" fontId="0" fillId="0" borderId="0" xfId="0" applyAlignment="1">
      <alignment horizontal="right" vertical="center"/>
    </xf>
    <xf numFmtId="0" fontId="3" fillId="0" borderId="0" xfId="0" applyFont="1" applyBorder="1">
      <alignment vertical="center"/>
    </xf>
    <xf numFmtId="1" fontId="3" fillId="12" borderId="9" xfId="0" applyNumberFormat="1" applyFont="1" applyFill="1" applyBorder="1" applyAlignment="1" applyProtection="1">
      <alignment horizontal="center" vertical="center"/>
      <protection locked="0"/>
    </xf>
    <xf numFmtId="14" fontId="0" fillId="0" borderId="0" xfId="0" applyNumberFormat="1">
      <alignment vertical="center"/>
    </xf>
    <xf numFmtId="0" fontId="0" fillId="0" borderId="0" xfId="0" applyAlignment="1">
      <alignment vertical="center" wrapText="1"/>
    </xf>
    <xf numFmtId="190" fontId="0" fillId="0" borderId="0" xfId="0" applyNumberFormat="1">
      <alignment vertical="center"/>
    </xf>
    <xf numFmtId="180" fontId="0" fillId="4" borderId="0" xfId="0" applyNumberFormat="1" applyFill="1" applyProtection="1">
      <alignment vertical="center"/>
      <protection locked="0"/>
    </xf>
    <xf numFmtId="0" fontId="0" fillId="0" borderId="0" xfId="0" applyAlignment="1">
      <alignment horizontal="right" vertical="top"/>
    </xf>
    <xf numFmtId="0" fontId="10" fillId="0" borderId="24" xfId="0" applyFont="1" applyBorder="1" applyAlignment="1">
      <alignment horizontal="center" vertical="center"/>
    </xf>
    <xf numFmtId="0" fontId="0" fillId="0" borderId="19" xfId="0" applyBorder="1" applyAlignment="1">
      <alignment horizontal="center" vertical="center"/>
    </xf>
    <xf numFmtId="0" fontId="0" fillId="0" borderId="12" xfId="0" applyBorder="1" applyAlignment="1" applyProtection="1">
      <alignment horizontal="center" vertical="center"/>
    </xf>
    <xf numFmtId="0" fontId="8" fillId="13" borderId="25" xfId="0" applyFont="1" applyFill="1" applyBorder="1" applyAlignment="1" applyProtection="1">
      <alignment horizontal="center" vertical="center" wrapText="1"/>
    </xf>
    <xf numFmtId="0" fontId="0" fillId="0" borderId="22" xfId="0" applyBorder="1" applyAlignment="1">
      <alignment vertical="center" wrapText="1"/>
    </xf>
    <xf numFmtId="0" fontId="0" fillId="0" borderId="0" xfId="0" applyAlignment="1" applyProtection="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L33"/>
  <sheetViews>
    <sheetView topLeftCell="AM1" workbookViewId="0">
      <selection activeCell="AM1" sqref="AM1"/>
    </sheetView>
  </sheetViews>
  <sheetFormatPr defaultRowHeight="13.5" x14ac:dyDescent="0.15"/>
  <cols>
    <col min="1" max="1" width="9" style="4" hidden="1" customWidth="1"/>
    <col min="2" max="19" width="7.625" style="4" hidden="1" customWidth="1"/>
    <col min="20" max="20" width="9" style="4" hidden="1" customWidth="1"/>
    <col min="21" max="21" width="6.75" style="4" hidden="1" customWidth="1"/>
    <col min="22" max="38" width="6" style="4" hidden="1" customWidth="1"/>
    <col min="39" max="16384" width="9" style="24"/>
  </cols>
  <sheetData>
    <row r="3" spans="1:38" x14ac:dyDescent="0.15">
      <c r="A3" s="4" t="s">
        <v>1</v>
      </c>
      <c r="G3" s="59"/>
      <c r="H3" s="59"/>
      <c r="I3" s="59"/>
      <c r="J3" s="59"/>
      <c r="K3" s="59"/>
      <c r="L3" s="59"/>
      <c r="M3" s="59"/>
      <c r="N3" s="59"/>
      <c r="O3" s="59"/>
      <c r="P3" s="59"/>
      <c r="Q3" s="59"/>
      <c r="R3" s="59"/>
      <c r="S3" s="59"/>
    </row>
    <row r="4" spans="1:38" x14ac:dyDescent="0.15">
      <c r="A4" s="4" t="s">
        <v>2</v>
      </c>
      <c r="B4" s="4">
        <v>0</v>
      </c>
      <c r="C4" s="4">
        <v>1</v>
      </c>
      <c r="D4" s="4">
        <v>2</v>
      </c>
      <c r="E4" s="4">
        <v>3</v>
      </c>
      <c r="F4" s="4">
        <v>4</v>
      </c>
      <c r="G4" s="4">
        <v>5</v>
      </c>
      <c r="H4" s="4">
        <v>6</v>
      </c>
      <c r="I4" s="4">
        <v>7</v>
      </c>
      <c r="J4" s="4">
        <v>8</v>
      </c>
      <c r="K4" s="4">
        <v>9</v>
      </c>
      <c r="L4" s="4">
        <v>10</v>
      </c>
      <c r="M4" s="4">
        <v>11</v>
      </c>
      <c r="N4" s="4">
        <v>12</v>
      </c>
      <c r="O4" s="4">
        <v>13</v>
      </c>
      <c r="P4" s="4">
        <v>14</v>
      </c>
      <c r="Q4" s="4">
        <v>15</v>
      </c>
      <c r="R4" s="4">
        <v>16</v>
      </c>
      <c r="S4" s="4">
        <v>17</v>
      </c>
      <c r="T4" s="4" t="s">
        <v>3</v>
      </c>
      <c r="U4" s="4">
        <v>0</v>
      </c>
      <c r="V4" s="4">
        <v>1</v>
      </c>
      <c r="W4" s="4">
        <v>2</v>
      </c>
      <c r="X4" s="4">
        <v>3</v>
      </c>
      <c r="Y4" s="4">
        <v>4</v>
      </c>
      <c r="Z4" s="4">
        <v>5</v>
      </c>
      <c r="AA4" s="4">
        <v>6</v>
      </c>
      <c r="AB4" s="4">
        <v>7</v>
      </c>
      <c r="AC4" s="4">
        <v>8</v>
      </c>
      <c r="AD4" s="4">
        <v>9</v>
      </c>
      <c r="AE4" s="4">
        <v>10</v>
      </c>
      <c r="AF4" s="4">
        <v>11</v>
      </c>
      <c r="AG4" s="4">
        <v>12</v>
      </c>
      <c r="AH4" s="4">
        <v>13</v>
      </c>
      <c r="AI4" s="4">
        <v>14</v>
      </c>
      <c r="AJ4" s="4">
        <v>15</v>
      </c>
      <c r="AK4" s="4">
        <v>16</v>
      </c>
      <c r="AL4" s="4">
        <v>17</v>
      </c>
    </row>
    <row r="5" spans="1:38" x14ac:dyDescent="0.15">
      <c r="A5" s="4">
        <v>0</v>
      </c>
      <c r="B5" s="59">
        <v>48.958803165183006</v>
      </c>
      <c r="C5" s="59">
        <v>74.971453324549486</v>
      </c>
      <c r="D5" s="59">
        <v>85.440164365065002</v>
      </c>
      <c r="E5" s="59">
        <v>93.344917302741422</v>
      </c>
      <c r="F5" s="59">
        <v>100.24438282655422</v>
      </c>
      <c r="G5" s="59">
        <v>106.71697926139842</v>
      </c>
      <c r="H5" s="59">
        <v>113.31100147370799</v>
      </c>
      <c r="I5" s="59">
        <v>119.6</v>
      </c>
      <c r="J5" s="59">
        <v>125.3</v>
      </c>
      <c r="K5" s="59">
        <v>130.85</v>
      </c>
      <c r="L5" s="59">
        <v>136.35</v>
      </c>
      <c r="M5" s="59">
        <v>142.19999999999999</v>
      </c>
      <c r="N5" s="59">
        <v>149.1</v>
      </c>
      <c r="O5" s="59">
        <v>156.44999999999999</v>
      </c>
      <c r="P5" s="59">
        <v>162.75</v>
      </c>
      <c r="Q5" s="59">
        <v>167.05</v>
      </c>
      <c r="R5" s="59">
        <v>169.35</v>
      </c>
      <c r="S5" s="59">
        <v>170.45</v>
      </c>
      <c r="T5" s="4">
        <v>0</v>
      </c>
      <c r="U5" s="59">
        <v>2.1387425846000028</v>
      </c>
      <c r="V5" s="59">
        <v>2.5760125846000079</v>
      </c>
      <c r="W5" s="59">
        <v>3.0144805846000082</v>
      </c>
      <c r="X5" s="59">
        <v>3.4517505845999921</v>
      </c>
      <c r="Y5" s="59">
        <v>3.8890205845999901</v>
      </c>
      <c r="Z5" s="59">
        <v>4.3262905845999882</v>
      </c>
      <c r="AA5" s="59">
        <v>4.7647585846000027</v>
      </c>
      <c r="AB5" s="59">
        <v>5.05</v>
      </c>
      <c r="AC5" s="59">
        <v>5.2949999999999999</v>
      </c>
      <c r="AD5" s="59">
        <v>5.5949999999999998</v>
      </c>
      <c r="AE5" s="59">
        <v>5.9349999999999996</v>
      </c>
      <c r="AF5" s="59">
        <v>6.6349999999999998</v>
      </c>
      <c r="AG5" s="59">
        <v>7.6</v>
      </c>
      <c r="AH5" s="59">
        <v>7.875</v>
      </c>
      <c r="AI5" s="59">
        <v>7.09</v>
      </c>
      <c r="AJ5" s="59">
        <v>6.19</v>
      </c>
      <c r="AK5" s="59">
        <v>5.84</v>
      </c>
      <c r="AL5" s="59">
        <v>5.81</v>
      </c>
    </row>
    <row r="6" spans="1:38" x14ac:dyDescent="0.15">
      <c r="A6" s="4">
        <v>1</v>
      </c>
      <c r="B6" s="59">
        <v>53.474314135411497</v>
      </c>
      <c r="C6" s="59">
        <v>75.986046101408277</v>
      </c>
      <c r="D6" s="59">
        <v>86.176114928900063</v>
      </c>
      <c r="E6" s="59">
        <v>93.953603077506884</v>
      </c>
      <c r="F6" s="59">
        <v>100.78905930833906</v>
      </c>
      <c r="G6" s="59">
        <v>107.25432489519144</v>
      </c>
      <c r="H6" s="59">
        <v>113.88118398224867</v>
      </c>
      <c r="I6" s="59">
        <v>120.08329999999999</v>
      </c>
      <c r="J6" s="59">
        <v>125.7667</v>
      </c>
      <c r="K6" s="59">
        <v>131.3083</v>
      </c>
      <c r="L6" s="59">
        <v>136.8083</v>
      </c>
      <c r="M6" s="59">
        <v>142.7167</v>
      </c>
      <c r="N6" s="59">
        <v>149.73330000000001</v>
      </c>
      <c r="O6" s="59">
        <v>157.04169999999999</v>
      </c>
      <c r="P6" s="59">
        <v>163.20830000000001</v>
      </c>
      <c r="Q6" s="59">
        <v>167.3083</v>
      </c>
      <c r="R6" s="59">
        <v>169.47499999999999</v>
      </c>
      <c r="S6" s="59">
        <v>170.50829999999999</v>
      </c>
      <c r="T6" s="4">
        <v>1</v>
      </c>
      <c r="U6" s="59">
        <v>2.1746825845999993</v>
      </c>
      <c r="V6" s="59">
        <v>2.6131505846000209</v>
      </c>
      <c r="W6" s="59">
        <v>3.0509447095999889</v>
      </c>
      <c r="X6" s="59">
        <v>3.4882147096000011</v>
      </c>
      <c r="Y6" s="59">
        <v>3.9254847096000134</v>
      </c>
      <c r="Z6" s="59">
        <v>4.3627547096000114</v>
      </c>
      <c r="AA6" s="59">
        <v>4.8012227095999975</v>
      </c>
      <c r="AB6" s="59">
        <v>5.0650000000000004</v>
      </c>
      <c r="AC6" s="59">
        <v>5.3208330000000004</v>
      </c>
      <c r="AD6" s="59">
        <v>5.619167</v>
      </c>
      <c r="AE6" s="59">
        <v>5.9675000000000002</v>
      </c>
      <c r="AF6" s="59">
        <v>6.7191669999999997</v>
      </c>
      <c r="AG6" s="59">
        <v>7.6766670000000001</v>
      </c>
      <c r="AH6" s="59">
        <v>7.8441669999999997</v>
      </c>
      <c r="AI6" s="59">
        <v>6.99</v>
      </c>
      <c r="AJ6" s="59">
        <v>6.14</v>
      </c>
      <c r="AK6" s="59">
        <v>5.8316670000000004</v>
      </c>
      <c r="AL6" s="59">
        <v>5.8133330000000001</v>
      </c>
    </row>
    <row r="7" spans="1:38" x14ac:dyDescent="0.15">
      <c r="A7" s="4">
        <v>2</v>
      </c>
      <c r="B7" s="59">
        <v>57.864633683635361</v>
      </c>
      <c r="C7" s="59">
        <v>76.9107746715095</v>
      </c>
      <c r="D7" s="59">
        <v>86.893901043259746</v>
      </c>
      <c r="E7" s="59">
        <v>94.555103426662868</v>
      </c>
      <c r="F7" s="59">
        <v>101.33058188324316</v>
      </c>
      <c r="G7" s="59">
        <v>107.79254814083257</v>
      </c>
      <c r="H7" s="59">
        <v>114.45628666662307</v>
      </c>
      <c r="I7" s="59">
        <v>120.5667</v>
      </c>
      <c r="J7" s="59">
        <v>126.2333</v>
      </c>
      <c r="K7" s="59">
        <v>131.76669999999999</v>
      </c>
      <c r="L7" s="59">
        <v>137.26669999999999</v>
      </c>
      <c r="M7" s="59">
        <v>143.23330000000001</v>
      </c>
      <c r="N7" s="59">
        <v>150.36670000000001</v>
      </c>
      <c r="O7" s="59">
        <v>157.63329999999999</v>
      </c>
      <c r="P7" s="59">
        <v>163.66669999999999</v>
      </c>
      <c r="Q7" s="59">
        <v>167.5667</v>
      </c>
      <c r="R7" s="59">
        <v>169.6</v>
      </c>
      <c r="S7" s="59">
        <v>170.5667</v>
      </c>
      <c r="T7" s="4">
        <v>2</v>
      </c>
      <c r="U7" s="59">
        <v>2.2118205845999981</v>
      </c>
      <c r="V7" s="59">
        <v>2.6490905846000032</v>
      </c>
      <c r="W7" s="59">
        <v>3.0874088345999979</v>
      </c>
      <c r="X7" s="59">
        <v>3.5246788346000102</v>
      </c>
      <c r="Y7" s="59">
        <v>3.961948834599994</v>
      </c>
      <c r="Z7" s="59">
        <v>4.3992188345999921</v>
      </c>
      <c r="AA7" s="59">
        <v>4.8376868345999924</v>
      </c>
      <c r="AB7" s="59">
        <v>5.08</v>
      </c>
      <c r="AC7" s="59">
        <v>5.3466670000000001</v>
      </c>
      <c r="AD7" s="59">
        <v>5.6433330000000002</v>
      </c>
      <c r="AE7" s="59">
        <v>6</v>
      </c>
      <c r="AF7" s="59">
        <v>6.8033330000000003</v>
      </c>
      <c r="AG7" s="59">
        <v>7.7533329999999996</v>
      </c>
      <c r="AH7" s="59">
        <v>7.8133330000000001</v>
      </c>
      <c r="AI7" s="59">
        <v>6.89</v>
      </c>
      <c r="AJ7" s="59">
        <v>6.09</v>
      </c>
      <c r="AK7" s="59">
        <v>5.8233329999999999</v>
      </c>
      <c r="AL7" s="59">
        <v>5.8166669999999998</v>
      </c>
    </row>
    <row r="8" spans="1:38" x14ac:dyDescent="0.15">
      <c r="A8" s="4">
        <v>3</v>
      </c>
      <c r="B8" s="59">
        <v>61.366264206336027</v>
      </c>
      <c r="C8" s="59">
        <v>77.849697710042349</v>
      </c>
      <c r="D8" s="59">
        <v>87.586727974499027</v>
      </c>
      <c r="E8" s="59">
        <v>95.143682959109114</v>
      </c>
      <c r="F8" s="59">
        <v>101.8637690738403</v>
      </c>
      <c r="G8" s="59">
        <v>108.34418623349831</v>
      </c>
      <c r="H8" s="59">
        <v>115</v>
      </c>
      <c r="I8" s="59">
        <v>121.05</v>
      </c>
      <c r="J8" s="59">
        <v>126.7</v>
      </c>
      <c r="K8" s="59">
        <v>132.22499999999999</v>
      </c>
      <c r="L8" s="59">
        <v>137.72499999999999</v>
      </c>
      <c r="M8" s="59">
        <v>143.75</v>
      </c>
      <c r="N8" s="59">
        <v>151</v>
      </c>
      <c r="O8" s="59">
        <v>158.22499999999999</v>
      </c>
      <c r="P8" s="59">
        <v>164.125</v>
      </c>
      <c r="Q8" s="59">
        <v>167.82499999999999</v>
      </c>
      <c r="R8" s="59">
        <v>169.72499999999999</v>
      </c>
      <c r="S8" s="59">
        <v>170.625</v>
      </c>
      <c r="T8" s="4">
        <v>3</v>
      </c>
      <c r="U8" s="59">
        <v>2.2477605845999946</v>
      </c>
      <c r="V8" s="59">
        <v>2.686228584600002</v>
      </c>
      <c r="W8" s="59">
        <v>3.1234985846000143</v>
      </c>
      <c r="X8" s="59">
        <v>3.5607685845999981</v>
      </c>
      <c r="Y8" s="59">
        <v>3.9980385845999962</v>
      </c>
      <c r="Z8" s="59">
        <v>4.4365065845999965</v>
      </c>
      <c r="AA8" s="59">
        <v>4.8733329999999997</v>
      </c>
      <c r="AB8" s="59">
        <v>5.0949999999999998</v>
      </c>
      <c r="AC8" s="59">
        <v>5.3724999999999996</v>
      </c>
      <c r="AD8" s="59">
        <v>5.6675000000000004</v>
      </c>
      <c r="AE8" s="59">
        <v>6.0324999999999998</v>
      </c>
      <c r="AF8" s="59">
        <v>6.8875000000000002</v>
      </c>
      <c r="AG8" s="59">
        <v>7.83</v>
      </c>
      <c r="AH8" s="59">
        <v>7.7824999999999998</v>
      </c>
      <c r="AI8" s="59">
        <v>6.79</v>
      </c>
      <c r="AJ8" s="59">
        <v>6.04</v>
      </c>
      <c r="AK8" s="59">
        <v>5.8150000000000004</v>
      </c>
      <c r="AL8" s="59">
        <v>5.82</v>
      </c>
    </row>
    <row r="9" spans="1:38" x14ac:dyDescent="0.15">
      <c r="A9" s="4">
        <v>4</v>
      </c>
      <c r="B9" s="59">
        <v>64.163967723577471</v>
      </c>
      <c r="C9" s="59">
        <v>78.746065071779611</v>
      </c>
      <c r="D9" s="59">
        <v>88.269585807618469</v>
      </c>
      <c r="E9" s="59">
        <v>95.731886188005817</v>
      </c>
      <c r="F9" s="59">
        <v>102.40834950791343</v>
      </c>
      <c r="G9" s="59">
        <v>108.88521216549601</v>
      </c>
      <c r="H9" s="59">
        <v>115.5667</v>
      </c>
      <c r="I9" s="59">
        <v>121.5333</v>
      </c>
      <c r="J9" s="59">
        <v>127.16670000000001</v>
      </c>
      <c r="K9" s="59">
        <v>132.6833</v>
      </c>
      <c r="L9" s="59">
        <v>138.1833</v>
      </c>
      <c r="M9" s="59">
        <v>144.26669999999999</v>
      </c>
      <c r="N9" s="59">
        <v>151.63329999999999</v>
      </c>
      <c r="O9" s="59">
        <v>158.8167</v>
      </c>
      <c r="P9" s="59">
        <v>164.58330000000001</v>
      </c>
      <c r="Q9" s="59">
        <v>168.08330000000001</v>
      </c>
      <c r="R9" s="59">
        <v>169.85</v>
      </c>
      <c r="S9" s="59">
        <v>170.6833</v>
      </c>
      <c r="T9" s="4">
        <v>4</v>
      </c>
      <c r="U9" s="59">
        <v>2.2848985846000005</v>
      </c>
      <c r="V9" s="59">
        <v>2.7221685846000128</v>
      </c>
      <c r="W9" s="59">
        <v>3.1599627095999949</v>
      </c>
      <c r="X9" s="59">
        <v>3.597232709599993</v>
      </c>
      <c r="Y9" s="59">
        <v>4.0345027096000052</v>
      </c>
      <c r="Z9" s="59">
        <v>4.4729707096000055</v>
      </c>
      <c r="AA9" s="59">
        <v>4.9022220000000001</v>
      </c>
      <c r="AB9" s="59">
        <v>5.1100000000000003</v>
      </c>
      <c r="AC9" s="59">
        <v>5.398333</v>
      </c>
      <c r="AD9" s="59">
        <v>5.6916669999999998</v>
      </c>
      <c r="AE9" s="59">
        <v>6.0650000000000004</v>
      </c>
      <c r="AF9" s="59">
        <v>6.9716670000000001</v>
      </c>
      <c r="AG9" s="59">
        <v>7.9066669999999997</v>
      </c>
      <c r="AH9" s="59">
        <v>7.7516670000000003</v>
      </c>
      <c r="AI9" s="59">
        <v>6.69</v>
      </c>
      <c r="AJ9" s="59">
        <v>5.99</v>
      </c>
      <c r="AK9" s="59">
        <v>5.806667</v>
      </c>
      <c r="AL9" s="59">
        <v>5.8233329999999999</v>
      </c>
    </row>
    <row r="10" spans="1:38" x14ac:dyDescent="0.15">
      <c r="A10" s="4">
        <v>5</v>
      </c>
      <c r="B10" s="59">
        <v>66.204590992976961</v>
      </c>
      <c r="C10" s="59">
        <v>79.631733189740459</v>
      </c>
      <c r="D10" s="59">
        <v>88.936112098158048</v>
      </c>
      <c r="E10" s="59">
        <v>96.313909109661125</v>
      </c>
      <c r="F10" s="59">
        <v>102.95078115347388</v>
      </c>
      <c r="G10" s="59">
        <v>109.42813187296663</v>
      </c>
      <c r="H10" s="59">
        <v>116.13330000000001</v>
      </c>
      <c r="I10" s="59">
        <v>122.0167</v>
      </c>
      <c r="J10" s="59">
        <v>127.63330000000001</v>
      </c>
      <c r="K10" s="59">
        <v>133.14169999999999</v>
      </c>
      <c r="L10" s="59">
        <v>138.64169999999999</v>
      </c>
      <c r="M10" s="59">
        <v>144.7833</v>
      </c>
      <c r="N10" s="59">
        <v>152.26669999999999</v>
      </c>
      <c r="O10" s="59">
        <v>159.4083</v>
      </c>
      <c r="P10" s="59">
        <v>165.04169999999999</v>
      </c>
      <c r="Q10" s="59">
        <v>168.3417</v>
      </c>
      <c r="R10" s="59">
        <v>169.97499999999999</v>
      </c>
      <c r="S10" s="59">
        <v>170.74170000000001</v>
      </c>
      <c r="T10" s="4">
        <v>5</v>
      </c>
      <c r="U10" s="59">
        <v>2.3208385846000041</v>
      </c>
      <c r="V10" s="59">
        <v>2.7581085845999951</v>
      </c>
      <c r="W10" s="59">
        <v>3.196426834600004</v>
      </c>
      <c r="X10" s="59">
        <v>3.6336968346000162</v>
      </c>
      <c r="Y10" s="59">
        <v>4.0709668346000143</v>
      </c>
      <c r="Z10" s="59">
        <v>4.5094348346000004</v>
      </c>
      <c r="AA10" s="59">
        <v>4.9311109999999996</v>
      </c>
      <c r="AB10" s="59">
        <v>5.125</v>
      </c>
      <c r="AC10" s="59">
        <v>5.4241669999999997</v>
      </c>
      <c r="AD10" s="59">
        <v>5.7158329999999999</v>
      </c>
      <c r="AE10" s="59">
        <v>6.0975000000000001</v>
      </c>
      <c r="AF10" s="59">
        <v>7.0558329999999998</v>
      </c>
      <c r="AG10" s="59">
        <v>7.983333</v>
      </c>
      <c r="AH10" s="59">
        <v>7.7208329999999998</v>
      </c>
      <c r="AI10" s="59">
        <v>6.59</v>
      </c>
      <c r="AJ10" s="59">
        <v>5.94</v>
      </c>
      <c r="AK10" s="59">
        <v>5.7983330000000004</v>
      </c>
      <c r="AL10" s="59">
        <v>5.8266669999999996</v>
      </c>
    </row>
    <row r="11" spans="1:38" x14ac:dyDescent="0.15">
      <c r="A11" s="4">
        <v>6</v>
      </c>
      <c r="B11" s="59">
        <v>67.826752484010797</v>
      </c>
      <c r="C11" s="59">
        <v>80.535316655231952</v>
      </c>
      <c r="D11" s="59">
        <v>89.58086595407309</v>
      </c>
      <c r="E11" s="59">
        <v>96.884200880302089</v>
      </c>
      <c r="F11" s="59">
        <v>103.503592992769</v>
      </c>
      <c r="G11" s="59">
        <v>109.9676720638641</v>
      </c>
      <c r="H11" s="59">
        <v>116.7</v>
      </c>
      <c r="I11" s="59">
        <v>122.5</v>
      </c>
      <c r="J11" s="59">
        <v>128.1</v>
      </c>
      <c r="K11" s="59">
        <v>133.6</v>
      </c>
      <c r="L11" s="59">
        <v>139.1</v>
      </c>
      <c r="M11" s="59">
        <v>145.30000000000001</v>
      </c>
      <c r="N11" s="59">
        <v>152.9</v>
      </c>
      <c r="O11" s="59">
        <v>160</v>
      </c>
      <c r="P11" s="59">
        <v>165.5</v>
      </c>
      <c r="Q11" s="59">
        <v>168.6</v>
      </c>
      <c r="R11" s="59">
        <v>170.1</v>
      </c>
      <c r="S11" s="59">
        <v>170.8</v>
      </c>
      <c r="T11" s="4">
        <v>6</v>
      </c>
      <c r="U11" s="59">
        <v>2.3579765846000029</v>
      </c>
      <c r="V11" s="59">
        <v>2.7952465845999939</v>
      </c>
      <c r="W11" s="59">
        <v>3.2325165846000061</v>
      </c>
      <c r="X11" s="59">
        <v>3.6697865846000042</v>
      </c>
      <c r="Y11" s="59">
        <v>4.1082545846000045</v>
      </c>
      <c r="Z11" s="59">
        <v>4.5455245846000025</v>
      </c>
      <c r="AA11" s="59">
        <v>4.96</v>
      </c>
      <c r="AB11" s="59">
        <v>5.14</v>
      </c>
      <c r="AC11" s="59">
        <v>5.45</v>
      </c>
      <c r="AD11" s="59">
        <v>5.74</v>
      </c>
      <c r="AE11" s="59">
        <v>6.13</v>
      </c>
      <c r="AF11" s="59">
        <v>7.14</v>
      </c>
      <c r="AG11" s="59">
        <v>8.06</v>
      </c>
      <c r="AH11" s="59">
        <v>7.69</v>
      </c>
      <c r="AI11" s="59">
        <v>6.49</v>
      </c>
      <c r="AJ11" s="59">
        <v>5.89</v>
      </c>
      <c r="AK11" s="59">
        <v>5.79</v>
      </c>
      <c r="AL11" s="59">
        <v>5.83</v>
      </c>
    </row>
    <row r="12" spans="1:38" x14ac:dyDescent="0.15">
      <c r="A12" s="4">
        <v>7</v>
      </c>
      <c r="B12" s="59">
        <v>69.17092982706049</v>
      </c>
      <c r="C12" s="59">
        <v>81.39702509158289</v>
      </c>
      <c r="D12" s="59">
        <v>90.218598089856471</v>
      </c>
      <c r="E12" s="59">
        <v>97.454926598943644</v>
      </c>
      <c r="F12" s="59">
        <v>104.04270616584536</v>
      </c>
      <c r="G12" s="59">
        <v>110.51535983762344</v>
      </c>
      <c r="H12" s="59">
        <v>117.1833</v>
      </c>
      <c r="I12" s="59">
        <v>122.9667</v>
      </c>
      <c r="J12" s="59">
        <v>128.5583</v>
      </c>
      <c r="K12" s="59">
        <v>134.0583</v>
      </c>
      <c r="L12" s="59">
        <v>139.61670000000001</v>
      </c>
      <c r="M12" s="59">
        <v>145.9333</v>
      </c>
      <c r="N12" s="59">
        <v>153.49170000000001</v>
      </c>
      <c r="O12" s="59">
        <v>160.45830000000001</v>
      </c>
      <c r="P12" s="59">
        <v>165.75829999999999</v>
      </c>
      <c r="Q12" s="59">
        <v>168.72499999999999</v>
      </c>
      <c r="R12" s="59">
        <v>170.1583</v>
      </c>
      <c r="S12" s="59">
        <v>170.8</v>
      </c>
      <c r="T12" s="4">
        <v>7</v>
      </c>
      <c r="U12" s="59">
        <v>2.3939165846000066</v>
      </c>
      <c r="V12" s="59">
        <v>2.8311865846000046</v>
      </c>
      <c r="W12" s="59">
        <v>3.2689807096000152</v>
      </c>
      <c r="X12" s="59">
        <v>3.706250709599999</v>
      </c>
      <c r="Y12" s="59">
        <v>4.1447187095999993</v>
      </c>
      <c r="Z12" s="59">
        <v>4.5819887095999974</v>
      </c>
      <c r="AA12" s="59">
        <v>4.9749999999999996</v>
      </c>
      <c r="AB12" s="59">
        <v>5.1658330000000001</v>
      </c>
      <c r="AC12" s="59">
        <v>5.4741669999999996</v>
      </c>
      <c r="AD12" s="59">
        <v>5.7725</v>
      </c>
      <c r="AE12" s="59">
        <v>6.2141669999999998</v>
      </c>
      <c r="AF12" s="59">
        <v>7.2166670000000002</v>
      </c>
      <c r="AG12" s="59">
        <v>8.0291669999999993</v>
      </c>
      <c r="AH12" s="59">
        <v>7.59</v>
      </c>
      <c r="AI12" s="59">
        <v>6.44</v>
      </c>
      <c r="AJ12" s="59">
        <v>5.8816670000000002</v>
      </c>
      <c r="AK12" s="59">
        <v>5.7933329999999996</v>
      </c>
      <c r="AL12" s="59">
        <v>5.83</v>
      </c>
    </row>
    <row r="13" spans="1:38" x14ac:dyDescent="0.15">
      <c r="A13" s="4">
        <v>8</v>
      </c>
      <c r="B13" s="59">
        <v>70.476840412879653</v>
      </c>
      <c r="C13" s="59">
        <v>82.272057428138226</v>
      </c>
      <c r="D13" s="59">
        <v>90.844090202619952</v>
      </c>
      <c r="E13" s="59">
        <v>98.020477128711718</v>
      </c>
      <c r="F13" s="59">
        <v>104.58068671403383</v>
      </c>
      <c r="G13" s="59">
        <v>111.06594650522372</v>
      </c>
      <c r="H13" s="59">
        <v>117.66670000000001</v>
      </c>
      <c r="I13" s="59">
        <v>123.4333</v>
      </c>
      <c r="J13" s="59">
        <v>129.01669999999999</v>
      </c>
      <c r="K13" s="59">
        <v>134.51669999999999</v>
      </c>
      <c r="L13" s="59">
        <v>140.13329999999999</v>
      </c>
      <c r="M13" s="59">
        <v>146.5667</v>
      </c>
      <c r="N13" s="59">
        <v>154.08330000000001</v>
      </c>
      <c r="O13" s="59">
        <v>160.91669999999999</v>
      </c>
      <c r="P13" s="59">
        <v>166.01669999999999</v>
      </c>
      <c r="Q13" s="59">
        <v>168.85</v>
      </c>
      <c r="R13" s="59">
        <v>170.2167</v>
      </c>
      <c r="S13" s="59">
        <v>170.8</v>
      </c>
      <c r="T13" s="4">
        <v>8</v>
      </c>
      <c r="U13" s="59">
        <v>2.4310545846000053</v>
      </c>
      <c r="V13" s="59">
        <v>2.8683245846000176</v>
      </c>
      <c r="W13" s="59">
        <v>3.3054448345999958</v>
      </c>
      <c r="X13" s="59">
        <v>3.7427148345999939</v>
      </c>
      <c r="Y13" s="59">
        <v>4.1811828345999942</v>
      </c>
      <c r="Z13" s="59">
        <v>4.6184528346000064</v>
      </c>
      <c r="AA13" s="59">
        <v>4.99</v>
      </c>
      <c r="AB13" s="59">
        <v>5.1916669999999998</v>
      </c>
      <c r="AC13" s="59">
        <v>5.4983329999999997</v>
      </c>
      <c r="AD13" s="59">
        <v>5.8049999999999997</v>
      </c>
      <c r="AE13" s="59">
        <v>6.2983330000000004</v>
      </c>
      <c r="AF13" s="59">
        <v>7.2933329999999996</v>
      </c>
      <c r="AG13" s="59">
        <v>7.9983329999999997</v>
      </c>
      <c r="AH13" s="59">
        <v>7.49</v>
      </c>
      <c r="AI13" s="59">
        <v>6.39</v>
      </c>
      <c r="AJ13" s="59">
        <v>5.8733329999999997</v>
      </c>
      <c r="AK13" s="59">
        <v>5.7966670000000002</v>
      </c>
      <c r="AL13" s="59">
        <v>5.83</v>
      </c>
    </row>
    <row r="14" spans="1:38" x14ac:dyDescent="0.15">
      <c r="A14" s="4">
        <v>9</v>
      </c>
      <c r="B14" s="59">
        <v>71.651840465202014</v>
      </c>
      <c r="C14" s="59">
        <v>83.107174801501898</v>
      </c>
      <c r="D14" s="59">
        <v>91.458007268490562</v>
      </c>
      <c r="E14" s="59">
        <v>98.593800335119994</v>
      </c>
      <c r="F14" s="59">
        <v>105.1123585036445</v>
      </c>
      <c r="G14" s="59">
        <v>111.61406463213486</v>
      </c>
      <c r="H14" s="59">
        <v>118.15</v>
      </c>
      <c r="I14" s="59">
        <v>123.9</v>
      </c>
      <c r="J14" s="59">
        <v>129.47499999999999</v>
      </c>
      <c r="K14" s="59">
        <v>134.97499999999999</v>
      </c>
      <c r="L14" s="59">
        <v>140.65</v>
      </c>
      <c r="M14" s="59">
        <v>147.19999999999999</v>
      </c>
      <c r="N14" s="59">
        <v>154.67500000000001</v>
      </c>
      <c r="O14" s="59">
        <v>161.375</v>
      </c>
      <c r="P14" s="59">
        <v>166.27500000000001</v>
      </c>
      <c r="Q14" s="59">
        <v>168.97499999999999</v>
      </c>
      <c r="R14" s="59">
        <v>170.27500000000001</v>
      </c>
      <c r="S14" s="59">
        <v>170.8</v>
      </c>
      <c r="T14" s="4">
        <v>9</v>
      </c>
      <c r="U14" s="59">
        <v>2.4669945846000019</v>
      </c>
      <c r="V14" s="59">
        <v>2.9042645845999999</v>
      </c>
      <c r="W14" s="59">
        <v>3.341534584599998</v>
      </c>
      <c r="X14" s="59">
        <v>3.7800025845999983</v>
      </c>
      <c r="Y14" s="59">
        <v>4.2172725845999963</v>
      </c>
      <c r="Z14" s="59">
        <v>4.6545425846000086</v>
      </c>
      <c r="AA14" s="59">
        <v>5.0049999999999999</v>
      </c>
      <c r="AB14" s="59">
        <v>5.2175000000000002</v>
      </c>
      <c r="AC14" s="59">
        <v>5.5225</v>
      </c>
      <c r="AD14" s="59">
        <v>5.8375000000000004</v>
      </c>
      <c r="AE14" s="59">
        <v>6.3825000000000003</v>
      </c>
      <c r="AF14" s="59">
        <v>7.37</v>
      </c>
      <c r="AG14" s="59">
        <v>7.9675000000000002</v>
      </c>
      <c r="AH14" s="59">
        <v>7.39</v>
      </c>
      <c r="AI14" s="59">
        <v>6.34</v>
      </c>
      <c r="AJ14" s="59">
        <v>5.8650000000000002</v>
      </c>
      <c r="AK14" s="59">
        <v>5.8</v>
      </c>
      <c r="AL14" s="59">
        <v>5.83</v>
      </c>
    </row>
    <row r="15" spans="1:38" x14ac:dyDescent="0.15">
      <c r="A15" s="4">
        <v>10</v>
      </c>
      <c r="B15" s="59">
        <v>72.780054455515398</v>
      </c>
      <c r="C15" s="59">
        <v>83.910998885104988</v>
      </c>
      <c r="D15" s="59">
        <v>92.09045542265558</v>
      </c>
      <c r="E15" s="59">
        <v>99.149911233563415</v>
      </c>
      <c r="F15" s="59">
        <v>105.64908538927239</v>
      </c>
      <c r="G15" s="59">
        <v>112.17141928326934</v>
      </c>
      <c r="H15" s="59">
        <v>118.63330000000001</v>
      </c>
      <c r="I15" s="59">
        <v>124.36669999999999</v>
      </c>
      <c r="J15" s="59">
        <v>129.9333</v>
      </c>
      <c r="K15" s="59">
        <v>135.4333</v>
      </c>
      <c r="L15" s="59">
        <v>141.16669999999999</v>
      </c>
      <c r="M15" s="59">
        <v>147.83330000000001</v>
      </c>
      <c r="N15" s="59">
        <v>155.26669999999999</v>
      </c>
      <c r="O15" s="59">
        <v>161.83330000000001</v>
      </c>
      <c r="P15" s="59">
        <v>166.5333</v>
      </c>
      <c r="Q15" s="59">
        <v>169.1</v>
      </c>
      <c r="R15" s="59">
        <v>170.33330000000001</v>
      </c>
      <c r="S15" s="59">
        <v>170.8</v>
      </c>
      <c r="T15" s="4">
        <v>10</v>
      </c>
      <c r="U15" s="59">
        <v>2.5029345845999842</v>
      </c>
      <c r="V15" s="59">
        <v>2.9414025845999845</v>
      </c>
      <c r="W15" s="59">
        <v>3.3779987095999928</v>
      </c>
      <c r="X15" s="59">
        <v>3.8164667096000073</v>
      </c>
      <c r="Y15" s="59">
        <v>4.2537367095999912</v>
      </c>
      <c r="Z15" s="59">
        <v>4.6910067095999892</v>
      </c>
      <c r="AA15" s="59">
        <v>5.0199999999999996</v>
      </c>
      <c r="AB15" s="59">
        <v>5.2433329999999998</v>
      </c>
      <c r="AC15" s="59">
        <v>5.5466670000000002</v>
      </c>
      <c r="AD15" s="59">
        <v>5.87</v>
      </c>
      <c r="AE15" s="59">
        <v>6.4666670000000002</v>
      </c>
      <c r="AF15" s="59">
        <v>7.4466669999999997</v>
      </c>
      <c r="AG15" s="59">
        <v>7.9366669999999999</v>
      </c>
      <c r="AH15" s="59">
        <v>7.29</v>
      </c>
      <c r="AI15" s="59">
        <v>6.29</v>
      </c>
      <c r="AJ15" s="59">
        <v>5.8566669999999998</v>
      </c>
      <c r="AK15" s="59">
        <v>5.8033330000000003</v>
      </c>
      <c r="AL15" s="59">
        <v>5.83</v>
      </c>
    </row>
    <row r="16" spans="1:38" x14ac:dyDescent="0.15">
      <c r="A16" s="4">
        <v>11</v>
      </c>
      <c r="B16" s="59">
        <v>73.911783804340175</v>
      </c>
      <c r="C16" s="59">
        <v>84.671972659755511</v>
      </c>
      <c r="D16" s="59">
        <v>92.714701987586395</v>
      </c>
      <c r="E16" s="59">
        <v>99.701863106758111</v>
      </c>
      <c r="F16" s="59">
        <v>106.18568476838043</v>
      </c>
      <c r="G16" s="59">
        <v>112.73267794661288</v>
      </c>
      <c r="H16" s="59">
        <v>119.11669999999999</v>
      </c>
      <c r="I16" s="59">
        <v>124.83329999999999</v>
      </c>
      <c r="J16" s="59">
        <v>130.39169999999999</v>
      </c>
      <c r="K16" s="59">
        <v>135.89169999999999</v>
      </c>
      <c r="L16" s="59">
        <v>141.6833</v>
      </c>
      <c r="M16" s="59">
        <v>148.4667</v>
      </c>
      <c r="N16" s="59">
        <v>155.85830000000001</v>
      </c>
      <c r="O16" s="59">
        <v>162.29169999999999</v>
      </c>
      <c r="P16" s="59">
        <v>166.79169999999999</v>
      </c>
      <c r="Q16" s="59">
        <v>169.22499999999999</v>
      </c>
      <c r="R16" s="59">
        <v>170.39169999999999</v>
      </c>
      <c r="S16" s="59">
        <v>170.8</v>
      </c>
      <c r="T16" s="4">
        <v>11</v>
      </c>
      <c r="U16" s="59">
        <v>2.5400725845999972</v>
      </c>
      <c r="V16" s="59">
        <v>2.9773425846000094</v>
      </c>
      <c r="W16" s="59">
        <v>3.4144628346000019</v>
      </c>
      <c r="X16" s="59">
        <v>3.852930834599988</v>
      </c>
      <c r="Y16" s="59">
        <v>4.2902008346000002</v>
      </c>
      <c r="Z16" s="59">
        <v>4.7274708346000125</v>
      </c>
      <c r="AA16" s="59">
        <v>5.0350000000000001</v>
      </c>
      <c r="AB16" s="59">
        <v>5.2691670000000004</v>
      </c>
      <c r="AC16" s="59">
        <v>5.5708330000000004</v>
      </c>
      <c r="AD16" s="59">
        <v>5.9024999999999999</v>
      </c>
      <c r="AE16" s="59">
        <v>6.5508329999999999</v>
      </c>
      <c r="AF16" s="59">
        <v>7.523333</v>
      </c>
      <c r="AG16" s="59">
        <v>7.9058330000000003</v>
      </c>
      <c r="AH16" s="59">
        <v>7.19</v>
      </c>
      <c r="AI16" s="59">
        <v>6.24</v>
      </c>
      <c r="AJ16" s="59">
        <v>5.8483330000000002</v>
      </c>
      <c r="AK16" s="59">
        <v>5.806667</v>
      </c>
      <c r="AL16" s="59">
        <v>5.83</v>
      </c>
    </row>
    <row r="20" spans="1:38" x14ac:dyDescent="0.15">
      <c r="A20" s="4" t="s">
        <v>0</v>
      </c>
      <c r="G20" s="59"/>
      <c r="H20" s="59"/>
      <c r="I20" s="59"/>
      <c r="J20" s="59"/>
      <c r="K20" s="59"/>
      <c r="L20" s="59"/>
      <c r="M20" s="59"/>
      <c r="N20" s="59"/>
      <c r="O20" s="59"/>
      <c r="P20" s="59"/>
      <c r="Q20" s="59"/>
      <c r="R20" s="59"/>
      <c r="S20" s="59"/>
    </row>
    <row r="21" spans="1:38" x14ac:dyDescent="0.15">
      <c r="A21" s="4" t="s">
        <v>2</v>
      </c>
      <c r="B21" s="4">
        <v>0</v>
      </c>
      <c r="C21" s="4">
        <v>1</v>
      </c>
      <c r="D21" s="4">
        <v>2</v>
      </c>
      <c r="E21" s="4">
        <v>3</v>
      </c>
      <c r="F21" s="4">
        <v>4</v>
      </c>
      <c r="G21" s="4">
        <v>5</v>
      </c>
      <c r="H21" s="4">
        <v>6</v>
      </c>
      <c r="I21" s="4">
        <v>7</v>
      </c>
      <c r="J21" s="4">
        <v>8</v>
      </c>
      <c r="K21" s="4">
        <v>9</v>
      </c>
      <c r="L21" s="4">
        <v>10</v>
      </c>
      <c r="M21" s="4">
        <v>11</v>
      </c>
      <c r="N21" s="4">
        <v>12</v>
      </c>
      <c r="O21" s="4">
        <v>13</v>
      </c>
      <c r="P21" s="4">
        <v>14</v>
      </c>
      <c r="Q21" s="4">
        <v>15</v>
      </c>
      <c r="R21" s="4">
        <v>16</v>
      </c>
      <c r="S21" s="4">
        <v>17</v>
      </c>
      <c r="T21" s="4" t="s">
        <v>3</v>
      </c>
      <c r="U21" s="4">
        <v>0</v>
      </c>
      <c r="V21" s="4">
        <v>1</v>
      </c>
      <c r="W21" s="4">
        <v>2</v>
      </c>
      <c r="X21" s="4">
        <v>3</v>
      </c>
      <c r="Y21" s="4">
        <v>4</v>
      </c>
      <c r="Z21" s="4">
        <v>5</v>
      </c>
      <c r="AA21" s="4">
        <v>6</v>
      </c>
      <c r="AB21" s="4">
        <v>7</v>
      </c>
      <c r="AC21" s="4">
        <v>8</v>
      </c>
      <c r="AD21" s="4">
        <v>9</v>
      </c>
      <c r="AE21" s="4">
        <v>10</v>
      </c>
      <c r="AF21" s="4">
        <v>11</v>
      </c>
      <c r="AG21" s="4">
        <v>12</v>
      </c>
      <c r="AH21" s="4">
        <v>13</v>
      </c>
      <c r="AI21" s="4">
        <v>14</v>
      </c>
      <c r="AJ21" s="4">
        <v>15</v>
      </c>
      <c r="AK21" s="4">
        <v>16</v>
      </c>
      <c r="AL21" s="4">
        <v>17</v>
      </c>
    </row>
    <row r="22" spans="1:38" x14ac:dyDescent="0.15">
      <c r="A22" s="4">
        <v>0</v>
      </c>
      <c r="B22" s="59">
        <v>48.403121748179018</v>
      </c>
      <c r="C22" s="59">
        <v>73.375284889913331</v>
      </c>
      <c r="D22" s="59">
        <v>84.293911109437914</v>
      </c>
      <c r="E22" s="59">
        <v>92.214427495343784</v>
      </c>
      <c r="F22" s="59">
        <v>99.454292099204409</v>
      </c>
      <c r="G22" s="59">
        <v>106.16575185412472</v>
      </c>
      <c r="H22" s="59">
        <v>112.73309581868564</v>
      </c>
      <c r="I22" s="59">
        <v>118.75</v>
      </c>
      <c r="J22" s="59">
        <v>124.6</v>
      </c>
      <c r="K22" s="59">
        <v>130.5</v>
      </c>
      <c r="L22" s="59">
        <v>136.9</v>
      </c>
      <c r="M22" s="59">
        <v>143.69999999999999</v>
      </c>
      <c r="N22" s="59">
        <v>149.6</v>
      </c>
      <c r="O22" s="59">
        <v>153.6</v>
      </c>
      <c r="P22" s="59">
        <v>155.94999999999999</v>
      </c>
      <c r="Q22" s="59">
        <v>157.05000000000001</v>
      </c>
      <c r="R22" s="59">
        <v>157.5</v>
      </c>
      <c r="S22" s="59">
        <v>157.9</v>
      </c>
      <c r="T22" s="4">
        <v>0</v>
      </c>
      <c r="U22" s="59">
        <v>2.0785187300000061</v>
      </c>
      <c r="V22" s="59">
        <v>2.5062987299999975</v>
      </c>
      <c r="W22" s="59">
        <v>2.9352507299999928</v>
      </c>
      <c r="X22" s="59">
        <v>3.3630307299999913</v>
      </c>
      <c r="Y22" s="59">
        <v>3.790810730000004</v>
      </c>
      <c r="Z22" s="59">
        <v>4.2185907300000025</v>
      </c>
      <c r="AA22" s="59">
        <v>4.6475427300000121</v>
      </c>
      <c r="AB22" s="59">
        <v>5</v>
      </c>
      <c r="AC22" s="59">
        <v>5.35</v>
      </c>
      <c r="AD22" s="59">
        <v>5.87</v>
      </c>
      <c r="AE22" s="59">
        <v>6.48</v>
      </c>
      <c r="AF22" s="59">
        <v>6.73</v>
      </c>
      <c r="AG22" s="59">
        <v>6.3</v>
      </c>
      <c r="AH22" s="59">
        <v>5.665</v>
      </c>
      <c r="AI22" s="59">
        <v>5.35</v>
      </c>
      <c r="AJ22" s="59">
        <v>5.26</v>
      </c>
      <c r="AK22" s="59">
        <v>5.2249999999999996</v>
      </c>
      <c r="AL22" s="59">
        <v>5.24</v>
      </c>
    </row>
    <row r="23" spans="1:38" x14ac:dyDescent="0.15">
      <c r="A23" s="4">
        <v>1</v>
      </c>
      <c r="B23" s="59">
        <v>52.601481267943271</v>
      </c>
      <c r="C23" s="59">
        <v>74.456771262361599</v>
      </c>
      <c r="D23" s="59">
        <v>85.00792341769322</v>
      </c>
      <c r="E23" s="59">
        <v>92.841384975115304</v>
      </c>
      <c r="F23" s="59">
        <v>100.02796668401568</v>
      </c>
      <c r="G23" s="59">
        <v>106.72713874975474</v>
      </c>
      <c r="H23" s="59">
        <v>113.26135057239921</v>
      </c>
      <c r="I23" s="59">
        <v>119.24169999999999</v>
      </c>
      <c r="J23" s="59">
        <v>125.08329999999999</v>
      </c>
      <c r="K23" s="59">
        <v>131</v>
      </c>
      <c r="L23" s="59">
        <v>137.4667</v>
      </c>
      <c r="M23" s="59">
        <v>144.26669999999999</v>
      </c>
      <c r="N23" s="59">
        <v>150.01669999999999</v>
      </c>
      <c r="O23" s="59">
        <v>153.85</v>
      </c>
      <c r="P23" s="59">
        <v>156.0917</v>
      </c>
      <c r="Q23" s="59">
        <v>157.0917</v>
      </c>
      <c r="R23" s="59">
        <v>157.5333</v>
      </c>
      <c r="S23" s="59">
        <v>157.9333</v>
      </c>
      <c r="T23" s="4">
        <v>1</v>
      </c>
      <c r="U23" s="59">
        <v>2.1136787299999966</v>
      </c>
      <c r="V23" s="59">
        <v>2.5426307299999991</v>
      </c>
      <c r="W23" s="59">
        <v>2.9703374799999978</v>
      </c>
      <c r="X23" s="59">
        <v>3.3984104799999955</v>
      </c>
      <c r="Y23" s="59">
        <v>3.8264834799999932</v>
      </c>
      <c r="Z23" s="59">
        <v>4.2545564800000051</v>
      </c>
      <c r="AA23" s="59">
        <v>4.6826294799999886</v>
      </c>
      <c r="AB23" s="59">
        <v>5.0216669999999999</v>
      </c>
      <c r="AC23" s="59">
        <v>5.3866670000000001</v>
      </c>
      <c r="AD23" s="59">
        <v>5.92</v>
      </c>
      <c r="AE23" s="59">
        <v>6.5316669999999997</v>
      </c>
      <c r="AF23" s="59">
        <v>6.72</v>
      </c>
      <c r="AG23" s="59">
        <v>6.2383329999999999</v>
      </c>
      <c r="AH23" s="59">
        <v>5.6208330000000002</v>
      </c>
      <c r="AI23" s="59">
        <v>5.3416670000000002</v>
      </c>
      <c r="AJ23" s="59">
        <v>5.2533329999999996</v>
      </c>
      <c r="AK23" s="59">
        <v>5.2258329999999997</v>
      </c>
      <c r="AL23" s="59">
        <v>5.2416669999999996</v>
      </c>
    </row>
    <row r="24" spans="1:38" x14ac:dyDescent="0.15">
      <c r="A24" s="4">
        <v>2</v>
      </c>
      <c r="B24" s="59">
        <v>56.677829855424577</v>
      </c>
      <c r="C24" s="59">
        <v>75.47857512411889</v>
      </c>
      <c r="D24" s="59">
        <v>85.714842385355979</v>
      </c>
      <c r="E24" s="59">
        <v>93.467942618423464</v>
      </c>
      <c r="F24" s="59">
        <v>100.5976416267718</v>
      </c>
      <c r="G24" s="59">
        <v>107.28155824409532</v>
      </c>
      <c r="H24" s="59">
        <v>113.79766698461601</v>
      </c>
      <c r="I24" s="59">
        <v>119.7333</v>
      </c>
      <c r="J24" s="59">
        <v>125.5667</v>
      </c>
      <c r="K24" s="59">
        <v>131.5</v>
      </c>
      <c r="L24" s="59">
        <v>138.0333</v>
      </c>
      <c r="M24" s="59">
        <v>144.83330000000001</v>
      </c>
      <c r="N24" s="59">
        <v>150.4333</v>
      </c>
      <c r="O24" s="59">
        <v>154.1</v>
      </c>
      <c r="P24" s="59">
        <v>156.23330000000001</v>
      </c>
      <c r="Q24" s="59">
        <v>157.13329999999999</v>
      </c>
      <c r="R24" s="59">
        <v>157.5667</v>
      </c>
      <c r="S24" s="59">
        <v>157.9667</v>
      </c>
      <c r="T24" s="4">
        <v>2</v>
      </c>
      <c r="U24" s="59">
        <v>2.1500107299999911</v>
      </c>
      <c r="V24" s="59">
        <v>2.5777907300000038</v>
      </c>
      <c r="W24" s="59">
        <v>3.0060102300000011</v>
      </c>
      <c r="X24" s="59">
        <v>3.4340832299999988</v>
      </c>
      <c r="Y24" s="59">
        <v>3.8621562299999965</v>
      </c>
      <c r="Z24" s="59">
        <v>4.2902292300000084</v>
      </c>
      <c r="AA24" s="59">
        <v>4.7183022300000061</v>
      </c>
      <c r="AB24" s="59">
        <v>5.0433329999999996</v>
      </c>
      <c r="AC24" s="59">
        <v>5.4233330000000004</v>
      </c>
      <c r="AD24" s="59">
        <v>5.97</v>
      </c>
      <c r="AE24" s="59">
        <v>6.5833329999999997</v>
      </c>
      <c r="AF24" s="59">
        <v>6.71</v>
      </c>
      <c r="AG24" s="59">
        <v>6.1766670000000001</v>
      </c>
      <c r="AH24" s="59">
        <v>5.5766669999999996</v>
      </c>
      <c r="AI24" s="59">
        <v>5.3333329999999997</v>
      </c>
      <c r="AJ24" s="59">
        <v>5.2466670000000004</v>
      </c>
      <c r="AK24" s="59">
        <v>5.226667</v>
      </c>
      <c r="AL24" s="59">
        <v>5.2433329999999998</v>
      </c>
    </row>
    <row r="25" spans="1:38" x14ac:dyDescent="0.15">
      <c r="A25" s="4">
        <v>3</v>
      </c>
      <c r="B25" s="59">
        <v>59.956753963437343</v>
      </c>
      <c r="C25" s="59">
        <v>76.507800491253647</v>
      </c>
      <c r="D25" s="59">
        <v>86.407481182616479</v>
      </c>
      <c r="E25" s="59">
        <v>94.087749665596164</v>
      </c>
      <c r="F25" s="59">
        <v>101.15766162520259</v>
      </c>
      <c r="G25" s="59">
        <v>107.84164956728844</v>
      </c>
      <c r="H25" s="59">
        <v>114.0667</v>
      </c>
      <c r="I25" s="59">
        <v>120.22499999999999</v>
      </c>
      <c r="J25" s="59">
        <v>126.05</v>
      </c>
      <c r="K25" s="59">
        <v>132</v>
      </c>
      <c r="L25" s="59">
        <v>138.6</v>
      </c>
      <c r="M25" s="59">
        <v>145.4</v>
      </c>
      <c r="N25" s="59">
        <v>150.85</v>
      </c>
      <c r="O25" s="59">
        <v>154.35</v>
      </c>
      <c r="P25" s="59">
        <v>156.375</v>
      </c>
      <c r="Q25" s="59">
        <v>157.17500000000001</v>
      </c>
      <c r="R25" s="59">
        <v>157.6</v>
      </c>
      <c r="S25" s="59">
        <v>158</v>
      </c>
      <c r="T25" s="4">
        <v>3</v>
      </c>
      <c r="U25" s="59">
        <v>2.1851707300000029</v>
      </c>
      <c r="V25" s="59">
        <v>2.6141227300000054</v>
      </c>
      <c r="W25" s="59">
        <v>3.0419027300000039</v>
      </c>
      <c r="X25" s="59">
        <v>3.4696827300000024</v>
      </c>
      <c r="Y25" s="59">
        <v>3.8974627299999867</v>
      </c>
      <c r="Z25" s="59">
        <v>4.3264147300000104</v>
      </c>
      <c r="AA25" s="59">
        <v>4.6466669999999999</v>
      </c>
      <c r="AB25" s="59">
        <v>5.0650000000000004</v>
      </c>
      <c r="AC25" s="59">
        <v>5.46</v>
      </c>
      <c r="AD25" s="59">
        <v>6.02</v>
      </c>
      <c r="AE25" s="59">
        <v>6.6349999999999998</v>
      </c>
      <c r="AF25" s="59">
        <v>6.7</v>
      </c>
      <c r="AG25" s="59">
        <v>6.1150000000000002</v>
      </c>
      <c r="AH25" s="59">
        <v>5.5324999999999998</v>
      </c>
      <c r="AI25" s="59">
        <v>5.3250000000000002</v>
      </c>
      <c r="AJ25" s="59">
        <v>5.24</v>
      </c>
      <c r="AK25" s="59">
        <v>5.2275</v>
      </c>
      <c r="AL25" s="59">
        <v>5.2450000000000001</v>
      </c>
    </row>
    <row r="26" spans="1:38" x14ac:dyDescent="0.15">
      <c r="A26" s="4">
        <v>4</v>
      </c>
      <c r="B26" s="59">
        <v>62.618945240707419</v>
      </c>
      <c r="C26" s="59">
        <v>77.461733341242535</v>
      </c>
      <c r="D26" s="59">
        <v>87.074364538717077</v>
      </c>
      <c r="E26" s="59">
        <v>94.704750132382188</v>
      </c>
      <c r="F26" s="59">
        <v>101.72553119193002</v>
      </c>
      <c r="G26" s="59">
        <v>108.38378436472584</v>
      </c>
      <c r="H26" s="59">
        <v>114.6444</v>
      </c>
      <c r="I26" s="59">
        <v>120.7167</v>
      </c>
      <c r="J26" s="59">
        <v>126.5333</v>
      </c>
      <c r="K26" s="59">
        <v>132.5</v>
      </c>
      <c r="L26" s="59">
        <v>139.16669999999999</v>
      </c>
      <c r="M26" s="59">
        <v>145.9667</v>
      </c>
      <c r="N26" s="59">
        <v>151.26669999999999</v>
      </c>
      <c r="O26" s="59">
        <v>154.6</v>
      </c>
      <c r="P26" s="59">
        <v>156.51669999999999</v>
      </c>
      <c r="Q26" s="59">
        <v>157.2167</v>
      </c>
      <c r="R26" s="59">
        <v>157.63329999999999</v>
      </c>
      <c r="S26" s="59">
        <v>158.0333</v>
      </c>
      <c r="T26" s="4">
        <v>4</v>
      </c>
      <c r="U26" s="59">
        <v>2.2215027299999974</v>
      </c>
      <c r="V26" s="59">
        <v>2.6492827300000101</v>
      </c>
      <c r="W26" s="59">
        <v>3.0773557300000078</v>
      </c>
      <c r="X26" s="59">
        <v>3.5054287300000055</v>
      </c>
      <c r="Y26" s="59">
        <v>3.9335017300000032</v>
      </c>
      <c r="Z26" s="59">
        <v>4.3615747299999867</v>
      </c>
      <c r="AA26" s="59">
        <v>4.7211109999999996</v>
      </c>
      <c r="AB26" s="59">
        <v>5.0866670000000003</v>
      </c>
      <c r="AC26" s="59">
        <v>5.4966670000000004</v>
      </c>
      <c r="AD26" s="59">
        <v>6.07</v>
      </c>
      <c r="AE26" s="59">
        <v>6.6866669999999999</v>
      </c>
      <c r="AF26" s="59">
        <v>6.69</v>
      </c>
      <c r="AG26" s="59">
        <v>6.0533330000000003</v>
      </c>
      <c r="AH26" s="59">
        <v>5.4883329999999999</v>
      </c>
      <c r="AI26" s="59">
        <v>5.3166669999999998</v>
      </c>
      <c r="AJ26" s="59">
        <v>5.233333</v>
      </c>
      <c r="AK26" s="59">
        <v>5.2283330000000001</v>
      </c>
      <c r="AL26" s="59">
        <v>5.2466670000000004</v>
      </c>
    </row>
    <row r="27" spans="1:38" x14ac:dyDescent="0.15">
      <c r="A27" s="4">
        <v>5</v>
      </c>
      <c r="B27" s="59">
        <v>64.607606263077145</v>
      </c>
      <c r="C27" s="59">
        <v>78.399812084560708</v>
      </c>
      <c r="D27" s="59">
        <v>87.729460756254298</v>
      </c>
      <c r="E27" s="59">
        <v>95.315269305938472</v>
      </c>
      <c r="F27" s="59">
        <v>102.28401511723784</v>
      </c>
      <c r="G27" s="59">
        <v>108.93186029392166</v>
      </c>
      <c r="H27" s="59">
        <v>115.2222</v>
      </c>
      <c r="I27" s="59">
        <v>121.20829999999999</v>
      </c>
      <c r="J27" s="59">
        <v>127.0167</v>
      </c>
      <c r="K27" s="59">
        <v>133</v>
      </c>
      <c r="L27" s="59">
        <v>139.73330000000001</v>
      </c>
      <c r="M27" s="59">
        <v>146.5333</v>
      </c>
      <c r="N27" s="59">
        <v>151.6833</v>
      </c>
      <c r="O27" s="59">
        <v>154.85</v>
      </c>
      <c r="P27" s="59">
        <v>156.6583</v>
      </c>
      <c r="Q27" s="59">
        <v>157.25829999999999</v>
      </c>
      <c r="R27" s="59">
        <v>157.66669999999999</v>
      </c>
      <c r="S27" s="59">
        <v>158.0667</v>
      </c>
      <c r="T27" s="4">
        <v>5</v>
      </c>
      <c r="U27" s="59">
        <v>2.2566627300000022</v>
      </c>
      <c r="V27" s="59">
        <v>2.6844427300000007</v>
      </c>
      <c r="W27" s="59">
        <v>3.1130284800000112</v>
      </c>
      <c r="X27" s="59">
        <v>3.5411014799999947</v>
      </c>
      <c r="Y27" s="59">
        <v>3.9691744800000066</v>
      </c>
      <c r="Z27" s="59">
        <v>4.3972474799999901</v>
      </c>
      <c r="AA27" s="59">
        <v>4.7955560000000004</v>
      </c>
      <c r="AB27" s="59">
        <v>5.108333</v>
      </c>
      <c r="AC27" s="59">
        <v>5.5333329999999998</v>
      </c>
      <c r="AD27" s="59">
        <v>6.12</v>
      </c>
      <c r="AE27" s="59">
        <v>6.7383329999999999</v>
      </c>
      <c r="AF27" s="59">
        <v>6.68</v>
      </c>
      <c r="AG27" s="59">
        <v>5.9916669999999996</v>
      </c>
      <c r="AH27" s="59">
        <v>5.4441670000000002</v>
      </c>
      <c r="AI27" s="59">
        <v>5.3083330000000002</v>
      </c>
      <c r="AJ27" s="59">
        <v>5.226667</v>
      </c>
      <c r="AK27" s="59">
        <v>5.2291670000000003</v>
      </c>
      <c r="AL27" s="59">
        <v>5.2483329999999997</v>
      </c>
    </row>
    <row r="28" spans="1:38" x14ac:dyDescent="0.15">
      <c r="A28" s="4">
        <v>6</v>
      </c>
      <c r="B28" s="59">
        <v>66.230348380164259</v>
      </c>
      <c r="C28" s="59">
        <v>79.350755047066613</v>
      </c>
      <c r="D28" s="59">
        <v>88.367665719181929</v>
      </c>
      <c r="E28" s="59">
        <v>95.91328272366006</v>
      </c>
      <c r="F28" s="59">
        <v>102.84585505066036</v>
      </c>
      <c r="G28" s="59">
        <v>109.480330632533</v>
      </c>
      <c r="H28" s="59">
        <v>115.8</v>
      </c>
      <c r="I28" s="59">
        <v>121.7</v>
      </c>
      <c r="J28" s="59">
        <v>127.5</v>
      </c>
      <c r="K28" s="59">
        <v>133.5</v>
      </c>
      <c r="L28" s="59">
        <v>140.30000000000001</v>
      </c>
      <c r="M28" s="59">
        <v>147.1</v>
      </c>
      <c r="N28" s="59">
        <v>152.1</v>
      </c>
      <c r="O28" s="59">
        <v>155.1</v>
      </c>
      <c r="P28" s="59">
        <v>156.80000000000001</v>
      </c>
      <c r="Q28" s="59">
        <v>157.30000000000001</v>
      </c>
      <c r="R28" s="59">
        <v>157.69999999999999</v>
      </c>
      <c r="S28" s="59">
        <v>158.1</v>
      </c>
      <c r="T28" s="4">
        <v>6</v>
      </c>
      <c r="U28" s="59">
        <v>2.2929947300000109</v>
      </c>
      <c r="V28" s="59">
        <v>2.7207747300000023</v>
      </c>
      <c r="W28" s="59">
        <v>3.1485547300000007</v>
      </c>
      <c r="X28" s="59">
        <v>3.5763347299999992</v>
      </c>
      <c r="Y28" s="59">
        <v>4.0052867300000088</v>
      </c>
      <c r="Z28" s="59">
        <v>4.4330667299999931</v>
      </c>
      <c r="AA28" s="59">
        <v>4.87</v>
      </c>
      <c r="AB28" s="59">
        <v>5.13</v>
      </c>
      <c r="AC28" s="59">
        <v>5.57</v>
      </c>
      <c r="AD28" s="59">
        <v>6.17</v>
      </c>
      <c r="AE28" s="59">
        <v>6.79</v>
      </c>
      <c r="AF28" s="59">
        <v>6.67</v>
      </c>
      <c r="AG28" s="59">
        <v>5.93</v>
      </c>
      <c r="AH28" s="59">
        <v>5.4</v>
      </c>
      <c r="AI28" s="59">
        <v>5.3</v>
      </c>
      <c r="AJ28" s="59">
        <v>5.22</v>
      </c>
      <c r="AK28" s="59">
        <v>5.23</v>
      </c>
      <c r="AL28" s="59">
        <v>5.25</v>
      </c>
    </row>
    <row r="29" spans="1:38" x14ac:dyDescent="0.15">
      <c r="A29" s="4">
        <v>7</v>
      </c>
      <c r="B29" s="59">
        <v>67.53821287457184</v>
      </c>
      <c r="C29" s="59">
        <v>80.250761534110495</v>
      </c>
      <c r="D29" s="59">
        <v>88.998695626144197</v>
      </c>
      <c r="E29" s="59">
        <v>96.521211743469422</v>
      </c>
      <c r="F29" s="59">
        <v>103.3907345105753</v>
      </c>
      <c r="G29" s="59">
        <v>110.02261114733859</v>
      </c>
      <c r="H29" s="59">
        <v>116.29170000000001</v>
      </c>
      <c r="I29" s="59">
        <v>122.1833</v>
      </c>
      <c r="J29" s="59">
        <v>128</v>
      </c>
      <c r="K29" s="59">
        <v>134.0667</v>
      </c>
      <c r="L29" s="59">
        <v>140.86670000000001</v>
      </c>
      <c r="M29" s="59">
        <v>147.51669999999999</v>
      </c>
      <c r="N29" s="59">
        <v>152.35</v>
      </c>
      <c r="O29" s="59">
        <v>155.24170000000001</v>
      </c>
      <c r="P29" s="59">
        <v>156.8417</v>
      </c>
      <c r="Q29" s="59">
        <v>157.33330000000001</v>
      </c>
      <c r="R29" s="59">
        <v>157.73330000000001</v>
      </c>
      <c r="S29" s="59">
        <v>158.1</v>
      </c>
      <c r="T29" s="4">
        <v>7</v>
      </c>
      <c r="U29" s="59">
        <v>2.3281547299999943</v>
      </c>
      <c r="V29" s="59">
        <v>2.755934730000007</v>
      </c>
      <c r="W29" s="59">
        <v>3.1843739800000037</v>
      </c>
      <c r="X29" s="59">
        <v>3.6124469800000014</v>
      </c>
      <c r="Y29" s="59">
        <v>4.0405199799999991</v>
      </c>
      <c r="Z29" s="59">
        <v>4.4685929799999968</v>
      </c>
      <c r="AA29" s="59">
        <v>4.891667</v>
      </c>
      <c r="AB29" s="59">
        <v>5.1666670000000003</v>
      </c>
      <c r="AC29" s="59">
        <v>5.62</v>
      </c>
      <c r="AD29" s="59">
        <v>6.2216670000000001</v>
      </c>
      <c r="AE29" s="59">
        <v>6.78</v>
      </c>
      <c r="AF29" s="59">
        <v>6.608333</v>
      </c>
      <c r="AG29" s="59">
        <v>5.8858329999999999</v>
      </c>
      <c r="AH29" s="59">
        <v>5.391667</v>
      </c>
      <c r="AI29" s="59">
        <v>5.2933329999999996</v>
      </c>
      <c r="AJ29" s="59">
        <v>5.2208329999999998</v>
      </c>
      <c r="AK29" s="59">
        <v>5.2316669999999998</v>
      </c>
      <c r="AL29" s="59">
        <v>5.25</v>
      </c>
    </row>
    <row r="30" spans="1:38" x14ac:dyDescent="0.15">
      <c r="A30" s="4">
        <v>8</v>
      </c>
      <c r="B30" s="59">
        <v>68.851906654146376</v>
      </c>
      <c r="C30" s="59">
        <v>81.156960722898646</v>
      </c>
      <c r="D30" s="59">
        <v>89.616784585697019</v>
      </c>
      <c r="E30" s="59">
        <v>97.11690431034981</v>
      </c>
      <c r="F30" s="59">
        <v>103.93923928151064</v>
      </c>
      <c r="G30" s="59">
        <v>110.56555537446548</v>
      </c>
      <c r="H30" s="59">
        <v>116.7833</v>
      </c>
      <c r="I30" s="59">
        <v>122.66670000000001</v>
      </c>
      <c r="J30" s="59">
        <v>128.5</v>
      </c>
      <c r="K30" s="59">
        <v>134.63329999999999</v>
      </c>
      <c r="L30" s="59">
        <v>141.4333</v>
      </c>
      <c r="M30" s="59">
        <v>147.9333</v>
      </c>
      <c r="N30" s="59">
        <v>152.6</v>
      </c>
      <c r="O30" s="59">
        <v>155.38329999999999</v>
      </c>
      <c r="P30" s="59">
        <v>156.88329999999999</v>
      </c>
      <c r="Q30" s="59">
        <v>157.36670000000001</v>
      </c>
      <c r="R30" s="59">
        <v>157.76669999999999</v>
      </c>
      <c r="S30" s="59">
        <v>158.1</v>
      </c>
      <c r="T30" s="4">
        <v>8</v>
      </c>
      <c r="U30" s="59">
        <v>2.364486730000003</v>
      </c>
      <c r="V30" s="59">
        <v>2.7922667299999944</v>
      </c>
      <c r="W30" s="59">
        <v>3.2200467300000071</v>
      </c>
      <c r="X30" s="59">
        <v>3.6481197300000048</v>
      </c>
      <c r="Y30" s="59">
        <v>4.0761927299999883</v>
      </c>
      <c r="Z30" s="59">
        <v>4.5042657300000002</v>
      </c>
      <c r="AA30" s="59">
        <v>4.9133329999999997</v>
      </c>
      <c r="AB30" s="59">
        <v>5.2033329999999998</v>
      </c>
      <c r="AC30" s="59">
        <v>5.67</v>
      </c>
      <c r="AD30" s="59">
        <v>6.273333</v>
      </c>
      <c r="AE30" s="59">
        <v>6.77</v>
      </c>
      <c r="AF30" s="59">
        <v>6.5466670000000002</v>
      </c>
      <c r="AG30" s="59">
        <v>5.8416670000000002</v>
      </c>
      <c r="AH30" s="59">
        <v>5.3833330000000004</v>
      </c>
      <c r="AI30" s="59">
        <v>5.2866669999999996</v>
      </c>
      <c r="AJ30" s="59">
        <v>5.2216670000000001</v>
      </c>
      <c r="AK30" s="59">
        <v>5.233333</v>
      </c>
      <c r="AL30" s="59">
        <v>5.25</v>
      </c>
    </row>
    <row r="31" spans="1:38" x14ac:dyDescent="0.15">
      <c r="A31" s="4">
        <v>9</v>
      </c>
      <c r="B31" s="59">
        <v>70.03460237841243</v>
      </c>
      <c r="C31" s="59">
        <v>81.98243469616267</v>
      </c>
      <c r="D31" s="59">
        <v>90.268268316078618</v>
      </c>
      <c r="E31" s="59">
        <v>97.713968175108974</v>
      </c>
      <c r="F31" s="59">
        <v>104.48543863686125</v>
      </c>
      <c r="G31" s="59">
        <v>111.10372672786301</v>
      </c>
      <c r="H31" s="59">
        <v>117.27500000000001</v>
      </c>
      <c r="I31" s="59">
        <v>123.15</v>
      </c>
      <c r="J31" s="59">
        <v>129</v>
      </c>
      <c r="K31" s="59">
        <v>135.19999999999999</v>
      </c>
      <c r="L31" s="59">
        <v>142</v>
      </c>
      <c r="M31" s="59">
        <v>148.35</v>
      </c>
      <c r="N31" s="59">
        <v>152.85</v>
      </c>
      <c r="O31" s="59">
        <v>155.52500000000001</v>
      </c>
      <c r="P31" s="59">
        <v>156.92500000000001</v>
      </c>
      <c r="Q31" s="59">
        <v>157.4</v>
      </c>
      <c r="R31" s="59">
        <v>157.80000000000001</v>
      </c>
      <c r="S31" s="59">
        <v>158.1</v>
      </c>
      <c r="T31" s="4">
        <v>9</v>
      </c>
      <c r="U31" s="59">
        <v>2.3996467299999935</v>
      </c>
      <c r="V31" s="59">
        <v>2.8274267299999991</v>
      </c>
      <c r="W31" s="59">
        <v>3.2552067300000118</v>
      </c>
      <c r="X31" s="59">
        <v>3.6841587299999929</v>
      </c>
      <c r="Y31" s="59">
        <v>4.1119387300000056</v>
      </c>
      <c r="Z31" s="59">
        <v>4.5397187300000041</v>
      </c>
      <c r="AA31" s="59">
        <v>4.9349999999999996</v>
      </c>
      <c r="AB31" s="59">
        <v>5.24</v>
      </c>
      <c r="AC31" s="59">
        <v>5.72</v>
      </c>
      <c r="AD31" s="59">
        <v>6.3250000000000002</v>
      </c>
      <c r="AE31" s="59">
        <v>6.76</v>
      </c>
      <c r="AF31" s="59">
        <v>6.4850000000000003</v>
      </c>
      <c r="AG31" s="59">
        <v>5.7975000000000003</v>
      </c>
      <c r="AH31" s="59">
        <v>5.375</v>
      </c>
      <c r="AI31" s="59">
        <v>5.28</v>
      </c>
      <c r="AJ31" s="59">
        <v>5.2225000000000001</v>
      </c>
      <c r="AK31" s="59">
        <v>5.2350000000000003</v>
      </c>
      <c r="AL31" s="59">
        <v>5.25</v>
      </c>
    </row>
    <row r="32" spans="1:38" x14ac:dyDescent="0.15">
      <c r="A32" s="4">
        <v>10</v>
      </c>
      <c r="B32" s="59">
        <v>71.167016505363051</v>
      </c>
      <c r="C32" s="59">
        <v>82.780781449147298</v>
      </c>
      <c r="D32" s="59">
        <v>90.927480682441214</v>
      </c>
      <c r="E32" s="59">
        <v>98.294405397604706</v>
      </c>
      <c r="F32" s="59">
        <v>105.04903871319746</v>
      </c>
      <c r="G32" s="59">
        <v>111.6472546868205</v>
      </c>
      <c r="H32" s="59">
        <v>117.7667</v>
      </c>
      <c r="I32" s="59">
        <v>123.63330000000001</v>
      </c>
      <c r="J32" s="59">
        <v>129.5</v>
      </c>
      <c r="K32" s="59">
        <v>135.76669999999999</v>
      </c>
      <c r="L32" s="59">
        <v>142.5667</v>
      </c>
      <c r="M32" s="59">
        <v>148.76669999999999</v>
      </c>
      <c r="N32" s="59">
        <v>153.1</v>
      </c>
      <c r="O32" s="59">
        <v>155.66669999999999</v>
      </c>
      <c r="P32" s="59">
        <v>156.9667</v>
      </c>
      <c r="Q32" s="59">
        <v>157.4333</v>
      </c>
      <c r="R32" s="59">
        <v>157.83330000000001</v>
      </c>
      <c r="S32" s="59">
        <v>158.1</v>
      </c>
      <c r="T32" s="4">
        <v>10</v>
      </c>
      <c r="U32" s="59">
        <v>2.4348067299999911</v>
      </c>
      <c r="V32" s="59">
        <v>2.8637587300000007</v>
      </c>
      <c r="W32" s="59">
        <v>3.2913922299999996</v>
      </c>
      <c r="X32" s="59">
        <v>3.7194652299999973</v>
      </c>
      <c r="Y32" s="59">
        <v>4.1475382300000092</v>
      </c>
      <c r="Z32" s="59">
        <v>4.5756112299999927</v>
      </c>
      <c r="AA32" s="59">
        <v>4.9566670000000004</v>
      </c>
      <c r="AB32" s="59">
        <v>5.2766669999999998</v>
      </c>
      <c r="AC32" s="59">
        <v>5.77</v>
      </c>
      <c r="AD32" s="59">
        <v>6.3766670000000003</v>
      </c>
      <c r="AE32" s="59">
        <v>6.75</v>
      </c>
      <c r="AF32" s="59">
        <v>6.4233330000000004</v>
      </c>
      <c r="AG32" s="59">
        <v>5.7533329999999996</v>
      </c>
      <c r="AH32" s="59">
        <v>5.3666669999999996</v>
      </c>
      <c r="AI32" s="59">
        <v>5.273333</v>
      </c>
      <c r="AJ32" s="59">
        <v>5.2233330000000002</v>
      </c>
      <c r="AK32" s="59">
        <v>5.2366669999999997</v>
      </c>
      <c r="AL32" s="59">
        <v>5.25</v>
      </c>
    </row>
    <row r="33" spans="1:38" x14ac:dyDescent="0.15">
      <c r="A33" s="4">
        <v>11</v>
      </c>
      <c r="B33" s="59">
        <v>72.30293726020362</v>
      </c>
      <c r="C33" s="59">
        <v>83.534684276484512</v>
      </c>
      <c r="D33" s="59">
        <v>91.571288658577089</v>
      </c>
      <c r="E33" s="59">
        <v>98.876483220885035</v>
      </c>
      <c r="F33" s="59">
        <v>105.61101363575867</v>
      </c>
      <c r="G33" s="59">
        <v>112.18627907495441</v>
      </c>
      <c r="H33" s="59">
        <v>118.25830000000001</v>
      </c>
      <c r="I33" s="59">
        <v>124.11669999999999</v>
      </c>
      <c r="J33" s="59">
        <v>130</v>
      </c>
      <c r="K33" s="59">
        <v>136.33330000000001</v>
      </c>
      <c r="L33" s="59">
        <v>143.13329999999999</v>
      </c>
      <c r="M33" s="59">
        <v>149.1833</v>
      </c>
      <c r="N33" s="59">
        <v>153.35</v>
      </c>
      <c r="O33" s="59">
        <v>155.8083</v>
      </c>
      <c r="P33" s="59">
        <v>157.00829999999999</v>
      </c>
      <c r="Q33" s="59">
        <v>157.4667</v>
      </c>
      <c r="R33" s="59">
        <v>157.86670000000001</v>
      </c>
      <c r="S33" s="59">
        <v>158.1</v>
      </c>
      <c r="T33" s="4">
        <v>11</v>
      </c>
      <c r="U33" s="59">
        <v>2.4711387299999927</v>
      </c>
      <c r="V33" s="59">
        <v>2.8989187299999912</v>
      </c>
      <c r="W33" s="59">
        <v>3.3270649800000029</v>
      </c>
      <c r="X33" s="59">
        <v>3.7551379800000007</v>
      </c>
      <c r="Y33" s="59">
        <v>4.1832109799999984</v>
      </c>
      <c r="Z33" s="59">
        <v>4.6112839800000103</v>
      </c>
      <c r="AA33" s="59">
        <v>4.9783330000000001</v>
      </c>
      <c r="AB33" s="59">
        <v>5.3133330000000001</v>
      </c>
      <c r="AC33" s="59">
        <v>5.82</v>
      </c>
      <c r="AD33" s="59">
        <v>6.4283330000000003</v>
      </c>
      <c r="AE33" s="59">
        <v>6.74</v>
      </c>
      <c r="AF33" s="59">
        <v>6.3616669999999997</v>
      </c>
      <c r="AG33" s="59">
        <v>5.7091669999999999</v>
      </c>
      <c r="AH33" s="59">
        <v>5.358333</v>
      </c>
      <c r="AI33" s="59">
        <v>5.266667</v>
      </c>
      <c r="AJ33" s="59">
        <v>5.2241669999999996</v>
      </c>
      <c r="AK33" s="59">
        <v>5.2383329999999999</v>
      </c>
      <c r="AL33" s="59">
        <v>5.25</v>
      </c>
    </row>
  </sheetData>
  <sheetProtection password="8E09" sheet="1" objects="1" scenarios="1" selectLockedCells="1" selectUnlockedCells="1"/>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3:AT76"/>
  <sheetViews>
    <sheetView topLeftCell="V10" workbookViewId="0">
      <selection activeCell="U25" sqref="A1:U65536"/>
    </sheetView>
  </sheetViews>
  <sheetFormatPr defaultRowHeight="13.5" x14ac:dyDescent="0.15"/>
  <cols>
    <col min="1" max="1" width="3.875" style="137" hidden="1" customWidth="1"/>
    <col min="2" max="2" width="9" style="137" hidden="1" customWidth="1"/>
    <col min="3" max="3" width="6.5" style="137" hidden="1" customWidth="1"/>
    <col min="4" max="20" width="6.625" style="137" hidden="1" customWidth="1"/>
    <col min="21" max="21" width="4.875" style="137" hidden="1" customWidth="1"/>
    <col min="22" max="40" width="5.5" style="137" customWidth="1"/>
    <col min="41" max="41" width="9" style="137" customWidth="1"/>
    <col min="42" max="42" width="9" style="137"/>
    <col min="43" max="44" width="9.5" bestFit="1" customWidth="1"/>
  </cols>
  <sheetData>
    <row r="3" spans="2:46" x14ac:dyDescent="0.15">
      <c r="B3" s="137" t="s">
        <v>227</v>
      </c>
    </row>
    <row r="4" spans="2:46" x14ac:dyDescent="0.15">
      <c r="B4" s="151"/>
      <c r="C4" s="151">
        <v>0</v>
      </c>
      <c r="D4" s="151">
        <v>1</v>
      </c>
      <c r="E4" s="151">
        <v>2</v>
      </c>
      <c r="F4" s="151">
        <v>3</v>
      </c>
      <c r="G4" s="151">
        <v>4</v>
      </c>
      <c r="H4" s="151">
        <v>5</v>
      </c>
      <c r="I4" s="151">
        <v>6</v>
      </c>
      <c r="J4" s="151">
        <v>7</v>
      </c>
      <c r="K4" s="151">
        <v>8</v>
      </c>
      <c r="L4" s="151">
        <v>9</v>
      </c>
      <c r="M4" s="151">
        <v>10</v>
      </c>
      <c r="N4" s="151">
        <v>11</v>
      </c>
      <c r="O4" s="151">
        <v>12</v>
      </c>
      <c r="P4" s="151">
        <v>13</v>
      </c>
      <c r="Q4" s="151">
        <v>14</v>
      </c>
      <c r="R4" s="151">
        <v>15</v>
      </c>
      <c r="S4" s="151">
        <v>16</v>
      </c>
      <c r="T4" s="151">
        <v>17</v>
      </c>
    </row>
    <row r="5" spans="2:46" x14ac:dyDescent="0.15">
      <c r="B5" s="151">
        <v>0</v>
      </c>
      <c r="C5" s="152"/>
      <c r="D5" s="153">
        <v>13.9</v>
      </c>
      <c r="E5" s="153">
        <v>8.8000000000000007</v>
      </c>
      <c r="F5" s="153">
        <v>7.5</v>
      </c>
      <c r="G5" s="153">
        <v>6.9</v>
      </c>
      <c r="H5" s="153">
        <v>6.3</v>
      </c>
      <c r="I5" s="153">
        <v>5.9</v>
      </c>
      <c r="J5" s="153">
        <v>5.8</v>
      </c>
      <c r="K5" s="153">
        <v>5.5</v>
      </c>
      <c r="L5" s="153">
        <v>5.0999999999999996</v>
      </c>
      <c r="M5" s="153">
        <v>4.9000000000000004</v>
      </c>
      <c r="N5" s="153">
        <v>5.0999999999999996</v>
      </c>
      <c r="O5" s="153">
        <v>6.7</v>
      </c>
      <c r="P5" s="153">
        <v>9.9</v>
      </c>
      <c r="Q5" s="153">
        <v>6.3</v>
      </c>
      <c r="R5" s="153">
        <v>3.3</v>
      </c>
      <c r="S5" s="153">
        <v>1.6</v>
      </c>
      <c r="T5" s="153">
        <v>0.6</v>
      </c>
    </row>
    <row r="6" spans="2:46" x14ac:dyDescent="0.15">
      <c r="B6" s="151">
        <v>1</v>
      </c>
      <c r="C6" s="151"/>
      <c r="D6" s="153">
        <v>13.9</v>
      </c>
      <c r="E6" s="153">
        <v>8.8000000000000007</v>
      </c>
      <c r="F6" s="153">
        <v>7.5</v>
      </c>
      <c r="G6" s="153">
        <v>6.9</v>
      </c>
      <c r="H6" s="153">
        <v>6.3</v>
      </c>
      <c r="I6" s="153">
        <v>5.9</v>
      </c>
      <c r="J6" s="153">
        <v>5.8</v>
      </c>
      <c r="K6" s="153">
        <v>5.5</v>
      </c>
      <c r="L6" s="153">
        <v>5.0999999999999996</v>
      </c>
      <c r="M6" s="153">
        <v>4.9000000000000004</v>
      </c>
      <c r="N6" s="153">
        <v>5.0999999999999996</v>
      </c>
      <c r="O6" s="153">
        <v>6.7</v>
      </c>
      <c r="P6" s="153">
        <v>9.9</v>
      </c>
      <c r="Q6" s="153">
        <v>6.3</v>
      </c>
      <c r="R6" s="153">
        <v>3.3</v>
      </c>
      <c r="S6" s="153">
        <v>1.6</v>
      </c>
      <c r="T6" s="153">
        <v>0.6</v>
      </c>
    </row>
    <row r="7" spans="2:46" x14ac:dyDescent="0.15">
      <c r="B7" s="151">
        <v>2</v>
      </c>
      <c r="C7" s="151"/>
      <c r="D7" s="153">
        <v>13.9</v>
      </c>
      <c r="E7" s="153">
        <v>8.8000000000000007</v>
      </c>
      <c r="F7" s="153">
        <v>7.5</v>
      </c>
      <c r="G7" s="153">
        <v>6.9</v>
      </c>
      <c r="H7" s="153">
        <v>6.3</v>
      </c>
      <c r="I7" s="153">
        <v>5.9</v>
      </c>
      <c r="J7" s="153">
        <v>5.8</v>
      </c>
      <c r="K7" s="153">
        <v>5.5</v>
      </c>
      <c r="L7" s="153">
        <v>5.0999999999999996</v>
      </c>
      <c r="M7" s="153">
        <v>4.9000000000000004</v>
      </c>
      <c r="N7" s="153">
        <v>5.0999999999999996</v>
      </c>
      <c r="O7" s="153">
        <v>6.7</v>
      </c>
      <c r="P7" s="153">
        <v>9.9</v>
      </c>
      <c r="Q7" s="153">
        <v>6.3</v>
      </c>
      <c r="R7" s="153">
        <v>3.3</v>
      </c>
      <c r="S7" s="153">
        <v>1.6</v>
      </c>
      <c r="T7" s="153">
        <v>0.6</v>
      </c>
    </row>
    <row r="8" spans="2:46" x14ac:dyDescent="0.15">
      <c r="B8" s="151">
        <v>3</v>
      </c>
      <c r="C8" s="152"/>
      <c r="D8" s="153">
        <v>11.7</v>
      </c>
      <c r="E8" s="153">
        <v>8.3000000000000007</v>
      </c>
      <c r="F8" s="153">
        <v>7.3</v>
      </c>
      <c r="G8" s="153">
        <v>6.7</v>
      </c>
      <c r="H8" s="153">
        <v>6.2</v>
      </c>
      <c r="I8" s="153">
        <v>5.8</v>
      </c>
      <c r="J8" s="153">
        <v>5.8</v>
      </c>
      <c r="K8" s="153">
        <v>5.4</v>
      </c>
      <c r="L8" s="153">
        <v>5.0999999999999996</v>
      </c>
      <c r="M8" s="153">
        <v>4.9000000000000004</v>
      </c>
      <c r="N8" s="153">
        <v>5.3</v>
      </c>
      <c r="O8" s="153">
        <v>7.4</v>
      </c>
      <c r="P8" s="153">
        <v>9.4</v>
      </c>
      <c r="Q8" s="153">
        <v>5.3</v>
      </c>
      <c r="R8" s="153">
        <v>2.8</v>
      </c>
      <c r="S8" s="153">
        <v>1.3</v>
      </c>
      <c r="T8" s="153">
        <v>0.5</v>
      </c>
    </row>
    <row r="9" spans="2:46" x14ac:dyDescent="0.15">
      <c r="B9" s="151">
        <v>4</v>
      </c>
      <c r="C9" s="151"/>
      <c r="D9" s="153">
        <v>11.7</v>
      </c>
      <c r="E9" s="153">
        <v>8.3000000000000007</v>
      </c>
      <c r="F9" s="153">
        <v>7.3</v>
      </c>
      <c r="G9" s="153">
        <v>6.7</v>
      </c>
      <c r="H9" s="153">
        <v>6.2</v>
      </c>
      <c r="I9" s="153">
        <v>5.8</v>
      </c>
      <c r="J9" s="153">
        <v>5.8</v>
      </c>
      <c r="K9" s="153">
        <v>5.4</v>
      </c>
      <c r="L9" s="153">
        <v>5.0999999999999996</v>
      </c>
      <c r="M9" s="153">
        <v>4.9000000000000004</v>
      </c>
      <c r="N9" s="153">
        <v>5.3</v>
      </c>
      <c r="O9" s="153">
        <v>7.4</v>
      </c>
      <c r="P9" s="153">
        <v>9.4</v>
      </c>
      <c r="Q9" s="153">
        <v>5.3</v>
      </c>
      <c r="R9" s="153">
        <v>2.8</v>
      </c>
      <c r="S9" s="153">
        <v>1.3</v>
      </c>
      <c r="T9" s="153">
        <v>0.5</v>
      </c>
    </row>
    <row r="10" spans="2:46" x14ac:dyDescent="0.15">
      <c r="B10" s="151">
        <v>5</v>
      </c>
      <c r="C10" s="151"/>
      <c r="D10" s="153">
        <v>11.7</v>
      </c>
      <c r="E10" s="153">
        <v>8.3000000000000007</v>
      </c>
      <c r="F10" s="153">
        <v>7.3</v>
      </c>
      <c r="G10" s="153">
        <v>6.7</v>
      </c>
      <c r="H10" s="153">
        <v>6.2</v>
      </c>
      <c r="I10" s="153">
        <v>5.8</v>
      </c>
      <c r="J10" s="153">
        <v>5.8</v>
      </c>
      <c r="K10" s="153">
        <v>5.4</v>
      </c>
      <c r="L10" s="153">
        <v>5.0999999999999996</v>
      </c>
      <c r="M10" s="153">
        <v>4.9000000000000004</v>
      </c>
      <c r="N10" s="153">
        <v>5.3</v>
      </c>
      <c r="O10" s="153">
        <v>7.4</v>
      </c>
      <c r="P10" s="153">
        <v>9.4</v>
      </c>
      <c r="Q10" s="153">
        <v>5.3</v>
      </c>
      <c r="R10" s="153">
        <v>2.8</v>
      </c>
      <c r="S10" s="153">
        <v>1.3</v>
      </c>
      <c r="T10" s="153">
        <v>0.5</v>
      </c>
    </row>
    <row r="11" spans="2:46" x14ac:dyDescent="0.15">
      <c r="B11" s="151">
        <v>6</v>
      </c>
      <c r="C11" s="152"/>
      <c r="D11" s="153">
        <v>10.3</v>
      </c>
      <c r="E11" s="153">
        <v>8</v>
      </c>
      <c r="F11" s="153">
        <v>7.1</v>
      </c>
      <c r="G11" s="153">
        <v>6.6</v>
      </c>
      <c r="H11" s="153">
        <v>6.1</v>
      </c>
      <c r="I11" s="153">
        <v>5.8</v>
      </c>
      <c r="J11" s="153">
        <v>5.7</v>
      </c>
      <c r="K11" s="153">
        <v>5.3</v>
      </c>
      <c r="L11" s="153">
        <v>5</v>
      </c>
      <c r="M11" s="153">
        <v>5</v>
      </c>
      <c r="N11" s="153">
        <v>5.6</v>
      </c>
      <c r="O11" s="153">
        <v>8.6</v>
      </c>
      <c r="P11" s="153">
        <v>8.6999999999999993</v>
      </c>
      <c r="Q11" s="153">
        <v>4.5</v>
      </c>
      <c r="R11" s="153">
        <v>2.2999999999999998</v>
      </c>
      <c r="S11" s="153">
        <v>1</v>
      </c>
      <c r="T11" s="153">
        <v>0.3</v>
      </c>
    </row>
    <row r="12" spans="2:46" x14ac:dyDescent="0.15">
      <c r="B12" s="151">
        <v>7</v>
      </c>
      <c r="C12" s="151"/>
      <c r="D12" s="153">
        <v>10.3</v>
      </c>
      <c r="E12" s="153">
        <v>8</v>
      </c>
      <c r="F12" s="153">
        <v>7.1</v>
      </c>
      <c r="G12" s="153">
        <v>6.6</v>
      </c>
      <c r="H12" s="153">
        <v>6.1</v>
      </c>
      <c r="I12" s="153">
        <v>5.8</v>
      </c>
      <c r="J12" s="153">
        <v>5.7</v>
      </c>
      <c r="K12" s="153">
        <v>5.3</v>
      </c>
      <c r="L12" s="153">
        <v>5</v>
      </c>
      <c r="M12" s="153">
        <v>5</v>
      </c>
      <c r="N12" s="153">
        <v>5.6</v>
      </c>
      <c r="O12" s="153">
        <v>8.6</v>
      </c>
      <c r="P12" s="153">
        <v>8.6999999999999993</v>
      </c>
      <c r="Q12" s="153">
        <v>4.5</v>
      </c>
      <c r="R12" s="153">
        <v>2.2999999999999998</v>
      </c>
      <c r="S12" s="153">
        <v>1</v>
      </c>
      <c r="T12" s="153">
        <v>0.3</v>
      </c>
      <c r="AQ12" s="4"/>
      <c r="AR12" s="58"/>
      <c r="AS12" s="59"/>
      <c r="AT12" s="59"/>
    </row>
    <row r="13" spans="2:46" x14ac:dyDescent="0.15">
      <c r="B13" s="151">
        <v>8</v>
      </c>
      <c r="C13" s="151"/>
      <c r="D13" s="153">
        <v>10.3</v>
      </c>
      <c r="E13" s="153">
        <v>8</v>
      </c>
      <c r="F13" s="153">
        <v>7.1</v>
      </c>
      <c r="G13" s="153">
        <v>6.6</v>
      </c>
      <c r="H13" s="153">
        <v>6.1</v>
      </c>
      <c r="I13" s="153">
        <v>5.8</v>
      </c>
      <c r="J13" s="153">
        <v>5.7</v>
      </c>
      <c r="K13" s="153">
        <v>5.3</v>
      </c>
      <c r="L13" s="153">
        <v>5</v>
      </c>
      <c r="M13" s="153">
        <v>5</v>
      </c>
      <c r="N13" s="153">
        <v>5.6</v>
      </c>
      <c r="O13" s="153">
        <v>8.6</v>
      </c>
      <c r="P13" s="153">
        <v>8.6999999999999993</v>
      </c>
      <c r="Q13" s="153">
        <v>4.5</v>
      </c>
      <c r="R13" s="153">
        <v>2.2999999999999998</v>
      </c>
      <c r="S13" s="153">
        <v>1</v>
      </c>
      <c r="T13" s="153">
        <v>0.3</v>
      </c>
    </row>
    <row r="14" spans="2:46" x14ac:dyDescent="0.15">
      <c r="B14" s="151">
        <v>9</v>
      </c>
      <c r="C14" s="152"/>
      <c r="D14" s="153">
        <v>9.5</v>
      </c>
      <c r="E14" s="153">
        <v>7.7</v>
      </c>
      <c r="F14" s="153">
        <v>7</v>
      </c>
      <c r="G14" s="153">
        <v>6.5</v>
      </c>
      <c r="H14" s="153">
        <v>6</v>
      </c>
      <c r="I14" s="153">
        <v>5.8</v>
      </c>
      <c r="J14" s="153">
        <v>5.6</v>
      </c>
      <c r="K14" s="153">
        <v>5.2</v>
      </c>
      <c r="L14" s="153">
        <v>5</v>
      </c>
      <c r="M14" s="153">
        <v>5</v>
      </c>
      <c r="N14" s="153">
        <v>6.1</v>
      </c>
      <c r="O14" s="153">
        <v>9.5</v>
      </c>
      <c r="P14" s="153">
        <v>7.6</v>
      </c>
      <c r="Q14" s="153">
        <v>3.9</v>
      </c>
      <c r="R14" s="153">
        <v>1.9</v>
      </c>
      <c r="S14" s="153">
        <v>0.8</v>
      </c>
      <c r="T14" s="153">
        <v>0.2</v>
      </c>
    </row>
    <row r="15" spans="2:46" x14ac:dyDescent="0.15">
      <c r="B15" s="151">
        <v>10</v>
      </c>
      <c r="C15" s="152"/>
      <c r="D15" s="153">
        <v>9.5</v>
      </c>
      <c r="E15" s="153">
        <v>7.7</v>
      </c>
      <c r="F15" s="153">
        <v>7</v>
      </c>
      <c r="G15" s="153">
        <v>6.5</v>
      </c>
      <c r="H15" s="153">
        <v>6</v>
      </c>
      <c r="I15" s="153">
        <v>5.8</v>
      </c>
      <c r="J15" s="153">
        <v>5.6</v>
      </c>
      <c r="K15" s="153">
        <v>5.2</v>
      </c>
      <c r="L15" s="153">
        <v>5</v>
      </c>
      <c r="M15" s="153">
        <v>5</v>
      </c>
      <c r="N15" s="153">
        <v>6.1</v>
      </c>
      <c r="O15" s="153">
        <v>9.5</v>
      </c>
      <c r="P15" s="153">
        <v>7.6</v>
      </c>
      <c r="Q15" s="153">
        <v>3.9</v>
      </c>
      <c r="R15" s="153">
        <v>1.9</v>
      </c>
      <c r="S15" s="153">
        <v>0.8</v>
      </c>
      <c r="T15" s="153"/>
    </row>
    <row r="16" spans="2:46" x14ac:dyDescent="0.15">
      <c r="B16" s="151">
        <v>11</v>
      </c>
      <c r="C16" s="152"/>
      <c r="D16" s="153">
        <v>9.5</v>
      </c>
      <c r="E16" s="153">
        <v>7.7</v>
      </c>
      <c r="F16" s="153">
        <v>7</v>
      </c>
      <c r="G16" s="153">
        <v>6.5</v>
      </c>
      <c r="H16" s="153">
        <v>6</v>
      </c>
      <c r="I16" s="153">
        <v>5.8</v>
      </c>
      <c r="J16" s="153">
        <v>5.6</v>
      </c>
      <c r="K16" s="153">
        <v>5.2</v>
      </c>
      <c r="L16" s="153">
        <v>5</v>
      </c>
      <c r="M16" s="153">
        <v>5</v>
      </c>
      <c r="N16" s="153">
        <v>6.1</v>
      </c>
      <c r="O16" s="153">
        <v>9.5</v>
      </c>
      <c r="P16" s="153">
        <v>7.6</v>
      </c>
      <c r="Q16" s="153">
        <v>3.9</v>
      </c>
      <c r="R16" s="153">
        <v>1.9</v>
      </c>
      <c r="S16" s="153">
        <v>0.8</v>
      </c>
      <c r="T16" s="153"/>
    </row>
    <row r="17" spans="2:40" x14ac:dyDescent="0.15">
      <c r="C17" s="138"/>
      <c r="D17" s="138"/>
      <c r="E17" s="138"/>
      <c r="F17" s="138"/>
      <c r="G17" s="138"/>
      <c r="H17" s="138"/>
      <c r="I17" s="138"/>
      <c r="J17" s="138"/>
      <c r="K17" s="138"/>
      <c r="L17" s="138"/>
      <c r="M17" s="138"/>
      <c r="N17" s="138"/>
      <c r="O17" s="138"/>
      <c r="P17" s="138"/>
      <c r="Q17" s="138"/>
      <c r="R17" s="138"/>
      <c r="S17" s="138"/>
      <c r="T17" s="138"/>
      <c r="W17" s="138"/>
      <c r="X17" s="138"/>
      <c r="Y17" s="138"/>
      <c r="Z17" s="138"/>
      <c r="AA17" s="138"/>
      <c r="AB17" s="138"/>
      <c r="AC17" s="138"/>
      <c r="AD17" s="138"/>
      <c r="AE17" s="138"/>
      <c r="AF17" s="138"/>
      <c r="AG17" s="138"/>
      <c r="AH17" s="138"/>
      <c r="AI17" s="138"/>
      <c r="AJ17" s="138"/>
      <c r="AK17" s="138"/>
      <c r="AL17" s="138"/>
      <c r="AM17" s="138"/>
      <c r="AN17" s="138"/>
    </row>
    <row r="18" spans="2:40" x14ac:dyDescent="0.15">
      <c r="C18" s="138"/>
      <c r="D18" s="138"/>
      <c r="E18" s="138"/>
      <c r="F18" s="138"/>
      <c r="G18" s="138"/>
      <c r="H18" s="138"/>
      <c r="I18" s="138"/>
      <c r="J18" s="138"/>
      <c r="K18" s="138"/>
      <c r="L18" s="138"/>
      <c r="M18" s="138"/>
      <c r="N18" s="138"/>
      <c r="O18" s="138"/>
      <c r="P18" s="138"/>
      <c r="Q18" s="138"/>
      <c r="R18" s="138"/>
      <c r="S18" s="138"/>
      <c r="T18" s="138"/>
      <c r="W18" s="138"/>
      <c r="X18" s="138"/>
      <c r="Y18" s="138"/>
      <c r="Z18" s="138"/>
      <c r="AA18" s="138"/>
      <c r="AB18" s="138"/>
      <c r="AC18" s="138"/>
      <c r="AD18" s="138"/>
      <c r="AE18" s="138"/>
      <c r="AF18" s="138"/>
      <c r="AG18" s="138"/>
      <c r="AH18" s="138"/>
      <c r="AI18" s="138"/>
      <c r="AJ18" s="138"/>
      <c r="AK18" s="138"/>
      <c r="AL18" s="138"/>
      <c r="AM18" s="138"/>
      <c r="AN18" s="138"/>
    </row>
    <row r="19" spans="2:40" x14ac:dyDescent="0.15">
      <c r="B19" s="151"/>
      <c r="C19" s="151">
        <v>0</v>
      </c>
      <c r="D19" s="151">
        <v>1</v>
      </c>
      <c r="E19" s="151">
        <v>2</v>
      </c>
      <c r="F19" s="151">
        <v>3</v>
      </c>
      <c r="G19" s="151">
        <v>4</v>
      </c>
      <c r="H19" s="151">
        <v>5</v>
      </c>
      <c r="I19" s="151">
        <v>6</v>
      </c>
      <c r="J19" s="151">
        <v>7</v>
      </c>
      <c r="K19" s="151">
        <v>8</v>
      </c>
      <c r="L19" s="151">
        <v>9</v>
      </c>
      <c r="M19" s="151">
        <v>10</v>
      </c>
      <c r="N19" s="151">
        <v>11</v>
      </c>
      <c r="O19" s="151">
        <v>12</v>
      </c>
      <c r="P19" s="151">
        <v>13</v>
      </c>
      <c r="Q19" s="151">
        <v>14</v>
      </c>
      <c r="R19" s="151">
        <v>15</v>
      </c>
      <c r="S19" s="151">
        <v>16</v>
      </c>
      <c r="T19" s="151">
        <v>17</v>
      </c>
      <c r="W19" s="138"/>
      <c r="X19" s="138"/>
      <c r="Y19" s="138"/>
      <c r="Z19" s="138"/>
      <c r="AA19" s="138"/>
      <c r="AB19" s="138"/>
      <c r="AC19" s="138"/>
      <c r="AD19" s="138"/>
      <c r="AE19" s="138"/>
      <c r="AF19" s="138"/>
      <c r="AG19" s="138"/>
      <c r="AH19" s="138"/>
      <c r="AI19" s="138"/>
      <c r="AJ19" s="138"/>
      <c r="AK19" s="138"/>
      <c r="AL19" s="138"/>
      <c r="AM19" s="138"/>
      <c r="AN19" s="138"/>
    </row>
    <row r="20" spans="2:40" x14ac:dyDescent="0.15">
      <c r="B20" s="151">
        <v>0</v>
      </c>
      <c r="C20" s="152"/>
      <c r="D20" s="153">
        <v>1.55</v>
      </c>
      <c r="E20" s="153">
        <v>0.77</v>
      </c>
      <c r="F20" s="153">
        <v>0.71</v>
      </c>
      <c r="G20" s="153">
        <v>0.75</v>
      </c>
      <c r="H20" s="153">
        <v>0.79</v>
      </c>
      <c r="I20" s="153">
        <v>0.84</v>
      </c>
      <c r="J20" s="153">
        <v>0.81</v>
      </c>
      <c r="K20" s="153">
        <v>0.74</v>
      </c>
      <c r="L20" s="153">
        <v>0.65</v>
      </c>
      <c r="M20" s="153">
        <v>0.68</v>
      </c>
      <c r="N20" s="153">
        <v>0.7</v>
      </c>
      <c r="O20" s="153">
        <v>0.8</v>
      </c>
      <c r="P20" s="153">
        <v>1.45</v>
      </c>
      <c r="Q20" s="153">
        <v>0.88</v>
      </c>
      <c r="R20" s="153">
        <v>0.69</v>
      </c>
      <c r="S20" s="153">
        <v>0.53</v>
      </c>
      <c r="T20" s="153">
        <v>0.39</v>
      </c>
      <c r="W20" s="138"/>
      <c r="X20" s="138"/>
      <c r="Y20" s="138"/>
      <c r="Z20" s="138"/>
      <c r="AA20" s="138"/>
      <c r="AB20" s="138"/>
      <c r="AC20" s="138"/>
      <c r="AD20" s="138"/>
      <c r="AE20" s="138"/>
      <c r="AF20" s="138"/>
      <c r="AG20" s="138"/>
      <c r="AH20" s="138"/>
      <c r="AI20" s="138"/>
      <c r="AJ20" s="138"/>
      <c r="AK20" s="138"/>
      <c r="AL20" s="138"/>
      <c r="AM20" s="138"/>
      <c r="AN20" s="138"/>
    </row>
    <row r="21" spans="2:40" x14ac:dyDescent="0.15">
      <c r="B21" s="151">
        <v>1</v>
      </c>
      <c r="C21" s="151"/>
      <c r="D21" s="153">
        <v>1.55</v>
      </c>
      <c r="E21" s="153">
        <v>0.77</v>
      </c>
      <c r="F21" s="153">
        <v>0.71</v>
      </c>
      <c r="G21" s="153">
        <v>0.75</v>
      </c>
      <c r="H21" s="153">
        <v>0.79</v>
      </c>
      <c r="I21" s="153">
        <v>0.84</v>
      </c>
      <c r="J21" s="153">
        <v>0.81</v>
      </c>
      <c r="K21" s="153">
        <v>0.74</v>
      </c>
      <c r="L21" s="153">
        <v>0.65</v>
      </c>
      <c r="M21" s="153">
        <v>0.68</v>
      </c>
      <c r="N21" s="153">
        <v>0.7</v>
      </c>
      <c r="O21" s="153">
        <v>0.8</v>
      </c>
      <c r="P21" s="153">
        <v>1.45</v>
      </c>
      <c r="Q21" s="153">
        <v>0.88</v>
      </c>
      <c r="R21" s="153">
        <v>0.69</v>
      </c>
      <c r="S21" s="153">
        <v>0.53</v>
      </c>
      <c r="T21" s="153">
        <v>0.39</v>
      </c>
      <c r="W21" s="138"/>
      <c r="X21" s="138"/>
      <c r="Y21" s="138"/>
      <c r="Z21" s="138"/>
      <c r="AA21" s="138"/>
      <c r="AB21" s="138"/>
      <c r="AC21" s="138"/>
      <c r="AD21" s="138"/>
      <c r="AE21" s="138"/>
      <c r="AF21" s="138"/>
      <c r="AG21" s="138"/>
      <c r="AH21" s="138"/>
      <c r="AI21" s="138"/>
      <c r="AJ21" s="138"/>
      <c r="AK21" s="138"/>
      <c r="AL21" s="138"/>
      <c r="AM21" s="138"/>
      <c r="AN21" s="138"/>
    </row>
    <row r="22" spans="2:40" x14ac:dyDescent="0.15">
      <c r="B22" s="151">
        <v>2</v>
      </c>
      <c r="C22" s="151"/>
      <c r="D22" s="153">
        <v>1.55</v>
      </c>
      <c r="E22" s="153">
        <v>0.77</v>
      </c>
      <c r="F22" s="153">
        <v>0.71</v>
      </c>
      <c r="G22" s="153">
        <v>0.75</v>
      </c>
      <c r="H22" s="153">
        <v>0.79</v>
      </c>
      <c r="I22" s="153">
        <v>0.84</v>
      </c>
      <c r="J22" s="153">
        <v>0.81</v>
      </c>
      <c r="K22" s="153">
        <v>0.74</v>
      </c>
      <c r="L22" s="153">
        <v>0.65</v>
      </c>
      <c r="M22" s="153">
        <v>0.68</v>
      </c>
      <c r="N22" s="153">
        <v>0.7</v>
      </c>
      <c r="O22" s="153">
        <v>0.8</v>
      </c>
      <c r="P22" s="153">
        <v>1.45</v>
      </c>
      <c r="Q22" s="153">
        <v>0.88</v>
      </c>
      <c r="R22" s="153">
        <v>0.69</v>
      </c>
      <c r="S22" s="153">
        <v>0.53</v>
      </c>
      <c r="T22" s="153">
        <v>0.39</v>
      </c>
      <c r="W22" s="138"/>
      <c r="X22" s="138"/>
      <c r="Y22" s="138"/>
      <c r="Z22" s="138"/>
      <c r="AA22" s="138"/>
      <c r="AB22" s="138"/>
      <c r="AC22" s="138"/>
      <c r="AD22" s="138"/>
      <c r="AE22" s="138"/>
      <c r="AF22" s="138"/>
      <c r="AG22" s="138"/>
      <c r="AH22" s="138"/>
      <c r="AI22" s="138"/>
      <c r="AJ22" s="138"/>
      <c r="AK22" s="138"/>
      <c r="AL22" s="138"/>
      <c r="AM22" s="138"/>
      <c r="AN22" s="138"/>
    </row>
    <row r="23" spans="2:40" x14ac:dyDescent="0.15">
      <c r="B23" s="151">
        <v>3</v>
      </c>
      <c r="C23" s="152"/>
      <c r="D23" s="153">
        <v>1.18</v>
      </c>
      <c r="E23" s="153">
        <v>0.7</v>
      </c>
      <c r="F23" s="153">
        <v>0.73</v>
      </c>
      <c r="G23" s="153">
        <v>0.77</v>
      </c>
      <c r="H23" s="153">
        <v>0.8</v>
      </c>
      <c r="I23" s="153">
        <v>0.84</v>
      </c>
      <c r="J23" s="153">
        <v>0.8</v>
      </c>
      <c r="K23" s="153">
        <v>0.7</v>
      </c>
      <c r="L23" s="153">
        <v>0.65</v>
      </c>
      <c r="M23" s="153">
        <v>0.66</v>
      </c>
      <c r="N23" s="153">
        <v>0.72</v>
      </c>
      <c r="O23" s="153">
        <v>0.9</v>
      </c>
      <c r="P23" s="153">
        <v>1.45</v>
      </c>
      <c r="Q23" s="153">
        <v>0.8</v>
      </c>
      <c r="R23" s="153">
        <v>0.68</v>
      </c>
      <c r="S23" s="153">
        <v>0.49</v>
      </c>
      <c r="T23" s="153">
        <v>0.38</v>
      </c>
      <c r="W23" s="138"/>
      <c r="X23" s="138"/>
      <c r="Y23" s="138"/>
      <c r="Z23" s="138"/>
      <c r="AA23" s="138"/>
      <c r="AB23" s="138"/>
      <c r="AC23" s="138"/>
      <c r="AD23" s="138"/>
      <c r="AE23" s="138"/>
      <c r="AF23" s="138"/>
      <c r="AG23" s="138"/>
      <c r="AH23" s="138"/>
      <c r="AI23" s="138"/>
      <c r="AJ23" s="138"/>
      <c r="AK23" s="138"/>
      <c r="AL23" s="138"/>
      <c r="AM23" s="138"/>
      <c r="AN23" s="138"/>
    </row>
    <row r="24" spans="2:40" x14ac:dyDescent="0.15">
      <c r="B24" s="151">
        <v>4</v>
      </c>
      <c r="C24" s="151"/>
      <c r="D24" s="153">
        <v>1.18</v>
      </c>
      <c r="E24" s="153">
        <v>0.7</v>
      </c>
      <c r="F24" s="153">
        <v>0.73</v>
      </c>
      <c r="G24" s="153">
        <v>0.77</v>
      </c>
      <c r="H24" s="153">
        <v>0.8</v>
      </c>
      <c r="I24" s="153">
        <v>0.84</v>
      </c>
      <c r="J24" s="153">
        <v>0.8</v>
      </c>
      <c r="K24" s="153">
        <v>0.7</v>
      </c>
      <c r="L24" s="153">
        <v>0.65</v>
      </c>
      <c r="M24" s="153">
        <v>0.66</v>
      </c>
      <c r="N24" s="153">
        <v>0.72</v>
      </c>
      <c r="O24" s="153">
        <v>0.9</v>
      </c>
      <c r="P24" s="153">
        <v>1.45</v>
      </c>
      <c r="Q24" s="153">
        <v>0.8</v>
      </c>
      <c r="R24" s="153">
        <v>0.68</v>
      </c>
      <c r="S24" s="153">
        <v>0.49</v>
      </c>
      <c r="T24" s="153">
        <v>0.38</v>
      </c>
      <c r="W24" s="138"/>
      <c r="X24" s="138"/>
      <c r="Y24" s="138"/>
      <c r="Z24" s="138"/>
      <c r="AA24" s="138"/>
      <c r="AB24" s="138"/>
      <c r="AC24" s="138"/>
      <c r="AD24" s="138"/>
      <c r="AE24" s="138"/>
      <c r="AF24" s="138"/>
      <c r="AG24" s="138"/>
      <c r="AH24" s="138"/>
      <c r="AI24" s="138"/>
      <c r="AJ24" s="138"/>
      <c r="AK24" s="138"/>
      <c r="AL24" s="138"/>
      <c r="AM24" s="138"/>
      <c r="AN24" s="138"/>
    </row>
    <row r="25" spans="2:40" x14ac:dyDescent="0.15">
      <c r="B25" s="151">
        <v>5</v>
      </c>
      <c r="C25" s="151"/>
      <c r="D25" s="153">
        <v>1.18</v>
      </c>
      <c r="E25" s="153">
        <v>0.7</v>
      </c>
      <c r="F25" s="153">
        <v>0.73</v>
      </c>
      <c r="G25" s="153">
        <v>0.77</v>
      </c>
      <c r="H25" s="153">
        <v>0.8</v>
      </c>
      <c r="I25" s="153">
        <v>0.84</v>
      </c>
      <c r="J25" s="153">
        <v>0.8</v>
      </c>
      <c r="K25" s="153">
        <v>0.7</v>
      </c>
      <c r="L25" s="153">
        <v>0.65</v>
      </c>
      <c r="M25" s="153">
        <v>0.66</v>
      </c>
      <c r="N25" s="153">
        <v>0.72</v>
      </c>
      <c r="O25" s="153">
        <v>0.9</v>
      </c>
      <c r="P25" s="153">
        <v>1.45</v>
      </c>
      <c r="Q25" s="153">
        <v>0.8</v>
      </c>
      <c r="R25" s="153">
        <v>0.68</v>
      </c>
      <c r="S25" s="153">
        <v>0.49</v>
      </c>
      <c r="T25" s="153">
        <v>0.38</v>
      </c>
      <c r="W25" s="138"/>
      <c r="X25" s="138"/>
      <c r="Y25" s="138"/>
      <c r="Z25" s="138"/>
      <c r="AA25" s="138"/>
      <c r="AB25" s="138"/>
      <c r="AC25" s="138"/>
      <c r="AD25" s="138"/>
      <c r="AE25" s="138"/>
      <c r="AF25" s="138"/>
      <c r="AG25" s="138"/>
      <c r="AH25" s="138"/>
      <c r="AI25" s="138"/>
      <c r="AJ25" s="138"/>
      <c r="AK25" s="138"/>
      <c r="AL25" s="138"/>
      <c r="AM25" s="138"/>
      <c r="AN25" s="138"/>
    </row>
    <row r="26" spans="2:40" x14ac:dyDescent="0.15">
      <c r="B26" s="151">
        <v>6</v>
      </c>
      <c r="C26" s="152"/>
      <c r="D26" s="153">
        <v>0.93</v>
      </c>
      <c r="E26" s="153">
        <v>0.7</v>
      </c>
      <c r="F26" s="153">
        <v>0.74</v>
      </c>
      <c r="G26" s="153">
        <v>0.78</v>
      </c>
      <c r="H26" s="153">
        <v>0.83</v>
      </c>
      <c r="I26" s="153">
        <v>0.84</v>
      </c>
      <c r="J26" s="153">
        <v>0.78</v>
      </c>
      <c r="K26" s="153">
        <v>0.68</v>
      </c>
      <c r="L26" s="153">
        <v>0.65</v>
      </c>
      <c r="M26" s="153">
        <v>0.66</v>
      </c>
      <c r="N26" s="153">
        <v>0.72</v>
      </c>
      <c r="O26" s="153">
        <v>1.1499999999999999</v>
      </c>
      <c r="P26" s="153">
        <v>1.23</v>
      </c>
      <c r="Q26" s="153">
        <v>0.78</v>
      </c>
      <c r="R26" s="153">
        <v>0.63</v>
      </c>
      <c r="S26" s="153">
        <v>0.44</v>
      </c>
      <c r="T26" s="153">
        <v>0.3</v>
      </c>
      <c r="W26" s="138"/>
      <c r="X26" s="138"/>
      <c r="Y26" s="138"/>
      <c r="Z26" s="138"/>
      <c r="AA26" s="138"/>
      <c r="AB26" s="138"/>
      <c r="AC26" s="138"/>
      <c r="AD26" s="138"/>
      <c r="AE26" s="138"/>
      <c r="AF26" s="138"/>
      <c r="AG26" s="138"/>
      <c r="AH26" s="138"/>
      <c r="AI26" s="138"/>
      <c r="AJ26" s="138"/>
      <c r="AK26" s="138"/>
      <c r="AL26" s="138"/>
      <c r="AM26" s="138"/>
      <c r="AN26" s="138"/>
    </row>
    <row r="27" spans="2:40" x14ac:dyDescent="0.15">
      <c r="B27" s="151">
        <v>7</v>
      </c>
      <c r="C27" s="151"/>
      <c r="D27" s="153">
        <v>0.93</v>
      </c>
      <c r="E27" s="153">
        <v>0.7</v>
      </c>
      <c r="F27" s="153">
        <v>0.74</v>
      </c>
      <c r="G27" s="153">
        <v>0.78</v>
      </c>
      <c r="H27" s="153">
        <v>0.83</v>
      </c>
      <c r="I27" s="153">
        <v>0.84</v>
      </c>
      <c r="J27" s="153">
        <v>0.78</v>
      </c>
      <c r="K27" s="153">
        <v>0.68</v>
      </c>
      <c r="L27" s="153">
        <v>0.65</v>
      </c>
      <c r="M27" s="153">
        <v>0.66</v>
      </c>
      <c r="N27" s="153">
        <v>0.72</v>
      </c>
      <c r="O27" s="153">
        <v>1.1499999999999999</v>
      </c>
      <c r="P27" s="153">
        <v>1.23</v>
      </c>
      <c r="Q27" s="153">
        <v>0.78</v>
      </c>
      <c r="R27" s="153">
        <v>0.63</v>
      </c>
      <c r="S27" s="153">
        <v>0.44</v>
      </c>
      <c r="T27" s="153">
        <v>0.3</v>
      </c>
      <c r="W27" s="138"/>
      <c r="X27" s="138"/>
      <c r="Y27" s="138"/>
      <c r="Z27" s="138"/>
      <c r="AA27" s="138"/>
      <c r="AB27" s="138"/>
      <c r="AC27" s="138"/>
      <c r="AD27" s="138"/>
      <c r="AE27" s="138"/>
      <c r="AF27" s="138"/>
      <c r="AG27" s="138"/>
      <c r="AH27" s="138"/>
      <c r="AI27" s="138"/>
      <c r="AJ27" s="138"/>
      <c r="AK27" s="138"/>
      <c r="AL27" s="138"/>
      <c r="AM27" s="138"/>
      <c r="AN27" s="138"/>
    </row>
    <row r="28" spans="2:40" x14ac:dyDescent="0.15">
      <c r="B28" s="151">
        <v>8</v>
      </c>
      <c r="C28" s="151"/>
      <c r="D28" s="153">
        <v>0.93</v>
      </c>
      <c r="E28" s="153">
        <v>0.7</v>
      </c>
      <c r="F28" s="153">
        <v>0.74</v>
      </c>
      <c r="G28" s="153">
        <v>0.78</v>
      </c>
      <c r="H28" s="153">
        <v>0.83</v>
      </c>
      <c r="I28" s="153">
        <v>0.84</v>
      </c>
      <c r="J28" s="153">
        <v>0.78</v>
      </c>
      <c r="K28" s="153">
        <v>0.68</v>
      </c>
      <c r="L28" s="153">
        <v>0.65</v>
      </c>
      <c r="M28" s="153">
        <v>0.66</v>
      </c>
      <c r="N28" s="153">
        <v>0.72</v>
      </c>
      <c r="O28" s="153">
        <v>1.1499999999999999</v>
      </c>
      <c r="P28" s="153">
        <v>1.23</v>
      </c>
      <c r="Q28" s="153">
        <v>0.78</v>
      </c>
      <c r="R28" s="153">
        <v>0.63</v>
      </c>
      <c r="S28" s="153">
        <v>0.44</v>
      </c>
      <c r="T28" s="153">
        <v>0.3</v>
      </c>
      <c r="W28" s="138"/>
      <c r="X28" s="138"/>
      <c r="Y28" s="138"/>
      <c r="Z28" s="138"/>
      <c r="AA28" s="138"/>
      <c r="AB28" s="138"/>
      <c r="AC28" s="138"/>
      <c r="AD28" s="138"/>
      <c r="AE28" s="138"/>
      <c r="AF28" s="138"/>
      <c r="AG28" s="138"/>
      <c r="AH28" s="138"/>
      <c r="AI28" s="138"/>
      <c r="AJ28" s="138"/>
      <c r="AK28" s="138"/>
      <c r="AL28" s="138"/>
      <c r="AM28" s="138"/>
      <c r="AN28" s="138"/>
    </row>
    <row r="29" spans="2:40" x14ac:dyDescent="0.15">
      <c r="B29" s="151">
        <v>9</v>
      </c>
      <c r="C29" s="152"/>
      <c r="D29" s="153">
        <v>0.81</v>
      </c>
      <c r="E29" s="153">
        <v>0.71</v>
      </c>
      <c r="F29" s="153">
        <v>0.75</v>
      </c>
      <c r="G29" s="153">
        <v>0.78</v>
      </c>
      <c r="H29" s="153">
        <v>0.84</v>
      </c>
      <c r="I29" s="153">
        <v>0.83</v>
      </c>
      <c r="J29" s="153">
        <v>0.78</v>
      </c>
      <c r="K29" s="153">
        <v>0.68</v>
      </c>
      <c r="L29" s="153">
        <v>0.65</v>
      </c>
      <c r="M29" s="153">
        <v>0.66</v>
      </c>
      <c r="N29" s="153">
        <v>0.75</v>
      </c>
      <c r="O29" s="153">
        <v>1.4</v>
      </c>
      <c r="P29" s="153">
        <v>1.01</v>
      </c>
      <c r="Q29" s="153">
        <v>0.71</v>
      </c>
      <c r="R29" s="153">
        <v>0.57999999999999996</v>
      </c>
      <c r="S29" s="153">
        <v>0.39</v>
      </c>
      <c r="T29" s="153">
        <v>0.25</v>
      </c>
      <c r="W29" s="138"/>
      <c r="X29" s="138"/>
      <c r="Y29" s="138"/>
      <c r="Z29" s="138"/>
      <c r="AA29" s="138"/>
      <c r="AB29" s="138"/>
      <c r="AC29" s="138"/>
      <c r="AD29" s="138"/>
      <c r="AE29" s="138"/>
      <c r="AF29" s="138"/>
      <c r="AG29" s="138"/>
      <c r="AH29" s="138"/>
      <c r="AI29" s="138"/>
      <c r="AJ29" s="138"/>
      <c r="AK29" s="138"/>
      <c r="AL29" s="138"/>
      <c r="AM29" s="138"/>
      <c r="AN29" s="138"/>
    </row>
    <row r="30" spans="2:40" x14ac:dyDescent="0.15">
      <c r="B30" s="151">
        <v>10</v>
      </c>
      <c r="C30" s="152"/>
      <c r="D30" s="153">
        <v>0.81</v>
      </c>
      <c r="E30" s="153">
        <v>0.71</v>
      </c>
      <c r="F30" s="153">
        <v>0.75</v>
      </c>
      <c r="G30" s="153">
        <v>0.78</v>
      </c>
      <c r="H30" s="153">
        <v>0.84</v>
      </c>
      <c r="I30" s="153">
        <v>0.83</v>
      </c>
      <c r="J30" s="153">
        <v>0.78</v>
      </c>
      <c r="K30" s="153">
        <v>0.68</v>
      </c>
      <c r="L30" s="153">
        <v>0.65</v>
      </c>
      <c r="M30" s="153">
        <v>0.66</v>
      </c>
      <c r="N30" s="153">
        <v>0.75</v>
      </c>
      <c r="O30" s="153">
        <v>1.4</v>
      </c>
      <c r="P30" s="153">
        <v>1.01</v>
      </c>
      <c r="Q30" s="153">
        <v>0.71</v>
      </c>
      <c r="R30" s="153">
        <v>0.57999999999999996</v>
      </c>
      <c r="S30" s="153">
        <v>0.39</v>
      </c>
      <c r="T30" s="153"/>
      <c r="W30" s="138"/>
      <c r="X30" s="138"/>
      <c r="Y30" s="138"/>
      <c r="Z30" s="138"/>
      <c r="AA30" s="138"/>
      <c r="AB30" s="138"/>
      <c r="AC30" s="138"/>
      <c r="AD30" s="138"/>
      <c r="AE30" s="138"/>
      <c r="AF30" s="138"/>
      <c r="AG30" s="138"/>
      <c r="AH30" s="138"/>
      <c r="AI30" s="138"/>
      <c r="AJ30" s="138"/>
      <c r="AK30" s="138"/>
      <c r="AL30" s="138"/>
      <c r="AM30" s="138"/>
      <c r="AN30" s="138"/>
    </row>
    <row r="31" spans="2:40" x14ac:dyDescent="0.15">
      <c r="B31" s="151">
        <v>11</v>
      </c>
      <c r="C31" s="153">
        <v>1.55</v>
      </c>
      <c r="D31" s="153">
        <v>0.81</v>
      </c>
      <c r="E31" s="153">
        <v>0.71</v>
      </c>
      <c r="F31" s="153">
        <v>0.75</v>
      </c>
      <c r="G31" s="153">
        <v>0.78</v>
      </c>
      <c r="H31" s="153">
        <v>0.84</v>
      </c>
      <c r="I31" s="153">
        <v>0.83</v>
      </c>
      <c r="J31" s="153">
        <v>0.78</v>
      </c>
      <c r="K31" s="153">
        <v>0.68</v>
      </c>
      <c r="L31" s="153">
        <v>0.65</v>
      </c>
      <c r="M31" s="153">
        <v>0.66</v>
      </c>
      <c r="N31" s="153">
        <v>0.75</v>
      </c>
      <c r="O31" s="153">
        <v>1.4</v>
      </c>
      <c r="P31" s="153">
        <v>1.01</v>
      </c>
      <c r="Q31" s="153">
        <v>0.71</v>
      </c>
      <c r="R31" s="153">
        <v>0.57999999999999996</v>
      </c>
      <c r="S31" s="153">
        <v>0.39</v>
      </c>
      <c r="T31" s="153"/>
      <c r="W31" s="138"/>
      <c r="X31" s="138"/>
      <c r="Y31" s="138"/>
      <c r="Z31" s="138"/>
      <c r="AA31" s="138"/>
      <c r="AB31" s="138"/>
      <c r="AC31" s="138"/>
      <c r="AD31" s="138"/>
      <c r="AE31" s="138"/>
      <c r="AF31" s="138"/>
      <c r="AG31" s="138"/>
      <c r="AH31" s="138"/>
      <c r="AI31" s="138"/>
      <c r="AJ31" s="138"/>
      <c r="AK31" s="138"/>
      <c r="AL31" s="138"/>
      <c r="AM31" s="138"/>
      <c r="AN31" s="138"/>
    </row>
    <row r="32" spans="2:40" x14ac:dyDescent="0.15">
      <c r="C32" s="138"/>
      <c r="D32" s="138"/>
      <c r="E32" s="138"/>
      <c r="F32" s="138"/>
      <c r="G32" s="138"/>
      <c r="H32" s="138"/>
      <c r="I32" s="138"/>
      <c r="J32" s="138"/>
      <c r="K32" s="138"/>
      <c r="L32" s="138"/>
      <c r="M32" s="138"/>
      <c r="N32" s="138"/>
      <c r="O32" s="138"/>
      <c r="P32" s="138"/>
      <c r="Q32" s="138"/>
      <c r="R32" s="138"/>
      <c r="S32" s="138"/>
      <c r="T32" s="138"/>
      <c r="W32" s="138"/>
      <c r="X32" s="138"/>
      <c r="Y32" s="138"/>
      <c r="Z32" s="138"/>
      <c r="AA32" s="138"/>
      <c r="AB32" s="138"/>
      <c r="AC32" s="138"/>
      <c r="AD32" s="138"/>
      <c r="AE32" s="138"/>
      <c r="AF32" s="138"/>
      <c r="AG32" s="138"/>
      <c r="AH32" s="138"/>
      <c r="AI32" s="138"/>
      <c r="AJ32" s="138"/>
      <c r="AK32" s="138"/>
      <c r="AL32" s="138"/>
      <c r="AM32" s="138"/>
      <c r="AN32" s="138"/>
    </row>
    <row r="33" spans="3:40" x14ac:dyDescent="0.15">
      <c r="C33" s="138"/>
      <c r="D33" s="138"/>
      <c r="E33" s="138"/>
      <c r="F33" s="138"/>
      <c r="G33" s="138"/>
      <c r="H33" s="138"/>
      <c r="I33" s="138"/>
      <c r="J33" s="138"/>
      <c r="K33" s="138"/>
      <c r="L33" s="138"/>
      <c r="M33" s="138"/>
      <c r="N33" s="138"/>
      <c r="O33" s="138"/>
      <c r="P33" s="138"/>
      <c r="Q33" s="138"/>
      <c r="R33" s="138"/>
      <c r="S33" s="138"/>
      <c r="T33" s="138"/>
      <c r="W33" s="138"/>
      <c r="X33" s="138"/>
      <c r="Y33" s="138"/>
      <c r="Z33" s="138"/>
      <c r="AA33" s="138"/>
      <c r="AB33" s="138"/>
      <c r="AC33" s="138"/>
      <c r="AD33" s="138"/>
      <c r="AE33" s="138"/>
      <c r="AF33" s="138"/>
      <c r="AG33" s="138"/>
      <c r="AH33" s="138"/>
      <c r="AI33" s="138"/>
      <c r="AJ33" s="138"/>
      <c r="AK33" s="138"/>
      <c r="AL33" s="138"/>
      <c r="AM33" s="138"/>
      <c r="AN33" s="138"/>
    </row>
    <row r="34" spans="3:40" x14ac:dyDescent="0.15">
      <c r="C34" s="138"/>
      <c r="D34" s="138"/>
      <c r="E34" s="138"/>
      <c r="F34" s="138"/>
      <c r="G34" s="138"/>
      <c r="H34" s="138"/>
      <c r="I34" s="138"/>
      <c r="J34" s="138"/>
      <c r="K34" s="138"/>
      <c r="L34" s="138"/>
      <c r="M34" s="138"/>
      <c r="N34" s="138"/>
      <c r="O34" s="138"/>
      <c r="P34" s="138"/>
      <c r="Q34" s="138"/>
      <c r="R34" s="138"/>
      <c r="S34" s="138"/>
      <c r="T34" s="138"/>
      <c r="W34" s="138"/>
      <c r="X34" s="138"/>
      <c r="Y34" s="138"/>
      <c r="Z34" s="138"/>
      <c r="AA34" s="138"/>
      <c r="AB34" s="138"/>
      <c r="AC34" s="138"/>
      <c r="AD34" s="138"/>
      <c r="AE34" s="138"/>
      <c r="AF34" s="138"/>
      <c r="AG34" s="138"/>
      <c r="AH34" s="138"/>
      <c r="AI34" s="138"/>
      <c r="AJ34" s="138"/>
      <c r="AK34" s="138"/>
      <c r="AL34" s="138"/>
      <c r="AM34" s="138"/>
      <c r="AN34" s="138"/>
    </row>
    <row r="35" spans="3:40" x14ac:dyDescent="0.15">
      <c r="C35" s="138"/>
      <c r="D35" s="138"/>
      <c r="E35" s="138"/>
      <c r="F35" s="138"/>
      <c r="G35" s="138"/>
      <c r="H35" s="138"/>
      <c r="I35" s="138"/>
      <c r="J35" s="138"/>
      <c r="K35" s="138"/>
      <c r="L35" s="138"/>
      <c r="M35" s="138"/>
      <c r="N35" s="138"/>
      <c r="O35" s="138"/>
      <c r="P35" s="138"/>
      <c r="Q35" s="138"/>
      <c r="R35" s="138"/>
      <c r="S35" s="138"/>
      <c r="T35" s="138"/>
      <c r="W35" s="138"/>
      <c r="X35" s="138"/>
      <c r="Y35" s="138"/>
      <c r="Z35" s="138"/>
      <c r="AA35" s="138"/>
      <c r="AB35" s="138"/>
      <c r="AC35" s="138"/>
      <c r="AD35" s="138"/>
      <c r="AE35" s="138"/>
      <c r="AF35" s="138"/>
      <c r="AG35" s="138"/>
      <c r="AH35" s="138"/>
      <c r="AI35" s="138"/>
      <c r="AJ35" s="138"/>
      <c r="AK35" s="138"/>
      <c r="AL35" s="138"/>
      <c r="AM35" s="138"/>
      <c r="AN35" s="138"/>
    </row>
    <row r="36" spans="3:40" x14ac:dyDescent="0.15">
      <c r="C36" s="138"/>
      <c r="D36" s="138"/>
      <c r="E36" s="138"/>
      <c r="F36" s="138"/>
      <c r="G36" s="138"/>
      <c r="H36" s="138"/>
      <c r="I36" s="138"/>
      <c r="J36" s="138"/>
      <c r="K36" s="138"/>
      <c r="L36" s="138"/>
      <c r="M36" s="138"/>
      <c r="N36" s="138"/>
      <c r="O36" s="138"/>
      <c r="P36" s="138"/>
      <c r="Q36" s="138"/>
      <c r="R36" s="138"/>
      <c r="S36" s="138"/>
      <c r="T36" s="138"/>
      <c r="W36" s="138"/>
      <c r="X36" s="138"/>
      <c r="Y36" s="138"/>
      <c r="Z36" s="138"/>
      <c r="AA36" s="138"/>
      <c r="AB36" s="138"/>
      <c r="AC36" s="138"/>
      <c r="AD36" s="138"/>
      <c r="AE36" s="138"/>
      <c r="AF36" s="138"/>
      <c r="AG36" s="138"/>
      <c r="AH36" s="138"/>
      <c r="AI36" s="138"/>
      <c r="AJ36" s="138"/>
      <c r="AK36" s="138"/>
      <c r="AL36" s="138"/>
      <c r="AM36" s="138"/>
      <c r="AN36" s="138"/>
    </row>
    <row r="37" spans="3:40" x14ac:dyDescent="0.15">
      <c r="C37" s="138"/>
      <c r="D37" s="138"/>
      <c r="E37" s="138"/>
      <c r="F37" s="138"/>
      <c r="G37" s="138"/>
      <c r="H37" s="138"/>
      <c r="I37" s="138"/>
      <c r="J37" s="138"/>
      <c r="K37" s="138"/>
      <c r="L37" s="138"/>
      <c r="M37" s="138"/>
      <c r="N37" s="138"/>
      <c r="O37" s="138"/>
      <c r="P37" s="138"/>
      <c r="Q37" s="138"/>
      <c r="R37" s="138"/>
      <c r="S37" s="138"/>
      <c r="T37" s="138"/>
      <c r="W37" s="138"/>
      <c r="X37" s="138"/>
      <c r="Y37" s="138"/>
      <c r="Z37" s="138"/>
      <c r="AA37" s="138"/>
      <c r="AB37" s="138"/>
      <c r="AC37" s="138"/>
      <c r="AD37" s="138"/>
      <c r="AE37" s="138"/>
      <c r="AF37" s="138"/>
      <c r="AG37" s="138"/>
      <c r="AH37" s="138"/>
      <c r="AI37" s="138"/>
      <c r="AJ37" s="138"/>
      <c r="AK37" s="138"/>
      <c r="AL37" s="138"/>
      <c r="AM37" s="138"/>
      <c r="AN37" s="138"/>
    </row>
    <row r="38" spans="3:40" x14ac:dyDescent="0.15">
      <c r="C38" s="138"/>
      <c r="D38" s="138"/>
      <c r="E38" s="138"/>
      <c r="F38" s="138"/>
      <c r="G38" s="138"/>
      <c r="H38" s="138"/>
      <c r="I38" s="138"/>
      <c r="J38" s="138"/>
      <c r="K38" s="138"/>
      <c r="L38" s="138"/>
      <c r="M38" s="138"/>
      <c r="N38" s="138"/>
      <c r="O38" s="138"/>
      <c r="P38" s="138"/>
      <c r="Q38" s="138"/>
      <c r="R38" s="138"/>
      <c r="S38" s="138"/>
      <c r="T38" s="138"/>
      <c r="W38" s="138"/>
      <c r="X38" s="138"/>
      <c r="Y38" s="138"/>
      <c r="Z38" s="138"/>
      <c r="AA38" s="138"/>
      <c r="AB38" s="138"/>
      <c r="AC38" s="138"/>
      <c r="AD38" s="138"/>
      <c r="AE38" s="138"/>
      <c r="AF38" s="138"/>
      <c r="AG38" s="138"/>
      <c r="AH38" s="138"/>
      <c r="AI38" s="138"/>
      <c r="AJ38" s="138"/>
      <c r="AK38" s="138"/>
      <c r="AL38" s="138"/>
      <c r="AM38" s="138"/>
      <c r="AN38" s="138"/>
    </row>
    <row r="39" spans="3:40" x14ac:dyDescent="0.15">
      <c r="C39" s="138"/>
      <c r="D39" s="138"/>
      <c r="E39" s="138"/>
      <c r="F39" s="138"/>
      <c r="G39" s="138"/>
      <c r="H39" s="138"/>
      <c r="I39" s="138"/>
      <c r="J39" s="138"/>
      <c r="K39" s="138"/>
      <c r="L39" s="138"/>
      <c r="M39" s="138"/>
      <c r="N39" s="138"/>
      <c r="O39" s="138"/>
      <c r="P39" s="138"/>
      <c r="Q39" s="138"/>
      <c r="R39" s="138"/>
      <c r="S39" s="138"/>
      <c r="T39" s="138"/>
      <c r="W39" s="138"/>
      <c r="X39" s="138"/>
      <c r="Y39" s="138"/>
      <c r="Z39" s="138"/>
      <c r="AA39" s="138"/>
      <c r="AB39" s="138"/>
      <c r="AC39" s="138"/>
      <c r="AD39" s="138"/>
      <c r="AE39" s="138"/>
      <c r="AF39" s="138"/>
      <c r="AG39" s="138"/>
      <c r="AH39" s="138"/>
      <c r="AI39" s="138"/>
      <c r="AJ39" s="138"/>
      <c r="AK39" s="138"/>
      <c r="AL39" s="138"/>
      <c r="AM39" s="138"/>
      <c r="AN39" s="138"/>
    </row>
    <row r="40" spans="3:40" x14ac:dyDescent="0.15">
      <c r="C40" s="138"/>
      <c r="D40" s="138"/>
      <c r="E40" s="138"/>
      <c r="F40" s="138"/>
      <c r="G40" s="138"/>
      <c r="H40" s="138"/>
      <c r="I40" s="138"/>
      <c r="J40" s="138"/>
      <c r="K40" s="138"/>
      <c r="L40" s="138"/>
      <c r="M40" s="138"/>
      <c r="N40" s="138"/>
      <c r="O40" s="138"/>
      <c r="P40" s="138"/>
      <c r="Q40" s="138"/>
      <c r="R40" s="138"/>
      <c r="S40" s="138"/>
      <c r="T40" s="138"/>
      <c r="W40" s="138"/>
      <c r="X40" s="138"/>
      <c r="Y40" s="138"/>
      <c r="Z40" s="138"/>
      <c r="AA40" s="138"/>
      <c r="AB40" s="138"/>
      <c r="AC40" s="138"/>
      <c r="AD40" s="138"/>
      <c r="AE40" s="138"/>
      <c r="AF40" s="138"/>
      <c r="AG40" s="138"/>
      <c r="AH40" s="138"/>
      <c r="AI40" s="138"/>
      <c r="AJ40" s="138"/>
      <c r="AK40" s="138"/>
      <c r="AL40" s="138"/>
      <c r="AM40" s="138"/>
      <c r="AN40" s="138"/>
    </row>
    <row r="41" spans="3:40" x14ac:dyDescent="0.15">
      <c r="C41" s="138"/>
      <c r="D41" s="138"/>
      <c r="E41" s="138"/>
      <c r="F41" s="138"/>
      <c r="G41" s="138"/>
      <c r="H41" s="138"/>
      <c r="I41" s="138"/>
      <c r="J41" s="138"/>
      <c r="K41" s="138"/>
      <c r="L41" s="138"/>
      <c r="M41" s="138"/>
      <c r="N41" s="138"/>
      <c r="O41" s="138"/>
      <c r="P41" s="138"/>
      <c r="Q41" s="138"/>
      <c r="R41" s="138"/>
      <c r="S41" s="138"/>
      <c r="T41" s="138"/>
      <c r="W41" s="138"/>
      <c r="X41" s="138"/>
      <c r="Y41" s="138"/>
      <c r="Z41" s="138"/>
      <c r="AA41" s="138"/>
      <c r="AB41" s="138"/>
      <c r="AC41" s="138"/>
      <c r="AD41" s="138"/>
      <c r="AE41" s="138"/>
      <c r="AF41" s="138"/>
      <c r="AG41" s="138"/>
      <c r="AH41" s="138"/>
      <c r="AI41" s="138"/>
      <c r="AJ41" s="138"/>
      <c r="AK41" s="138"/>
      <c r="AL41" s="138"/>
      <c r="AM41" s="138"/>
      <c r="AN41" s="138"/>
    </row>
    <row r="42" spans="3:40" x14ac:dyDescent="0.15">
      <c r="C42" s="138"/>
      <c r="D42" s="138"/>
      <c r="E42" s="138"/>
      <c r="F42" s="138"/>
      <c r="G42" s="138"/>
      <c r="H42" s="138"/>
      <c r="I42" s="138"/>
      <c r="J42" s="138"/>
      <c r="K42" s="138"/>
      <c r="L42" s="138"/>
      <c r="M42" s="138"/>
      <c r="N42" s="138"/>
      <c r="O42" s="138"/>
      <c r="P42" s="138"/>
      <c r="Q42" s="138"/>
      <c r="R42" s="138"/>
      <c r="S42" s="138"/>
      <c r="T42" s="138"/>
      <c r="W42" s="138"/>
      <c r="X42" s="138"/>
      <c r="Y42" s="138"/>
      <c r="Z42" s="138"/>
      <c r="AA42" s="138"/>
      <c r="AB42" s="138"/>
      <c r="AC42" s="138"/>
      <c r="AD42" s="138"/>
      <c r="AE42" s="138"/>
      <c r="AF42" s="138"/>
      <c r="AG42" s="138"/>
      <c r="AH42" s="138"/>
      <c r="AI42" s="138"/>
      <c r="AJ42" s="138"/>
      <c r="AK42" s="138"/>
      <c r="AL42" s="138"/>
      <c r="AM42" s="138"/>
      <c r="AN42" s="138"/>
    </row>
    <row r="43" spans="3:40" x14ac:dyDescent="0.15">
      <c r="C43" s="138"/>
      <c r="D43" s="138"/>
      <c r="E43" s="138"/>
      <c r="F43" s="138"/>
      <c r="G43" s="138"/>
      <c r="H43" s="138"/>
      <c r="I43" s="138"/>
      <c r="J43" s="138"/>
      <c r="K43" s="138"/>
      <c r="L43" s="138"/>
      <c r="M43" s="138"/>
      <c r="N43" s="138"/>
      <c r="O43" s="138"/>
      <c r="P43" s="138"/>
      <c r="Q43" s="138"/>
      <c r="R43" s="138"/>
      <c r="S43" s="138"/>
      <c r="T43" s="138"/>
      <c r="W43" s="138"/>
      <c r="X43" s="138"/>
      <c r="Y43" s="138"/>
      <c r="Z43" s="138"/>
      <c r="AA43" s="138"/>
      <c r="AB43" s="138"/>
      <c r="AC43" s="138"/>
      <c r="AD43" s="138"/>
      <c r="AE43" s="138"/>
      <c r="AF43" s="138"/>
      <c r="AG43" s="138"/>
      <c r="AH43" s="138"/>
      <c r="AI43" s="138"/>
      <c r="AJ43" s="138"/>
      <c r="AK43" s="138"/>
      <c r="AL43" s="138"/>
      <c r="AM43" s="138"/>
      <c r="AN43" s="138"/>
    </row>
    <row r="44" spans="3:40" x14ac:dyDescent="0.15">
      <c r="C44" s="138"/>
      <c r="D44" s="138"/>
      <c r="E44" s="138"/>
      <c r="F44" s="138"/>
      <c r="G44" s="138"/>
      <c r="H44" s="138"/>
      <c r="I44" s="138"/>
      <c r="J44" s="138"/>
      <c r="K44" s="138"/>
      <c r="L44" s="138"/>
      <c r="M44" s="138"/>
      <c r="N44" s="138"/>
      <c r="O44" s="138"/>
      <c r="P44" s="138"/>
      <c r="Q44" s="138"/>
      <c r="R44" s="138"/>
      <c r="S44" s="138"/>
      <c r="T44" s="138"/>
      <c r="W44" s="138"/>
      <c r="X44" s="138"/>
      <c r="Y44" s="138"/>
      <c r="Z44" s="138"/>
      <c r="AA44" s="138"/>
      <c r="AB44" s="138"/>
      <c r="AC44" s="138"/>
      <c r="AD44" s="138"/>
      <c r="AE44" s="138"/>
      <c r="AF44" s="138"/>
      <c r="AG44" s="138"/>
      <c r="AH44" s="138"/>
      <c r="AI44" s="138"/>
      <c r="AJ44" s="138"/>
      <c r="AK44" s="138"/>
      <c r="AL44" s="138"/>
      <c r="AM44" s="138"/>
      <c r="AN44" s="138"/>
    </row>
    <row r="45" spans="3:40" x14ac:dyDescent="0.15">
      <c r="C45" s="138"/>
      <c r="D45" s="138"/>
      <c r="E45" s="138"/>
      <c r="F45" s="138"/>
      <c r="G45" s="138"/>
      <c r="H45" s="138"/>
      <c r="I45" s="138"/>
      <c r="J45" s="138"/>
      <c r="K45" s="138"/>
      <c r="L45" s="138"/>
      <c r="M45" s="138"/>
      <c r="N45" s="138"/>
      <c r="O45" s="138"/>
      <c r="P45" s="138"/>
      <c r="Q45" s="138"/>
      <c r="R45" s="138"/>
      <c r="S45" s="138"/>
      <c r="T45" s="138"/>
      <c r="W45" s="138"/>
      <c r="X45" s="138"/>
      <c r="Y45" s="138"/>
      <c r="Z45" s="138"/>
      <c r="AA45" s="138"/>
      <c r="AB45" s="138"/>
      <c r="AC45" s="138"/>
      <c r="AD45" s="138"/>
      <c r="AE45" s="138"/>
      <c r="AF45" s="138"/>
      <c r="AG45" s="138"/>
      <c r="AH45" s="138"/>
      <c r="AI45" s="138"/>
      <c r="AJ45" s="138"/>
      <c r="AK45" s="138"/>
      <c r="AL45" s="138"/>
      <c r="AM45" s="138"/>
      <c r="AN45" s="138"/>
    </row>
    <row r="46" spans="3:40" x14ac:dyDescent="0.15">
      <c r="C46" s="138"/>
      <c r="D46" s="138"/>
      <c r="E46" s="138"/>
      <c r="F46" s="138"/>
      <c r="G46" s="138"/>
      <c r="H46" s="138"/>
      <c r="I46" s="138"/>
      <c r="J46" s="138"/>
      <c r="K46" s="138"/>
      <c r="L46" s="138"/>
      <c r="M46" s="138"/>
      <c r="N46" s="138"/>
      <c r="O46" s="138"/>
      <c r="P46" s="138"/>
      <c r="Q46" s="138"/>
      <c r="R46" s="138"/>
      <c r="S46" s="138"/>
      <c r="T46" s="138"/>
      <c r="W46" s="138"/>
      <c r="X46" s="138"/>
      <c r="Y46" s="138"/>
      <c r="Z46" s="138"/>
      <c r="AA46" s="138"/>
      <c r="AB46" s="138"/>
      <c r="AC46" s="138"/>
      <c r="AD46" s="138"/>
      <c r="AE46" s="138"/>
      <c r="AF46" s="138"/>
      <c r="AG46" s="138"/>
      <c r="AH46" s="138"/>
      <c r="AI46" s="138"/>
      <c r="AJ46" s="138"/>
      <c r="AK46" s="138"/>
      <c r="AL46" s="138"/>
      <c r="AM46" s="138"/>
      <c r="AN46" s="138"/>
    </row>
    <row r="47" spans="3:40" x14ac:dyDescent="0.15">
      <c r="C47" s="138"/>
      <c r="D47" s="138"/>
      <c r="E47" s="138"/>
      <c r="F47" s="138"/>
      <c r="G47" s="138"/>
      <c r="H47" s="138"/>
      <c r="I47" s="138"/>
      <c r="J47" s="138"/>
      <c r="K47" s="138"/>
      <c r="L47" s="138"/>
      <c r="M47" s="138"/>
      <c r="N47" s="138"/>
      <c r="O47" s="138"/>
      <c r="P47" s="138"/>
      <c r="Q47" s="138"/>
      <c r="R47" s="138"/>
      <c r="S47" s="138"/>
      <c r="T47" s="138"/>
      <c r="W47" s="138"/>
      <c r="X47" s="138"/>
      <c r="Y47" s="138"/>
      <c r="Z47" s="138"/>
      <c r="AA47" s="138"/>
      <c r="AB47" s="138"/>
      <c r="AC47" s="138"/>
      <c r="AD47" s="138"/>
      <c r="AE47" s="138"/>
      <c r="AF47" s="138"/>
      <c r="AG47" s="138"/>
      <c r="AH47" s="138"/>
      <c r="AI47" s="138"/>
      <c r="AJ47" s="138"/>
      <c r="AK47" s="138"/>
      <c r="AL47" s="138"/>
      <c r="AM47" s="138"/>
      <c r="AN47" s="138"/>
    </row>
    <row r="48" spans="3:40" x14ac:dyDescent="0.15">
      <c r="C48" s="138"/>
      <c r="D48" s="138"/>
      <c r="E48" s="138"/>
      <c r="F48" s="138"/>
      <c r="G48" s="138"/>
      <c r="H48" s="138"/>
      <c r="I48" s="138"/>
      <c r="J48" s="138"/>
      <c r="K48" s="138"/>
      <c r="L48" s="138"/>
      <c r="M48" s="138"/>
      <c r="N48" s="138"/>
      <c r="O48" s="138"/>
      <c r="P48" s="138"/>
      <c r="Q48" s="138"/>
      <c r="R48" s="138"/>
      <c r="S48" s="138"/>
      <c r="T48" s="138"/>
      <c r="W48" s="138"/>
      <c r="X48" s="138"/>
      <c r="Y48" s="138"/>
      <c r="Z48" s="138"/>
      <c r="AA48" s="138"/>
      <c r="AB48" s="138"/>
      <c r="AC48" s="138"/>
      <c r="AD48" s="138"/>
      <c r="AE48" s="138"/>
      <c r="AF48" s="138"/>
      <c r="AG48" s="138"/>
      <c r="AH48" s="138"/>
      <c r="AI48" s="138"/>
      <c r="AJ48" s="138"/>
      <c r="AK48" s="138"/>
      <c r="AL48" s="138"/>
      <c r="AM48" s="138"/>
      <c r="AN48" s="138"/>
    </row>
    <row r="49" spans="2:20" x14ac:dyDescent="0.15">
      <c r="B49" s="137" t="s">
        <v>228</v>
      </c>
    </row>
    <row r="50" spans="2:20" x14ac:dyDescent="0.15">
      <c r="B50" s="151"/>
      <c r="C50" s="151">
        <v>0</v>
      </c>
      <c r="D50" s="151">
        <v>1</v>
      </c>
      <c r="E50" s="151">
        <v>2</v>
      </c>
      <c r="F50" s="151">
        <v>3</v>
      </c>
      <c r="G50" s="151">
        <v>4</v>
      </c>
      <c r="H50" s="151">
        <v>5</v>
      </c>
      <c r="I50" s="151">
        <v>6</v>
      </c>
      <c r="J50" s="151">
        <v>7</v>
      </c>
      <c r="K50" s="151">
        <v>8</v>
      </c>
      <c r="L50" s="151">
        <v>9</v>
      </c>
      <c r="M50" s="151">
        <v>10</v>
      </c>
      <c r="N50" s="151">
        <v>11</v>
      </c>
      <c r="O50" s="151">
        <v>12</v>
      </c>
      <c r="P50" s="151">
        <v>13</v>
      </c>
      <c r="Q50" s="151">
        <v>14</v>
      </c>
      <c r="R50" s="151">
        <v>15</v>
      </c>
      <c r="S50" s="151">
        <v>16</v>
      </c>
      <c r="T50" s="151">
        <v>17</v>
      </c>
    </row>
    <row r="51" spans="2:20" x14ac:dyDescent="0.15">
      <c r="B51" s="151">
        <v>0</v>
      </c>
      <c r="C51" s="152"/>
      <c r="D51" s="153">
        <v>13.4</v>
      </c>
      <c r="E51" s="153">
        <v>8.8000000000000007</v>
      </c>
      <c r="F51" s="153">
        <v>7.4</v>
      </c>
      <c r="G51" s="153">
        <v>6.9</v>
      </c>
      <c r="H51" s="153">
        <v>6.5</v>
      </c>
      <c r="I51" s="153">
        <v>6.1</v>
      </c>
      <c r="J51" s="153">
        <v>5.7</v>
      </c>
      <c r="K51" s="153">
        <v>5.4</v>
      </c>
      <c r="L51" s="153">
        <v>5.4</v>
      </c>
      <c r="M51" s="153">
        <v>6.3</v>
      </c>
      <c r="N51" s="153">
        <v>8.3000000000000007</v>
      </c>
      <c r="O51" s="153">
        <v>5.8</v>
      </c>
      <c r="P51" s="153">
        <v>3</v>
      </c>
      <c r="Q51" s="153">
        <v>1.5</v>
      </c>
      <c r="R51" s="153">
        <v>0.8</v>
      </c>
      <c r="S51" s="153">
        <v>0.4</v>
      </c>
      <c r="T51" s="153">
        <v>0.1</v>
      </c>
    </row>
    <row r="52" spans="2:20" x14ac:dyDescent="0.15">
      <c r="B52" s="151">
        <v>1</v>
      </c>
      <c r="C52" s="151"/>
      <c r="D52" s="153">
        <v>13.4</v>
      </c>
      <c r="E52" s="153">
        <v>8.8000000000000007</v>
      </c>
      <c r="F52" s="153">
        <v>7.4</v>
      </c>
      <c r="G52" s="153">
        <v>6.9</v>
      </c>
      <c r="H52" s="153">
        <v>6.5</v>
      </c>
      <c r="I52" s="153">
        <v>6.1</v>
      </c>
      <c r="J52" s="153">
        <v>5.7</v>
      </c>
      <c r="K52" s="153">
        <v>5.4</v>
      </c>
      <c r="L52" s="153">
        <v>5.4</v>
      </c>
      <c r="M52" s="153">
        <v>6.3</v>
      </c>
      <c r="N52" s="153">
        <v>8.3000000000000007</v>
      </c>
      <c r="O52" s="153">
        <v>5.8</v>
      </c>
      <c r="P52" s="153">
        <v>3</v>
      </c>
      <c r="Q52" s="153">
        <v>1.5</v>
      </c>
      <c r="R52" s="153">
        <v>0.8</v>
      </c>
      <c r="S52" s="153">
        <v>0.4</v>
      </c>
      <c r="T52" s="153">
        <v>0.1</v>
      </c>
    </row>
    <row r="53" spans="2:20" x14ac:dyDescent="0.15">
      <c r="B53" s="151">
        <v>2</v>
      </c>
      <c r="C53" s="151"/>
      <c r="D53" s="153">
        <v>13.4</v>
      </c>
      <c r="E53" s="153">
        <v>8.8000000000000007</v>
      </c>
      <c r="F53" s="153">
        <v>7.4</v>
      </c>
      <c r="G53" s="153">
        <v>6.9</v>
      </c>
      <c r="H53" s="153">
        <v>6.5</v>
      </c>
      <c r="I53" s="153">
        <v>6.1</v>
      </c>
      <c r="J53" s="153">
        <v>5.7</v>
      </c>
      <c r="K53" s="153">
        <v>5.4</v>
      </c>
      <c r="L53" s="153">
        <v>5.4</v>
      </c>
      <c r="M53" s="153">
        <v>6.3</v>
      </c>
      <c r="N53" s="153">
        <v>8.3000000000000007</v>
      </c>
      <c r="O53" s="153">
        <v>5.8</v>
      </c>
      <c r="P53" s="153">
        <v>3</v>
      </c>
      <c r="Q53" s="153">
        <v>1.5</v>
      </c>
      <c r="R53" s="153">
        <v>0.8</v>
      </c>
      <c r="S53" s="153">
        <v>0.4</v>
      </c>
      <c r="T53" s="153">
        <v>0.1</v>
      </c>
    </row>
    <row r="54" spans="2:20" x14ac:dyDescent="0.15">
      <c r="B54" s="151">
        <v>3</v>
      </c>
      <c r="C54" s="152"/>
      <c r="D54" s="153">
        <v>11.6</v>
      </c>
      <c r="E54" s="153">
        <v>8.4</v>
      </c>
      <c r="F54" s="153">
        <v>7.2</v>
      </c>
      <c r="G54" s="153">
        <v>6.8</v>
      </c>
      <c r="H54" s="153">
        <v>6.4</v>
      </c>
      <c r="I54" s="153">
        <v>6.1</v>
      </c>
      <c r="J54" s="153">
        <v>5.6</v>
      </c>
      <c r="K54" s="153">
        <v>5.3</v>
      </c>
      <c r="L54" s="153">
        <v>5.4</v>
      </c>
      <c r="M54" s="153">
        <v>6.7</v>
      </c>
      <c r="N54" s="153">
        <v>8</v>
      </c>
      <c r="O54" s="153">
        <v>5</v>
      </c>
      <c r="P54" s="153">
        <v>2.5</v>
      </c>
      <c r="Q54" s="153">
        <v>1.3</v>
      </c>
      <c r="R54" s="153">
        <v>0.7</v>
      </c>
      <c r="S54" s="153">
        <v>0.3</v>
      </c>
      <c r="T54" s="153">
        <v>0.1</v>
      </c>
    </row>
    <row r="55" spans="2:20" x14ac:dyDescent="0.15">
      <c r="B55" s="151">
        <v>4</v>
      </c>
      <c r="C55" s="151"/>
      <c r="D55" s="153">
        <v>11.6</v>
      </c>
      <c r="E55" s="153">
        <v>8.4</v>
      </c>
      <c r="F55" s="153">
        <v>7.2</v>
      </c>
      <c r="G55" s="153">
        <v>6.8</v>
      </c>
      <c r="H55" s="153">
        <v>6.4</v>
      </c>
      <c r="I55" s="153">
        <v>6.1</v>
      </c>
      <c r="J55" s="153">
        <v>5.6</v>
      </c>
      <c r="K55" s="153">
        <v>5.3</v>
      </c>
      <c r="L55" s="153">
        <v>5.4</v>
      </c>
      <c r="M55" s="153">
        <v>6.7</v>
      </c>
      <c r="N55" s="153">
        <v>8</v>
      </c>
      <c r="O55" s="153">
        <v>5</v>
      </c>
      <c r="P55" s="153">
        <v>2.5</v>
      </c>
      <c r="Q55" s="153">
        <v>1.3</v>
      </c>
      <c r="R55" s="153">
        <v>0.7</v>
      </c>
      <c r="S55" s="153">
        <v>0.3</v>
      </c>
      <c r="T55" s="153"/>
    </row>
    <row r="56" spans="2:20" x14ac:dyDescent="0.15">
      <c r="B56" s="151">
        <v>5</v>
      </c>
      <c r="C56" s="151"/>
      <c r="D56" s="153">
        <v>11.6</v>
      </c>
      <c r="E56" s="153">
        <v>8.4</v>
      </c>
      <c r="F56" s="153">
        <v>7.2</v>
      </c>
      <c r="G56" s="153">
        <v>6.8</v>
      </c>
      <c r="H56" s="153">
        <v>6.4</v>
      </c>
      <c r="I56" s="153">
        <v>6.1</v>
      </c>
      <c r="J56" s="153">
        <v>5.6</v>
      </c>
      <c r="K56" s="153">
        <v>5.3</v>
      </c>
      <c r="L56" s="153">
        <v>5.4</v>
      </c>
      <c r="M56" s="153">
        <v>6.7</v>
      </c>
      <c r="N56" s="153">
        <v>8</v>
      </c>
      <c r="O56" s="153">
        <v>5</v>
      </c>
      <c r="P56" s="153">
        <v>2.5</v>
      </c>
      <c r="Q56" s="153">
        <v>1.3</v>
      </c>
      <c r="R56" s="153">
        <v>0.7</v>
      </c>
      <c r="S56" s="153">
        <v>0.3</v>
      </c>
      <c r="T56" s="153"/>
    </row>
    <row r="57" spans="2:20" x14ac:dyDescent="0.15">
      <c r="B57" s="151">
        <v>6</v>
      </c>
      <c r="C57" s="152"/>
      <c r="D57" s="153">
        <v>10.3</v>
      </c>
      <c r="E57" s="153">
        <v>8</v>
      </c>
      <c r="F57" s="153">
        <v>7.1</v>
      </c>
      <c r="G57" s="153">
        <v>6.7</v>
      </c>
      <c r="H57" s="153">
        <v>6.3</v>
      </c>
      <c r="I57" s="153">
        <v>5.9</v>
      </c>
      <c r="J57" s="153">
        <v>5.5</v>
      </c>
      <c r="K57" s="153">
        <v>5.3</v>
      </c>
      <c r="L57" s="153">
        <v>5.6</v>
      </c>
      <c r="M57" s="153">
        <v>7.3</v>
      </c>
      <c r="N57" s="153">
        <v>7.4</v>
      </c>
      <c r="O57" s="153">
        <v>4.2</v>
      </c>
      <c r="P57" s="153">
        <v>2.2000000000000002</v>
      </c>
      <c r="Q57" s="153">
        <v>1.1000000000000001</v>
      </c>
      <c r="R57" s="153">
        <v>0.5</v>
      </c>
      <c r="S57" s="153">
        <v>0.2</v>
      </c>
      <c r="T57" s="153"/>
    </row>
    <row r="58" spans="2:20" x14ac:dyDescent="0.15">
      <c r="B58" s="151">
        <v>7</v>
      </c>
      <c r="C58" s="151"/>
      <c r="D58" s="153">
        <v>10.3</v>
      </c>
      <c r="E58" s="153">
        <v>8</v>
      </c>
      <c r="F58" s="153">
        <v>7.1</v>
      </c>
      <c r="G58" s="153">
        <v>6.7</v>
      </c>
      <c r="H58" s="153">
        <v>6.3</v>
      </c>
      <c r="I58" s="153">
        <v>5.9</v>
      </c>
      <c r="J58" s="153">
        <v>5.5</v>
      </c>
      <c r="K58" s="153">
        <v>5.3</v>
      </c>
      <c r="L58" s="153">
        <v>5.6</v>
      </c>
      <c r="M58" s="153">
        <v>7.3</v>
      </c>
      <c r="N58" s="153">
        <v>7.4</v>
      </c>
      <c r="O58" s="153">
        <v>4.2</v>
      </c>
      <c r="P58" s="153">
        <v>2.2000000000000002</v>
      </c>
      <c r="Q58" s="153">
        <v>1.1000000000000001</v>
      </c>
      <c r="R58" s="153">
        <v>0.5</v>
      </c>
      <c r="S58" s="153">
        <v>0.2</v>
      </c>
      <c r="T58" s="153"/>
    </row>
    <row r="59" spans="2:20" x14ac:dyDescent="0.15">
      <c r="B59" s="151">
        <v>8</v>
      </c>
      <c r="C59" s="151"/>
      <c r="D59" s="153">
        <v>10.3</v>
      </c>
      <c r="E59" s="153">
        <v>8</v>
      </c>
      <c r="F59" s="153">
        <v>7.1</v>
      </c>
      <c r="G59" s="153">
        <v>6.7</v>
      </c>
      <c r="H59" s="153">
        <v>6.3</v>
      </c>
      <c r="I59" s="153">
        <v>5.9</v>
      </c>
      <c r="J59" s="153">
        <v>5.5</v>
      </c>
      <c r="K59" s="153">
        <v>5.3</v>
      </c>
      <c r="L59" s="153">
        <v>5.6</v>
      </c>
      <c r="M59" s="153">
        <v>7.3</v>
      </c>
      <c r="N59" s="153">
        <v>7.4</v>
      </c>
      <c r="O59" s="153">
        <v>4.2</v>
      </c>
      <c r="P59" s="153">
        <v>2.2000000000000002</v>
      </c>
      <c r="Q59" s="153">
        <v>1.1000000000000001</v>
      </c>
      <c r="R59" s="153">
        <v>0.5</v>
      </c>
      <c r="S59" s="153">
        <v>0.2</v>
      </c>
      <c r="T59" s="153"/>
    </row>
    <row r="60" spans="2:20" x14ac:dyDescent="0.15">
      <c r="B60" s="151">
        <v>9</v>
      </c>
      <c r="C60" s="152"/>
      <c r="D60" s="153">
        <v>9.4</v>
      </c>
      <c r="E60" s="153">
        <v>7.7</v>
      </c>
      <c r="F60" s="153">
        <v>7</v>
      </c>
      <c r="G60" s="153">
        <v>6.6</v>
      </c>
      <c r="H60" s="153">
        <v>6.3</v>
      </c>
      <c r="I60" s="153">
        <v>5.8</v>
      </c>
      <c r="J60" s="153">
        <v>5.4</v>
      </c>
      <c r="K60" s="153">
        <v>5.3</v>
      </c>
      <c r="L60" s="153">
        <v>5.9</v>
      </c>
      <c r="M60" s="153">
        <v>7.9</v>
      </c>
      <c r="N60" s="153">
        <v>6.7</v>
      </c>
      <c r="O60" s="153">
        <v>3.5</v>
      </c>
      <c r="P60" s="153">
        <v>1.8</v>
      </c>
      <c r="Q60" s="153">
        <v>0.9</v>
      </c>
      <c r="R60" s="153">
        <v>0.4</v>
      </c>
      <c r="S60" s="153">
        <v>0.2</v>
      </c>
      <c r="T60" s="153"/>
    </row>
    <row r="61" spans="2:20" x14ac:dyDescent="0.15">
      <c r="B61" s="151">
        <v>10</v>
      </c>
      <c r="C61" s="152"/>
      <c r="D61" s="153">
        <v>9.4</v>
      </c>
      <c r="E61" s="153">
        <v>7.7</v>
      </c>
      <c r="F61" s="153">
        <v>7</v>
      </c>
      <c r="G61" s="153">
        <v>6.6</v>
      </c>
      <c r="H61" s="153">
        <v>6.3</v>
      </c>
      <c r="I61" s="153">
        <v>5.8</v>
      </c>
      <c r="J61" s="153">
        <v>5.4</v>
      </c>
      <c r="K61" s="153">
        <v>5.3</v>
      </c>
      <c r="L61" s="153">
        <v>5.9</v>
      </c>
      <c r="M61" s="153">
        <v>7.9</v>
      </c>
      <c r="N61" s="153">
        <v>6.7</v>
      </c>
      <c r="O61" s="153">
        <v>3.5</v>
      </c>
      <c r="P61" s="153">
        <v>1.8</v>
      </c>
      <c r="Q61" s="153">
        <v>0.9</v>
      </c>
      <c r="R61" s="153">
        <v>0.4</v>
      </c>
      <c r="S61" s="153">
        <v>0.2</v>
      </c>
      <c r="T61" s="153"/>
    </row>
    <row r="62" spans="2:20" x14ac:dyDescent="0.15">
      <c r="B62" s="151">
        <v>11</v>
      </c>
      <c r="C62" s="153"/>
      <c r="D62" s="153">
        <v>9.4</v>
      </c>
      <c r="E62" s="153">
        <v>7.7</v>
      </c>
      <c r="F62" s="153">
        <v>7</v>
      </c>
      <c r="G62" s="153">
        <v>6.6</v>
      </c>
      <c r="H62" s="153">
        <v>6.3</v>
      </c>
      <c r="I62" s="153">
        <v>5.8</v>
      </c>
      <c r="J62" s="153">
        <v>5.4</v>
      </c>
      <c r="K62" s="153">
        <v>5.3</v>
      </c>
      <c r="L62" s="153">
        <v>5.9</v>
      </c>
      <c r="M62" s="153">
        <v>7.9</v>
      </c>
      <c r="N62" s="153">
        <v>6.7</v>
      </c>
      <c r="O62" s="153">
        <v>3.5</v>
      </c>
      <c r="P62" s="153">
        <v>1.8</v>
      </c>
      <c r="Q62" s="153">
        <v>0.9</v>
      </c>
      <c r="R62" s="153">
        <v>0.4</v>
      </c>
      <c r="S62" s="153">
        <v>0.2</v>
      </c>
      <c r="T62" s="153"/>
    </row>
    <row r="64" spans="2:20" x14ac:dyDescent="0.15">
      <c r="B64" s="151"/>
      <c r="C64" s="151">
        <v>0</v>
      </c>
      <c r="D64" s="151">
        <v>1</v>
      </c>
      <c r="E64" s="151">
        <v>2</v>
      </c>
      <c r="F64" s="151">
        <v>3</v>
      </c>
      <c r="G64" s="151">
        <v>4</v>
      </c>
      <c r="H64" s="151">
        <v>5</v>
      </c>
      <c r="I64" s="151">
        <v>6</v>
      </c>
      <c r="J64" s="151">
        <v>7</v>
      </c>
      <c r="K64" s="151">
        <v>8</v>
      </c>
      <c r="L64" s="151">
        <v>9</v>
      </c>
      <c r="M64" s="151">
        <v>10</v>
      </c>
      <c r="N64" s="151">
        <v>11</v>
      </c>
      <c r="O64" s="151">
        <v>12</v>
      </c>
      <c r="P64" s="151">
        <v>13</v>
      </c>
      <c r="Q64" s="151">
        <v>14</v>
      </c>
      <c r="R64" s="151">
        <v>15</v>
      </c>
      <c r="S64" s="151">
        <v>16</v>
      </c>
      <c r="T64" s="151">
        <v>17</v>
      </c>
    </row>
    <row r="65" spans="2:20" x14ac:dyDescent="0.15">
      <c r="B65" s="151">
        <v>0</v>
      </c>
      <c r="C65" s="152"/>
      <c r="D65" s="153">
        <v>1.43</v>
      </c>
      <c r="E65" s="153">
        <v>0.84</v>
      </c>
      <c r="F65" s="153">
        <v>0.75</v>
      </c>
      <c r="G65" s="153">
        <v>0.74</v>
      </c>
      <c r="H65" s="153">
        <v>0.72</v>
      </c>
      <c r="I65" s="153">
        <v>0.7</v>
      </c>
      <c r="J65" s="153">
        <v>0.73</v>
      </c>
      <c r="K65" s="153">
        <v>0.75</v>
      </c>
      <c r="L65" s="153">
        <v>0.8</v>
      </c>
      <c r="M65" s="153">
        <v>0.76</v>
      </c>
      <c r="N65" s="153">
        <v>1.05</v>
      </c>
      <c r="O65" s="153">
        <v>0.84</v>
      </c>
      <c r="P65" s="153">
        <v>0.85</v>
      </c>
      <c r="Q65" s="153">
        <v>0.63</v>
      </c>
      <c r="R65" s="153">
        <v>0.4</v>
      </c>
      <c r="S65" s="153">
        <v>0.36</v>
      </c>
      <c r="T65" s="153">
        <v>0.2</v>
      </c>
    </row>
    <row r="66" spans="2:20" x14ac:dyDescent="0.15">
      <c r="B66" s="151">
        <v>1</v>
      </c>
      <c r="C66" s="151"/>
      <c r="D66" s="153">
        <v>1.43</v>
      </c>
      <c r="E66" s="153">
        <v>0.84</v>
      </c>
      <c r="F66" s="153">
        <v>0.75</v>
      </c>
      <c r="G66" s="153">
        <v>0.74</v>
      </c>
      <c r="H66" s="153">
        <v>0.72</v>
      </c>
      <c r="I66" s="153">
        <v>0.7</v>
      </c>
      <c r="J66" s="153">
        <v>0.73</v>
      </c>
      <c r="K66" s="153">
        <v>0.75</v>
      </c>
      <c r="L66" s="153">
        <v>0.8</v>
      </c>
      <c r="M66" s="153">
        <v>0.76</v>
      </c>
      <c r="N66" s="153">
        <v>1.05</v>
      </c>
      <c r="O66" s="153">
        <v>0.84</v>
      </c>
      <c r="P66" s="153">
        <v>0.85</v>
      </c>
      <c r="Q66" s="153">
        <v>0.63</v>
      </c>
      <c r="R66" s="153">
        <v>0.4</v>
      </c>
      <c r="S66" s="153">
        <v>0.36</v>
      </c>
      <c r="T66" s="153">
        <v>0.2</v>
      </c>
    </row>
    <row r="67" spans="2:20" x14ac:dyDescent="0.15">
      <c r="B67" s="151">
        <v>2</v>
      </c>
      <c r="C67" s="151"/>
      <c r="D67" s="153">
        <v>1.43</v>
      </c>
      <c r="E67" s="153">
        <v>0.84</v>
      </c>
      <c r="F67" s="153">
        <v>0.75</v>
      </c>
      <c r="G67" s="153">
        <v>0.74</v>
      </c>
      <c r="H67" s="153">
        <v>0.72</v>
      </c>
      <c r="I67" s="153">
        <v>0.7</v>
      </c>
      <c r="J67" s="153">
        <v>0.73</v>
      </c>
      <c r="K67" s="153">
        <v>0.75</v>
      </c>
      <c r="L67" s="153">
        <v>0.8</v>
      </c>
      <c r="M67" s="153">
        <v>0.76</v>
      </c>
      <c r="N67" s="153">
        <v>1.05</v>
      </c>
      <c r="O67" s="153">
        <v>0.84</v>
      </c>
      <c r="P67" s="153">
        <v>0.85</v>
      </c>
      <c r="Q67" s="153">
        <v>0.63</v>
      </c>
      <c r="R67" s="153">
        <v>0.4</v>
      </c>
      <c r="S67" s="153">
        <v>0.36</v>
      </c>
      <c r="T67" s="153">
        <v>0.2</v>
      </c>
    </row>
    <row r="68" spans="2:20" x14ac:dyDescent="0.15">
      <c r="B68" s="151">
        <v>3</v>
      </c>
      <c r="C68" s="152"/>
      <c r="D68" s="153">
        <v>1.1100000000000001</v>
      </c>
      <c r="E68" s="153">
        <v>0.8</v>
      </c>
      <c r="F68" s="153">
        <v>0.75</v>
      </c>
      <c r="G68" s="153">
        <v>0.73</v>
      </c>
      <c r="H68" s="153">
        <v>0.72</v>
      </c>
      <c r="I68" s="153">
        <v>0.7</v>
      </c>
      <c r="J68" s="153">
        <v>0.73</v>
      </c>
      <c r="K68" s="153">
        <v>0.75</v>
      </c>
      <c r="L68" s="153">
        <v>0.82</v>
      </c>
      <c r="M68" s="153">
        <v>0.8</v>
      </c>
      <c r="N68" s="153">
        <v>0.99</v>
      </c>
      <c r="O68" s="153">
        <v>0.93</v>
      </c>
      <c r="P68" s="153">
        <v>0.8</v>
      </c>
      <c r="Q68" s="153">
        <v>0.56000000000000005</v>
      </c>
      <c r="R68" s="153">
        <v>0.4</v>
      </c>
      <c r="S68" s="153">
        <v>0.35</v>
      </c>
      <c r="T68" s="153">
        <v>0.18</v>
      </c>
    </row>
    <row r="69" spans="2:20" x14ac:dyDescent="0.15">
      <c r="B69" s="151">
        <v>4</v>
      </c>
      <c r="C69" s="151"/>
      <c r="D69" s="153">
        <v>1.1100000000000001</v>
      </c>
      <c r="E69" s="153">
        <v>0.8</v>
      </c>
      <c r="F69" s="153">
        <v>0.75</v>
      </c>
      <c r="G69" s="153">
        <v>0.73</v>
      </c>
      <c r="H69" s="153">
        <v>0.72</v>
      </c>
      <c r="I69" s="153">
        <v>0.7</v>
      </c>
      <c r="J69" s="153">
        <v>0.73</v>
      </c>
      <c r="K69" s="153">
        <v>0.75</v>
      </c>
      <c r="L69" s="153">
        <v>0.82</v>
      </c>
      <c r="M69" s="153">
        <v>0.8</v>
      </c>
      <c r="N69" s="153">
        <v>0.99</v>
      </c>
      <c r="O69" s="153">
        <v>0.93</v>
      </c>
      <c r="P69" s="153">
        <v>0.8</v>
      </c>
      <c r="Q69" s="153">
        <v>0.56000000000000005</v>
      </c>
      <c r="R69" s="153">
        <v>0.4</v>
      </c>
      <c r="S69" s="153">
        <v>0.35</v>
      </c>
      <c r="T69" s="153"/>
    </row>
    <row r="70" spans="2:20" x14ac:dyDescent="0.15">
      <c r="B70" s="151">
        <v>5</v>
      </c>
      <c r="C70" s="151"/>
      <c r="D70" s="153">
        <v>1.1100000000000001</v>
      </c>
      <c r="E70" s="153">
        <v>0.8</v>
      </c>
      <c r="F70" s="153">
        <v>0.75</v>
      </c>
      <c r="G70" s="153">
        <v>0.73</v>
      </c>
      <c r="H70" s="153">
        <v>0.72</v>
      </c>
      <c r="I70" s="153">
        <v>0.7</v>
      </c>
      <c r="J70" s="153">
        <v>0.73</v>
      </c>
      <c r="K70" s="153">
        <v>0.75</v>
      </c>
      <c r="L70" s="153">
        <v>0.82</v>
      </c>
      <c r="M70" s="153">
        <v>0.8</v>
      </c>
      <c r="N70" s="153">
        <v>0.99</v>
      </c>
      <c r="O70" s="153">
        <v>0.93</v>
      </c>
      <c r="P70" s="153">
        <v>0.8</v>
      </c>
      <c r="Q70" s="153">
        <v>0.56000000000000005</v>
      </c>
      <c r="R70" s="153">
        <v>0.4</v>
      </c>
      <c r="S70" s="153">
        <v>0.35</v>
      </c>
      <c r="T70" s="153"/>
    </row>
    <row r="71" spans="2:20" x14ac:dyDescent="0.15">
      <c r="B71" s="151">
        <v>6</v>
      </c>
      <c r="C71" s="152"/>
      <c r="D71" s="153">
        <v>0.98</v>
      </c>
      <c r="E71" s="153">
        <v>0.78</v>
      </c>
      <c r="F71" s="153">
        <v>0.75</v>
      </c>
      <c r="G71" s="153">
        <v>0.73</v>
      </c>
      <c r="H71" s="153">
        <v>0.71</v>
      </c>
      <c r="I71" s="153">
        <v>0.7</v>
      </c>
      <c r="J71" s="153">
        <v>0.74</v>
      </c>
      <c r="K71" s="153">
        <v>0.77</v>
      </c>
      <c r="L71" s="153">
        <v>0.83</v>
      </c>
      <c r="M71" s="153">
        <v>0.9</v>
      </c>
      <c r="N71" s="153">
        <v>0.88</v>
      </c>
      <c r="O71" s="153">
        <v>0.9</v>
      </c>
      <c r="P71" s="153">
        <v>0.74</v>
      </c>
      <c r="Q71" s="153">
        <v>0.5</v>
      </c>
      <c r="R71" s="153">
        <v>0.38</v>
      </c>
      <c r="S71" s="153">
        <v>0.3</v>
      </c>
      <c r="T71" s="153"/>
    </row>
    <row r="72" spans="2:20" x14ac:dyDescent="0.15">
      <c r="B72" s="151">
        <v>7</v>
      </c>
      <c r="C72" s="151"/>
      <c r="D72" s="153">
        <v>0.98</v>
      </c>
      <c r="E72" s="153">
        <v>0.78</v>
      </c>
      <c r="F72" s="153">
        <v>0.75</v>
      </c>
      <c r="G72" s="153">
        <v>0.73</v>
      </c>
      <c r="H72" s="153">
        <v>0.71</v>
      </c>
      <c r="I72" s="153">
        <v>0.7</v>
      </c>
      <c r="J72" s="153">
        <v>0.74</v>
      </c>
      <c r="K72" s="153">
        <v>0.77</v>
      </c>
      <c r="L72" s="153">
        <v>0.83</v>
      </c>
      <c r="M72" s="153">
        <v>0.9</v>
      </c>
      <c r="N72" s="153">
        <v>0.88</v>
      </c>
      <c r="O72" s="153">
        <v>0.9</v>
      </c>
      <c r="P72" s="153">
        <v>0.74</v>
      </c>
      <c r="Q72" s="153">
        <v>0.5</v>
      </c>
      <c r="R72" s="153">
        <v>0.38</v>
      </c>
      <c r="S72" s="153">
        <v>0.3</v>
      </c>
      <c r="T72" s="153"/>
    </row>
    <row r="73" spans="2:20" x14ac:dyDescent="0.15">
      <c r="B73" s="151">
        <v>8</v>
      </c>
      <c r="C73" s="151"/>
      <c r="D73" s="153">
        <v>0.98</v>
      </c>
      <c r="E73" s="153">
        <v>0.78</v>
      </c>
      <c r="F73" s="153">
        <v>0.75</v>
      </c>
      <c r="G73" s="153">
        <v>0.73</v>
      </c>
      <c r="H73" s="153">
        <v>0.71</v>
      </c>
      <c r="I73" s="153">
        <v>0.7</v>
      </c>
      <c r="J73" s="153">
        <v>0.74</v>
      </c>
      <c r="K73" s="153">
        <v>0.77</v>
      </c>
      <c r="L73" s="153">
        <v>0.83</v>
      </c>
      <c r="M73" s="153">
        <v>0.9</v>
      </c>
      <c r="N73" s="153">
        <v>0.88</v>
      </c>
      <c r="O73" s="153">
        <v>0.9</v>
      </c>
      <c r="P73" s="153">
        <v>0.74</v>
      </c>
      <c r="Q73" s="153">
        <v>0.5</v>
      </c>
      <c r="R73" s="153">
        <v>0.38</v>
      </c>
      <c r="S73" s="153">
        <v>0.3</v>
      </c>
      <c r="T73" s="153"/>
    </row>
    <row r="74" spans="2:20" x14ac:dyDescent="0.15">
      <c r="B74" s="151">
        <v>9</v>
      </c>
      <c r="C74" s="152"/>
      <c r="D74" s="153">
        <v>0.9</v>
      </c>
      <c r="E74" s="153">
        <v>0.75</v>
      </c>
      <c r="F74" s="153">
        <v>0.74</v>
      </c>
      <c r="G74" s="153">
        <v>0.73</v>
      </c>
      <c r="H74" s="153">
        <v>0.71</v>
      </c>
      <c r="I74" s="153">
        <v>0.71</v>
      </c>
      <c r="J74" s="153">
        <v>0.75</v>
      </c>
      <c r="K74" s="153">
        <v>0.78</v>
      </c>
      <c r="L74" s="153">
        <v>0.79</v>
      </c>
      <c r="M74" s="153">
        <v>1.03</v>
      </c>
      <c r="N74" s="153">
        <v>0.83</v>
      </c>
      <c r="O74" s="153">
        <v>0.9</v>
      </c>
      <c r="P74" s="153">
        <v>0.68</v>
      </c>
      <c r="Q74" s="153">
        <v>0.45</v>
      </c>
      <c r="R74" s="153">
        <v>0.38</v>
      </c>
      <c r="S74" s="153">
        <v>0.25</v>
      </c>
      <c r="T74" s="153"/>
    </row>
    <row r="75" spans="2:20" x14ac:dyDescent="0.15">
      <c r="B75" s="151">
        <v>10</v>
      </c>
      <c r="C75" s="152"/>
      <c r="D75" s="153">
        <v>0.9</v>
      </c>
      <c r="E75" s="153">
        <v>0.75</v>
      </c>
      <c r="F75" s="153">
        <v>0.74</v>
      </c>
      <c r="G75" s="153">
        <v>0.73</v>
      </c>
      <c r="H75" s="153">
        <v>0.71</v>
      </c>
      <c r="I75" s="153">
        <v>0.71</v>
      </c>
      <c r="J75" s="153">
        <v>0.75</v>
      </c>
      <c r="K75" s="153">
        <v>0.78</v>
      </c>
      <c r="L75" s="153">
        <v>0.79</v>
      </c>
      <c r="M75" s="153">
        <v>1.03</v>
      </c>
      <c r="N75" s="153">
        <v>0.83</v>
      </c>
      <c r="O75" s="153">
        <v>0.9</v>
      </c>
      <c r="P75" s="153">
        <v>0.68</v>
      </c>
      <c r="Q75" s="153">
        <v>0.45</v>
      </c>
      <c r="R75" s="153">
        <v>0.38</v>
      </c>
      <c r="S75" s="153">
        <v>0.25</v>
      </c>
      <c r="T75" s="153"/>
    </row>
    <row r="76" spans="2:20" x14ac:dyDescent="0.15">
      <c r="B76" s="151">
        <v>11</v>
      </c>
      <c r="C76" s="153"/>
      <c r="D76" s="153">
        <v>0.9</v>
      </c>
      <c r="E76" s="153">
        <v>0.75</v>
      </c>
      <c r="F76" s="153">
        <v>0.74</v>
      </c>
      <c r="G76" s="153">
        <v>0.73</v>
      </c>
      <c r="H76" s="153">
        <v>0.71</v>
      </c>
      <c r="I76" s="153">
        <v>0.71</v>
      </c>
      <c r="J76" s="153">
        <v>0.75</v>
      </c>
      <c r="K76" s="153">
        <v>0.78</v>
      </c>
      <c r="L76" s="153">
        <v>0.79</v>
      </c>
      <c r="M76" s="153">
        <v>1.03</v>
      </c>
      <c r="N76" s="153">
        <v>0.83</v>
      </c>
      <c r="O76" s="153">
        <v>0.9</v>
      </c>
      <c r="P76" s="153">
        <v>0.68</v>
      </c>
      <c r="Q76" s="153">
        <v>0.45</v>
      </c>
      <c r="R76" s="153">
        <v>0.38</v>
      </c>
      <c r="S76" s="153">
        <v>0.25</v>
      </c>
      <c r="T76" s="153"/>
    </row>
  </sheetData>
  <sheetProtection password="8E09" sheet="1" objects="1" scenarios="1" selectLockedCells="1" selectUnlockedCells="1"/>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0"/>
  <sheetViews>
    <sheetView topLeftCell="M1" workbookViewId="0">
      <selection activeCell="P12" sqref="P12"/>
    </sheetView>
  </sheetViews>
  <sheetFormatPr defaultRowHeight="13.5" x14ac:dyDescent="0.15"/>
  <cols>
    <col min="1" max="12" width="9" hidden="1" customWidth="1"/>
  </cols>
  <sheetData>
    <row r="1" spans="1:11" x14ac:dyDescent="0.15">
      <c r="C1" t="s">
        <v>14</v>
      </c>
      <c r="G1" t="s">
        <v>13</v>
      </c>
    </row>
    <row r="2" spans="1:11" x14ac:dyDescent="0.15">
      <c r="C2" t="s">
        <v>4</v>
      </c>
    </row>
    <row r="3" spans="1:11" x14ac:dyDescent="0.15">
      <c r="F3" s="18" t="s">
        <v>32</v>
      </c>
      <c r="G3" s="10"/>
      <c r="H3" s="10"/>
      <c r="I3" s="10"/>
      <c r="J3" s="10"/>
      <c r="K3" s="11"/>
    </row>
    <row r="4" spans="1:11" x14ac:dyDescent="0.15">
      <c r="A4" t="s">
        <v>5</v>
      </c>
      <c r="B4">
        <v>5</v>
      </c>
      <c r="C4" s="3">
        <v>0.38600000000000001</v>
      </c>
      <c r="D4" s="3">
        <v>-23.699000000000002</v>
      </c>
      <c r="F4" s="12" t="s">
        <v>31</v>
      </c>
      <c r="G4" s="13" t="s">
        <v>6</v>
      </c>
      <c r="H4" s="13"/>
      <c r="I4" s="13"/>
      <c r="J4" s="13"/>
      <c r="K4" s="14"/>
    </row>
    <row r="5" spans="1:11" x14ac:dyDescent="0.15">
      <c r="B5">
        <v>6</v>
      </c>
      <c r="C5" s="3">
        <v>0.46100000000000002</v>
      </c>
      <c r="D5" s="3">
        <v>-32.381999999999998</v>
      </c>
      <c r="F5" s="12"/>
      <c r="G5" s="13"/>
      <c r="H5" s="13">
        <v>3</v>
      </c>
      <c r="I5" s="13">
        <v>2</v>
      </c>
      <c r="J5" s="13">
        <v>1</v>
      </c>
      <c r="K5" s="14">
        <v>0</v>
      </c>
    </row>
    <row r="6" spans="1:11" x14ac:dyDescent="0.15">
      <c r="B6">
        <v>7</v>
      </c>
      <c r="C6" s="3">
        <v>0.51300000000000001</v>
      </c>
      <c r="D6" s="3">
        <v>-38.878</v>
      </c>
      <c r="F6" s="12" t="s">
        <v>33</v>
      </c>
      <c r="G6" s="13" t="s">
        <v>7</v>
      </c>
      <c r="H6" s="13">
        <v>30.388200000000001</v>
      </c>
      <c r="I6" s="13">
        <v>-57.149500000000003</v>
      </c>
      <c r="J6" s="13">
        <v>50.812399999999997</v>
      </c>
      <c r="K6" s="14">
        <v>-9.1779100000000007</v>
      </c>
    </row>
    <row r="7" spans="1:11" x14ac:dyDescent="0.15">
      <c r="B7">
        <v>8</v>
      </c>
      <c r="C7" s="3">
        <v>0.59199999999999997</v>
      </c>
      <c r="D7" s="3">
        <v>-48.804000000000002</v>
      </c>
      <c r="F7" s="12"/>
      <c r="G7" s="13" t="s">
        <v>8</v>
      </c>
      <c r="H7" s="13">
        <v>-85.013000000000005</v>
      </c>
      <c r="I7" s="13">
        <v>370.69200000000001</v>
      </c>
      <c r="J7" s="13">
        <v>-465.58</v>
      </c>
      <c r="K7" s="14">
        <v>191.84700000000001</v>
      </c>
    </row>
    <row r="8" spans="1:11" x14ac:dyDescent="0.15">
      <c r="B8">
        <v>9</v>
      </c>
      <c r="C8" s="3">
        <v>0.68700000000000006</v>
      </c>
      <c r="D8" s="3">
        <v>-61.39</v>
      </c>
      <c r="F8" s="19"/>
      <c r="G8" s="16" t="s">
        <v>9</v>
      </c>
      <c r="H8" s="16">
        <v>-310.20499999999998</v>
      </c>
      <c r="I8" s="16">
        <v>1511.59</v>
      </c>
      <c r="J8" s="16">
        <v>-2363.0300000000002</v>
      </c>
      <c r="K8" s="17">
        <v>1231.04</v>
      </c>
    </row>
    <row r="9" spans="1:11" x14ac:dyDescent="0.15">
      <c r="B9">
        <v>10</v>
      </c>
      <c r="C9" s="3">
        <v>0.752</v>
      </c>
      <c r="D9" s="3">
        <v>-70.460999999999999</v>
      </c>
      <c r="F9" s="9" t="s">
        <v>33</v>
      </c>
      <c r="G9" s="10" t="s">
        <v>7</v>
      </c>
      <c r="H9" s="10">
        <v>127.71899999999999</v>
      </c>
      <c r="I9" s="10">
        <v>-414.71199999999999</v>
      </c>
      <c r="J9" s="10">
        <v>485.75</v>
      </c>
      <c r="K9" s="11">
        <v>-184.49199999999999</v>
      </c>
    </row>
    <row r="10" spans="1:11" x14ac:dyDescent="0.15">
      <c r="B10">
        <v>11</v>
      </c>
      <c r="C10" s="3">
        <v>0.78200000000000003</v>
      </c>
      <c r="D10" s="3">
        <v>-75.105999999999995</v>
      </c>
      <c r="F10" s="12"/>
      <c r="G10" s="13" t="s">
        <v>8</v>
      </c>
      <c r="H10" s="13">
        <v>-1787.66</v>
      </c>
      <c r="I10" s="13">
        <v>8039.22</v>
      </c>
      <c r="J10" s="13">
        <v>-11931</v>
      </c>
      <c r="K10" s="14">
        <v>5885.03</v>
      </c>
    </row>
    <row r="11" spans="1:11" x14ac:dyDescent="0.15">
      <c r="B11">
        <v>12</v>
      </c>
      <c r="C11" s="3">
        <v>0.78300000000000003</v>
      </c>
      <c r="D11" s="3">
        <v>-75.641999999999996</v>
      </c>
      <c r="F11" s="12"/>
      <c r="G11" s="13" t="s">
        <v>10</v>
      </c>
      <c r="H11" s="13">
        <v>956.40099999999995</v>
      </c>
      <c r="I11" s="13">
        <v>-4627.55</v>
      </c>
      <c r="J11" s="13">
        <v>7530.58</v>
      </c>
      <c r="K11" s="14">
        <v>-4068.31</v>
      </c>
    </row>
    <row r="12" spans="1:11" x14ac:dyDescent="0.15">
      <c r="B12">
        <v>13</v>
      </c>
      <c r="C12" s="3">
        <v>0.81499999999999995</v>
      </c>
      <c r="D12" s="3">
        <v>-81.347999999999999</v>
      </c>
      <c r="F12" s="12" t="s">
        <v>31</v>
      </c>
      <c r="G12" s="13" t="s">
        <v>12</v>
      </c>
      <c r="H12" s="13"/>
      <c r="I12" s="13"/>
      <c r="J12" s="13"/>
      <c r="K12" s="14"/>
    </row>
    <row r="13" spans="1:11" x14ac:dyDescent="0.15">
      <c r="B13">
        <v>14</v>
      </c>
      <c r="C13" s="3">
        <v>0.83199999999999996</v>
      </c>
      <c r="D13" s="3">
        <v>-83.694999999999993</v>
      </c>
      <c r="F13" s="15" t="s">
        <v>34</v>
      </c>
      <c r="G13" s="16"/>
      <c r="H13" s="16"/>
      <c r="I13" s="16"/>
      <c r="J13" s="16"/>
      <c r="K13" s="17"/>
    </row>
    <row r="14" spans="1:11" x14ac:dyDescent="0.15">
      <c r="B14">
        <v>15</v>
      </c>
      <c r="C14" s="3">
        <v>0.76600000000000001</v>
      </c>
      <c r="D14" s="3">
        <v>-70.989000000000004</v>
      </c>
    </row>
    <row r="15" spans="1:11" x14ac:dyDescent="0.15">
      <c r="B15">
        <v>16</v>
      </c>
      <c r="C15" s="3">
        <v>0.65600000000000003</v>
      </c>
      <c r="D15" s="3">
        <v>-51.822000000000003</v>
      </c>
    </row>
    <row r="16" spans="1:11" x14ac:dyDescent="0.15">
      <c r="B16">
        <v>17</v>
      </c>
      <c r="C16" s="3">
        <v>0.67200000000000004</v>
      </c>
      <c r="D16" s="3">
        <v>-53.642000000000003</v>
      </c>
    </row>
    <row r="17" spans="1:7" x14ac:dyDescent="0.15">
      <c r="C17" s="3"/>
      <c r="D17" s="3"/>
    </row>
    <row r="18" spans="1:7" x14ac:dyDescent="0.15">
      <c r="A18" t="s">
        <v>11</v>
      </c>
      <c r="B18">
        <v>5</v>
      </c>
      <c r="C18" s="3">
        <v>0.377</v>
      </c>
      <c r="D18" s="3">
        <v>-22.75</v>
      </c>
    </row>
    <row r="19" spans="1:7" x14ac:dyDescent="0.15">
      <c r="B19">
        <v>6</v>
      </c>
      <c r="C19" s="3">
        <v>0.45800000000000002</v>
      </c>
      <c r="D19" s="3">
        <v>-32.079000000000001</v>
      </c>
    </row>
    <row r="20" spans="1:7" x14ac:dyDescent="0.15">
      <c r="B20">
        <v>7</v>
      </c>
      <c r="C20" s="3">
        <v>0.50800000000000001</v>
      </c>
      <c r="D20" s="3">
        <v>-38.366999999999997</v>
      </c>
    </row>
    <row r="21" spans="1:7" x14ac:dyDescent="0.15">
      <c r="B21">
        <v>8</v>
      </c>
      <c r="C21" s="3">
        <v>0.56100000000000005</v>
      </c>
      <c r="D21" s="3">
        <v>-45.006</v>
      </c>
    </row>
    <row r="22" spans="1:7" x14ac:dyDescent="0.15">
      <c r="B22">
        <v>9</v>
      </c>
      <c r="C22" s="3">
        <v>0.65200000000000002</v>
      </c>
      <c r="D22" s="3">
        <v>-56.991999999999997</v>
      </c>
      <c r="G22" t="s">
        <v>184</v>
      </c>
    </row>
    <row r="23" spans="1:7" x14ac:dyDescent="0.15">
      <c r="B23">
        <v>10</v>
      </c>
      <c r="C23" s="3">
        <v>0.73</v>
      </c>
      <c r="D23" s="3">
        <v>-68.090999999999994</v>
      </c>
      <c r="G23" t="s">
        <v>185</v>
      </c>
    </row>
    <row r="24" spans="1:7" x14ac:dyDescent="0.15">
      <c r="B24">
        <v>11</v>
      </c>
      <c r="C24" s="3">
        <v>0.80300000000000005</v>
      </c>
      <c r="D24" s="3">
        <v>-78.846000000000004</v>
      </c>
    </row>
    <row r="25" spans="1:7" x14ac:dyDescent="0.15">
      <c r="B25">
        <v>12</v>
      </c>
      <c r="C25" s="3">
        <v>0.79600000000000004</v>
      </c>
      <c r="D25" s="3">
        <v>-76.933999999999997</v>
      </c>
    </row>
    <row r="26" spans="1:7" x14ac:dyDescent="0.15">
      <c r="B26">
        <v>13</v>
      </c>
      <c r="C26" s="3">
        <v>0.65500000000000003</v>
      </c>
      <c r="D26" s="3">
        <v>-54.234000000000002</v>
      </c>
    </row>
    <row r="27" spans="1:7" x14ac:dyDescent="0.15">
      <c r="B27">
        <v>14</v>
      </c>
      <c r="C27" s="3">
        <v>0.59399999999999997</v>
      </c>
      <c r="D27" s="3">
        <v>-43.264000000000003</v>
      </c>
    </row>
    <row r="28" spans="1:7" x14ac:dyDescent="0.15">
      <c r="B28">
        <v>15</v>
      </c>
      <c r="C28" s="3">
        <v>0.56000000000000005</v>
      </c>
      <c r="D28" s="3">
        <v>-37.002000000000002</v>
      </c>
    </row>
    <row r="29" spans="1:7" x14ac:dyDescent="0.15">
      <c r="B29">
        <v>16</v>
      </c>
      <c r="C29" s="3">
        <v>0.57799999999999996</v>
      </c>
      <c r="D29" s="3">
        <v>-39.057000000000002</v>
      </c>
    </row>
    <row r="30" spans="1:7" x14ac:dyDescent="0.15">
      <c r="B30">
        <v>17</v>
      </c>
      <c r="C30" s="3">
        <v>0.59799999999999998</v>
      </c>
      <c r="D30" s="3">
        <v>-42.338999999999999</v>
      </c>
    </row>
  </sheetData>
  <sheetProtection password="8E09" sheet="1" objects="1" scenarios="1" selectLockedCells="1" selectUnlockedCells="1"/>
  <phoneticPr fontId="1"/>
  <pageMargins left="0.78700000000000003" right="0.78700000000000003" top="0.98399999999999999" bottom="0.98399999999999999"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4:I66"/>
  <sheetViews>
    <sheetView topLeftCell="J1" zoomScaleNormal="100" workbookViewId="0">
      <selection activeCell="N52" sqref="N52"/>
    </sheetView>
  </sheetViews>
  <sheetFormatPr defaultRowHeight="13.5" x14ac:dyDescent="0.15"/>
  <cols>
    <col min="1" max="3" width="9" style="4" hidden="1" customWidth="1"/>
    <col min="4" max="4" width="13.75" style="4" hidden="1" customWidth="1"/>
    <col min="5" max="5" width="14.875" style="4" hidden="1" customWidth="1"/>
    <col min="6" max="6" width="13.75" style="4" hidden="1" customWidth="1"/>
    <col min="7" max="7" width="13.625" style="4" hidden="1" customWidth="1"/>
    <col min="8" max="9" width="11.625" style="24" hidden="1" customWidth="1"/>
    <col min="10" max="10" width="11.625" style="24" customWidth="1"/>
    <col min="11" max="16384" width="9" style="24"/>
  </cols>
  <sheetData>
    <row r="4" spans="2:7" x14ac:dyDescent="0.15">
      <c r="B4" s="4" t="s">
        <v>15</v>
      </c>
      <c r="C4" s="49" t="s">
        <v>16</v>
      </c>
      <c r="D4" s="4">
        <v>3</v>
      </c>
      <c r="E4" s="4">
        <v>2</v>
      </c>
      <c r="F4" s="4">
        <v>1</v>
      </c>
      <c r="G4" s="4" t="s">
        <v>168</v>
      </c>
    </row>
    <row r="5" spans="2:7" x14ac:dyDescent="0.15">
      <c r="C5" s="4" t="s">
        <v>40</v>
      </c>
      <c r="D5" s="4">
        <f>1.4345*10^-6</f>
        <v>1.4345E-6</v>
      </c>
      <c r="E5" s="50">
        <f>-0.000119864</f>
        <v>-1.19864E-4</v>
      </c>
      <c r="F5" s="50">
        <f>-0.037620259</f>
        <v>-3.7620259000000003E-2</v>
      </c>
      <c r="G5" s="50">
        <v>0.62407732199999999</v>
      </c>
    </row>
    <row r="6" spans="2:7" x14ac:dyDescent="0.15">
      <c r="C6" s="4" t="s">
        <v>41</v>
      </c>
      <c r="D6" s="4">
        <f>-3.06037*10^-6</f>
        <v>-3.0603699999999996E-6</v>
      </c>
      <c r="E6" s="50">
        <v>1.3879490000000001E-3</v>
      </c>
      <c r="F6" s="50">
        <v>-0.19079875399999999</v>
      </c>
      <c r="G6" s="50">
        <v>5.5315144910000003</v>
      </c>
    </row>
    <row r="7" spans="2:7" x14ac:dyDescent="0.15">
      <c r="C7" s="4" t="s">
        <v>42</v>
      </c>
      <c r="D7" s="4">
        <f>9.04656*10^-7</f>
        <v>9.0465599999999994E-7</v>
      </c>
      <c r="E7" s="50">
        <v>-6.6202999999999998E-4</v>
      </c>
      <c r="F7" s="50">
        <v>0.15655571400000001</v>
      </c>
      <c r="G7" s="50">
        <v>-13.829089850000001</v>
      </c>
    </row>
    <row r="8" spans="2:7" x14ac:dyDescent="0.15">
      <c r="C8" s="51" t="s">
        <v>17</v>
      </c>
      <c r="E8" s="50"/>
      <c r="F8" s="50"/>
      <c r="G8" s="50"/>
    </row>
    <row r="9" spans="2:7" x14ac:dyDescent="0.15">
      <c r="C9" s="4" t="s">
        <v>43</v>
      </c>
      <c r="D9" s="4">
        <f>3.47613*10^-7</f>
        <v>3.47613E-7</v>
      </c>
      <c r="E9" s="52">
        <f>-2.38575*10^-5</f>
        <v>-2.38575E-5</v>
      </c>
      <c r="F9" s="50">
        <v>-3.7631412000000003E-2</v>
      </c>
      <c r="G9" s="50">
        <v>0.79584630099999998</v>
      </c>
    </row>
    <row r="10" spans="2:7" x14ac:dyDescent="0.15">
      <c r="C10" s="4" t="s">
        <v>44</v>
      </c>
      <c r="D10" s="53">
        <f>-5.83768*10^-6</f>
        <v>-5.8376799999999995E-6</v>
      </c>
      <c r="E10" s="50">
        <v>2.1948250000000001E-3</v>
      </c>
      <c r="F10" s="50">
        <v>-0.25546500300000002</v>
      </c>
      <c r="G10" s="50">
        <v>7.2951426289999999</v>
      </c>
    </row>
    <row r="11" spans="2:7" x14ac:dyDescent="0.15">
      <c r="C11" s="4" t="s">
        <v>42</v>
      </c>
      <c r="D11" s="4">
        <f>5.41432*10^-6</f>
        <v>5.4143199999999997E-6</v>
      </c>
      <c r="E11" s="50">
        <v>-2.9650409999999999E-3</v>
      </c>
      <c r="F11" s="50">
        <v>0.53298464599999995</v>
      </c>
      <c r="G11" s="54">
        <v>-32.850825039999997</v>
      </c>
    </row>
    <row r="12" spans="2:7" x14ac:dyDescent="0.15">
      <c r="E12" s="50"/>
      <c r="F12" s="50"/>
      <c r="G12" s="50"/>
    </row>
    <row r="13" spans="2:7" x14ac:dyDescent="0.15">
      <c r="B13" s="4" t="s">
        <v>18</v>
      </c>
      <c r="C13" s="49" t="s">
        <v>16</v>
      </c>
      <c r="E13" s="50"/>
      <c r="F13" s="50"/>
      <c r="G13" s="50"/>
    </row>
    <row r="14" spans="2:7" x14ac:dyDescent="0.15">
      <c r="C14" s="4" t="s">
        <v>45</v>
      </c>
      <c r="D14" s="4">
        <f>-7.58553*10^-8</f>
        <v>-7.5855300000000003E-8</v>
      </c>
      <c r="E14" s="50">
        <f>2.1302*10^-5</f>
        <v>2.1302E-5</v>
      </c>
      <c r="F14" s="50">
        <v>-1.0948119999999999E-3</v>
      </c>
      <c r="G14" s="50">
        <v>9.0651064000000003E-2</v>
      </c>
    </row>
    <row r="15" spans="2:7" x14ac:dyDescent="0.15">
      <c r="C15" s="4" t="s">
        <v>46</v>
      </c>
      <c r="D15" s="4">
        <f>1.99415*10^-8</f>
        <v>1.99415E-8</v>
      </c>
      <c r="E15" s="50">
        <f>-1.37006*10^-5</f>
        <v>-1.3700600000000002E-5</v>
      </c>
      <c r="F15" s="50">
        <v>2.877807E-3</v>
      </c>
      <c r="G15" s="50">
        <v>-5.3198892999999997E-2</v>
      </c>
    </row>
    <row r="16" spans="2:7" x14ac:dyDescent="0.15">
      <c r="C16" s="51" t="s">
        <v>17</v>
      </c>
      <c r="E16" s="50"/>
      <c r="F16" s="50"/>
      <c r="G16" s="50"/>
    </row>
    <row r="17" spans="2:7" x14ac:dyDescent="0.15">
      <c r="C17" s="4" t="s">
        <v>45</v>
      </c>
      <c r="D17" s="4">
        <f>-1.0218*10^-7</f>
        <v>-1.0218000000000001E-7</v>
      </c>
      <c r="E17" s="50">
        <f>2.31971*10^-5</f>
        <v>2.3197100000000002E-5</v>
      </c>
      <c r="F17" s="50">
        <v>-9.2398299999999997E-4</v>
      </c>
      <c r="G17" s="54">
        <v>8.8969350000000003E-2</v>
      </c>
    </row>
    <row r="18" spans="2:7" x14ac:dyDescent="0.15">
      <c r="C18" s="4" t="s">
        <v>46</v>
      </c>
      <c r="D18" s="4">
        <f>2.10831*10^-8</f>
        <v>2.10831E-8</v>
      </c>
      <c r="E18" s="52">
        <f>-1.43497*10^-5</f>
        <v>-1.4349700000000003E-5</v>
      </c>
      <c r="F18" s="50">
        <v>2.8391459999999999E-3</v>
      </c>
      <c r="G18" s="50">
        <v>-3.5441888999999997E-2</v>
      </c>
    </row>
    <row r="19" spans="2:7" x14ac:dyDescent="0.15">
      <c r="E19" s="50"/>
      <c r="F19" s="50"/>
      <c r="G19" s="50"/>
    </row>
    <row r="20" spans="2:7" x14ac:dyDescent="0.15">
      <c r="B20" s="4" t="s">
        <v>19</v>
      </c>
      <c r="C20" s="49" t="s">
        <v>16</v>
      </c>
      <c r="E20" s="50"/>
      <c r="F20" s="50"/>
      <c r="G20" s="50"/>
    </row>
    <row r="21" spans="2:7" x14ac:dyDescent="0.15">
      <c r="C21" s="4" t="s">
        <v>47</v>
      </c>
      <c r="D21" s="4">
        <v>3.2048516999999999E-2</v>
      </c>
      <c r="E21" s="50">
        <v>-0.49343327300000001</v>
      </c>
      <c r="F21" s="50">
        <v>2.551397766</v>
      </c>
      <c r="G21" s="50">
        <v>12.622545369999999</v>
      </c>
    </row>
    <row r="22" spans="2:7" x14ac:dyDescent="0.15">
      <c r="C22" s="4" t="s">
        <v>48</v>
      </c>
      <c r="D22" s="4">
        <v>7.9728779999999992E-3</v>
      </c>
      <c r="E22" s="50">
        <v>-0.20199887699999999</v>
      </c>
      <c r="F22" s="50">
        <v>1.5434203399999999</v>
      </c>
      <c r="G22" s="55">
        <v>13.697217</v>
      </c>
    </row>
    <row r="23" spans="2:7" x14ac:dyDescent="0.15">
      <c r="C23" s="4" t="s">
        <v>49</v>
      </c>
      <c r="D23" s="4">
        <f>-7.67459*10^-5</f>
        <v>-7.6745900000000007E-5</v>
      </c>
      <c r="E23" s="50">
        <v>7.1739009999999999E-3</v>
      </c>
      <c r="F23" s="50">
        <v>-0.25176596400000001</v>
      </c>
      <c r="G23" s="50">
        <v>18.775188279999998</v>
      </c>
    </row>
    <row r="24" spans="2:7" x14ac:dyDescent="0.15">
      <c r="C24" s="4" t="s">
        <v>50</v>
      </c>
      <c r="D24" s="4">
        <f>-3.88384*10^-6</f>
        <v>-3.8838400000000002E-6</v>
      </c>
      <c r="E24" s="50">
        <v>1.076046E-3</v>
      </c>
      <c r="F24" s="50">
        <v>-8.1944536999999998E-2</v>
      </c>
      <c r="G24" s="50">
        <v>17.201186849999999</v>
      </c>
    </row>
    <row r="25" spans="2:7" x14ac:dyDescent="0.15">
      <c r="C25" s="4" t="s">
        <v>46</v>
      </c>
      <c r="D25" s="4">
        <f>-3.94748*10^-6</f>
        <v>-3.9474800000000002E-6</v>
      </c>
      <c r="E25" s="50">
        <v>1.7619249999999999E-3</v>
      </c>
      <c r="F25" s="50">
        <v>-0.20385642800000001</v>
      </c>
      <c r="G25" s="50">
        <v>22.664025769999999</v>
      </c>
    </row>
    <row r="26" spans="2:7" x14ac:dyDescent="0.15">
      <c r="C26" s="51" t="s">
        <v>17</v>
      </c>
      <c r="E26" s="50"/>
      <c r="F26" s="50"/>
      <c r="G26" s="50"/>
    </row>
    <row r="27" spans="2:7" x14ac:dyDescent="0.15">
      <c r="C27" s="4" t="s">
        <v>47</v>
      </c>
      <c r="D27" s="4">
        <v>1.9399718E-2</v>
      </c>
      <c r="E27" s="50">
        <v>-0.359429206</v>
      </c>
      <c r="F27" s="50">
        <v>2.139236779</v>
      </c>
      <c r="G27" s="54">
        <v>12.568967990000001</v>
      </c>
    </row>
    <row r="28" spans="2:7" x14ac:dyDescent="0.15">
      <c r="C28" s="4" t="s">
        <v>48</v>
      </c>
      <c r="D28" s="4">
        <v>7.3122990000000004E-3</v>
      </c>
      <c r="E28" s="50">
        <v>-0.194108219</v>
      </c>
      <c r="F28" s="50">
        <v>1.537772117</v>
      </c>
      <c r="G28" s="50">
        <v>13.228246929999999</v>
      </c>
    </row>
    <row r="29" spans="2:7" x14ac:dyDescent="0.15">
      <c r="C29" s="4" t="s">
        <v>49</v>
      </c>
      <c r="D29" s="4">
        <v>-1.68505E-4</v>
      </c>
      <c r="E29" s="50">
        <v>1.3702125000000001E-2</v>
      </c>
      <c r="F29" s="50">
        <v>-0.38528606199999998</v>
      </c>
      <c r="G29" s="54">
        <v>19.156269640000001</v>
      </c>
    </row>
    <row r="30" spans="2:7" x14ac:dyDescent="0.15">
      <c r="C30" s="4" t="s">
        <v>50</v>
      </c>
      <c r="D30" s="4">
        <f>-4.80005*10^-7</f>
        <v>-4.8000499999999999E-7</v>
      </c>
      <c r="E30" s="50">
        <v>3.5014300000000003E-4</v>
      </c>
      <c r="F30" s="50">
        <v>-3.1651292999999997E-2</v>
      </c>
      <c r="G30" s="54">
        <v>16.034501049999999</v>
      </c>
    </row>
    <row r="31" spans="2:7" x14ac:dyDescent="0.15">
      <c r="C31" s="4" t="s">
        <v>51</v>
      </c>
      <c r="D31" s="4">
        <f>-3.03967*10^-6</f>
        <v>-3.0396699999999999E-6</v>
      </c>
      <c r="E31" s="50">
        <v>1.541344E-3</v>
      </c>
      <c r="F31" s="50">
        <v>-0.183867689</v>
      </c>
      <c r="G31" s="54">
        <v>21.95124139</v>
      </c>
    </row>
    <row r="32" spans="2:7" x14ac:dyDescent="0.15">
      <c r="C32" s="4" t="s">
        <v>42</v>
      </c>
      <c r="D32" s="4">
        <f>-2.5069*10^-6</f>
        <v>-2.5068999999999997E-6</v>
      </c>
      <c r="E32" s="54">
        <v>6.4283000000000005E-4</v>
      </c>
      <c r="F32" s="50">
        <v>4.9828797000000001E-2</v>
      </c>
      <c r="G32" s="50">
        <v>5.3230503139999996</v>
      </c>
    </row>
    <row r="33" spans="1:8" x14ac:dyDescent="0.15">
      <c r="E33" s="50"/>
      <c r="F33" s="50"/>
    </row>
    <row r="34" spans="1:8" x14ac:dyDescent="0.15">
      <c r="E34" s="50"/>
      <c r="F34" s="50"/>
    </row>
    <row r="35" spans="1:8" x14ac:dyDescent="0.15">
      <c r="F35" s="50"/>
    </row>
    <row r="36" spans="1:8" x14ac:dyDescent="0.15">
      <c r="A36" s="4" t="s">
        <v>182</v>
      </c>
    </row>
    <row r="38" spans="1:8" x14ac:dyDescent="0.15">
      <c r="B38" s="56" t="s">
        <v>15</v>
      </c>
      <c r="C38" s="4" t="s">
        <v>19</v>
      </c>
      <c r="D38" s="4" t="s">
        <v>18</v>
      </c>
      <c r="F38" s="56" t="s">
        <v>15</v>
      </c>
      <c r="G38" s="4" t="s">
        <v>19</v>
      </c>
      <c r="H38" s="4" t="s">
        <v>18</v>
      </c>
    </row>
    <row r="39" spans="1:8" x14ac:dyDescent="0.15">
      <c r="B39" s="4">
        <f>IF(小児慢性特定疾病意見書記載項目計算!C4="M",IF(BMILMS!B42&lt;78,BMILMS!$D$5*BMILMS!B42^3+BMILMS!$E$5*BMILMS!B42^2+BMILMS!$F$5*BMILMS!B42+BMILMS!$G$5,IF(BMILMS!B42&lt;150,BMILMS!$D$6*BMILMS!B42^3+BMILMS!$E$6*BMILMS!B42^2+BMILMS!$F$6*BMILMS!B42+BMILMS!$G$6,BMILMS!$D$7*BMILMS!B42^3+BMILMS!$E$7*BMILMS!B42^2+BMILMS!$F$7*BMILMS!B42+BMILMS!$G$7)),IF(BMILMS!B42&lt;69,BMILMS!$D$9*BMILMS!B42^3+BMILMS!$E$9*BMILMS!B42^2+BMILMS!$F$9*BMILMS!B42+BMILMS!$G$9,IF(BMILMS!B42&lt;150,BMILMS!$D$10*BMILMS!B42^3+BMILMS!$E$10*BMILMS!B42^2+BMILMS!$F$10*BMILMS!B42+BMILMS!$G$10,BMILMS!$D$11*BMILMS!B42^3+BMILMS!$E$11*BMILMS!B42^2+BMILMS!$F$11*BMILMS!B42+BMILMS!$G$11)))</f>
        <v>0.79584630099999998</v>
      </c>
      <c r="C39" s="4">
        <f>IF(小児慢性特定疾病意見書記載項目計算!C4="M",(IF(BMILMS!B42&lt;2.5,BMILMS!$D$21*BMILMS!B42^3+BMILMS!$E$21*BMILMS!B42^2+BMILMS!$F$21*BMILMS!B42+BMILMS!$G$21,IF(BMILMS!B42&lt;9.5,BMILMS!$D$22*BMILMS!B42^3+BMILMS!$E$22*BMILMS!B42^2+BMILMS!$F$22*BMILMS!B42+BMILMS!$G$22,IF(BMILMS!B42&lt;26.75,BMILMS!$D$23*BMILMS!B42^3+BMILMS!$E$23*BMILMS!B42^2+BMILMS!$F$23*BMILMS!B42+BMILMS!$G$23,IF(BMILMS!B42&lt;90,BMILMS!$D$24*BMILMS!B42^3+BMILMS!$E$24*BMILMS!B42^2+BMILMS!$F$24*BMILMS!B42+BMILMS!$G$24,BMILMS!$D$25*BMILMS!B42^3+BMILMS!$E$25*BMILMS!B42^2+BMILMS!$F$25*BMILMS!B42+BMILMS!$G$25))))),(IF(BMILMS!B42&lt;2.5,BMILMS!$D$27*BMILMS!B42^3+BMILMS!$E$27*BMILMS!B42^2+BMILMS!$F$27*BMILMS!B42+BMILMS!$G$27,IF(BMILMS!B42&lt;9.5,BMILMS!$D$28*BMILMS!B42^3+BMILMS!$E$28*BMILMS!B42^2+BMILMS!$F$28*BMILMS!B42+BMILMS!$G$28,IF(BMILMS!B42&lt;26.75,BMILMS!$D$29*BMILMS!B42^3+BMILMS!$E$29*BMILMS!B42^2+BMILMS!$F$29*BMILMS!B42+BMILMS!$G$29,IF(BMILMS!B42&lt;90,BMILMS!$D$30*BMILMS!B42^3+BMILMS!$E$30*BMILMS!B42^2+BMILMS!$F$30*BMILMS!B42+BMILMS!$G$30,IF(BMILMS!B42&lt;150,BMILMS!$D$31*BMILMS!B42^3+BMILMS!$E$31*BMILMS!B42^2+BMILMS!$F$31*BMILMS!B42+BMILMS!$G$31,BMILMS!$D$32*BMILMS!B42^3+BMILMS!$E$32*BMILMS!B42^2+BMILMS!$F$32*BMILMS!B42+BMILMS!$G$32)))))))</f>
        <v>12.568967990000001</v>
      </c>
      <c r="D39" s="4">
        <f>IF(小児慢性特定疾病意見書記載項目計算!C4="M",(IF(BMILMS!B42&lt;90,BMILMS!$D$14*BMILMS!B42^3+BMILMS!$E$14*BMILMS!B42^2+BMILMS!$F$14*BMILMS!B42+BMILMS!$G$14,BMILMS!$D$15*BMILMS!B42^3+BMILMS!$E$15*BMILMS!B42^2+BMILMS!$F$15*BMILMS!B42+BMILMS!$G$15)),(IF(BMILMS!B42&lt;90,BMILMS!$D$17*BMILMS!B42^3+BMILMS!$E$17*BMILMS!B42^2+BMILMS!$F$17*BMILMS!B42+BMILMS!$G$17,BMILMS!$D$18*BMILMS!B42^3+BMILMS!$E$18*BMILMS!B42^2+BMILMS!$F$18*BMILMS!B42+BMILMS!$G$18)))</f>
        <v>8.8969350000000003E-2</v>
      </c>
      <c r="F39" s="4">
        <f>IF(小児慢性特定疾病意見書記載項目計算!C4="M",IF(BMILMS!F42&lt;78,BMILMS!$D$5*BMILMS!F42^3+BMILMS!$E$5*BMILMS!F42^2+BMILMS!$F$5*BMILMS!F42+BMILMS!$G$5,IF(BMILMS!F42&lt;150,BMILMS!$D$6*BMILMS!F42^3+BMILMS!$E$6*BMILMS!F42^2+BMILMS!$F$6*BMILMS!F42+BMILMS!$G$6,BMILMS!$D$7*BMILMS!F42^3+BMILMS!$E$7*BMILMS!F42^2+BMILMS!$F$7*BMILMS!F42+BMILMS!$G$7)),IF(BMILMS!F42&lt;69,BMILMS!$D$9*BMILMS!F42^3+BMILMS!$E$9*BMILMS!F42^2+BMILMS!$F$9*BMILMS!F42+BMILMS!$G$9,IF(BMILMS!F42&lt;150,BMILMS!$D$10*BMILMS!F42^3+BMILMS!$E$10*BMILMS!F42^2+BMILMS!$F$10*BMILMS!F42+BMILMS!$G$10,BMILMS!$D$11*BMILMS!F42^3+BMILMS!$E$11*BMILMS!F42^2+BMILMS!$F$11*BMILMS!F42+BMILMS!$G$11)))</f>
        <v>0.79584630099999998</v>
      </c>
      <c r="G39" s="4">
        <f>IF(小児慢性特定疾病意見書記載項目計算!C4="M",(IF(BMILMS!F42&lt;2.5,BMILMS!$D$21*BMILMS!F42^3+BMILMS!$E$21*BMILMS!F42^2+BMILMS!$F$21*BMILMS!F42+BMILMS!$G$21,IF(BMILMS!F42&lt;9.5,BMILMS!$D$22*BMILMS!F42^3+BMILMS!$E$22*BMILMS!F42^2+BMILMS!$F$22*BMILMS!F42+BMILMS!$G$22,IF(BMILMS!F42&lt;26.75,BMILMS!$D$23*BMILMS!F42^3+BMILMS!$E$23*BMILMS!F42^2+BMILMS!$F$23*BMILMS!F42+BMILMS!$G$23,IF(BMILMS!F42&lt;90,BMILMS!$D$24*BMILMS!F42^3+BMILMS!$E$24*BMILMS!F42^2+BMILMS!$F$24*BMILMS!F42+BMILMS!$G$24,BMILMS!$D$25*BMILMS!F42^3+BMILMS!$E$25*BMILMS!F42^2+BMILMS!$F$25*BMILMS!F42+BMILMS!$G$25))))),(IF(BMILMS!F42&lt;2.5,BMILMS!$D$27*BMILMS!F42^3+BMILMS!$E$27*BMILMS!F42^2+BMILMS!$F$27*BMILMS!F42+BMILMS!$G$27,IF(BMILMS!F42&lt;9.5,BMILMS!$D$28*BMILMS!F42^3+BMILMS!$E$28*BMILMS!F42^2+BMILMS!$F$28*BMILMS!F42+BMILMS!$G$28,IF(BMILMS!F42&lt;26.75,BMILMS!$D$29*BMILMS!F42^3+BMILMS!$E$29*BMILMS!F42^2+BMILMS!$F$29*BMILMS!F42+BMILMS!$G$29,IF(BMILMS!F42&lt;90,BMILMS!$D$30*BMILMS!F42^3+BMILMS!$E$30*BMILMS!F42^2+BMILMS!$F$30*BMILMS!F42+BMILMS!$G$30,IF(BMILMS!F42&lt;150,BMILMS!$D$31*BMILMS!F42^3+BMILMS!$E$31*BMILMS!F42^2+BMILMS!$F$31*BMILMS!F42+BMILMS!$G$31,BMILMS!$D$32*BMILMS!F42^3+BMILMS!$E$32*BMILMS!F42^2+BMILMS!$F$32*BMILMS!F42+BMILMS!$G$32)))))))</f>
        <v>12.568967990000001</v>
      </c>
      <c r="H39" s="4">
        <f>IF(小児慢性特定疾病意見書記載項目計算!C4="M",(IF(BMILMS!F42&lt;90,BMILMS!$D$14*BMILMS!F42^3+BMILMS!$E$14*BMILMS!F42^2+BMILMS!$F$14*BMILMS!F42+BMILMS!$G$14,BMILMS!$D$15*BMILMS!F42^3+BMILMS!$E$15*BMILMS!F42^2+BMILMS!$F$15*BMILMS!F42+BMILMS!$G$15)),(IF(BMILMS!F42&lt;90,BMILMS!$D$17*BMILMS!F42^3+BMILMS!$E$17*BMILMS!F42^2+BMILMS!$F$17*BMILMS!F42+BMILMS!$G$17,BMILMS!$D$18*BMILMS!F42^3+BMILMS!$E$18*BMILMS!F42^2+BMILMS!$F$18*BMILMS!F42+BMILMS!$G$18)))</f>
        <v>8.8969350000000003E-2</v>
      </c>
    </row>
    <row r="41" spans="1:8" x14ac:dyDescent="0.15">
      <c r="B41" s="4" t="s">
        <v>183</v>
      </c>
      <c r="F41" s="4" t="s">
        <v>236</v>
      </c>
      <c r="H41" s="24" t="s">
        <v>237</v>
      </c>
    </row>
    <row r="42" spans="1:8" x14ac:dyDescent="0.15">
      <c r="B42" s="4">
        <f>BMILMS!B45*12+BMILMS!C45</f>
        <v>0</v>
      </c>
      <c r="F42" s="4">
        <f>F45*12+G45</f>
        <v>0</v>
      </c>
      <c r="H42" s="24" t="s">
        <v>237</v>
      </c>
    </row>
    <row r="44" spans="1:8" x14ac:dyDescent="0.15">
      <c r="B44" s="4" t="s">
        <v>181</v>
      </c>
      <c r="C44" s="4" t="s">
        <v>180</v>
      </c>
    </row>
    <row r="45" spans="1:8" x14ac:dyDescent="0.15">
      <c r="B45" s="57">
        <f>DATEDIF(小児慢性特定疾病意見書記載項目計算!C5,小児慢性特定疾病意見書記載項目計算!C6,"Y")</f>
        <v>0</v>
      </c>
      <c r="C45" s="4">
        <f>DATEDIF(小児慢性特定疾病意見書記載項目計算!C5,小児慢性特定疾病意見書記載項目計算!C6,"YM")</f>
        <v>0</v>
      </c>
      <c r="D45" s="58"/>
      <c r="E45" s="24"/>
      <c r="F45" s="57">
        <f>DATEDIF(小児慢性特定疾病意見書記載項目計算!C5,小児慢性特定疾病意見書記載項目計算!F6,"Y")</f>
        <v>0</v>
      </c>
      <c r="G45" s="4">
        <f>DATEDIF(小児慢性特定疾病意見書記載項目計算!C5,小児慢性特定疾病意見書記載項目計算!F6,"YM")</f>
        <v>0</v>
      </c>
      <c r="H45" s="154" t="s">
        <v>238</v>
      </c>
    </row>
    <row r="46" spans="1:8" x14ac:dyDescent="0.15">
      <c r="B46" s="59">
        <f>IF(小児慢性特定疾病意見書記載項目計算!C4="M",2.06*10^-3*小児慢性特定疾病意見書記載項目計算!C7^2-0.1166*小児慢性特定疾病意見書記載項目計算!C7+6.5273,2.49*10^-3*小児慢性特定疾病意見書記載項目計算!C7^2-0.1858*小児慢性特定疾病意見書記載項目計算!C7+9.036)</f>
        <v>9.0359999999999996</v>
      </c>
      <c r="C46" s="59">
        <f>((小児慢性特定疾病意見書記載項目計算!C7/100)^3*INDEX(itoOI,IF(小児慢性特定疾病意見書記載項目計算!C4="M",0,3)+IF(小児慢性特定疾病意見書記載項目計算!C7&lt;140,1,IF(小児慢性特定疾病意見書記載項目計算!C7&lt;=149,2,3)),1)+(小児慢性特定疾病意見書記載項目計算!C7/100)^2*INDEX(itoOI,IF(小児慢性特定疾病意見書記載項目計算!C4="M",0,3)+IF(小児慢性特定疾病意見書記載項目計算!C7&lt;140,1,IF(小児慢性特定疾病意見書記載項目計算!C7&lt;=149,2,3)),2)+(小児慢性特定疾病意見書記載項目計算!C7/100)*INDEX(itoOI,IF(小児慢性特定疾病意見書記載項目計算!C4="M",0,3)+IF(小児慢性特定疾病意見書記載項目計算!C7&lt;140,1,IF(小児慢性特定疾病意見書記載項目計算!C7&lt;=149,2,3)),3)+INDEX(itoOI,IF(小児慢性特定疾病意見書記載項目計算!C4="M",0,3)+IF(小児慢性特定疾病意見書記載項目計算!C7&lt;140,1,IF(小児慢性特定疾病意見書記載項目計算!C7&lt;=149,2,3)),4))</f>
        <v>-184.49199999999999</v>
      </c>
      <c r="D46" s="24"/>
      <c r="E46" s="24"/>
      <c r="F46" s="59">
        <f>IF(小児慢性特定疾病意見書記載項目計算!C4="M",2.06*10^-3*小児慢性特定疾病意見書記載項目計算!F7^2-0.1166*小児慢性特定疾病意見書記載項目計算!F7+6.5273,2.49*10^-3*小児慢性特定疾病意見書記載項目計算!F7^2-0.1858*小児慢性特定疾病意見書記載項目計算!F7+9.036)</f>
        <v>9.0359999999999996</v>
      </c>
      <c r="G46" s="59">
        <f>((小児慢性特定疾病意見書記載項目計算!F7/100)^3*INDEX(itoOI,IF(小児慢性特定疾病意見書記載項目計算!C4="M",0,3)+IF(小児慢性特定疾病意見書記載項目計算!F7&lt;140,1,IF(小児慢性特定疾病意見書記載項目計算!F7&lt;=149,2,3)),1)+(小児慢性特定疾病意見書記載項目計算!F7/100)^2*INDEX(itoOI,IF(小児慢性特定疾病意見書記載項目計算!C4="M",0,3)+IF(小児慢性特定疾病意見書記載項目計算!F7&lt;140,1,IF(小児慢性特定疾病意見書記載項目計算!F7&lt;=149,2,3)),2)+(小児慢性特定疾病意見書記載項目計算!F7/100)*INDEX(itoOI,IF(小児慢性特定疾病意見書記載項目計算!C4="M",0,3)+IF(小児慢性特定疾病意見書記載項目計算!F7&lt;140,1,IF(小児慢性特定疾病意見書記載項目計算!F7&lt;=149,2,3)),3)+INDEX(itoOI,IF(小児慢性特定疾病意見書記載項目計算!C4="M",0,3)+IF(小児慢性特定疾病意見書記載項目計算!F7&lt;140,1,IF(小児慢性特定疾病意見書記載項目計算!F7&lt;=149,2,3)),4))</f>
        <v>-184.49199999999999</v>
      </c>
      <c r="H46" s="155" t="s">
        <v>239</v>
      </c>
    </row>
    <row r="48" spans="1:8" x14ac:dyDescent="0.15">
      <c r="C48" s="4" t="s">
        <v>248</v>
      </c>
      <c r="D48" s="4" t="s">
        <v>249</v>
      </c>
    </row>
    <row r="49" spans="1:6" x14ac:dyDescent="0.15">
      <c r="A49" s="4" t="s">
        <v>245</v>
      </c>
      <c r="B49" s="143">
        <f>IF(C50&gt;=D50,+C49-D49,D49-C49)</f>
        <v>0</v>
      </c>
      <c r="C49" s="143">
        <f>小児慢性特定疾病意見書記載項目計算!C7</f>
        <v>0</v>
      </c>
      <c r="D49" s="143">
        <f>小児慢性特定疾病意見書記載項目計算!F7</f>
        <v>0</v>
      </c>
    </row>
    <row r="50" spans="1:6" x14ac:dyDescent="0.15">
      <c r="A50" s="4" t="s">
        <v>54</v>
      </c>
      <c r="B50" s="143"/>
      <c r="C50" s="143">
        <f>+B56</f>
        <v>0</v>
      </c>
      <c r="D50" s="143">
        <f>+B57</f>
        <v>0</v>
      </c>
    </row>
    <row r="51" spans="1:6" x14ac:dyDescent="0.15">
      <c r="B51" s="143"/>
      <c r="C51" s="143"/>
      <c r="D51" s="143"/>
    </row>
    <row r="52" spans="1:6" x14ac:dyDescent="0.15">
      <c r="B52" s="143"/>
      <c r="C52" s="143"/>
      <c r="D52" s="143"/>
    </row>
    <row r="53" spans="1:6" x14ac:dyDescent="0.15">
      <c r="B53" s="143"/>
      <c r="C53" s="143"/>
      <c r="D53" s="143"/>
    </row>
    <row r="54" spans="1:6" x14ac:dyDescent="0.15">
      <c r="B54" s="143"/>
      <c r="C54" s="143"/>
      <c r="D54" s="143"/>
    </row>
    <row r="55" spans="1:6" x14ac:dyDescent="0.15">
      <c r="C55" s="24"/>
      <c r="D55" s="4" t="s">
        <v>240</v>
      </c>
    </row>
    <row r="56" spans="1:6" x14ac:dyDescent="0.15">
      <c r="A56" s="4" t="s">
        <v>241</v>
      </c>
      <c r="B56" s="144">
        <f>DATEDIF(小児慢性特定疾病意見書記載項目計算!C5,小児慢性特定疾病意見書記載項目計算!C6,"Y")+(小児慢性特定疾病意見書記載項目計算!C6-(DATE(YEAR(小児慢性特定疾病意見書記載項目計算!C5)+DATEDIF(小児慢性特定疾病意見書記載項目計算!C5,小児慢性特定疾病意見書記載項目計算!C6,"Y"),MONTH(小児慢性特定疾病意見書記載項目計算!C5),DAY(小児慢性特定疾病意見書記載項目計算!C5))))/(365+IF(MOD(YEAR((DATE(YEAR(小児慢性特定疾病意見書記載項目計算!C6)-1,MONTH(小児慢性特定疾病意見書記載項目計算!C5),DAY(小児慢性特定疾病意見書記載項目計算!C5)))),4)=0,IF((DATE(YEAR(小児慢性特定疾病意見書記載項目計算!C6)-1,MONTH(小児慢性特定疾病意見書記載項目計算!C5),DAY(小児慢性特定疾病意見書記載項目計算!C5)))&gt;DATE(YEAR((DATE(YEAR(小児慢性特定疾病意見書記載項目計算!C6)-1,MONTH(小児慢性特定疾病意見書記載項目計算!C5),DAY(小児慢性特定疾病意見書記載項目計算!C5)))),2,29),0,1),0)+IF(MOD(YEAR(小児慢性特定疾病意見書記載項目計算!C6),4)=0,IF(小児慢性特定疾病意見書記載項目計算!C6&gt;DATE(YEAR(小児慢性特定疾病意見書記載項目計算!C6),2,29),1,0),0))</f>
        <v>0</v>
      </c>
      <c r="C56" s="24"/>
      <c r="D56" s="24">
        <f>ROUNDDOWN(MIN(B56:B57)+(MAX(B56:B57)-MIN(B56:B57))/2,0)</f>
        <v>0</v>
      </c>
      <c r="E56" s="4" t="s">
        <v>241</v>
      </c>
      <c r="F56" s="144">
        <f>DATEDIF(小児慢性特定疾病意見書記載項目計算!C5,小児慢性特定疾病意見書記載項目計算!F6,"Y")+(小児慢性特定疾病意見書記載項目計算!F6-(DATE(YEAR(小児慢性特定疾病意見書記載項目計算!C5)+DATEDIF(小児慢性特定疾病意見書記載項目計算!C5,小児慢性特定疾病意見書記載項目計算!F6,"Y"),MONTH(小児慢性特定疾病意見書記載項目計算!C5),DAY(小児慢性特定疾病意見書記載項目計算!C5))))/(365+IF(MOD(YEAR((DATE(YEAR(小児慢性特定疾病意見書記載項目計算!F6)-1,MONTH(小児慢性特定疾病意見書記載項目計算!C5),DAY(小児慢性特定疾病意見書記載項目計算!C5)))),4)=0,IF((DATE(YEAR(小児慢性特定疾病意見書記載項目計算!F6)-1,MONTH(小児慢性特定疾病意見書記載項目計算!C5),DAY(小児慢性特定疾病意見書記載項目計算!C5)))&gt;DATE(YEAR((DATE(YEAR(小児慢性特定疾病意見書記載項目計算!F6)-1,MONTH(小児慢性特定疾病意見書記載項目計算!C5),DAY(小児慢性特定疾病意見書記載項目計算!C5)))),2,29),0,1),0)+IF(MOD(YEAR(小児慢性特定疾病意見書記載項目計算!F6),4)=0,IF(小児慢性特定疾病意見書記載項目計算!F6&gt;DATE(YEAR(小児慢性特定疾病意見書記載項目計算!F6),2,29),1,0),0))</f>
        <v>0</v>
      </c>
    </row>
    <row r="57" spans="1:6" x14ac:dyDescent="0.15">
      <c r="A57" s="4" t="s">
        <v>241</v>
      </c>
      <c r="B57" s="144">
        <f>DATEDIF(小児慢性特定疾病意見書記載項目計算!C5,小児慢性特定疾病意見書記載項目計算!F6,"Y")+(小児慢性特定疾病意見書記載項目計算!F6-(DATE(YEAR(小児慢性特定疾病意見書記載項目計算!C5)+DATEDIF(小児慢性特定疾病意見書記載項目計算!C5,小児慢性特定疾病意見書記載項目計算!F6,"Y"),MONTH(小児慢性特定疾病意見書記載項目計算!C5),DAY(小児慢性特定疾病意見書記載項目計算!C5))))/(365+IF(MOD(YEAR((DATE(YEAR(小児慢性特定疾病意見書記載項目計算!F6)-1,MONTH(小児慢性特定疾病意見書記載項目計算!C5),DAY(小児慢性特定疾病意見書記載項目計算!C5)))),4)=0,IF((DATE(YEAR(小児慢性特定疾病意見書記載項目計算!F6)-1,MONTH(小児慢性特定疾病意見書記載項目計算!C5),DAY(小児慢性特定疾病意見書記載項目計算!C5)))&gt;DATE(YEAR((DATE(YEAR(小児慢性特定疾病意見書記載項目計算!F6)-1,MONTH(小児慢性特定疾病意見書記載項目計算!C5),DAY(小児慢性特定疾病意見書記載項目計算!C5)))),2,29),0,1),0)+IF(MOD(YEAR(小児慢性特定疾病意見書記載項目計算!F6),4)=0,IF(小児慢性特定疾病意見書記載項目計算!F6&gt;DATE(YEAR(小児慢性特定疾病意見書記載項目計算!F6),2,29),1,0),0))</f>
        <v>0</v>
      </c>
      <c r="C57" s="24"/>
      <c r="D57" s="24">
        <f>ROUNDDOWN((MIN(B56:B57)+ABS(B57-B56)/2-D56)*12,0)</f>
        <v>0</v>
      </c>
    </row>
    <row r="58" spans="1:6" x14ac:dyDescent="0.15">
      <c r="B58" s="24"/>
      <c r="C58" s="24"/>
      <c r="D58" s="159">
        <f>AVERAGE(B56:B57)</f>
        <v>0</v>
      </c>
      <c r="E58" s="61"/>
    </row>
    <row r="59" spans="1:6" x14ac:dyDescent="0.15">
      <c r="A59" s="4" t="s">
        <v>250</v>
      </c>
      <c r="B59" s="24" t="e">
        <f>B49/(MAX(B56:B57)-MIN(B56:B57))</f>
        <v>#DIV/0!</v>
      </c>
      <c r="C59" s="24"/>
    </row>
    <row r="60" spans="1:6" x14ac:dyDescent="0.15">
      <c r="B60" s="24"/>
      <c r="C60" s="24"/>
    </row>
    <row r="61" spans="1:6" x14ac:dyDescent="0.15">
      <c r="B61" s="24">
        <f>INDEX(IF(小児慢性特定疾病意見書記載項目計算!C4="M",MHVaverage,FHVaverage),D57+1,D56+1)</f>
        <v>0</v>
      </c>
      <c r="C61" s="24" t="e">
        <f>(B49/(MAX(B56:B57)-MIN(B56:B57))-B61)/B62</f>
        <v>#DIV/0!</v>
      </c>
    </row>
    <row r="62" spans="1:6" x14ac:dyDescent="0.15">
      <c r="B62" s="24">
        <f>INDEX(IF(小児慢性特定疾病意見書記載項目計算!C4="M",MHVstd,FHVstd),D57+1,D56+1)</f>
        <v>0</v>
      </c>
      <c r="C62" s="144" t="str">
        <f>IF(D56&lt;1,"NA",IF(D56&gt;=17,IF(D57&gt;=IF(小児慢性特定疾病意見書記載項目計算!C4="M",10,4),"NA",C61),C61))</f>
        <v>NA</v>
      </c>
    </row>
    <row r="66" spans="2:2" x14ac:dyDescent="0.15">
      <c r="B66" s="144"/>
    </row>
  </sheetData>
  <sheetProtection password="8E09" sheet="1" objects="1" scenarios="1" selectLockedCells="1" selectUnlockedCells="1"/>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X83"/>
  <sheetViews>
    <sheetView topLeftCell="X1" workbookViewId="0">
      <selection activeCell="W1" sqref="A1:W1048576"/>
    </sheetView>
  </sheetViews>
  <sheetFormatPr defaultRowHeight="13.5" x14ac:dyDescent="0.15"/>
  <cols>
    <col min="1" max="23" width="11.5" style="1" hidden="1" customWidth="1"/>
    <col min="24" max="24" width="11.5" style="1" customWidth="1"/>
    <col min="25" max="26" width="11.5" customWidth="1"/>
    <col min="27" max="36" width="9" customWidth="1"/>
  </cols>
  <sheetData>
    <row r="2" spans="1:23" customFormat="1" x14ac:dyDescent="0.15">
      <c r="A2" s="1" t="s">
        <v>101</v>
      </c>
      <c r="B2" s="63"/>
      <c r="C2" s="64"/>
      <c r="D2" s="64"/>
      <c r="E2" s="64"/>
      <c r="F2" s="64"/>
      <c r="G2" s="64"/>
      <c r="H2" s="65"/>
      <c r="I2" s="1"/>
      <c r="J2" s="1"/>
      <c r="K2" s="1"/>
      <c r="L2" s="1"/>
      <c r="M2" s="1"/>
      <c r="N2" s="1"/>
      <c r="O2" s="1"/>
      <c r="P2" s="1"/>
      <c r="Q2" s="1"/>
      <c r="R2" s="1"/>
      <c r="S2" s="1"/>
      <c r="T2" s="1"/>
      <c r="U2" s="1"/>
      <c r="V2" s="1"/>
      <c r="W2" s="1"/>
    </row>
    <row r="3" spans="1:23" customFormat="1" x14ac:dyDescent="0.15">
      <c r="A3" s="1"/>
      <c r="B3" s="66" t="s">
        <v>98</v>
      </c>
      <c r="C3" s="67"/>
      <c r="D3" s="67"/>
      <c r="E3" s="67"/>
      <c r="F3" s="67"/>
      <c r="G3" s="67"/>
      <c r="H3" s="68"/>
      <c r="I3" s="1"/>
      <c r="J3" s="1"/>
      <c r="K3" s="1"/>
      <c r="L3" s="1"/>
      <c r="M3" s="1" t="s">
        <v>151</v>
      </c>
      <c r="N3" s="1" t="s">
        <v>152</v>
      </c>
      <c r="O3" s="1" t="s">
        <v>153</v>
      </c>
      <c r="P3" s="1" t="s">
        <v>144</v>
      </c>
      <c r="Q3" s="1" t="s">
        <v>145</v>
      </c>
      <c r="R3" s="1" t="s">
        <v>146</v>
      </c>
      <c r="S3" s="1" t="s">
        <v>147</v>
      </c>
      <c r="T3" s="1" t="s">
        <v>148</v>
      </c>
      <c r="U3" s="1" t="s">
        <v>149</v>
      </c>
      <c r="V3" s="1" t="s">
        <v>150</v>
      </c>
      <c r="W3" s="1"/>
    </row>
    <row r="4" spans="1:23" customFormat="1" x14ac:dyDescent="0.15">
      <c r="A4" s="1"/>
      <c r="B4" s="66"/>
      <c r="C4" s="67" t="s">
        <v>29</v>
      </c>
      <c r="D4" s="67" t="s">
        <v>116</v>
      </c>
      <c r="E4" s="67" t="s">
        <v>118</v>
      </c>
      <c r="F4" s="67" t="s">
        <v>117</v>
      </c>
      <c r="G4" s="1"/>
      <c r="H4" s="68"/>
      <c r="I4" s="1"/>
      <c r="J4" s="1" t="s">
        <v>15</v>
      </c>
      <c r="K4" s="69" t="s">
        <v>16</v>
      </c>
      <c r="L4" s="1"/>
      <c r="M4" s="1"/>
      <c r="N4" s="1"/>
      <c r="O4" s="1"/>
      <c r="P4" s="1"/>
      <c r="Q4" s="1"/>
      <c r="R4" s="1"/>
      <c r="S4" s="1"/>
      <c r="T4" s="1"/>
      <c r="U4" s="1"/>
      <c r="V4" s="1"/>
      <c r="W4" s="1"/>
    </row>
    <row r="5" spans="1:23" customFormat="1" ht="14.25" thickBot="1" x14ac:dyDescent="0.2">
      <c r="A5" s="1"/>
      <c r="B5" s="66" t="s">
        <v>105</v>
      </c>
      <c r="C5" s="67"/>
      <c r="D5" s="70"/>
      <c r="E5" s="71"/>
      <c r="F5" s="70"/>
      <c r="G5" s="1"/>
      <c r="H5" s="68"/>
      <c r="I5" s="1"/>
      <c r="J5" s="1"/>
      <c r="K5" s="1" t="s">
        <v>125</v>
      </c>
      <c r="L5" s="69" t="s">
        <v>130</v>
      </c>
      <c r="M5" s="1">
        <v>0</v>
      </c>
      <c r="N5" s="1">
        <v>0</v>
      </c>
      <c r="O5" s="1">
        <v>0</v>
      </c>
      <c r="P5" s="72">
        <v>-1.2212399999999999E-14</v>
      </c>
      <c r="Q5" s="72">
        <v>1.21101E-11</v>
      </c>
      <c r="R5" s="72">
        <v>-4.6018599999999997E-9</v>
      </c>
      <c r="S5" s="72">
        <v>8.4720599999999997E-7</v>
      </c>
      <c r="T5" s="67">
        <v>-7.9448000000000002E-5</v>
      </c>
      <c r="U5" s="67">
        <v>3.8211669999999999E-3</v>
      </c>
      <c r="V5" s="67">
        <v>-0.105462102</v>
      </c>
      <c r="W5" s="67">
        <v>0.773978418</v>
      </c>
    </row>
    <row r="6" spans="1:23" customFormat="1" ht="15" thickTop="1" thickBot="1" x14ac:dyDescent="0.2">
      <c r="A6" s="1"/>
      <c r="B6" s="66"/>
      <c r="C6" s="73">
        <v>34</v>
      </c>
      <c r="D6" s="74">
        <f>P$5*$C6^7+Q$5*$C6^6+R$5*$C6^5+S$5*$C6^4+T$5*$C6^3+U$5*$C6^2+V$5*$C6+W$5</f>
        <v>-0.57595747327573665</v>
      </c>
      <c r="E6" s="74">
        <f>M$23*$C6^10+N$23*$C6^9+O$23*$C6^8+P$23*$C6^7+Q$23*$C6^6+R$23*$C6^5+S$23*$C6^4+T$23*$C6^3+U$23*$C6^2+V$23*$C6+W$23</f>
        <v>13.171934010641701</v>
      </c>
      <c r="F6" s="75">
        <f>P$12*$C6^7+Q$12*$C6^6+R$12*$C6^5+S$12*$C6^4+T$12*$C6^3+U$12*$C6^2+V$12*$C6+W$12</f>
        <v>0.11156461773692733</v>
      </c>
      <c r="G6" s="1"/>
      <c r="H6" s="68"/>
      <c r="I6" s="1"/>
      <c r="J6" s="1"/>
      <c r="K6" s="1" t="s">
        <v>154</v>
      </c>
      <c r="L6" s="69" t="s">
        <v>15</v>
      </c>
      <c r="M6" s="1">
        <v>0</v>
      </c>
      <c r="N6" s="1">
        <v>0</v>
      </c>
      <c r="O6" s="1">
        <v>0</v>
      </c>
      <c r="P6" s="72">
        <v>-1.2212399999999999E-14</v>
      </c>
      <c r="Q6" s="72">
        <v>1.21101E-11</v>
      </c>
      <c r="R6" s="72">
        <v>-4.6018599999999997E-9</v>
      </c>
      <c r="S6" s="72">
        <v>8.4720599999999997E-7</v>
      </c>
      <c r="T6" s="67">
        <v>-7.9448000000000002E-5</v>
      </c>
      <c r="U6" s="67">
        <v>3.8211669999999999E-3</v>
      </c>
      <c r="V6" s="67">
        <v>-0.105462102</v>
      </c>
      <c r="W6" s="67">
        <v>0.773978418</v>
      </c>
    </row>
    <row r="7" spans="1:23" customFormat="1" ht="14.25" thickTop="1" x14ac:dyDescent="0.15">
      <c r="A7" s="1"/>
      <c r="B7" s="66" t="s">
        <v>99</v>
      </c>
      <c r="C7" s="67"/>
      <c r="D7" s="70"/>
      <c r="E7" s="71"/>
      <c r="F7" s="70"/>
      <c r="G7" s="1"/>
      <c r="H7" s="68"/>
      <c r="I7" s="1"/>
      <c r="J7" s="1"/>
      <c r="K7" s="76" t="s">
        <v>17</v>
      </c>
      <c r="L7" s="1"/>
      <c r="M7" s="1"/>
      <c r="N7" s="1"/>
      <c r="O7" s="1"/>
      <c r="P7" s="1"/>
      <c r="Q7" s="1"/>
      <c r="R7" s="1"/>
      <c r="S7" s="1"/>
      <c r="T7" s="1"/>
      <c r="U7" s="1"/>
      <c r="V7" s="1"/>
      <c r="W7" s="1"/>
    </row>
    <row r="8" spans="1:23" customFormat="1" x14ac:dyDescent="0.15">
      <c r="A8" s="1"/>
      <c r="B8" s="66"/>
      <c r="C8" s="67"/>
      <c r="D8" s="70"/>
      <c r="E8" s="71"/>
      <c r="F8" s="70"/>
      <c r="G8" s="1"/>
      <c r="H8" s="68"/>
      <c r="I8" s="1"/>
      <c r="J8" s="1"/>
      <c r="K8" s="1" t="s">
        <v>125</v>
      </c>
      <c r="L8" s="76" t="s">
        <v>136</v>
      </c>
      <c r="M8" s="1">
        <v>0</v>
      </c>
      <c r="N8" s="1">
        <v>0</v>
      </c>
      <c r="O8" s="1">
        <v>0</v>
      </c>
      <c r="P8" s="72">
        <v>9.5778299999999997E-15</v>
      </c>
      <c r="Q8" s="72">
        <v>3.4068800000000001E-12</v>
      </c>
      <c r="R8" s="72">
        <v>-4.0264399999999996E-9</v>
      </c>
      <c r="S8" s="72">
        <v>1.02461E-6</v>
      </c>
      <c r="T8" s="67">
        <v>-1.11585E-4</v>
      </c>
      <c r="U8" s="67">
        <v>5.7216400000000001E-3</v>
      </c>
      <c r="V8" s="67">
        <v>-0.14239750000000001</v>
      </c>
      <c r="W8" s="67">
        <v>0.75407122999999998</v>
      </c>
    </row>
    <row r="9" spans="1:23" customFormat="1" x14ac:dyDescent="0.15">
      <c r="A9" s="1"/>
      <c r="B9" s="66"/>
      <c r="C9" s="67"/>
      <c r="D9" s="1"/>
      <c r="E9" s="71"/>
      <c r="F9" s="70"/>
      <c r="G9" s="1"/>
      <c r="H9" s="68"/>
      <c r="I9" s="1"/>
      <c r="J9" s="1"/>
      <c r="K9" s="1" t="s">
        <v>260</v>
      </c>
      <c r="L9" s="76" t="s">
        <v>137</v>
      </c>
      <c r="M9" s="1"/>
      <c r="N9" s="1"/>
      <c r="O9" s="1"/>
      <c r="P9" s="1"/>
      <c r="Q9" s="1"/>
      <c r="R9" s="1"/>
      <c r="S9" s="1"/>
      <c r="U9">
        <v>-1.0118926531338699</v>
      </c>
      <c r="V9">
        <v>-0.01</v>
      </c>
      <c r="W9" s="1">
        <v>186</v>
      </c>
    </row>
    <row r="10" spans="1:23" customFormat="1" x14ac:dyDescent="0.15">
      <c r="A10" s="1"/>
      <c r="B10" s="66"/>
      <c r="C10" s="67"/>
      <c r="D10" s="70"/>
      <c r="E10" s="71"/>
      <c r="F10" s="70"/>
      <c r="G10" s="1"/>
      <c r="H10" s="68"/>
      <c r="I10" s="1"/>
      <c r="J10" s="1"/>
      <c r="K10" s="1"/>
      <c r="L10" s="1"/>
      <c r="M10" s="1"/>
      <c r="N10" s="1"/>
      <c r="O10" s="1"/>
      <c r="P10" s="1"/>
      <c r="Q10" s="1"/>
      <c r="R10" s="1"/>
      <c r="S10" s="1"/>
      <c r="T10" s="1"/>
      <c r="W10" s="1"/>
    </row>
    <row r="11" spans="1:23" customFormat="1" ht="14.25" thickBot="1" x14ac:dyDescent="0.2">
      <c r="A11" s="1"/>
      <c r="B11" s="66" t="s">
        <v>100</v>
      </c>
      <c r="C11" s="67"/>
      <c r="D11" s="70"/>
      <c r="E11" s="70"/>
      <c r="F11" s="70"/>
      <c r="G11" s="1"/>
      <c r="H11" s="68"/>
      <c r="I11" s="1"/>
      <c r="J11" s="1" t="s">
        <v>18</v>
      </c>
      <c r="K11" s="69" t="s">
        <v>16</v>
      </c>
      <c r="L11" s="1"/>
      <c r="M11" s="1"/>
      <c r="N11" s="1"/>
      <c r="O11" s="1"/>
      <c r="P11" s="1"/>
      <c r="Q11" s="1"/>
      <c r="R11" s="1"/>
      <c r="S11" s="1"/>
      <c r="T11" s="1"/>
      <c r="U11" s="1"/>
      <c r="V11" s="1"/>
      <c r="W11" s="1"/>
    </row>
    <row r="12" spans="1:23" customFormat="1" ht="15" thickTop="1" thickBot="1" x14ac:dyDescent="0.2">
      <c r="A12" s="1"/>
      <c r="B12" s="66"/>
      <c r="C12" s="73">
        <v>56</v>
      </c>
      <c r="D12" s="74">
        <f>P$5*$C12^7+Q$5*$C12^6+R$5*$C12^5+S$5*$C12^4+T$5*$C12^3+U$5*$C12^2+V$5*$C12+W$5</f>
        <v>-0.95121069035772843</v>
      </c>
      <c r="E12" s="78">
        <f>M$25*$C12^10+N$25*$C12^9+O$25*$C12^8+P$25*$C12^7+Q$25*$C12^6+R$25*$C12^5+S$25*$C12^4+T$25*$C12^3+U$25*$C12^2+V$25*$C12+W$25</f>
        <v>16.80497310058994</v>
      </c>
      <c r="F12" s="75">
        <f>P$12*$C12^7+Q$12*$C12^6+R$12*$C12^5+S$12*$C12^4+T$12*$C12^3+U$12*$C12^2+V$12*$C12+W$12</f>
        <v>0.12847883685997463</v>
      </c>
      <c r="G12" s="1"/>
      <c r="H12" s="68"/>
      <c r="I12" s="1"/>
      <c r="J12" s="1"/>
      <c r="K12" s="1" t="s">
        <v>126</v>
      </c>
      <c r="L12" s="69" t="s">
        <v>131</v>
      </c>
      <c r="M12" s="1">
        <v>0</v>
      </c>
      <c r="N12" s="1">
        <v>0</v>
      </c>
      <c r="O12" s="1">
        <v>0</v>
      </c>
      <c r="P12" s="72">
        <v>-1.7005200000000001E-15</v>
      </c>
      <c r="Q12" s="72">
        <v>1.4463900000000001E-12</v>
      </c>
      <c r="R12" s="72">
        <v>-4.8290600000000001E-10</v>
      </c>
      <c r="S12" s="72">
        <v>8.0535199999999997E-8</v>
      </c>
      <c r="T12" s="72">
        <v>-7.1320200000000002E-6</v>
      </c>
      <c r="U12" s="67">
        <v>3.31663E-4</v>
      </c>
      <c r="V12" s="67">
        <v>-6.7052290000000001E-3</v>
      </c>
      <c r="W12" s="67">
        <v>0.148630769</v>
      </c>
    </row>
    <row r="13" spans="1:23" customFormat="1" ht="14.25" thickTop="1" x14ac:dyDescent="0.15">
      <c r="A13" s="1"/>
      <c r="B13" s="66" t="s">
        <v>119</v>
      </c>
      <c r="C13" s="67"/>
      <c r="D13" s="70"/>
      <c r="E13" s="70"/>
      <c r="F13" s="70"/>
      <c r="G13" s="1"/>
      <c r="H13" s="68"/>
      <c r="I13" s="1"/>
      <c r="J13" s="1"/>
      <c r="K13" s="1" t="s">
        <v>155</v>
      </c>
      <c r="L13" s="1"/>
      <c r="M13" s="1">
        <v>0</v>
      </c>
      <c r="N13" s="1">
        <v>0</v>
      </c>
      <c r="O13" s="1">
        <v>0</v>
      </c>
      <c r="P13" s="72">
        <v>-1.7005200000000001E-15</v>
      </c>
      <c r="Q13" s="72">
        <v>1.4463900000000001E-12</v>
      </c>
      <c r="R13" s="72">
        <v>-4.8290600000000001E-10</v>
      </c>
      <c r="S13" s="72">
        <v>8.0535199999999997E-8</v>
      </c>
      <c r="T13" s="72">
        <v>-7.1320200000000002E-6</v>
      </c>
      <c r="U13" s="67">
        <v>3.31663E-4</v>
      </c>
      <c r="V13" s="67">
        <v>-6.7052290000000001E-3</v>
      </c>
      <c r="W13" s="67">
        <v>0.148630769</v>
      </c>
    </row>
    <row r="14" spans="1:23" customFormat="1" x14ac:dyDescent="0.15">
      <c r="A14" s="1"/>
      <c r="B14" s="66"/>
      <c r="C14" s="67"/>
      <c r="D14" s="70"/>
      <c r="E14" s="70"/>
      <c r="F14" s="70"/>
      <c r="G14" s="1"/>
      <c r="H14" s="68"/>
      <c r="I14" s="1"/>
      <c r="J14" s="1"/>
      <c r="K14" s="1" t="s">
        <v>159</v>
      </c>
      <c r="L14" s="69" t="s">
        <v>132</v>
      </c>
      <c r="M14" s="1">
        <v>0</v>
      </c>
      <c r="N14" s="1">
        <v>0</v>
      </c>
      <c r="O14" s="1">
        <v>0</v>
      </c>
      <c r="P14" s="72">
        <v>-3.15182E-15</v>
      </c>
      <c r="Q14" s="72">
        <v>2.4916800000000001E-12</v>
      </c>
      <c r="R14" s="72">
        <v>-7.7515900000000003E-10</v>
      </c>
      <c r="S14" s="72">
        <v>1.20356E-7</v>
      </c>
      <c r="T14" s="72">
        <v>-9.8460399999999997E-6</v>
      </c>
      <c r="U14" s="67">
        <v>4.1567699999999998E-4</v>
      </c>
      <c r="V14" s="67">
        <v>-7.506024E-3</v>
      </c>
      <c r="W14" s="67">
        <v>0.14931116</v>
      </c>
    </row>
    <row r="15" spans="1:23" customFormat="1" x14ac:dyDescent="0.15">
      <c r="A15" s="1"/>
      <c r="B15" s="66"/>
      <c r="C15" s="67"/>
      <c r="D15" s="70"/>
      <c r="E15" s="70"/>
      <c r="F15" s="70"/>
      <c r="G15" s="1"/>
      <c r="H15" s="68"/>
      <c r="I15" s="1"/>
      <c r="J15" s="1"/>
      <c r="K15" s="1" t="s">
        <v>158</v>
      </c>
      <c r="L15" s="1"/>
      <c r="M15" s="1">
        <v>0</v>
      </c>
      <c r="N15" s="1">
        <v>0</v>
      </c>
      <c r="O15" s="1">
        <v>0</v>
      </c>
      <c r="P15" s="72">
        <v>-3.15182E-15</v>
      </c>
      <c r="Q15" s="72">
        <v>2.4916800000000001E-12</v>
      </c>
      <c r="R15" s="72">
        <v>-7.7515900000000003E-10</v>
      </c>
      <c r="S15" s="72">
        <v>1.20356E-7</v>
      </c>
      <c r="T15" s="72">
        <v>-9.8460399999999997E-6</v>
      </c>
      <c r="U15" s="67">
        <v>4.1567699999999998E-4</v>
      </c>
      <c r="V15" s="67">
        <v>-7.506024E-3</v>
      </c>
      <c r="W15" s="67">
        <v>0.14931116</v>
      </c>
    </row>
    <row r="16" spans="1:23" customFormat="1" x14ac:dyDescent="0.15">
      <c r="A16" s="1"/>
      <c r="B16" s="66"/>
      <c r="C16" s="67"/>
      <c r="D16" s="70"/>
      <c r="E16" s="70"/>
      <c r="F16" s="70"/>
      <c r="G16" s="1"/>
      <c r="H16" s="68"/>
      <c r="I16" s="1"/>
      <c r="J16" s="1"/>
      <c r="K16" s="76" t="s">
        <v>17</v>
      </c>
      <c r="L16" s="1"/>
      <c r="M16" s="1"/>
      <c r="N16" s="1"/>
      <c r="O16" s="1"/>
      <c r="P16" s="1"/>
      <c r="Q16" s="1"/>
      <c r="R16" s="1"/>
      <c r="S16" s="1"/>
      <c r="T16" s="1"/>
      <c r="U16" s="1"/>
      <c r="V16" s="1"/>
      <c r="W16" s="1"/>
    </row>
    <row r="17" spans="1:23" customFormat="1" ht="14.25" thickBot="1" x14ac:dyDescent="0.2">
      <c r="A17" s="1"/>
      <c r="B17" s="66" t="s">
        <v>120</v>
      </c>
      <c r="C17" s="67"/>
      <c r="D17" s="70"/>
      <c r="E17" s="77"/>
      <c r="F17" s="70"/>
      <c r="G17" s="1"/>
      <c r="H17" s="68"/>
      <c r="I17" s="1"/>
      <c r="J17" s="1"/>
      <c r="K17" s="1" t="s">
        <v>126</v>
      </c>
      <c r="L17" s="76" t="s">
        <v>138</v>
      </c>
      <c r="M17" s="1">
        <v>0</v>
      </c>
      <c r="N17" s="1">
        <v>0</v>
      </c>
      <c r="O17" s="72">
        <v>1.2632900000000001E-16</v>
      </c>
      <c r="P17" s="72">
        <v>-8.7348899999999998E-14</v>
      </c>
      <c r="Q17" s="72">
        <v>2.4999300000000001E-11</v>
      </c>
      <c r="R17" s="72">
        <v>-3.8453900000000001E-9</v>
      </c>
      <c r="S17" s="72">
        <v>3.44807E-7</v>
      </c>
      <c r="T17" s="67">
        <v>-1.8278999999999999E-5</v>
      </c>
      <c r="U17" s="67">
        <v>5.5651500000000005E-4</v>
      </c>
      <c r="V17" s="67">
        <v>-8.1914520000000001E-3</v>
      </c>
      <c r="W17" s="67">
        <v>0.14604529399999999</v>
      </c>
    </row>
    <row r="18" spans="1:23" customFormat="1" ht="15" thickTop="1" thickBot="1" x14ac:dyDescent="0.2">
      <c r="A18" s="1"/>
      <c r="B18" s="66"/>
      <c r="C18" s="73">
        <v>160</v>
      </c>
      <c r="D18" s="74">
        <f>P$5*$C18^7+Q$5*$C18^6+R$5*$C18^5+S$5*$C18^4+T$5*$C18^3+U$5*$C18^2+V$5*$C18+W$5</f>
        <v>-0.62080982494398862</v>
      </c>
      <c r="E18" s="79">
        <f>M$27+N$27/(1+EXP(O$27+P$27*$C18))</f>
        <v>48.145942895437678</v>
      </c>
      <c r="F18" s="75">
        <f>P$12*$C18^7+Q$12*$C18^6+R$12*$C18^5+S$12*$C18^4+T$12*$C18^3+U$12*$C18^2+V$12*$C18+W$12</f>
        <v>0.19839632926879586</v>
      </c>
      <c r="G18" s="1"/>
      <c r="H18" s="68"/>
      <c r="I18" s="1"/>
      <c r="J18" s="1"/>
      <c r="K18" s="1" t="s">
        <v>157</v>
      </c>
      <c r="L18" s="76" t="s">
        <v>139</v>
      </c>
      <c r="M18" s="1">
        <v>0</v>
      </c>
      <c r="N18" s="1">
        <v>0</v>
      </c>
      <c r="O18" s="1">
        <v>0</v>
      </c>
      <c r="P18" s="1">
        <v>0</v>
      </c>
      <c r="Q18" s="1">
        <v>0</v>
      </c>
      <c r="R18" s="1">
        <v>0</v>
      </c>
      <c r="S18" s="1">
        <v>0</v>
      </c>
      <c r="T18" s="1">
        <v>0</v>
      </c>
      <c r="U18" s="77">
        <v>0.14419999999999999</v>
      </c>
      <c r="V18" s="77">
        <v>0.13880400000000001</v>
      </c>
      <c r="W18" s="77">
        <v>3.3000000000000003E-5</v>
      </c>
    </row>
    <row r="19" spans="1:23" customFormat="1" ht="14.25" thickTop="1" x14ac:dyDescent="0.15">
      <c r="A19" s="1"/>
      <c r="B19" s="66" t="s">
        <v>121</v>
      </c>
      <c r="C19" s="67"/>
      <c r="D19" s="70"/>
      <c r="E19" s="77"/>
      <c r="F19" s="70"/>
      <c r="G19" s="1"/>
      <c r="H19" s="68"/>
      <c r="I19" s="1"/>
      <c r="J19" s="1"/>
      <c r="K19" s="1" t="s">
        <v>156</v>
      </c>
      <c r="L19" s="1"/>
      <c r="M19" s="1">
        <v>0</v>
      </c>
      <c r="N19" s="1">
        <v>0</v>
      </c>
      <c r="O19" s="1">
        <v>0</v>
      </c>
      <c r="P19" s="1">
        <v>0</v>
      </c>
      <c r="Q19" s="1">
        <v>0</v>
      </c>
      <c r="R19" s="1">
        <v>0</v>
      </c>
      <c r="S19" s="1">
        <v>0</v>
      </c>
      <c r="T19" s="1">
        <v>0</v>
      </c>
      <c r="U19" s="166"/>
      <c r="V19" s="1"/>
      <c r="W19" s="1"/>
    </row>
    <row r="20" spans="1:23" customFormat="1" x14ac:dyDescent="0.15">
      <c r="A20" s="1"/>
      <c r="B20" s="66"/>
      <c r="C20" s="67"/>
      <c r="D20" s="70"/>
      <c r="E20" s="77"/>
      <c r="F20" s="70"/>
      <c r="G20" s="1"/>
      <c r="H20" s="68"/>
      <c r="I20" s="1"/>
      <c r="J20" s="1"/>
      <c r="K20" s="1" t="s">
        <v>127</v>
      </c>
      <c r="L20" s="76" t="s">
        <v>143</v>
      </c>
      <c r="M20" s="1">
        <v>0</v>
      </c>
      <c r="N20" s="1">
        <v>0</v>
      </c>
      <c r="O20" s="1">
        <v>0</v>
      </c>
      <c r="P20" s="1">
        <v>0</v>
      </c>
      <c r="Q20" s="1">
        <v>0</v>
      </c>
      <c r="R20" s="1">
        <v>0</v>
      </c>
      <c r="S20" s="1">
        <v>0</v>
      </c>
      <c r="T20" s="1">
        <v>0</v>
      </c>
      <c r="U20" s="166"/>
      <c r="V20" s="1"/>
      <c r="W20" s="1"/>
    </row>
    <row r="21" spans="1:23" customFormat="1" x14ac:dyDescent="0.15">
      <c r="A21" s="1"/>
      <c r="B21" s="66"/>
      <c r="C21" s="67"/>
      <c r="D21" s="70"/>
      <c r="E21" s="77"/>
      <c r="F21" s="70"/>
      <c r="G21" s="1"/>
      <c r="H21" s="68"/>
      <c r="I21" s="1"/>
      <c r="J21" s="1"/>
      <c r="K21" s="1"/>
      <c r="L21" s="1"/>
      <c r="M21" s="1"/>
      <c r="N21" s="1"/>
      <c r="O21" s="1"/>
      <c r="P21" s="1"/>
      <c r="Q21" s="1"/>
      <c r="R21" s="1"/>
      <c r="S21" s="1"/>
      <c r="T21" s="1"/>
      <c r="U21" s="1"/>
      <c r="V21" s="1"/>
      <c r="W21" s="1"/>
    </row>
    <row r="22" spans="1:23" customFormat="1" x14ac:dyDescent="0.15">
      <c r="A22" s="1"/>
      <c r="B22" s="66"/>
      <c r="C22" s="67"/>
      <c r="D22" s="70"/>
      <c r="E22" s="77"/>
      <c r="F22" s="70"/>
      <c r="G22" s="1"/>
      <c r="H22" s="68"/>
      <c r="I22" s="1"/>
      <c r="J22" s="1" t="s">
        <v>19</v>
      </c>
      <c r="K22" s="69" t="s">
        <v>16</v>
      </c>
      <c r="L22" s="1"/>
      <c r="M22" s="1"/>
      <c r="N22" s="1"/>
      <c r="O22" s="1"/>
      <c r="P22" s="1"/>
      <c r="Q22" s="1"/>
      <c r="R22" s="1"/>
      <c r="S22" s="1"/>
      <c r="T22" s="1"/>
      <c r="U22" s="1"/>
      <c r="V22" s="1"/>
      <c r="W22" s="1"/>
    </row>
    <row r="23" spans="1:23" customFormat="1" ht="14.25" thickBot="1" x14ac:dyDescent="0.2">
      <c r="A23" s="1"/>
      <c r="B23" s="66" t="s">
        <v>122</v>
      </c>
      <c r="C23" s="67"/>
      <c r="D23" s="70"/>
      <c r="E23" s="77"/>
      <c r="F23" s="70"/>
      <c r="G23" s="1"/>
      <c r="H23" s="68"/>
      <c r="I23" s="1"/>
      <c r="J23" s="1"/>
      <c r="K23" s="1" t="s">
        <v>161</v>
      </c>
      <c r="L23" s="69" t="s">
        <v>133</v>
      </c>
      <c r="M23" s="72">
        <v>-1.4751600000000001E-16</v>
      </c>
      <c r="N23" s="72">
        <v>8.6423400000000006E-14</v>
      </c>
      <c r="O23" s="72">
        <v>-2.1784999999999999E-11</v>
      </c>
      <c r="P23" s="72">
        <v>3.09361E-9</v>
      </c>
      <c r="Q23" s="72">
        <v>-2.7227900000000003E-7</v>
      </c>
      <c r="R23" s="67">
        <v>1.5404999999999999E-5</v>
      </c>
      <c r="S23" s="67">
        <v>-5.6277300000000003E-4</v>
      </c>
      <c r="T23" s="67">
        <v>1.3003150999999999E-2</v>
      </c>
      <c r="U23" s="67">
        <v>-0.18094875099999999</v>
      </c>
      <c r="V23" s="67">
        <v>1.5437551949999999</v>
      </c>
      <c r="W23" s="80">
        <v>2.9979999999999989</v>
      </c>
    </row>
    <row r="24" spans="1:23" customFormat="1" ht="15" thickTop="1" thickBot="1" x14ac:dyDescent="0.2">
      <c r="A24" s="1"/>
      <c r="B24" s="66"/>
      <c r="C24" s="73">
        <v>174</v>
      </c>
      <c r="D24" s="74">
        <f>P$5*$C24^7+Q$5*$C24^6+R$5*$C24^5+S$5*$C24^4+T$5*$C24^3+U$5*$C24^2+V$5*$C24+W$5</f>
        <v>-0.70489387960777927</v>
      </c>
      <c r="E24" s="79">
        <f>M$27+N$27/(1+EXP(O$27+P$27*$C24))</f>
        <v>53.959856004776974</v>
      </c>
      <c r="F24" s="81">
        <f>P$14*$C24^7+Q$14*$C24^6+R$14*$C24^5+S$14*$C24^4+T$14*$C24^3+U$14*$C24^2+V$14*$C24+W$14</f>
        <v>0.17763344440192619</v>
      </c>
      <c r="G24" s="1"/>
      <c r="H24" s="68"/>
      <c r="I24" s="1"/>
      <c r="J24" s="1"/>
      <c r="K24" s="1" t="s">
        <v>160</v>
      </c>
      <c r="L24" s="1"/>
      <c r="M24" s="72">
        <v>-1.4751600000000001E-16</v>
      </c>
      <c r="N24" s="72">
        <v>8.6423400000000006E-14</v>
      </c>
      <c r="O24" s="72">
        <v>-2.1784999999999999E-11</v>
      </c>
      <c r="P24" s="72">
        <v>3.09361E-9</v>
      </c>
      <c r="Q24" s="72">
        <v>-2.7227900000000003E-7</v>
      </c>
      <c r="R24" s="67">
        <v>1.5404999999999999E-5</v>
      </c>
      <c r="S24" s="67">
        <v>-5.6277300000000003E-4</v>
      </c>
      <c r="T24" s="67">
        <v>1.3003150999999999E-2</v>
      </c>
      <c r="U24" s="67">
        <v>-0.18094875099999999</v>
      </c>
      <c r="V24" s="67">
        <v>1.5437551949999999</v>
      </c>
      <c r="W24" s="80">
        <v>2.9979999999999989</v>
      </c>
    </row>
    <row r="25" spans="1:23" customFormat="1" ht="14.25" thickTop="1" x14ac:dyDescent="0.15">
      <c r="A25" s="1"/>
      <c r="B25" s="66" t="s">
        <v>114</v>
      </c>
      <c r="C25" s="67"/>
      <c r="D25" s="70"/>
      <c r="E25" s="70"/>
      <c r="F25" s="77"/>
      <c r="G25" s="67"/>
      <c r="H25" s="68"/>
      <c r="I25" s="1"/>
      <c r="J25" s="1"/>
      <c r="K25" s="1" t="s">
        <v>164</v>
      </c>
      <c r="L25" s="69" t="s">
        <v>134</v>
      </c>
      <c r="M25" s="72">
        <v>-1.1514999999999999E-19</v>
      </c>
      <c r="N25" s="72">
        <v>6.8113899999999999E-17</v>
      </c>
      <c r="O25" s="72">
        <v>4.2435999999999998E-15</v>
      </c>
      <c r="P25" s="72">
        <v>-1.38588E-11</v>
      </c>
      <c r="Q25" s="72">
        <v>5.0495600000000001E-9</v>
      </c>
      <c r="R25" s="72">
        <v>-9.26625E-7</v>
      </c>
      <c r="S25" s="67">
        <v>1.00181E-4</v>
      </c>
      <c r="T25" s="67">
        <v>-6.5958149999999997E-3</v>
      </c>
      <c r="U25" s="67">
        <v>0.25875470900000003</v>
      </c>
      <c r="V25" s="67">
        <v>-5.3772656000000003</v>
      </c>
      <c r="W25" s="67">
        <v>57.357579975</v>
      </c>
    </row>
    <row r="26" spans="1:23" customFormat="1" x14ac:dyDescent="0.15">
      <c r="A26" s="1"/>
      <c r="B26" s="66"/>
      <c r="C26" s="67"/>
      <c r="D26" s="67"/>
      <c r="E26" s="67"/>
      <c r="F26" s="67"/>
      <c r="G26" s="67"/>
      <c r="H26" s="68"/>
      <c r="I26" s="1"/>
      <c r="J26" s="1"/>
      <c r="K26" s="1" t="s">
        <v>165</v>
      </c>
      <c r="L26" s="1"/>
      <c r="M26" s="72">
        <v>-1.1514999999999999E-19</v>
      </c>
      <c r="N26" s="72">
        <v>6.8113899999999999E-17</v>
      </c>
      <c r="O26" s="72">
        <v>4.2435999999999998E-15</v>
      </c>
      <c r="P26" s="72">
        <v>-1.38588E-11</v>
      </c>
      <c r="Q26" s="72">
        <v>5.0495600000000001E-9</v>
      </c>
      <c r="R26" s="72">
        <v>-9.26625E-7</v>
      </c>
      <c r="S26" s="67">
        <v>1.00181E-4</v>
      </c>
      <c r="T26" s="67">
        <v>-6.5958149999999997E-3</v>
      </c>
      <c r="U26" s="67">
        <v>0.25875470900000003</v>
      </c>
      <c r="V26" s="67">
        <v>-5.3772656000000003</v>
      </c>
      <c r="W26" s="67">
        <v>57.357579975</v>
      </c>
    </row>
    <row r="27" spans="1:23" customFormat="1" x14ac:dyDescent="0.15">
      <c r="A27" s="1"/>
      <c r="B27" s="82"/>
      <c r="C27" s="83"/>
      <c r="D27" s="83"/>
      <c r="E27" s="83"/>
      <c r="F27" s="83"/>
      <c r="G27" s="83"/>
      <c r="H27" s="84"/>
      <c r="I27" s="1"/>
      <c r="J27" s="1"/>
      <c r="K27" s="1" t="s">
        <v>128</v>
      </c>
      <c r="L27" s="69" t="s">
        <v>135</v>
      </c>
      <c r="M27" s="67">
        <v>32.573560788000002</v>
      </c>
      <c r="N27" s="67">
        <v>29.543921829999999</v>
      </c>
      <c r="O27" s="67">
        <v>9.6666142960000006</v>
      </c>
      <c r="P27" s="67">
        <v>-6.1094318000000002E-2</v>
      </c>
      <c r="Q27" s="1"/>
      <c r="R27" s="1"/>
      <c r="S27" s="1"/>
      <c r="T27" s="1"/>
      <c r="U27" s="1"/>
      <c r="V27" s="1"/>
      <c r="W27" s="1"/>
    </row>
    <row r="28" spans="1:23" customFormat="1" x14ac:dyDescent="0.15">
      <c r="A28" s="1"/>
      <c r="B28" s="1"/>
      <c r="C28" s="1"/>
      <c r="D28" s="1"/>
      <c r="E28" s="1"/>
      <c r="F28" s="1"/>
      <c r="G28" s="1"/>
      <c r="H28" s="1"/>
      <c r="I28" s="1"/>
      <c r="J28" s="1"/>
      <c r="K28" s="76" t="s">
        <v>17</v>
      </c>
      <c r="L28" s="1"/>
      <c r="M28" s="1"/>
      <c r="N28" s="1"/>
      <c r="O28" s="1"/>
      <c r="P28" s="1"/>
      <c r="Q28" s="1"/>
      <c r="R28" s="1"/>
      <c r="S28" s="1"/>
      <c r="T28" s="1"/>
      <c r="U28" s="1"/>
      <c r="V28" s="1"/>
      <c r="W28" s="1"/>
    </row>
    <row r="29" spans="1:23" customFormat="1" x14ac:dyDescent="0.15">
      <c r="A29" s="1" t="s">
        <v>115</v>
      </c>
      <c r="B29" s="63"/>
      <c r="C29" s="64"/>
      <c r="D29" s="64"/>
      <c r="E29" s="64"/>
      <c r="F29" s="64"/>
      <c r="G29" s="64"/>
      <c r="H29" s="65"/>
      <c r="I29" s="1"/>
      <c r="J29" s="1"/>
      <c r="K29" s="1" t="s">
        <v>129</v>
      </c>
      <c r="L29" s="76" t="s">
        <v>140</v>
      </c>
      <c r="M29" s="72">
        <v>-7.5174099999999998E-17</v>
      </c>
      <c r="N29" s="72">
        <v>4.6966199999999997E-14</v>
      </c>
      <c r="O29" s="72">
        <v>-1.2713E-11</v>
      </c>
      <c r="P29" s="72">
        <v>1.9486199999999998E-9</v>
      </c>
      <c r="Q29" s="72">
        <v>-1.8549700000000001E-7</v>
      </c>
      <c r="R29" s="72">
        <v>1.1321000000000001E-5</v>
      </c>
      <c r="S29" s="67">
        <v>-4.4204699999999999E-4</v>
      </c>
      <c r="T29" s="67">
        <v>1.0732291999999999E-2</v>
      </c>
      <c r="U29" s="67">
        <v>-0.153244414</v>
      </c>
      <c r="V29" s="67">
        <v>1.3441143849999999</v>
      </c>
      <c r="W29" s="67">
        <v>2.9604311032655537</v>
      </c>
    </row>
    <row r="30" spans="1:23" customFormat="1" x14ac:dyDescent="0.15">
      <c r="A30" s="1"/>
      <c r="B30" s="66" t="s">
        <v>98</v>
      </c>
      <c r="C30" s="67"/>
      <c r="D30" s="71"/>
      <c r="E30" s="71"/>
      <c r="F30" s="70"/>
      <c r="G30" s="67"/>
      <c r="H30" s="68"/>
      <c r="I30" s="1"/>
      <c r="J30" s="1"/>
      <c r="K30" s="1" t="s">
        <v>163</v>
      </c>
      <c r="L30" s="76" t="s">
        <v>141</v>
      </c>
      <c r="M30" s="72">
        <v>1.4809E-18</v>
      </c>
      <c r="N30" s="72">
        <v>-1.8378800000000002E-15</v>
      </c>
      <c r="O30" s="72">
        <v>9.8782200000000007E-13</v>
      </c>
      <c r="P30" s="72">
        <v>-3.0175899999999999E-10</v>
      </c>
      <c r="Q30" s="72">
        <v>5.7835600000000001E-8</v>
      </c>
      <c r="R30" s="72">
        <v>-7.2486600000000003E-6</v>
      </c>
      <c r="S30" s="67">
        <v>6.0061200000000004E-4</v>
      </c>
      <c r="T30" s="67">
        <v>-3.2450221000000001E-2</v>
      </c>
      <c r="U30" s="67">
        <v>1.0937462360000001</v>
      </c>
      <c r="V30" s="67">
        <v>-20.604344680000001</v>
      </c>
      <c r="W30" s="67">
        <v>175.86326566</v>
      </c>
    </row>
    <row r="31" spans="1:23" customFormat="1" x14ac:dyDescent="0.15">
      <c r="A31" s="1"/>
      <c r="B31" s="66"/>
      <c r="C31" s="67"/>
      <c r="D31" s="67" t="s">
        <v>102</v>
      </c>
      <c r="E31" s="67" t="s">
        <v>104</v>
      </c>
      <c r="F31" s="67" t="s">
        <v>103</v>
      </c>
      <c r="G31" s="1"/>
      <c r="H31" s="68"/>
      <c r="I31" s="1"/>
      <c r="J31" s="1"/>
      <c r="K31" s="1" t="s">
        <v>162</v>
      </c>
      <c r="L31" s="1"/>
      <c r="M31" s="72">
        <v>1.4809E-18</v>
      </c>
      <c r="N31" s="72">
        <v>-1.8378800000000002E-15</v>
      </c>
      <c r="O31" s="72">
        <v>9.8782200000000007E-13</v>
      </c>
      <c r="P31" s="72">
        <v>-3.0175899999999999E-10</v>
      </c>
      <c r="Q31" s="72">
        <v>5.7835600000000001E-8</v>
      </c>
      <c r="R31" s="72">
        <v>-7.2486600000000003E-6</v>
      </c>
      <c r="S31" s="67">
        <v>6.0061200000000004E-4</v>
      </c>
      <c r="T31" s="67">
        <v>-3.2450221000000001E-2</v>
      </c>
      <c r="U31" s="67">
        <v>1.0937462360000001</v>
      </c>
      <c r="V31" s="67">
        <v>-20.604344680000001</v>
      </c>
      <c r="W31" s="67">
        <v>175.86326566</v>
      </c>
    </row>
    <row r="32" spans="1:23" customFormat="1" ht="14.25" thickBot="1" x14ac:dyDescent="0.2">
      <c r="A32" s="1"/>
      <c r="B32" s="66" t="s">
        <v>105</v>
      </c>
      <c r="C32" s="67"/>
      <c r="D32" s="71"/>
      <c r="E32" s="70"/>
      <c r="F32" s="71"/>
      <c r="G32" s="1"/>
      <c r="H32" s="68"/>
      <c r="I32" s="1"/>
      <c r="J32" s="1"/>
      <c r="K32" s="1" t="s">
        <v>173</v>
      </c>
      <c r="L32" s="76" t="s">
        <v>142</v>
      </c>
      <c r="M32" s="67">
        <v>20.045309810999999</v>
      </c>
      <c r="N32" s="67">
        <v>32.705163640000002</v>
      </c>
      <c r="O32" s="67">
        <v>7.3219462130000004</v>
      </c>
      <c r="P32" s="67">
        <v>-5.5342147000000001E-2</v>
      </c>
      <c r="Q32" s="1"/>
      <c r="R32" s="1"/>
      <c r="S32" s="1"/>
      <c r="T32" s="1"/>
      <c r="U32" s="1"/>
      <c r="V32" s="1"/>
      <c r="W32" s="1"/>
    </row>
    <row r="33" spans="2:16" customFormat="1" ht="15" thickTop="1" thickBot="1" x14ac:dyDescent="0.2">
      <c r="B33" s="66"/>
      <c r="C33" s="73">
        <v>12</v>
      </c>
      <c r="D33" s="74">
        <f>P$8*$C33^7+Q$8*$C33^6+R$8*$C33^5+S$8*$C33^4+T$8*$C33^3+U$8*$C33^2+V$8*$C33+W$8</f>
        <v>-0.30334656807794469</v>
      </c>
      <c r="E33" s="85">
        <f>M$29*$C33^10+N$29*$C33^9+O$29*$C33^8+P$29*$C33^7+Q$29*$C33^6+R$29*$C33^5+S$29*$C33^4+T$29*$C33^3+U$29*$C33^2+V$29*$C33+W$29-0.010431*(1-$C33/210)</f>
        <v>8.7196170474579588</v>
      </c>
      <c r="F33" s="75">
        <f>O$17*$C33^8+P$17*$C33^7+Q$17*$C33^6+R$17*$C33^5+S$17*$C33^4+T$17*$C33^3+U$17*$C33^2+V$17*$C33+W$17</f>
        <v>0.10256455182747508</v>
      </c>
      <c r="G33" s="1"/>
      <c r="H33" s="68"/>
      <c r="I33" s="1"/>
      <c r="J33" s="1"/>
      <c r="K33" s="1" t="s">
        <v>174</v>
      </c>
      <c r="L33" s="1"/>
      <c r="M33" s="71"/>
      <c r="N33" s="71"/>
      <c r="O33" s="67"/>
      <c r="P33" s="67"/>
    </row>
    <row r="34" spans="2:16" customFormat="1" ht="14.25" thickTop="1" x14ac:dyDescent="0.15">
      <c r="B34" s="66" t="s">
        <v>106</v>
      </c>
      <c r="C34" s="67"/>
      <c r="D34" s="71"/>
      <c r="E34" s="70"/>
      <c r="F34" s="71"/>
      <c r="G34" s="1"/>
      <c r="H34" s="68"/>
      <c r="I34" s="1"/>
      <c r="J34" s="1"/>
      <c r="K34" s="1"/>
      <c r="L34" s="1"/>
      <c r="M34" s="1"/>
      <c r="N34" s="1"/>
      <c r="O34" s="1"/>
      <c r="P34" s="1"/>
    </row>
    <row r="35" spans="2:16" customFormat="1" x14ac:dyDescent="0.15">
      <c r="B35" s="66"/>
      <c r="C35" s="67"/>
      <c r="D35" s="71"/>
      <c r="E35" s="70"/>
      <c r="F35" s="71"/>
      <c r="G35" s="1"/>
      <c r="H35" s="68"/>
      <c r="I35" s="1"/>
      <c r="J35" s="1"/>
      <c r="K35" s="1"/>
      <c r="L35" s="1"/>
      <c r="M35" s="1"/>
      <c r="N35" s="1"/>
      <c r="O35" s="1"/>
      <c r="P35" s="1"/>
    </row>
    <row r="36" spans="2:16" customFormat="1" x14ac:dyDescent="0.15">
      <c r="B36" s="66"/>
      <c r="C36" s="67"/>
      <c r="D36" s="71"/>
      <c r="E36" s="70"/>
      <c r="F36" s="71"/>
      <c r="G36" s="1"/>
      <c r="H36" s="68"/>
      <c r="I36" s="1"/>
      <c r="J36" s="1"/>
      <c r="K36" s="1" t="s">
        <v>166</v>
      </c>
      <c r="L36" s="1" t="s">
        <v>167</v>
      </c>
      <c r="M36" s="1"/>
      <c r="N36" s="1"/>
      <c r="O36" s="1"/>
      <c r="P36" s="1">
        <f>186/12</f>
        <v>15.5</v>
      </c>
    </row>
    <row r="37" spans="2:16" customFormat="1" x14ac:dyDescent="0.15">
      <c r="B37" s="66"/>
      <c r="C37" s="67"/>
      <c r="D37" s="71"/>
      <c r="E37" s="70"/>
      <c r="F37" s="71"/>
      <c r="G37" s="1"/>
      <c r="H37" s="68"/>
      <c r="I37" s="1"/>
      <c r="J37" s="1"/>
      <c r="K37" s="1">
        <v>10</v>
      </c>
      <c r="L37" s="1"/>
      <c r="M37" s="1"/>
      <c r="N37" s="1"/>
      <c r="O37" s="1"/>
      <c r="P37" s="1"/>
    </row>
    <row r="38" spans="2:16" customFormat="1" ht="14.25" thickBot="1" x14ac:dyDescent="0.2">
      <c r="B38" s="66" t="s">
        <v>107</v>
      </c>
      <c r="C38" s="67"/>
      <c r="D38" s="71"/>
      <c r="E38" s="70"/>
      <c r="F38" s="71"/>
      <c r="G38" s="1"/>
      <c r="H38" s="68"/>
      <c r="I38" s="1"/>
      <c r="J38" s="1"/>
      <c r="K38" s="1"/>
      <c r="L38" s="1"/>
      <c r="M38" s="1"/>
      <c r="N38" s="1"/>
      <c r="O38" s="1"/>
      <c r="P38" s="1"/>
    </row>
    <row r="39" spans="2:16" customFormat="1" ht="15" thickTop="1" thickBot="1" x14ac:dyDescent="0.2">
      <c r="B39" s="66"/>
      <c r="C39" s="73">
        <v>123</v>
      </c>
      <c r="D39" s="74">
        <f>P$8*$C39^7+Q$8*$C39^6+R$8*$C39^5+S$8*$C39^4+T$8*$C39^3+U$8*$C39^2+V$8*$C39+W$8</f>
        <v>-0.80313213419209106</v>
      </c>
      <c r="E39" s="86">
        <f>M$30*$C39^10+N$30*$C39^9+O$30*$C39^8+P$30*$C39^7+Q$30*$C39^6+R$30*$C39^5+S$30*$C39^4+T$30*$C39^3+U$30*$C39^2+V$30*$C39+W$30-0.010431*(1-1/$C39)</f>
        <v>32.333846832363989</v>
      </c>
      <c r="F39" s="75">
        <f>O$17*$C39^8+P$17*$C39^7+Q$17*$C39^6+R$17*$C39^5+S$17*$C39^4+T$17*$C39^3+U$17*$C39^2+V$17*$C39+W$17</f>
        <v>0.18763765819255973</v>
      </c>
      <c r="G39" s="1"/>
      <c r="H39" s="68"/>
      <c r="I39" s="1"/>
      <c r="J39" s="1"/>
      <c r="K39" s="1"/>
      <c r="L39" s="1"/>
      <c r="M39" s="1"/>
      <c r="N39" s="1"/>
      <c r="O39" s="1"/>
      <c r="P39" s="1"/>
    </row>
    <row r="40" spans="2:16" customFormat="1" ht="14.25" thickTop="1" x14ac:dyDescent="0.15">
      <c r="B40" s="66" t="s">
        <v>108</v>
      </c>
      <c r="C40" s="67"/>
      <c r="D40" s="71"/>
      <c r="E40" s="70"/>
      <c r="F40" s="71"/>
      <c r="G40" s="1"/>
      <c r="H40" s="68"/>
      <c r="I40" s="1"/>
      <c r="J40" s="1"/>
      <c r="K40" s="1" t="s">
        <v>175</v>
      </c>
      <c r="L40" s="1"/>
      <c r="M40" s="1"/>
      <c r="N40" s="1"/>
      <c r="O40" s="1"/>
      <c r="P40" s="1"/>
    </row>
    <row r="41" spans="2:16" customFormat="1" x14ac:dyDescent="0.15">
      <c r="B41" s="66"/>
      <c r="C41" s="67"/>
      <c r="D41" s="71"/>
      <c r="E41" s="70"/>
      <c r="F41" s="71"/>
      <c r="G41" s="1"/>
      <c r="H41" s="68"/>
      <c r="I41" s="1"/>
      <c r="J41" s="1"/>
      <c r="K41" s="87">
        <f>WeightSDS!P$5*$AG3^7+WeightSDS!Q$5*$AG3^6+WeightSDS!R$5*$AG3^5+WeightSDS!S$5*$AG3^4+WeightSDS!T$5*$AG3^3+WeightSDS!U$5*$AG3^2+WeightSDS!V$5*$AG3+WeightSDS!W$5</f>
        <v>0.773978418</v>
      </c>
      <c r="L41" s="1"/>
      <c r="M41" s="1"/>
      <c r="N41" s="1"/>
      <c r="O41" s="1"/>
      <c r="P41" s="1"/>
    </row>
    <row r="42" spans="2:16" customFormat="1" ht="15" x14ac:dyDescent="0.15">
      <c r="B42" s="66"/>
      <c r="C42" s="67"/>
      <c r="D42" s="71"/>
      <c r="E42" s="70"/>
      <c r="F42" s="71"/>
      <c r="G42" s="1"/>
      <c r="H42" s="68"/>
      <c r="I42" s="1"/>
      <c r="J42" s="1"/>
      <c r="K42" s="1" t="s">
        <v>176</v>
      </c>
      <c r="L42" s="1"/>
      <c r="M42" s="88"/>
      <c r="N42" s="1"/>
      <c r="O42" s="1"/>
      <c r="P42" s="1"/>
    </row>
    <row r="43" spans="2:16" customFormat="1" ht="15" x14ac:dyDescent="0.15">
      <c r="B43" s="66"/>
      <c r="C43" s="67"/>
      <c r="D43" s="71"/>
      <c r="E43" s="70"/>
      <c r="F43" s="71"/>
      <c r="G43" s="1"/>
      <c r="H43" s="68"/>
      <c r="I43" s="1"/>
      <c r="J43" s="1"/>
      <c r="K43" s="87">
        <f>WeightSDS!P$8*$AG3^7+WeightSDS!Q$8*$AG3^6+WeightSDS!R$8*$AG3^5+WeightSDS!S$8*$AG3^4+WeightSDS!T$8*$AG3^3+WeightSDS!U$8*$AG3^2+WeightSDS!V$8*$AG3+WeightSDS!W$8</f>
        <v>0.75407122999999998</v>
      </c>
      <c r="L43" s="1"/>
      <c r="M43" s="88"/>
      <c r="N43" s="1"/>
      <c r="O43" s="1"/>
      <c r="P43" s="1"/>
    </row>
    <row r="44" spans="2:16" customFormat="1" ht="15.75" thickBot="1" x14ac:dyDescent="0.2">
      <c r="B44" s="66" t="s">
        <v>109</v>
      </c>
      <c r="C44" s="67"/>
      <c r="D44" s="71"/>
      <c r="E44" s="70"/>
      <c r="F44" s="71"/>
      <c r="G44" s="1"/>
      <c r="H44" s="68"/>
      <c r="I44" s="1"/>
      <c r="J44" s="1">
        <v>186</v>
      </c>
      <c r="K44" s="1">
        <f>WeightSDS!$U$9-WeightSDS!$T$9*($AG3-WeightSDS!$W$9)</f>
        <v>-1.0118926531338699</v>
      </c>
      <c r="L44" s="1"/>
      <c r="M44" s="88"/>
      <c r="N44" s="1">
        <v>72.215521659139341</v>
      </c>
      <c r="O44" s="1"/>
      <c r="P44" s="1"/>
    </row>
    <row r="45" spans="2:16" customFormat="1" ht="16.5" thickTop="1" thickBot="1" x14ac:dyDescent="0.2">
      <c r="B45" s="66"/>
      <c r="C45" s="73">
        <v>123</v>
      </c>
      <c r="D45" s="74">
        <f>P$8*$C45^7+Q$8*$C45^6+R$8*$C45^5+S$8*$C45^4+T$8*$C45^3+U$8*$C45^2+V$8*$C45+W$8</f>
        <v>-0.80313213419209106</v>
      </c>
      <c r="E45" s="89">
        <f>M$32+N$32/(1+EXP(O$32+P$32*$C45))-0.010431*(1-$C45/210)</f>
        <v>32.27449947099494</v>
      </c>
      <c r="F45" s="75">
        <f>O$17*$C45^8+P$17*$C45^7+Q$17*$C45^6+R$17*$C45^5+S$17*$C45^4+T$17*$C45^3+U$17*$C45^2+V$17*$C45+W$17</f>
        <v>0.18763765819255973</v>
      </c>
      <c r="G45" s="1"/>
      <c r="H45" s="68"/>
      <c r="I45" s="1"/>
      <c r="J45" s="1"/>
      <c r="K45" s="1"/>
      <c r="L45" s="1"/>
      <c r="M45" s="88"/>
      <c r="N45" s="1"/>
      <c r="O45" s="1"/>
      <c r="P45" s="1"/>
    </row>
    <row r="46" spans="2:16" customFormat="1" ht="15.75" thickTop="1" x14ac:dyDescent="0.15">
      <c r="B46" s="66" t="s">
        <v>110</v>
      </c>
      <c r="C46" s="67"/>
      <c r="D46" s="71"/>
      <c r="E46" s="77"/>
      <c r="F46" s="71"/>
      <c r="G46" s="1"/>
      <c r="H46" s="68"/>
      <c r="I46" s="1"/>
      <c r="J46" s="1"/>
      <c r="K46" s="1" t="s">
        <v>169</v>
      </c>
      <c r="L46" s="1"/>
      <c r="M46" s="88"/>
      <c r="N46" s="1"/>
      <c r="O46" s="1"/>
      <c r="P46" s="1"/>
    </row>
    <row r="47" spans="2:16" customFormat="1" x14ac:dyDescent="0.15">
      <c r="B47" s="66"/>
      <c r="C47" s="67"/>
      <c r="D47" s="71"/>
      <c r="E47" s="77"/>
      <c r="F47" s="71"/>
      <c r="G47" s="1"/>
      <c r="H47" s="68"/>
      <c r="I47" s="1"/>
      <c r="J47" s="1"/>
      <c r="K47" s="74">
        <f>WeightSDS!M$23*$AG3^10+WeightSDS!N$23*$AG3^9+WeightSDS!O$23*$AG3^8+WeightSDS!P$23*$AG3^7+WeightSDS!Q$23*$AG3^6+WeightSDS!R$23*$AG3^5+WeightSDS!S$23*$AG3^4+WeightSDS!T$23*$AG3^3+WeightSDS!U$23*$AG3^2+WeightSDS!V$23*$AG3+WeightSDS!W$23</f>
        <v>2.9979999999999989</v>
      </c>
      <c r="L47" s="1"/>
      <c r="M47" s="1"/>
      <c r="N47" s="1"/>
      <c r="O47" s="1"/>
      <c r="P47" s="1"/>
    </row>
    <row r="48" spans="2:16" customFormat="1" x14ac:dyDescent="0.15">
      <c r="B48" s="66"/>
      <c r="C48" s="67"/>
      <c r="D48" s="71"/>
      <c r="E48" s="77"/>
      <c r="F48" s="71"/>
      <c r="G48" s="1"/>
      <c r="H48" s="68"/>
      <c r="I48" s="1"/>
      <c r="J48" s="1">
        <v>45</v>
      </c>
      <c r="K48" s="78">
        <f>WeightSDS!M$25*$AG3^10+WeightSDS!N$25*$AG3^9+WeightSDS!O$25*$AG3^8+WeightSDS!P$25*$AG3^7+WeightSDS!Q$25*$AG3^6+WeightSDS!R$25*$AG3^5+WeightSDS!S$25*$AG3^4+WeightSDS!T$25*$AG3^3+WeightSDS!U$25*$AG3^2+WeightSDS!V$25*$AG3+WeightSDS!W$25</f>
        <v>57.357579975</v>
      </c>
      <c r="L48" s="1"/>
      <c r="M48" s="1"/>
      <c r="N48" s="1"/>
      <c r="O48" s="1"/>
      <c r="P48" s="1"/>
    </row>
    <row r="49" spans="2:11" customFormat="1" x14ac:dyDescent="0.15">
      <c r="B49" s="66"/>
      <c r="C49" s="67"/>
      <c r="D49" s="71"/>
      <c r="E49" s="77"/>
      <c r="F49" s="71"/>
      <c r="G49" s="1"/>
      <c r="H49" s="68"/>
      <c r="I49" s="1"/>
      <c r="J49" s="1">
        <v>153</v>
      </c>
      <c r="K49" s="79">
        <f>WeightSDS!M$27+WeightSDS!N$27/(1+EXP(WeightSDS!O$27+WeightSDS!P$27*$AG3))</f>
        <v>32.575432691172509</v>
      </c>
    </row>
    <row r="50" spans="2:11" customFormat="1" ht="14.25" thickBot="1" x14ac:dyDescent="0.2">
      <c r="B50" s="66" t="s">
        <v>111</v>
      </c>
      <c r="C50" s="67"/>
      <c r="D50" s="71"/>
      <c r="E50" s="77"/>
      <c r="F50" s="71"/>
      <c r="G50" s="1"/>
      <c r="H50" s="68"/>
      <c r="I50" s="1"/>
      <c r="J50" s="1"/>
      <c r="K50" s="71" t="s">
        <v>170</v>
      </c>
    </row>
    <row r="51" spans="2:11" customFormat="1" ht="15" thickTop="1" thickBot="1" x14ac:dyDescent="0.2">
      <c r="B51" s="66"/>
      <c r="C51" s="73">
        <v>160</v>
      </c>
      <c r="D51" s="74">
        <f>P$8*$C51^7+Q$8*$C51^6+R$8*$C51^5+S$8*$C51^4+T$8*$C51^3+U$8*$C51^2+V$8*$C51+W$8</f>
        <v>-0.45387683251512201</v>
      </c>
      <c r="E51" s="89">
        <f>M$32+N$32/(1+EXP(O$32+P$32*$C51))-0.010431*(1-$C51/210)</f>
        <v>46.940050753765313</v>
      </c>
      <c r="F51" s="90">
        <f>$U$18+($V$18-$U$18)/24*($C51-186)+$W$18*(-$C51+186)^2-0.005</f>
        <v>0.16735366666666662</v>
      </c>
      <c r="G51" s="1"/>
      <c r="H51" s="68"/>
      <c r="I51" s="1"/>
      <c r="J51" s="1"/>
      <c r="K51" s="85">
        <f>WeightSDS!M$29*$AG3^10+WeightSDS!N$29*$AG3^9+WeightSDS!O$29*$AG3^8+WeightSDS!P$29*$AG3^7+WeightSDS!Q$29*$AG3^6+WeightSDS!R$29*$AG3^5+WeightSDS!S$29*$AG3^4+WeightSDS!T$29*$AG3^3+WeightSDS!U$29*$AG3^2+WeightSDS!V$29*$AG3+WeightSDS!W$29-0.010431*(1-$AG3/210)</f>
        <v>2.9500001032655536</v>
      </c>
    </row>
    <row r="52" spans="2:11" customFormat="1" ht="14.25" thickTop="1" x14ac:dyDescent="0.15">
      <c r="B52" s="66" t="s">
        <v>112</v>
      </c>
      <c r="C52" s="67"/>
      <c r="D52" s="71"/>
      <c r="E52" s="1"/>
      <c r="F52" s="77"/>
      <c r="G52" s="1"/>
      <c r="H52" s="68"/>
      <c r="I52" s="1"/>
      <c r="J52" s="1">
        <v>43.8</v>
      </c>
      <c r="K52" s="86">
        <f>WeightSDS!M$30*$C39^10+WeightSDS!N$30*$C39^9+WeightSDS!O$30*$C39^8+WeightSDS!P$30*$C39^7+WeightSDS!Q$30*$C39^6+WeightSDS!R$30*$C39^5+WeightSDS!S$30*$C39^4+WeightSDS!T$30*$C39^3+WeightSDS!U$30*$C39^2+WeightSDS!V$30*$C39+WeightSDS!W$30-0.010431*(1-1/$C39)</f>
        <v>32.333846832363989</v>
      </c>
    </row>
    <row r="53" spans="2:11" customFormat="1" x14ac:dyDescent="0.15">
      <c r="B53" s="66"/>
      <c r="C53" s="67"/>
      <c r="D53" s="71"/>
      <c r="E53" s="77"/>
      <c r="F53" s="1"/>
      <c r="G53" s="1"/>
      <c r="H53" s="68"/>
      <c r="I53" s="1"/>
      <c r="J53" s="1">
        <v>123</v>
      </c>
      <c r="K53" s="89">
        <f>WeightSDS!M$32+WeightSDS!N$32/(1+EXP(WeightSDS!O$32+WeightSDS!P$32*$AG3))-0.010431*(1-$AG3/210)</f>
        <v>20.056478553307805</v>
      </c>
    </row>
    <row r="54" spans="2:11" customFormat="1" x14ac:dyDescent="0.15">
      <c r="B54" s="66"/>
      <c r="C54" s="67"/>
      <c r="D54" s="71"/>
      <c r="E54" s="77"/>
      <c r="F54" s="77"/>
      <c r="G54" s="1"/>
      <c r="H54" s="68"/>
      <c r="I54" s="1"/>
      <c r="J54" s="1"/>
      <c r="K54" s="70" t="s">
        <v>171</v>
      </c>
    </row>
    <row r="55" spans="2:11" customFormat="1" x14ac:dyDescent="0.15">
      <c r="B55" s="66"/>
      <c r="C55" s="67"/>
      <c r="D55" s="71"/>
      <c r="E55" s="77"/>
      <c r="F55" s="77"/>
      <c r="G55" s="1"/>
      <c r="H55" s="68"/>
      <c r="I55" s="1"/>
      <c r="J55" s="1"/>
      <c r="K55" s="75">
        <f>WeightSDS!P$12*$AG3^7+WeightSDS!Q$12*$AG3^6+WeightSDS!R$12*$AG3^5+WeightSDS!S$12*$AG3^4+WeightSDS!T$12*$AG3^3+WeightSDS!U$12*$AG3^2+WeightSDS!V$12*$AG3+WeightSDS!W$12</f>
        <v>0.148630769</v>
      </c>
    </row>
    <row r="56" spans="2:11" customFormat="1" ht="14.25" thickBot="1" x14ac:dyDescent="0.2">
      <c r="B56" s="66" t="s">
        <v>113</v>
      </c>
      <c r="C56" s="67"/>
      <c r="D56" s="1"/>
      <c r="E56" s="77"/>
      <c r="F56" s="77"/>
      <c r="G56" s="1"/>
      <c r="H56" s="68"/>
      <c r="I56" s="1"/>
      <c r="J56" s="1">
        <v>162</v>
      </c>
      <c r="K56" s="81">
        <f>WeightSDS!P$14*$AG3^7+WeightSDS!Q$14*$AG3^6+WeightSDS!R$14*$AG3^5+WeightSDS!S$14*$AG3^4+WeightSDS!T$14*$AG3^3+WeightSDS!U$14*$AG3^2+WeightSDS!V$14*$AG3+WeightSDS!W$14</f>
        <v>0.14931116</v>
      </c>
    </row>
    <row r="57" spans="2:11" customFormat="1" ht="15" thickTop="1" thickBot="1" x14ac:dyDescent="0.2">
      <c r="B57" s="66"/>
      <c r="C57" s="73">
        <v>203</v>
      </c>
      <c r="D57" s="79">
        <f>U9+V9*(C57-W9)</f>
        <v>-1.1818926531338698</v>
      </c>
      <c r="E57" s="89">
        <f>M$32+N$32/(1+EXP(O$32+P$32*$C57))-0.010431*(1-$C57/210)</f>
        <v>52.109153902444412</v>
      </c>
      <c r="F57" s="79">
        <f>$U$18+($V$18-$U$18)/24*($C57-186)-0.005</f>
        <v>0.13537783333333334</v>
      </c>
      <c r="G57" s="1"/>
      <c r="H57" s="68"/>
      <c r="I57" s="1"/>
      <c r="J57" s="1"/>
      <c r="K57" s="1"/>
    </row>
    <row r="58" spans="2:11" customFormat="1" ht="14.25" thickTop="1" x14ac:dyDescent="0.15">
      <c r="B58" s="66" t="s">
        <v>114</v>
      </c>
      <c r="C58" s="67"/>
      <c r="D58" s="77"/>
      <c r="E58" s="1"/>
      <c r="F58" s="77"/>
      <c r="G58" s="77"/>
      <c r="H58" s="68"/>
      <c r="I58" s="1"/>
      <c r="J58" s="1"/>
      <c r="K58" s="1"/>
    </row>
    <row r="59" spans="2:11" customFormat="1" x14ac:dyDescent="0.15">
      <c r="B59" s="66"/>
      <c r="C59" s="67"/>
      <c r="D59" s="77"/>
      <c r="E59" s="1"/>
      <c r="F59" s="77"/>
      <c r="G59" s="77"/>
      <c r="H59" s="68"/>
      <c r="I59" s="1"/>
      <c r="J59" s="1"/>
      <c r="K59" s="1" t="s">
        <v>172</v>
      </c>
    </row>
    <row r="60" spans="2:11" customFormat="1" x14ac:dyDescent="0.15">
      <c r="B60" s="66"/>
      <c r="C60" s="67"/>
      <c r="D60" s="77"/>
      <c r="E60" s="77"/>
      <c r="F60" s="77"/>
      <c r="G60" s="67"/>
      <c r="H60" s="68"/>
      <c r="I60" s="1"/>
      <c r="J60" s="1"/>
      <c r="K60" s="75">
        <f>WeightSDS!O$17*$AG3^8+WeightSDS!P$17*$AG3^7+WeightSDS!Q$17*$AG3^6+WeightSDS!R$17*$AG3^5+WeightSDS!S$17*$AG3^4+WeightSDS!T$17*$AG3^3+WeightSDS!U$17*$AG3^2+WeightSDS!V$17*$AG3+WeightSDS!W$17</f>
        <v>0.14604529399999999</v>
      </c>
    </row>
    <row r="61" spans="2:11" customFormat="1" x14ac:dyDescent="0.15">
      <c r="B61" s="82"/>
      <c r="C61" s="83"/>
      <c r="D61" s="83"/>
      <c r="E61" s="83"/>
      <c r="F61" s="83"/>
      <c r="G61" s="83"/>
      <c r="H61" s="84"/>
      <c r="I61" s="1"/>
      <c r="J61" s="1">
        <v>156</v>
      </c>
      <c r="K61" s="90">
        <f>WeightSDS!$U$18+(WeightSDS!$V$18-WeightSDS!$U$18)/24*($AG3-186)+WeightSDS!$W$18*(-$AG3+186)^2-0.005</f>
        <v>1.3226870000000002</v>
      </c>
    </row>
    <row r="62" spans="2:11" customFormat="1" x14ac:dyDescent="0.15">
      <c r="B62" s="1"/>
      <c r="C62" s="1"/>
      <c r="D62" s="1"/>
      <c r="E62" s="1"/>
      <c r="F62" s="1"/>
      <c r="G62" s="1"/>
      <c r="H62" s="1"/>
      <c r="I62" s="1"/>
      <c r="J62" s="1">
        <v>186</v>
      </c>
      <c r="K62" s="79">
        <f>WeightSDS!$U$18+(WeightSDS!$V$18-WeightSDS!$U$18)/24*($AG3-186)-0.005</f>
        <v>0.18101899999999987</v>
      </c>
    </row>
    <row r="66" spans="2:4" customFormat="1" x14ac:dyDescent="0.15">
      <c r="B66" s="1" t="s">
        <v>182</v>
      </c>
      <c r="C66" s="1"/>
      <c r="D66" s="1"/>
    </row>
    <row r="67" spans="2:4" customFormat="1" x14ac:dyDescent="0.15">
      <c r="B67" s="87" t="s">
        <v>15</v>
      </c>
      <c r="C67" s="1" t="s">
        <v>19</v>
      </c>
      <c r="D67" s="1" t="s">
        <v>18</v>
      </c>
    </row>
    <row r="68" spans="2:4" customFormat="1" x14ac:dyDescent="0.15">
      <c r="B68" s="87">
        <f>IF(小児慢性特定疾病意見書記載項目計算!C4="M",P$5*B71^7+Q$5*B71^6+R$5*B71^5+S$5*B71^4+T$5*B71^3+U$5*B71^2+V$5*B71+W$5,IF(B71&lt;186,P$8*B71^7+Q$8*B71^6+R$8*B71^5+S$8*B71^4+T$8*B71^3+U$8*B71^2+V$8*B71+W$8,$U$9+$V$9*(B71-$W$9)))</f>
        <v>0.75407122999999998</v>
      </c>
      <c r="C68" s="1">
        <f>IF(小児慢性特定疾病意見書記載項目計算!C4="M",IF(B71&lt;45,M$23*B71^10+N$23*B71^9+O$23*B71^8+P$23*B71^7+Q$23*B71^6+R$23*B71^5+S$23*B71^4+T$23*B71^3+U$23*B71^2+V$23*B71+W$23,IF(B71&lt;153,M$25*B71^10+N$25*B71^9+O$25*B71^8+P$25*B71^7+Q$25*B71^6+R$25*B71^5+S$25*B71^4+T$25*B71^3+U$25*B71^2+V$25*B71+W$25,M$27+N$27/(1+EXP(O$27+P$27*B71)))),IF(B71&lt;43.8,M$29*B71^10+N$29*B71^9+O$29*B71^8+P$29*B71^7+Q$29*B71^6+R$29*B71^5+S$29*B71^4+T$29*B71^3+U$29*B71^2+V$29*B71+W$29-0.010431*(1-B71/210),IF(B71&lt;123,M$30*B71^10+N$30*B71^9+O$30*B71^8+P$30*B71^7+Q$30*B71^6+R$30*B71^5+S$30*B71^4+T$30*B71^3+U$30*B71^2+V$30*B71+W$30-0.010431*(1-1/B71),M$32+N$32/(1+EXP(O$32+P$32*B71))-0.010431*(1-B71/210))))</f>
        <v>2.9500001032655536</v>
      </c>
      <c r="D68" s="1">
        <f>IF(小児慢性特定疾病意見書記載項目計算!C4="M",IF(B71&lt;162,P$12*B71^7+Q$12*B71^6+R$12*B71^5+S$12*B71^4+T$12*B71^3+U$12*B71^2+V$12*B71+W$12,P$14*B71^7+Q$14*B71^6+R$14*B71^5+S$14*B71^4+T$14*B71^3+U$14*B71^2+V$14*B71+W$14),IF(B71&lt;156,O$17*B71^8+P$17*B71^7+Q$17*B71^6+R$17*B71^5+S$17*B71^4+T$17*B71^3+U$17*B71^2+V$17*B71+W$17,IF(B71&lt;186,$U$18+($V$18-$U$18)/24*(B71-186)+$W$18*(-B71+186)^2-0.005,$U$18+($V$18-$U$18)/24*(B71-186)-0.005)))</f>
        <v>0.14604529399999999</v>
      </c>
    </row>
    <row r="70" spans="2:4" customFormat="1" x14ac:dyDescent="0.15">
      <c r="B70" s="1" t="s">
        <v>183</v>
      </c>
      <c r="C70" s="1"/>
      <c r="D70" s="1"/>
    </row>
    <row r="71" spans="2:4" customFormat="1" x14ac:dyDescent="0.15">
      <c r="B71" s="1">
        <f>BMILMS!B45*12+BMILMS!C45</f>
        <v>0</v>
      </c>
      <c r="C71" s="1"/>
      <c r="D71" s="1"/>
    </row>
    <row r="79" spans="2:4" customFormat="1" x14ac:dyDescent="0.15">
      <c r="B79" s="87" t="s">
        <v>15</v>
      </c>
      <c r="C79" s="1" t="s">
        <v>19</v>
      </c>
      <c r="D79" s="1" t="s">
        <v>18</v>
      </c>
    </row>
    <row r="80" spans="2:4" customFormat="1" x14ac:dyDescent="0.15">
      <c r="B80" s="87">
        <f>IF(小児慢性特定疾病意見書記載項目計算!C4="M",P$5*B83^7+Q$5*B83^6+R$5*B83^5+S$5*B83^4+T$5*B83^3+U$5*B83^2+V$5*B83+W$5,IF(B83&lt;186,P$8*B83^7+Q$8*B83^6+R$8*B83^5+S$8*B83^4+T$8*B83^3+U$8*B83^2+V$8*B83+W$8,$U$9+$V$9*(B83-$W$9)))</f>
        <v>0.75407122999999998</v>
      </c>
      <c r="C80" s="1">
        <f>IF(小児慢性特定疾病意見書記載項目計算!C4="M",IF(B83&lt;45,M$23*B83^10+N$23*B83^9+O$23*B83^8+P$23*B83^7+Q$23*B83^6+R$23*B83^5+S$23*B83^4+T$23*B83^3+U$23*B83^2+V$23*B83+W$23,IF(B83&lt;153,M$25*B83^10+N$25*B83^9+O$25*B83^8+P$25*B83^7+Q$25*B83^6+R$25*B83^5+S$25*B83^4+T$25*B83^3+U$25*B83^2+V$25*B83+W$25,M$27+N$27/(1+EXP(O$27+P$27*B83)))),IF(B83&lt;43.8,M$29*B83^10+N$29*B83^9+O$29*B83^8+P$29*B83^7+Q$29*B83^6+R$29*B83^5+S$29*B83^4+T$29*B83^3+U$29*B83^2+V$29*B83+W$29-0.010431*(1-B83/210),IF(B83&lt;123,M$30*B83^10+N$30*B83^9+O$30*B83^8+P$30*B83^7+Q$30*B83^6+R$30*B83^5+S$30*B83^4+T$30*B83^3+U$30*B83^2+V$30*B83+W$30-0.010431*(1-1/B83),M$32+N$32/(1+EXP(O$32+P$32*B83))-0.010431*(1-B83/210))))</f>
        <v>2.9500001032655536</v>
      </c>
      <c r="D80" s="1">
        <f>IF(小児慢性特定疾病意見書記載項目計算!C4="M",IF(B83&lt;162,P$12*B83^7+Q$12*B83^6+R$12*B83^5+S$12*B83^4+T$12*B83^3+U$12*B83^2+V$12*B83+W$12,P$14*B83^7+Q$14*B83^6+R$14*B83^5+S$14*B83^4+T$14*B83^3+U$14*B83^2+V$14*B83+W$14),IF(B83&lt;156,O$17*B83^8+P$17*B83^7+Q$17*B83^6+R$17*B83^5+S$17*B83^4+T$17*B83^3+U$17*B83^2+V$17*B83+W$17,IF(B83&lt;186,$U$18+($V$18-$U$18)/24*(B83-186)+$W$18*(-B83+186)^2-0.005,$U$18+($V$18-$U$18)/24*(B83-186)-0.005)))</f>
        <v>0.14604529399999999</v>
      </c>
    </row>
    <row r="82" spans="2:2" customFormat="1" x14ac:dyDescent="0.15">
      <c r="B82" s="1" t="s">
        <v>235</v>
      </c>
    </row>
    <row r="83" spans="2:2" customFormat="1" x14ac:dyDescent="0.15">
      <c r="B83" s="1">
        <f>BMILMS!F45*12+BMILMS!G45</f>
        <v>0</v>
      </c>
    </row>
  </sheetData>
  <sheetProtection password="8E09" sheet="1" objects="1" scenarios="1" selectLockedCells="1" selectUnlockedCells="1"/>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W545"/>
  <sheetViews>
    <sheetView topLeftCell="V70" workbookViewId="0">
      <selection activeCell="U70" sqref="A1:U1048576"/>
    </sheetView>
  </sheetViews>
  <sheetFormatPr defaultRowHeight="13.5" x14ac:dyDescent="0.15"/>
  <cols>
    <col min="1" max="21" width="9" hidden="1" customWidth="1"/>
  </cols>
  <sheetData>
    <row r="1" spans="1:49" x14ac:dyDescent="0.15">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row>
    <row r="2" spans="1:49" x14ac:dyDescent="0.15">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row>
    <row r="3" spans="1:49" ht="14.25" x14ac:dyDescent="0.15">
      <c r="A3" s="116" t="s">
        <v>213</v>
      </c>
      <c r="B3" s="117"/>
      <c r="C3" s="118"/>
      <c r="D3" s="117"/>
      <c r="E3" s="118"/>
      <c r="F3" s="119"/>
      <c r="G3" s="119"/>
      <c r="H3" s="119"/>
      <c r="I3" s="119"/>
      <c r="J3" s="119"/>
      <c r="K3" s="117"/>
      <c r="L3" s="120" t="s">
        <v>214</v>
      </c>
      <c r="M3" s="117"/>
      <c r="N3" s="118"/>
      <c r="O3" s="117"/>
      <c r="P3" s="118"/>
      <c r="Q3" s="119"/>
      <c r="R3" s="119"/>
      <c r="S3" s="119"/>
      <c r="T3" s="119"/>
      <c r="U3" s="119"/>
      <c r="V3" s="24"/>
      <c r="W3" s="24"/>
      <c r="X3" s="24"/>
      <c r="Y3" s="24"/>
      <c r="Z3" s="24"/>
      <c r="AA3" s="24"/>
      <c r="AB3" s="24"/>
      <c r="AC3" s="24"/>
      <c r="AD3" s="24"/>
      <c r="AE3" s="24"/>
      <c r="AF3" s="24"/>
      <c r="AG3" s="24"/>
      <c r="AH3" s="24"/>
      <c r="AI3" s="24"/>
      <c r="AJ3" s="24"/>
      <c r="AK3" s="24"/>
      <c r="AL3" s="24"/>
      <c r="AM3" s="24"/>
      <c r="AN3" s="24"/>
      <c r="AO3" s="24"/>
      <c r="AP3" s="24"/>
      <c r="AQ3" s="24"/>
      <c r="AR3" s="24"/>
      <c r="AS3" s="24"/>
      <c r="AT3" s="24"/>
      <c r="AU3" s="24"/>
      <c r="AV3" s="24"/>
      <c r="AW3" s="24"/>
    </row>
    <row r="4" spans="1:49" ht="14.25" x14ac:dyDescent="0.15">
      <c r="A4" s="116"/>
      <c r="B4" s="117"/>
      <c r="C4" s="118"/>
      <c r="D4" s="117"/>
      <c r="E4" s="118"/>
      <c r="F4" s="119"/>
      <c r="G4" s="119"/>
      <c r="H4" s="119"/>
      <c r="I4" s="119"/>
      <c r="J4" s="119"/>
      <c r="K4" s="117"/>
      <c r="L4" s="120"/>
      <c r="M4" s="117"/>
      <c r="N4" s="118"/>
      <c r="O4" s="117"/>
      <c r="P4" s="118"/>
      <c r="Q4" s="119"/>
      <c r="R4" s="119"/>
      <c r="S4" s="119"/>
      <c r="T4" s="119"/>
      <c r="U4" s="119"/>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row>
    <row r="5" spans="1:49" ht="14.25" x14ac:dyDescent="0.15">
      <c r="B5" s="121" t="s">
        <v>215</v>
      </c>
      <c r="C5" s="122" t="s">
        <v>216</v>
      </c>
      <c r="D5" s="123" t="s">
        <v>217</v>
      </c>
      <c r="E5" s="124" t="s">
        <v>218</v>
      </c>
      <c r="F5" s="125" t="s">
        <v>219</v>
      </c>
      <c r="G5" s="125" t="s">
        <v>220</v>
      </c>
      <c r="H5" s="126" t="s">
        <v>221</v>
      </c>
      <c r="I5" s="126" t="s">
        <v>222</v>
      </c>
      <c r="J5" s="126" t="s">
        <v>223</v>
      </c>
      <c r="L5" s="117"/>
      <c r="M5" s="121" t="s">
        <v>215</v>
      </c>
      <c r="N5" s="122" t="s">
        <v>216</v>
      </c>
      <c r="O5" s="123" t="s">
        <v>217</v>
      </c>
      <c r="P5" s="124" t="s">
        <v>218</v>
      </c>
      <c r="Q5" s="125" t="s">
        <v>219</v>
      </c>
      <c r="R5" s="125" t="s">
        <v>220</v>
      </c>
      <c r="S5" s="126" t="s">
        <v>221</v>
      </c>
      <c r="T5" s="125" t="s">
        <v>224</v>
      </c>
      <c r="U5" s="125" t="s">
        <v>225</v>
      </c>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row>
    <row r="6" spans="1:49" ht="14.25" x14ac:dyDescent="0.15">
      <c r="B6" s="127">
        <v>0</v>
      </c>
      <c r="C6" s="128">
        <v>0.65800000000000003</v>
      </c>
      <c r="D6" s="129">
        <v>67</v>
      </c>
      <c r="E6" s="130">
        <v>0.52400000000000002</v>
      </c>
      <c r="F6" s="131">
        <v>11</v>
      </c>
      <c r="G6" s="131">
        <v>35</v>
      </c>
      <c r="H6" s="131">
        <v>67</v>
      </c>
      <c r="I6" s="131">
        <v>105</v>
      </c>
      <c r="J6" s="131">
        <v>149</v>
      </c>
      <c r="L6" s="117"/>
      <c r="M6" s="127">
        <v>0</v>
      </c>
      <c r="N6" s="128">
        <v>0.56299999999999994</v>
      </c>
      <c r="O6" s="129">
        <v>69</v>
      </c>
      <c r="P6" s="130">
        <v>0.51</v>
      </c>
      <c r="Q6" s="131">
        <v>15</v>
      </c>
      <c r="R6" s="131">
        <v>38</v>
      </c>
      <c r="S6" s="131">
        <v>69</v>
      </c>
      <c r="T6" s="131">
        <v>107</v>
      </c>
      <c r="U6" s="131">
        <v>154</v>
      </c>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row>
    <row r="7" spans="1:49" ht="14.25" x14ac:dyDescent="0.15">
      <c r="B7" s="127">
        <v>1</v>
      </c>
      <c r="C7" s="128">
        <v>0.64700000000000002</v>
      </c>
      <c r="D7" s="129">
        <v>69</v>
      </c>
      <c r="E7" s="130">
        <v>0.498</v>
      </c>
      <c r="F7" s="131">
        <v>14</v>
      </c>
      <c r="G7" s="131">
        <v>38</v>
      </c>
      <c r="H7" s="131">
        <v>69</v>
      </c>
      <c r="I7" s="131">
        <v>106</v>
      </c>
      <c r="J7" s="131">
        <v>148</v>
      </c>
      <c r="L7" s="117"/>
      <c r="M7" s="127">
        <v>1</v>
      </c>
      <c r="N7" s="128">
        <v>0.49</v>
      </c>
      <c r="O7" s="129">
        <v>85</v>
      </c>
      <c r="P7" s="130">
        <v>0.48</v>
      </c>
      <c r="Q7" s="131">
        <v>23</v>
      </c>
      <c r="R7" s="131">
        <v>49</v>
      </c>
      <c r="S7" s="131">
        <v>85</v>
      </c>
      <c r="T7" s="131">
        <v>130</v>
      </c>
      <c r="U7" s="131">
        <v>186</v>
      </c>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row>
    <row r="8" spans="1:49" ht="14.25" x14ac:dyDescent="0.15">
      <c r="B8" s="127">
        <v>2</v>
      </c>
      <c r="C8" s="128">
        <v>0.63500000000000001</v>
      </c>
      <c r="D8" s="129">
        <v>74</v>
      </c>
      <c r="E8" s="130">
        <v>0.46899999999999997</v>
      </c>
      <c r="F8" s="131">
        <v>18</v>
      </c>
      <c r="G8" s="131">
        <v>42</v>
      </c>
      <c r="H8" s="131">
        <v>74</v>
      </c>
      <c r="I8" s="131">
        <v>111</v>
      </c>
      <c r="J8" s="131">
        <v>154</v>
      </c>
      <c r="L8" s="117"/>
      <c r="M8" s="127">
        <v>2</v>
      </c>
      <c r="N8" s="128">
        <v>0.41899999999999998</v>
      </c>
      <c r="O8" s="129">
        <v>99</v>
      </c>
      <c r="P8" s="130">
        <v>0.45100000000000001</v>
      </c>
      <c r="Q8" s="131">
        <v>32</v>
      </c>
      <c r="R8" s="131">
        <v>60</v>
      </c>
      <c r="S8" s="131">
        <v>99</v>
      </c>
      <c r="T8" s="131">
        <v>150</v>
      </c>
      <c r="U8" s="131">
        <v>213</v>
      </c>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row>
    <row r="9" spans="1:49" ht="14.25" x14ac:dyDescent="0.15">
      <c r="B9" s="127">
        <v>3</v>
      </c>
      <c r="C9" s="128">
        <v>0.622</v>
      </c>
      <c r="D9" s="129">
        <v>82</v>
      </c>
      <c r="E9" s="130">
        <v>0.432</v>
      </c>
      <c r="F9" s="131">
        <v>24</v>
      </c>
      <c r="G9" s="131">
        <v>50</v>
      </c>
      <c r="H9" s="131">
        <v>82</v>
      </c>
      <c r="I9" s="131">
        <v>120</v>
      </c>
      <c r="J9" s="131">
        <v>164</v>
      </c>
      <c r="L9" s="117"/>
      <c r="M9" s="127">
        <v>3</v>
      </c>
      <c r="N9" s="128">
        <v>0.35</v>
      </c>
      <c r="O9" s="129">
        <v>108</v>
      </c>
      <c r="P9" s="130">
        <v>0.42199999999999999</v>
      </c>
      <c r="Q9" s="131">
        <v>40</v>
      </c>
      <c r="R9" s="131">
        <v>69</v>
      </c>
      <c r="S9" s="131">
        <v>108</v>
      </c>
      <c r="T9" s="131">
        <v>161</v>
      </c>
      <c r="U9" s="131">
        <v>227</v>
      </c>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row>
    <row r="10" spans="1:49" ht="14.25" x14ac:dyDescent="0.15">
      <c r="B10" s="127">
        <v>4</v>
      </c>
      <c r="C10" s="128">
        <v>0.60699999999999998</v>
      </c>
      <c r="D10" s="129">
        <v>93</v>
      </c>
      <c r="E10" s="130">
        <v>0.39</v>
      </c>
      <c r="F10" s="131">
        <v>32</v>
      </c>
      <c r="G10" s="131">
        <v>60</v>
      </c>
      <c r="H10" s="131">
        <v>93</v>
      </c>
      <c r="I10" s="131">
        <v>132</v>
      </c>
      <c r="J10" s="131">
        <v>176</v>
      </c>
      <c r="L10" s="117"/>
      <c r="M10" s="127">
        <v>4</v>
      </c>
      <c r="N10" s="128">
        <v>0.28299999999999997</v>
      </c>
      <c r="O10" s="129">
        <v>116</v>
      </c>
      <c r="P10" s="130">
        <v>0.39500000000000002</v>
      </c>
      <c r="Q10" s="131">
        <v>48</v>
      </c>
      <c r="R10" s="131">
        <v>77</v>
      </c>
      <c r="S10" s="131">
        <v>116</v>
      </c>
      <c r="T10" s="131">
        <v>169</v>
      </c>
      <c r="U10" s="131">
        <v>238</v>
      </c>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row>
    <row r="11" spans="1:49" ht="14.25" x14ac:dyDescent="0.15">
      <c r="B11" s="127">
        <v>5</v>
      </c>
      <c r="C11" s="128">
        <v>0.59199999999999997</v>
      </c>
      <c r="D11" s="129">
        <v>108</v>
      </c>
      <c r="E11" s="130">
        <v>0.34899999999999998</v>
      </c>
      <c r="F11" s="131">
        <v>44</v>
      </c>
      <c r="G11" s="131">
        <v>73</v>
      </c>
      <c r="H11" s="131">
        <v>108</v>
      </c>
      <c r="I11" s="131">
        <v>148</v>
      </c>
      <c r="J11" s="131">
        <v>193</v>
      </c>
      <c r="L11" s="117"/>
      <c r="M11" s="127">
        <v>5</v>
      </c>
      <c r="N11" s="128">
        <v>0.22</v>
      </c>
      <c r="O11" s="129">
        <v>126</v>
      </c>
      <c r="P11" s="130">
        <v>0.372</v>
      </c>
      <c r="Q11" s="131">
        <v>56</v>
      </c>
      <c r="R11" s="131">
        <v>86</v>
      </c>
      <c r="S11" s="131">
        <v>126</v>
      </c>
      <c r="T11" s="131">
        <v>181</v>
      </c>
      <c r="U11" s="131">
        <v>252</v>
      </c>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row>
    <row r="12" spans="1:49" ht="14.25" x14ac:dyDescent="0.15">
      <c r="B12" s="127">
        <v>6</v>
      </c>
      <c r="C12" s="128">
        <v>0.57699999999999996</v>
      </c>
      <c r="D12" s="129">
        <v>124</v>
      </c>
      <c r="E12" s="130">
        <v>0.32400000000000001</v>
      </c>
      <c r="F12" s="131">
        <v>55</v>
      </c>
      <c r="G12" s="131">
        <v>86</v>
      </c>
      <c r="H12" s="131">
        <v>124</v>
      </c>
      <c r="I12" s="131">
        <v>166</v>
      </c>
      <c r="J12" s="131">
        <v>215</v>
      </c>
      <c r="L12" s="117"/>
      <c r="M12" s="127">
        <v>6</v>
      </c>
      <c r="N12" s="128">
        <v>0.16200000000000001</v>
      </c>
      <c r="O12" s="129">
        <v>147</v>
      </c>
      <c r="P12" s="130">
        <v>0.35499999999999998</v>
      </c>
      <c r="Q12" s="131">
        <v>69</v>
      </c>
      <c r="R12" s="131">
        <v>102</v>
      </c>
      <c r="S12" s="131">
        <v>147</v>
      </c>
      <c r="T12" s="131">
        <v>207</v>
      </c>
      <c r="U12" s="131">
        <v>287</v>
      </c>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row>
    <row r="13" spans="1:49" ht="14.25" x14ac:dyDescent="0.15">
      <c r="B13" s="127">
        <v>7</v>
      </c>
      <c r="C13" s="128">
        <v>0.56100000000000005</v>
      </c>
      <c r="D13" s="129">
        <v>142</v>
      </c>
      <c r="E13" s="130">
        <v>0.32500000000000001</v>
      </c>
      <c r="F13" s="131">
        <v>63</v>
      </c>
      <c r="G13" s="131">
        <v>99</v>
      </c>
      <c r="H13" s="131">
        <v>142</v>
      </c>
      <c r="I13" s="131">
        <v>192</v>
      </c>
      <c r="J13" s="131">
        <v>247</v>
      </c>
      <c r="L13" s="117"/>
      <c r="M13" s="127">
        <v>7</v>
      </c>
      <c r="N13" s="128">
        <v>0.109</v>
      </c>
      <c r="O13" s="129">
        <v>183</v>
      </c>
      <c r="P13" s="130">
        <v>0.34599999999999997</v>
      </c>
      <c r="Q13" s="131">
        <v>89</v>
      </c>
      <c r="R13" s="131">
        <v>129</v>
      </c>
      <c r="S13" s="131">
        <v>183</v>
      </c>
      <c r="T13" s="131">
        <v>257</v>
      </c>
      <c r="U13" s="131">
        <v>357</v>
      </c>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row>
    <row r="14" spans="1:49" ht="14.25" x14ac:dyDescent="0.15">
      <c r="B14" s="127">
        <v>8</v>
      </c>
      <c r="C14" s="128">
        <v>0.54500000000000004</v>
      </c>
      <c r="D14" s="129">
        <v>165</v>
      </c>
      <c r="E14" s="130">
        <v>0.33500000000000002</v>
      </c>
      <c r="F14" s="131">
        <v>72</v>
      </c>
      <c r="G14" s="131">
        <v>114</v>
      </c>
      <c r="H14" s="131">
        <v>165</v>
      </c>
      <c r="I14" s="131">
        <v>225</v>
      </c>
      <c r="J14" s="131">
        <v>292</v>
      </c>
      <c r="L14" s="117"/>
      <c r="M14" s="127">
        <v>8</v>
      </c>
      <c r="N14" s="128">
        <v>6.5000000000000002E-2</v>
      </c>
      <c r="O14" s="129">
        <v>224</v>
      </c>
      <c r="P14" s="130">
        <v>0.34200000000000003</v>
      </c>
      <c r="Q14" s="131">
        <v>111</v>
      </c>
      <c r="R14" s="131">
        <v>159</v>
      </c>
      <c r="S14" s="131">
        <v>224</v>
      </c>
      <c r="T14" s="131">
        <v>314</v>
      </c>
      <c r="U14" s="131">
        <v>438</v>
      </c>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row>
    <row r="15" spans="1:49" ht="14.25" x14ac:dyDescent="0.15">
      <c r="B15" s="127">
        <v>9</v>
      </c>
      <c r="C15" s="128">
        <v>0.52700000000000002</v>
      </c>
      <c r="D15" s="129">
        <v>195</v>
      </c>
      <c r="E15" s="130">
        <v>0.34200000000000003</v>
      </c>
      <c r="F15" s="131">
        <v>84</v>
      </c>
      <c r="G15" s="131">
        <v>134</v>
      </c>
      <c r="H15" s="131">
        <v>195</v>
      </c>
      <c r="I15" s="131">
        <v>267</v>
      </c>
      <c r="J15" s="131">
        <v>350</v>
      </c>
      <c r="L15" s="117"/>
      <c r="M15" s="127">
        <v>9</v>
      </c>
      <c r="N15" s="128">
        <v>2.8000000000000001E-2</v>
      </c>
      <c r="O15" s="129">
        <v>264</v>
      </c>
      <c r="P15" s="130">
        <v>0.33900000000000002</v>
      </c>
      <c r="Q15" s="131">
        <v>133</v>
      </c>
      <c r="R15" s="131">
        <v>188</v>
      </c>
      <c r="S15" s="131">
        <v>264</v>
      </c>
      <c r="T15" s="131">
        <v>370</v>
      </c>
      <c r="U15" s="131">
        <v>517</v>
      </c>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row>
    <row r="16" spans="1:49" ht="14.25" x14ac:dyDescent="0.15">
      <c r="B16" s="127">
        <v>10</v>
      </c>
      <c r="C16" s="128">
        <v>0.50900000000000001</v>
      </c>
      <c r="D16" s="129">
        <v>233</v>
      </c>
      <c r="E16" s="130">
        <v>0.34799999999999998</v>
      </c>
      <c r="F16" s="131">
        <v>99</v>
      </c>
      <c r="G16" s="131">
        <v>159</v>
      </c>
      <c r="H16" s="131">
        <v>233</v>
      </c>
      <c r="I16" s="131">
        <v>321</v>
      </c>
      <c r="J16" s="131">
        <v>423</v>
      </c>
      <c r="L16" s="117"/>
      <c r="M16" s="127">
        <v>10</v>
      </c>
      <c r="N16" s="128">
        <v>-3.5840619999999998E-4</v>
      </c>
      <c r="O16" s="129">
        <v>302</v>
      </c>
      <c r="P16" s="130">
        <v>0.33300000000000002</v>
      </c>
      <c r="Q16" s="131">
        <v>155</v>
      </c>
      <c r="R16" s="131">
        <v>217</v>
      </c>
      <c r="S16" s="131">
        <v>302</v>
      </c>
      <c r="T16" s="131">
        <v>422</v>
      </c>
      <c r="U16" s="131">
        <v>588</v>
      </c>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row>
    <row r="17" spans="2:49" ht="14.25" x14ac:dyDescent="0.15">
      <c r="B17" s="127">
        <v>11</v>
      </c>
      <c r="C17" s="128">
        <v>0.49299999999999999</v>
      </c>
      <c r="D17" s="129">
        <v>272</v>
      </c>
      <c r="E17" s="130">
        <v>0.35499999999999998</v>
      </c>
      <c r="F17" s="131">
        <v>113</v>
      </c>
      <c r="G17" s="131">
        <v>184</v>
      </c>
      <c r="H17" s="131">
        <v>272</v>
      </c>
      <c r="I17" s="131">
        <v>377</v>
      </c>
      <c r="J17" s="131">
        <v>499</v>
      </c>
      <c r="L17" s="117"/>
      <c r="M17" s="127">
        <v>11</v>
      </c>
      <c r="N17" s="128">
        <v>-2.1000000000000001E-2</v>
      </c>
      <c r="O17" s="129">
        <v>333</v>
      </c>
      <c r="P17" s="130">
        <v>0.32300000000000001</v>
      </c>
      <c r="Q17" s="131">
        <v>175</v>
      </c>
      <c r="R17" s="131">
        <v>241</v>
      </c>
      <c r="S17" s="131">
        <v>333</v>
      </c>
      <c r="T17" s="131">
        <v>460</v>
      </c>
      <c r="U17" s="131">
        <v>638</v>
      </c>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row>
    <row r="18" spans="2:49" ht="14.25" x14ac:dyDescent="0.15">
      <c r="B18" s="127">
        <v>12</v>
      </c>
      <c r="C18" s="128">
        <v>0.48099999999999998</v>
      </c>
      <c r="D18" s="129">
        <v>301</v>
      </c>
      <c r="E18" s="130">
        <v>0.35899999999999999</v>
      </c>
      <c r="F18" s="131">
        <v>125</v>
      </c>
      <c r="G18" s="131">
        <v>203</v>
      </c>
      <c r="H18" s="131">
        <v>301</v>
      </c>
      <c r="I18" s="131">
        <v>419</v>
      </c>
      <c r="J18" s="131">
        <v>557</v>
      </c>
      <c r="L18" s="117"/>
      <c r="M18" s="127">
        <v>12</v>
      </c>
      <c r="N18" s="128">
        <v>-3.5999999999999997E-2</v>
      </c>
      <c r="O18" s="129">
        <v>348</v>
      </c>
      <c r="P18" s="130">
        <v>0.312</v>
      </c>
      <c r="Q18" s="131">
        <v>188</v>
      </c>
      <c r="R18" s="131">
        <v>255</v>
      </c>
      <c r="S18" s="131">
        <v>348</v>
      </c>
      <c r="T18" s="131">
        <v>476</v>
      </c>
      <c r="U18" s="131">
        <v>654</v>
      </c>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row>
    <row r="19" spans="2:49" ht="14.25" x14ac:dyDescent="0.15">
      <c r="B19" s="127">
        <v>13</v>
      </c>
      <c r="C19" s="128">
        <v>0.47299999999999998</v>
      </c>
      <c r="D19" s="129">
        <v>315</v>
      </c>
      <c r="E19" s="130">
        <v>0.35299999999999998</v>
      </c>
      <c r="F19" s="131">
        <v>133</v>
      </c>
      <c r="G19" s="131">
        <v>214</v>
      </c>
      <c r="H19" s="131">
        <v>315</v>
      </c>
      <c r="I19" s="131">
        <v>436</v>
      </c>
      <c r="J19" s="131">
        <v>579</v>
      </c>
      <c r="L19" s="117"/>
      <c r="M19" s="127">
        <v>13</v>
      </c>
      <c r="N19" s="128">
        <v>-4.4999999999999998E-2</v>
      </c>
      <c r="O19" s="129">
        <v>349</v>
      </c>
      <c r="P19" s="130">
        <v>0.30099999999999999</v>
      </c>
      <c r="Q19" s="131">
        <v>193</v>
      </c>
      <c r="R19" s="131">
        <v>259</v>
      </c>
      <c r="S19" s="131">
        <v>349</v>
      </c>
      <c r="T19" s="131">
        <v>473</v>
      </c>
      <c r="U19" s="131">
        <v>643</v>
      </c>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row>
    <row r="20" spans="2:49" ht="14.25" x14ac:dyDescent="0.15">
      <c r="B20" s="127">
        <v>14</v>
      </c>
      <c r="C20" s="128">
        <v>0.46800000000000003</v>
      </c>
      <c r="D20" s="129">
        <v>315</v>
      </c>
      <c r="E20" s="130">
        <v>0.34200000000000003</v>
      </c>
      <c r="F20" s="131">
        <v>138</v>
      </c>
      <c r="G20" s="131">
        <v>217</v>
      </c>
      <c r="H20" s="131">
        <v>315</v>
      </c>
      <c r="I20" s="131">
        <v>433</v>
      </c>
      <c r="J20" s="131">
        <v>570</v>
      </c>
      <c r="L20" s="117"/>
      <c r="M20" s="127">
        <v>14</v>
      </c>
      <c r="N20" s="128">
        <v>-0.05</v>
      </c>
      <c r="O20" s="129">
        <v>344</v>
      </c>
      <c r="P20" s="130">
        <v>0.29399999999999998</v>
      </c>
      <c r="Q20" s="131">
        <v>193</v>
      </c>
      <c r="R20" s="131">
        <v>257</v>
      </c>
      <c r="S20" s="131">
        <v>344</v>
      </c>
      <c r="T20" s="131">
        <v>463</v>
      </c>
      <c r="U20" s="131">
        <v>625</v>
      </c>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row>
    <row r="21" spans="2:49" ht="14.25" x14ac:dyDescent="0.15">
      <c r="B21" s="127">
        <v>15</v>
      </c>
      <c r="C21" s="128">
        <v>0.46500000000000002</v>
      </c>
      <c r="D21" s="129">
        <v>310</v>
      </c>
      <c r="E21" s="130">
        <v>0.33100000000000002</v>
      </c>
      <c r="F21" s="131">
        <v>141</v>
      </c>
      <c r="G21" s="131">
        <v>217</v>
      </c>
      <c r="H21" s="131">
        <v>310</v>
      </c>
      <c r="I21" s="131">
        <v>422</v>
      </c>
      <c r="J21" s="131">
        <v>552</v>
      </c>
      <c r="L21" s="117"/>
      <c r="M21" s="127">
        <v>15</v>
      </c>
      <c r="N21" s="128">
        <v>-5.1999999999999998E-2</v>
      </c>
      <c r="O21" s="129">
        <v>341</v>
      </c>
      <c r="P21" s="130">
        <v>0.28999999999999998</v>
      </c>
      <c r="Q21" s="131">
        <v>192</v>
      </c>
      <c r="R21" s="131">
        <v>256</v>
      </c>
      <c r="S21" s="131">
        <v>341</v>
      </c>
      <c r="T21" s="131">
        <v>456</v>
      </c>
      <c r="U21" s="131">
        <v>614</v>
      </c>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row>
    <row r="22" spans="2:49" ht="14.25" x14ac:dyDescent="0.15">
      <c r="B22" s="127">
        <v>16</v>
      </c>
      <c r="C22" s="128">
        <v>0.46400000000000002</v>
      </c>
      <c r="D22" s="129">
        <v>307</v>
      </c>
      <c r="E22" s="130">
        <v>0.32600000000000001</v>
      </c>
      <c r="F22" s="131">
        <v>142</v>
      </c>
      <c r="G22" s="131">
        <v>216</v>
      </c>
      <c r="H22" s="131">
        <v>307</v>
      </c>
      <c r="I22" s="131">
        <v>416</v>
      </c>
      <c r="J22" s="131">
        <v>543</v>
      </c>
      <c r="L22" s="117"/>
      <c r="M22" s="127">
        <v>16</v>
      </c>
      <c r="N22" s="128">
        <v>-5.1999999999999998E-2</v>
      </c>
      <c r="O22" s="129">
        <v>340</v>
      </c>
      <c r="P22" s="130">
        <v>0.28899999999999998</v>
      </c>
      <c r="Q22" s="131">
        <v>192</v>
      </c>
      <c r="R22" s="131">
        <v>255</v>
      </c>
      <c r="S22" s="131">
        <v>340</v>
      </c>
      <c r="T22" s="131">
        <v>455</v>
      </c>
      <c r="U22" s="131">
        <v>611</v>
      </c>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row>
    <row r="23" spans="2:49" ht="14.25" x14ac:dyDescent="0.15">
      <c r="B23" s="127">
        <v>17</v>
      </c>
      <c r="C23" s="128">
        <v>0.46400000000000002</v>
      </c>
      <c r="D23" s="129">
        <v>306</v>
      </c>
      <c r="E23" s="130">
        <v>0.32400000000000001</v>
      </c>
      <c r="F23" s="131">
        <v>142</v>
      </c>
      <c r="G23" s="131">
        <v>216</v>
      </c>
      <c r="H23" s="131">
        <v>306</v>
      </c>
      <c r="I23" s="131">
        <v>414</v>
      </c>
      <c r="J23" s="131">
        <v>540</v>
      </c>
      <c r="L23" s="117"/>
      <c r="M23" s="127">
        <v>17</v>
      </c>
      <c r="N23" s="128">
        <v>-5.3999999999999999E-2</v>
      </c>
      <c r="O23" s="129">
        <v>335</v>
      </c>
      <c r="P23" s="130">
        <v>0.28599999999999998</v>
      </c>
      <c r="Q23" s="131">
        <v>191</v>
      </c>
      <c r="R23" s="131">
        <v>252</v>
      </c>
      <c r="S23" s="131">
        <v>335</v>
      </c>
      <c r="T23" s="131">
        <v>447</v>
      </c>
      <c r="U23" s="131">
        <v>599</v>
      </c>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row>
    <row r="24" spans="2:49" ht="14.25" x14ac:dyDescent="0.15">
      <c r="B24" s="127">
        <v>18</v>
      </c>
      <c r="C24" s="128">
        <v>0.46200000000000002</v>
      </c>
      <c r="D24" s="129">
        <v>301</v>
      </c>
      <c r="E24" s="130">
        <v>0.317</v>
      </c>
      <c r="F24" s="131">
        <v>142</v>
      </c>
      <c r="G24" s="131">
        <v>214</v>
      </c>
      <c r="H24" s="131">
        <v>301</v>
      </c>
      <c r="I24" s="131">
        <v>405</v>
      </c>
      <c r="J24" s="131">
        <v>526</v>
      </c>
      <c r="L24" s="117"/>
      <c r="M24" s="127">
        <v>18</v>
      </c>
      <c r="N24" s="128">
        <v>-5.7000000000000002E-2</v>
      </c>
      <c r="O24" s="129">
        <v>326</v>
      </c>
      <c r="P24" s="130">
        <v>0.27900000000000003</v>
      </c>
      <c r="Q24" s="131">
        <v>188</v>
      </c>
      <c r="R24" s="131">
        <v>247</v>
      </c>
      <c r="S24" s="131">
        <v>326</v>
      </c>
      <c r="T24" s="131">
        <v>431</v>
      </c>
      <c r="U24" s="131">
        <v>574</v>
      </c>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row>
    <row r="25" spans="2:49" ht="14.25" x14ac:dyDescent="0.15">
      <c r="B25" s="127">
        <v>19</v>
      </c>
      <c r="C25" s="128">
        <v>0.46100000000000002</v>
      </c>
      <c r="D25" s="129">
        <v>292</v>
      </c>
      <c r="E25" s="130">
        <v>0.30599999999999999</v>
      </c>
      <c r="F25" s="131">
        <v>143</v>
      </c>
      <c r="G25" s="131">
        <v>210</v>
      </c>
      <c r="H25" s="131">
        <v>292</v>
      </c>
      <c r="I25" s="131">
        <v>389</v>
      </c>
      <c r="J25" s="131">
        <v>501</v>
      </c>
      <c r="L25" s="117"/>
      <c r="M25" s="127">
        <v>19</v>
      </c>
      <c r="N25" s="128">
        <v>-0.06</v>
      </c>
      <c r="O25" s="129">
        <v>311</v>
      </c>
      <c r="P25" s="130">
        <v>0.27100000000000002</v>
      </c>
      <c r="Q25" s="131">
        <v>182</v>
      </c>
      <c r="R25" s="131">
        <v>238</v>
      </c>
      <c r="S25" s="131">
        <v>311</v>
      </c>
      <c r="T25" s="131">
        <v>408</v>
      </c>
      <c r="U25" s="131">
        <v>539</v>
      </c>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row>
    <row r="26" spans="2:49" ht="14.25" x14ac:dyDescent="0.15">
      <c r="B26" s="127">
        <v>20</v>
      </c>
      <c r="C26" s="128">
        <v>0.45800000000000002</v>
      </c>
      <c r="D26" s="129">
        <v>280</v>
      </c>
      <c r="E26" s="130">
        <v>0.29299999999999998</v>
      </c>
      <c r="F26" s="131">
        <v>142</v>
      </c>
      <c r="G26" s="131">
        <v>204</v>
      </c>
      <c r="H26" s="131">
        <v>280</v>
      </c>
      <c r="I26" s="131">
        <v>368</v>
      </c>
      <c r="J26" s="131">
        <v>470</v>
      </c>
      <c r="L26" s="117"/>
      <c r="M26" s="127">
        <v>20</v>
      </c>
      <c r="N26" s="128">
        <v>-6.2E-2</v>
      </c>
      <c r="O26" s="129">
        <v>293</v>
      </c>
      <c r="P26" s="130">
        <v>0.26100000000000001</v>
      </c>
      <c r="Q26" s="131">
        <v>175</v>
      </c>
      <c r="R26" s="131">
        <v>226</v>
      </c>
      <c r="S26" s="131">
        <v>293</v>
      </c>
      <c r="T26" s="131">
        <v>381</v>
      </c>
      <c r="U26" s="131">
        <v>499</v>
      </c>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row>
    <row r="27" spans="2:49" ht="14.25" x14ac:dyDescent="0.15">
      <c r="B27" s="127">
        <v>21</v>
      </c>
      <c r="C27" s="128">
        <v>0.45600000000000002</v>
      </c>
      <c r="D27" s="129">
        <v>265</v>
      </c>
      <c r="E27" s="130">
        <v>0.28000000000000003</v>
      </c>
      <c r="F27" s="131">
        <v>139</v>
      </c>
      <c r="G27" s="131">
        <v>197</v>
      </c>
      <c r="H27" s="131">
        <v>265</v>
      </c>
      <c r="I27" s="131">
        <v>345</v>
      </c>
      <c r="J27" s="131">
        <v>436</v>
      </c>
      <c r="L27" s="117"/>
      <c r="M27" s="127">
        <v>21</v>
      </c>
      <c r="N27" s="128">
        <v>-6.3E-2</v>
      </c>
      <c r="O27" s="129">
        <v>275</v>
      </c>
      <c r="P27" s="130">
        <v>0.252</v>
      </c>
      <c r="Q27" s="131">
        <v>168</v>
      </c>
      <c r="R27" s="131">
        <v>214</v>
      </c>
      <c r="S27" s="131">
        <v>275</v>
      </c>
      <c r="T27" s="131">
        <v>355</v>
      </c>
      <c r="U27" s="131">
        <v>459</v>
      </c>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row>
    <row r="28" spans="2:49" ht="14.25" x14ac:dyDescent="0.15">
      <c r="B28" s="127">
        <v>22</v>
      </c>
      <c r="C28" s="128">
        <v>0.45400000000000001</v>
      </c>
      <c r="D28" s="129">
        <v>251</v>
      </c>
      <c r="E28" s="130">
        <v>0.26900000000000002</v>
      </c>
      <c r="F28" s="131">
        <v>135</v>
      </c>
      <c r="G28" s="131">
        <v>188</v>
      </c>
      <c r="H28" s="131">
        <v>251</v>
      </c>
      <c r="I28" s="131">
        <v>323</v>
      </c>
      <c r="J28" s="131">
        <v>405</v>
      </c>
      <c r="L28" s="117"/>
      <c r="M28" s="127">
        <v>22</v>
      </c>
      <c r="N28" s="128">
        <v>-6.2E-2</v>
      </c>
      <c r="O28" s="129">
        <v>259</v>
      </c>
      <c r="P28" s="130">
        <v>0.24299999999999999</v>
      </c>
      <c r="Q28" s="131">
        <v>161</v>
      </c>
      <c r="R28" s="131">
        <v>204</v>
      </c>
      <c r="S28" s="131">
        <v>259</v>
      </c>
      <c r="T28" s="131">
        <v>331</v>
      </c>
      <c r="U28" s="131">
        <v>425</v>
      </c>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row>
    <row r="29" spans="2:49" ht="14.25" x14ac:dyDescent="0.15">
      <c r="B29" s="127">
        <v>23</v>
      </c>
      <c r="C29" s="128">
        <v>0.45200000000000001</v>
      </c>
      <c r="D29" s="129">
        <v>237</v>
      </c>
      <c r="E29" s="130">
        <v>0.26</v>
      </c>
      <c r="F29" s="131">
        <v>131</v>
      </c>
      <c r="G29" s="131">
        <v>180</v>
      </c>
      <c r="H29" s="131">
        <v>237</v>
      </c>
      <c r="I29" s="131">
        <v>304</v>
      </c>
      <c r="J29" s="131">
        <v>379</v>
      </c>
      <c r="L29" s="117"/>
      <c r="M29" s="127">
        <v>23</v>
      </c>
      <c r="N29" s="128">
        <v>-0.06</v>
      </c>
      <c r="O29" s="129">
        <v>247</v>
      </c>
      <c r="P29" s="130">
        <v>0.23499999999999999</v>
      </c>
      <c r="Q29" s="131">
        <v>155</v>
      </c>
      <c r="R29" s="131">
        <v>195</v>
      </c>
      <c r="S29" s="131">
        <v>247</v>
      </c>
      <c r="T29" s="131">
        <v>312</v>
      </c>
      <c r="U29" s="131">
        <v>397</v>
      </c>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row>
    <row r="30" spans="2:49" ht="14.25" x14ac:dyDescent="0.15">
      <c r="B30" s="127">
        <v>24</v>
      </c>
      <c r="C30" s="128">
        <v>0.44900000000000001</v>
      </c>
      <c r="D30" s="129">
        <v>226</v>
      </c>
      <c r="E30" s="130">
        <v>0.252</v>
      </c>
      <c r="F30" s="131">
        <v>128</v>
      </c>
      <c r="G30" s="131">
        <v>173</v>
      </c>
      <c r="H30" s="131">
        <v>226</v>
      </c>
      <c r="I30" s="131">
        <v>287</v>
      </c>
      <c r="J30" s="131">
        <v>356</v>
      </c>
      <c r="L30" s="117"/>
      <c r="M30" s="127">
        <v>24</v>
      </c>
      <c r="N30" s="128">
        <v>-5.6000000000000001E-2</v>
      </c>
      <c r="O30" s="129">
        <v>237</v>
      </c>
      <c r="P30" s="130">
        <v>0.22800000000000001</v>
      </c>
      <c r="Q30" s="131">
        <v>151</v>
      </c>
      <c r="R30" s="131">
        <v>189</v>
      </c>
      <c r="S30" s="131">
        <v>237</v>
      </c>
      <c r="T30" s="131">
        <v>297</v>
      </c>
      <c r="U30" s="131">
        <v>375</v>
      </c>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row>
    <row r="31" spans="2:49" ht="14.25" x14ac:dyDescent="0.15">
      <c r="B31" s="127">
        <v>25</v>
      </c>
      <c r="C31" s="128">
        <v>0.44700000000000001</v>
      </c>
      <c r="D31" s="129">
        <v>216</v>
      </c>
      <c r="E31" s="130">
        <v>0.245</v>
      </c>
      <c r="F31" s="131">
        <v>125</v>
      </c>
      <c r="G31" s="131">
        <v>167</v>
      </c>
      <c r="H31" s="131">
        <v>216</v>
      </c>
      <c r="I31" s="131">
        <v>273</v>
      </c>
      <c r="J31" s="131">
        <v>337</v>
      </c>
      <c r="L31" s="117"/>
      <c r="M31" s="127">
        <v>25</v>
      </c>
      <c r="N31" s="128">
        <v>-5.0999999999999997E-2</v>
      </c>
      <c r="O31" s="129">
        <v>228</v>
      </c>
      <c r="P31" s="130">
        <v>0.222</v>
      </c>
      <c r="Q31" s="131">
        <v>147</v>
      </c>
      <c r="R31" s="131">
        <v>183</v>
      </c>
      <c r="S31" s="131">
        <v>228</v>
      </c>
      <c r="T31" s="131">
        <v>286</v>
      </c>
      <c r="U31" s="131">
        <v>358</v>
      </c>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row>
    <row r="32" spans="2:49" ht="14.25" x14ac:dyDescent="0.15">
      <c r="B32" s="127">
        <v>26</v>
      </c>
      <c r="C32" s="128">
        <v>0.56100000000000005</v>
      </c>
      <c r="D32" s="129">
        <v>212</v>
      </c>
      <c r="E32" s="130">
        <v>0.248</v>
      </c>
      <c r="F32" s="131">
        <v>119</v>
      </c>
      <c r="G32" s="131">
        <v>163</v>
      </c>
      <c r="H32" s="131">
        <v>212</v>
      </c>
      <c r="I32" s="131">
        <v>268</v>
      </c>
      <c r="J32" s="131">
        <v>329</v>
      </c>
      <c r="L32" s="117"/>
      <c r="M32" s="127">
        <v>26</v>
      </c>
      <c r="N32" s="128">
        <v>7.8E-2</v>
      </c>
      <c r="O32" s="129">
        <v>223</v>
      </c>
      <c r="P32" s="130">
        <v>0.20899999999999999</v>
      </c>
      <c r="Q32" s="131">
        <v>146</v>
      </c>
      <c r="R32" s="131">
        <v>180</v>
      </c>
      <c r="S32" s="131">
        <v>223</v>
      </c>
      <c r="T32" s="131">
        <v>274</v>
      </c>
      <c r="U32" s="131">
        <v>336</v>
      </c>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row>
    <row r="33" spans="2:49" ht="14.25" x14ac:dyDescent="0.15">
      <c r="B33" s="127">
        <v>27</v>
      </c>
      <c r="C33" s="128">
        <v>0.55600000000000005</v>
      </c>
      <c r="D33" s="129">
        <v>208</v>
      </c>
      <c r="E33" s="130">
        <v>0.248</v>
      </c>
      <c r="F33" s="131">
        <v>116</v>
      </c>
      <c r="G33" s="131">
        <v>159</v>
      </c>
      <c r="H33" s="131">
        <v>208</v>
      </c>
      <c r="I33" s="131">
        <v>262</v>
      </c>
      <c r="J33" s="131">
        <v>322</v>
      </c>
      <c r="L33" s="117"/>
      <c r="M33" s="127">
        <v>27</v>
      </c>
      <c r="N33" s="128">
        <v>9.9000000000000005E-2</v>
      </c>
      <c r="O33" s="129">
        <v>217</v>
      </c>
      <c r="P33" s="130">
        <v>0.21</v>
      </c>
      <c r="Q33" s="131">
        <v>141</v>
      </c>
      <c r="R33" s="131">
        <v>176</v>
      </c>
      <c r="S33" s="131">
        <v>217</v>
      </c>
      <c r="T33" s="131">
        <v>267</v>
      </c>
      <c r="U33" s="131">
        <v>328</v>
      </c>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row>
    <row r="34" spans="2:49" ht="14.25" x14ac:dyDescent="0.15">
      <c r="B34" s="127">
        <v>28</v>
      </c>
      <c r="C34" s="128">
        <v>0.55000000000000004</v>
      </c>
      <c r="D34" s="129">
        <v>203</v>
      </c>
      <c r="E34" s="130">
        <v>0.249</v>
      </c>
      <c r="F34" s="131">
        <v>114</v>
      </c>
      <c r="G34" s="131">
        <v>155</v>
      </c>
      <c r="H34" s="131">
        <v>203</v>
      </c>
      <c r="I34" s="131">
        <v>256</v>
      </c>
      <c r="J34" s="131">
        <v>315</v>
      </c>
      <c r="L34" s="117"/>
      <c r="M34" s="127">
        <v>28</v>
      </c>
      <c r="N34" s="128">
        <v>0.12</v>
      </c>
      <c r="O34" s="129">
        <v>212</v>
      </c>
      <c r="P34" s="130">
        <v>0.21099999999999999</v>
      </c>
      <c r="Q34" s="131">
        <v>137</v>
      </c>
      <c r="R34" s="131">
        <v>171</v>
      </c>
      <c r="S34" s="131">
        <v>212</v>
      </c>
      <c r="T34" s="131">
        <v>261</v>
      </c>
      <c r="U34" s="131">
        <v>320</v>
      </c>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row>
    <row r="35" spans="2:49" ht="14.25" x14ac:dyDescent="0.15">
      <c r="B35" s="127">
        <v>29</v>
      </c>
      <c r="C35" s="128">
        <v>0.54400000000000004</v>
      </c>
      <c r="D35" s="129">
        <v>199</v>
      </c>
      <c r="E35" s="130">
        <v>0.249</v>
      </c>
      <c r="F35" s="131">
        <v>111</v>
      </c>
      <c r="G35" s="131">
        <v>152</v>
      </c>
      <c r="H35" s="131">
        <v>199</v>
      </c>
      <c r="I35" s="131">
        <v>251</v>
      </c>
      <c r="J35" s="131">
        <v>309</v>
      </c>
      <c r="L35" s="117"/>
      <c r="M35" s="127">
        <v>29</v>
      </c>
      <c r="N35" s="128">
        <v>0.14000000000000001</v>
      </c>
      <c r="O35" s="129">
        <v>206</v>
      </c>
      <c r="P35" s="130">
        <v>0.21199999999999999</v>
      </c>
      <c r="Q35" s="131">
        <v>133</v>
      </c>
      <c r="R35" s="131">
        <v>166</v>
      </c>
      <c r="S35" s="131">
        <v>206</v>
      </c>
      <c r="T35" s="131">
        <v>254</v>
      </c>
      <c r="U35" s="131">
        <v>312</v>
      </c>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row>
    <row r="36" spans="2:49" ht="14.25" x14ac:dyDescent="0.15">
      <c r="B36" s="127">
        <v>30</v>
      </c>
      <c r="C36" s="128">
        <v>0.53700000000000003</v>
      </c>
      <c r="D36" s="129">
        <v>195</v>
      </c>
      <c r="E36" s="130">
        <v>0.249</v>
      </c>
      <c r="F36" s="131">
        <v>109</v>
      </c>
      <c r="G36" s="131">
        <v>149</v>
      </c>
      <c r="H36" s="131">
        <v>195</v>
      </c>
      <c r="I36" s="131">
        <v>246</v>
      </c>
      <c r="J36" s="131">
        <v>303</v>
      </c>
      <c r="L36" s="117"/>
      <c r="M36" s="127">
        <v>30</v>
      </c>
      <c r="N36" s="128">
        <v>0.158</v>
      </c>
      <c r="O36" s="129">
        <v>201</v>
      </c>
      <c r="P36" s="130">
        <v>0.21299999999999999</v>
      </c>
      <c r="Q36" s="131">
        <v>129</v>
      </c>
      <c r="R36" s="131">
        <v>162</v>
      </c>
      <c r="S36" s="131">
        <v>201</v>
      </c>
      <c r="T36" s="131">
        <v>248</v>
      </c>
      <c r="U36" s="131">
        <v>304</v>
      </c>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row>
    <row r="37" spans="2:49" ht="14.25" x14ac:dyDescent="0.15">
      <c r="B37" s="127">
        <v>31</v>
      </c>
      <c r="C37" s="128">
        <v>0.52900000000000003</v>
      </c>
      <c r="D37" s="129">
        <v>191</v>
      </c>
      <c r="E37" s="130">
        <v>0.25</v>
      </c>
      <c r="F37" s="131">
        <v>107</v>
      </c>
      <c r="G37" s="131">
        <v>146</v>
      </c>
      <c r="H37" s="131">
        <v>191</v>
      </c>
      <c r="I37" s="131">
        <v>241</v>
      </c>
      <c r="J37" s="131">
        <v>297</v>
      </c>
      <c r="L37" s="117"/>
      <c r="M37" s="127">
        <v>31</v>
      </c>
      <c r="N37" s="128">
        <v>0.17599999999999999</v>
      </c>
      <c r="O37" s="129">
        <v>196</v>
      </c>
      <c r="P37" s="130">
        <v>0.214</v>
      </c>
      <c r="Q37" s="131">
        <v>126</v>
      </c>
      <c r="R37" s="131">
        <v>158</v>
      </c>
      <c r="S37" s="131">
        <v>196</v>
      </c>
      <c r="T37" s="131">
        <v>242</v>
      </c>
      <c r="U37" s="131">
        <v>297</v>
      </c>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row>
    <row r="38" spans="2:49" ht="14.25" x14ac:dyDescent="0.15">
      <c r="B38" s="127">
        <v>32</v>
      </c>
      <c r="C38" s="128">
        <v>0.52</v>
      </c>
      <c r="D38" s="129">
        <v>187</v>
      </c>
      <c r="E38" s="130">
        <v>0.25</v>
      </c>
      <c r="F38" s="131">
        <v>105</v>
      </c>
      <c r="G38" s="131">
        <v>143</v>
      </c>
      <c r="H38" s="131">
        <v>187</v>
      </c>
      <c r="I38" s="131">
        <v>237</v>
      </c>
      <c r="J38" s="131">
        <v>292</v>
      </c>
      <c r="L38" s="117"/>
      <c r="M38" s="127">
        <v>32</v>
      </c>
      <c r="N38" s="128">
        <v>0.192</v>
      </c>
      <c r="O38" s="129">
        <v>192</v>
      </c>
      <c r="P38" s="130">
        <v>0.215</v>
      </c>
      <c r="Q38" s="131">
        <v>122</v>
      </c>
      <c r="R38" s="131">
        <v>154</v>
      </c>
      <c r="S38" s="131">
        <v>192</v>
      </c>
      <c r="T38" s="131">
        <v>237</v>
      </c>
      <c r="U38" s="131">
        <v>290</v>
      </c>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row>
    <row r="39" spans="2:49" ht="14.25" x14ac:dyDescent="0.15">
      <c r="B39" s="127">
        <v>33</v>
      </c>
      <c r="C39" s="128">
        <v>0.51100000000000001</v>
      </c>
      <c r="D39" s="129">
        <v>184</v>
      </c>
      <c r="E39" s="130">
        <v>0.25</v>
      </c>
      <c r="F39" s="131">
        <v>103</v>
      </c>
      <c r="G39" s="131">
        <v>141</v>
      </c>
      <c r="H39" s="131">
        <v>184</v>
      </c>
      <c r="I39" s="131">
        <v>233</v>
      </c>
      <c r="J39" s="131">
        <v>287</v>
      </c>
      <c r="L39" s="117"/>
      <c r="M39" s="127">
        <v>33</v>
      </c>
      <c r="N39" s="128">
        <v>0.20599999999999999</v>
      </c>
      <c r="O39" s="129">
        <v>187</v>
      </c>
      <c r="P39" s="130">
        <v>0.217</v>
      </c>
      <c r="Q39" s="131">
        <v>119</v>
      </c>
      <c r="R39" s="131">
        <v>150</v>
      </c>
      <c r="S39" s="131">
        <v>187</v>
      </c>
      <c r="T39" s="131">
        <v>231</v>
      </c>
      <c r="U39" s="131">
        <v>283</v>
      </c>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row>
    <row r="40" spans="2:49" ht="14.25" x14ac:dyDescent="0.15">
      <c r="B40" s="127">
        <v>34</v>
      </c>
      <c r="C40" s="128">
        <v>0.5</v>
      </c>
      <c r="D40" s="129">
        <v>181</v>
      </c>
      <c r="E40" s="130">
        <v>0.251</v>
      </c>
      <c r="F40" s="131">
        <v>102</v>
      </c>
      <c r="G40" s="131">
        <v>138</v>
      </c>
      <c r="H40" s="131">
        <v>181</v>
      </c>
      <c r="I40" s="131">
        <v>229</v>
      </c>
      <c r="J40" s="131">
        <v>283</v>
      </c>
      <c r="L40" s="117"/>
      <c r="M40" s="127">
        <v>34</v>
      </c>
      <c r="N40" s="128">
        <v>0.219</v>
      </c>
      <c r="O40" s="129">
        <v>183</v>
      </c>
      <c r="P40" s="130">
        <v>0.218</v>
      </c>
      <c r="Q40" s="131">
        <v>115</v>
      </c>
      <c r="R40" s="131">
        <v>146</v>
      </c>
      <c r="S40" s="131">
        <v>183</v>
      </c>
      <c r="T40" s="131">
        <v>226</v>
      </c>
      <c r="U40" s="131">
        <v>277</v>
      </c>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row>
    <row r="41" spans="2:49" ht="14.25" x14ac:dyDescent="0.15">
      <c r="B41" s="127">
        <v>35</v>
      </c>
      <c r="C41" s="128">
        <v>0.48799999999999999</v>
      </c>
      <c r="D41" s="129">
        <v>178</v>
      </c>
      <c r="E41" s="130">
        <v>0.251</v>
      </c>
      <c r="F41" s="131">
        <v>100</v>
      </c>
      <c r="G41" s="131">
        <v>136</v>
      </c>
      <c r="H41" s="131">
        <v>178</v>
      </c>
      <c r="I41" s="131">
        <v>226</v>
      </c>
      <c r="J41" s="131">
        <v>279</v>
      </c>
      <c r="L41" s="117"/>
      <c r="M41" s="127">
        <v>35</v>
      </c>
      <c r="N41" s="128">
        <v>0.23100000000000001</v>
      </c>
      <c r="O41" s="129">
        <v>178</v>
      </c>
      <c r="P41" s="130">
        <v>0.22</v>
      </c>
      <c r="Q41" s="131">
        <v>112</v>
      </c>
      <c r="R41" s="131">
        <v>142</v>
      </c>
      <c r="S41" s="131">
        <v>178</v>
      </c>
      <c r="T41" s="131">
        <v>221</v>
      </c>
      <c r="U41" s="131">
        <v>271</v>
      </c>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row>
    <row r="42" spans="2:49" ht="14.25" x14ac:dyDescent="0.15">
      <c r="B42" s="127">
        <v>36</v>
      </c>
      <c r="C42" s="128">
        <v>0.47599999999999998</v>
      </c>
      <c r="D42" s="129">
        <v>175</v>
      </c>
      <c r="E42" s="130">
        <v>0.251</v>
      </c>
      <c r="F42" s="131">
        <v>99</v>
      </c>
      <c r="G42" s="131">
        <v>134</v>
      </c>
      <c r="H42" s="131">
        <v>175</v>
      </c>
      <c r="I42" s="131">
        <v>222</v>
      </c>
      <c r="J42" s="131">
        <v>275</v>
      </c>
      <c r="L42" s="117"/>
      <c r="M42" s="127">
        <v>36</v>
      </c>
      <c r="N42" s="128">
        <v>0.24099999999999999</v>
      </c>
      <c r="O42" s="129">
        <v>174</v>
      </c>
      <c r="P42" s="130">
        <v>0.221</v>
      </c>
      <c r="Q42" s="131">
        <v>109</v>
      </c>
      <c r="R42" s="131">
        <v>139</v>
      </c>
      <c r="S42" s="131">
        <v>174</v>
      </c>
      <c r="T42" s="131">
        <v>216</v>
      </c>
      <c r="U42" s="131">
        <v>265</v>
      </c>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row>
    <row r="43" spans="2:49" ht="14.25" x14ac:dyDescent="0.15">
      <c r="B43" s="127">
        <v>37</v>
      </c>
      <c r="C43" s="128">
        <v>0.46200000000000002</v>
      </c>
      <c r="D43" s="129">
        <v>173</v>
      </c>
      <c r="E43" s="130">
        <v>0.252</v>
      </c>
      <c r="F43" s="131">
        <v>97</v>
      </c>
      <c r="G43" s="131">
        <v>132</v>
      </c>
      <c r="H43" s="131">
        <v>173</v>
      </c>
      <c r="I43" s="131">
        <v>219</v>
      </c>
      <c r="J43" s="131">
        <v>272</v>
      </c>
      <c r="L43" s="117"/>
      <c r="M43" s="127">
        <v>37</v>
      </c>
      <c r="N43" s="128">
        <v>0.25</v>
      </c>
      <c r="O43" s="129">
        <v>170</v>
      </c>
      <c r="P43" s="130">
        <v>0.223</v>
      </c>
      <c r="Q43" s="131">
        <v>106</v>
      </c>
      <c r="R43" s="131">
        <v>135</v>
      </c>
      <c r="S43" s="131">
        <v>170</v>
      </c>
      <c r="T43" s="131">
        <v>211</v>
      </c>
      <c r="U43" s="131">
        <v>260</v>
      </c>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row>
    <row r="44" spans="2:49" ht="14.25" x14ac:dyDescent="0.15">
      <c r="B44" s="127">
        <v>38</v>
      </c>
      <c r="C44" s="128">
        <v>0.44800000000000001</v>
      </c>
      <c r="D44" s="129">
        <v>171</v>
      </c>
      <c r="E44" s="130">
        <v>0.252</v>
      </c>
      <c r="F44" s="131">
        <v>96</v>
      </c>
      <c r="G44" s="131">
        <v>131</v>
      </c>
      <c r="H44" s="131">
        <v>171</v>
      </c>
      <c r="I44" s="131">
        <v>217</v>
      </c>
      <c r="J44" s="131">
        <v>269</v>
      </c>
      <c r="L44" s="117"/>
      <c r="M44" s="127">
        <v>38</v>
      </c>
      <c r="N44" s="128">
        <v>0.25700000000000001</v>
      </c>
      <c r="O44" s="129">
        <v>166</v>
      </c>
      <c r="P44" s="130">
        <v>0.22500000000000001</v>
      </c>
      <c r="Q44" s="131">
        <v>103</v>
      </c>
      <c r="R44" s="131">
        <v>132</v>
      </c>
      <c r="S44" s="131">
        <v>166</v>
      </c>
      <c r="T44" s="131">
        <v>207</v>
      </c>
      <c r="U44" s="131">
        <v>254</v>
      </c>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row>
    <row r="45" spans="2:49" ht="14.25" x14ac:dyDescent="0.15">
      <c r="B45" s="127">
        <v>39</v>
      </c>
      <c r="C45" s="128">
        <v>0.432</v>
      </c>
      <c r="D45" s="129">
        <v>168</v>
      </c>
      <c r="E45" s="130">
        <v>0.252</v>
      </c>
      <c r="F45" s="131">
        <v>95</v>
      </c>
      <c r="G45" s="131">
        <v>129</v>
      </c>
      <c r="H45" s="131">
        <v>168</v>
      </c>
      <c r="I45" s="131">
        <v>214</v>
      </c>
      <c r="J45" s="131">
        <v>266</v>
      </c>
      <c r="L45" s="117"/>
      <c r="M45" s="127">
        <v>39</v>
      </c>
      <c r="N45" s="128">
        <v>0.26300000000000001</v>
      </c>
      <c r="O45" s="129">
        <v>163</v>
      </c>
      <c r="P45" s="130">
        <v>0.22700000000000001</v>
      </c>
      <c r="Q45" s="131">
        <v>100</v>
      </c>
      <c r="R45" s="131">
        <v>129</v>
      </c>
      <c r="S45" s="131">
        <v>163</v>
      </c>
      <c r="T45" s="131">
        <v>203</v>
      </c>
      <c r="U45" s="131">
        <v>250</v>
      </c>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row>
    <row r="46" spans="2:49" ht="14.25" x14ac:dyDescent="0.15">
      <c r="B46" s="127">
        <v>40</v>
      </c>
      <c r="C46" s="128">
        <v>0.41699999999999998</v>
      </c>
      <c r="D46" s="129">
        <v>166</v>
      </c>
      <c r="E46" s="130">
        <v>0.252</v>
      </c>
      <c r="F46" s="131">
        <v>94</v>
      </c>
      <c r="G46" s="131">
        <v>127</v>
      </c>
      <c r="H46" s="131">
        <v>166</v>
      </c>
      <c r="I46" s="131">
        <v>212</v>
      </c>
      <c r="J46" s="131">
        <v>263</v>
      </c>
      <c r="L46" s="117"/>
      <c r="M46" s="127">
        <v>40</v>
      </c>
      <c r="N46" s="128">
        <v>0.26800000000000002</v>
      </c>
      <c r="O46" s="129">
        <v>159</v>
      </c>
      <c r="P46" s="130">
        <v>0.22900000000000001</v>
      </c>
      <c r="Q46" s="131">
        <v>98</v>
      </c>
      <c r="R46" s="131">
        <v>126</v>
      </c>
      <c r="S46" s="131">
        <v>159</v>
      </c>
      <c r="T46" s="131">
        <v>199</v>
      </c>
      <c r="U46" s="131">
        <v>245</v>
      </c>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row>
    <row r="47" spans="2:49" ht="14.25" x14ac:dyDescent="0.15">
      <c r="B47" s="127">
        <v>41</v>
      </c>
      <c r="C47" s="128">
        <v>0.40100000000000002</v>
      </c>
      <c r="D47" s="129">
        <v>165</v>
      </c>
      <c r="E47" s="130">
        <v>0.253</v>
      </c>
      <c r="F47" s="131">
        <v>94</v>
      </c>
      <c r="G47" s="131">
        <v>126</v>
      </c>
      <c r="H47" s="131">
        <v>165</v>
      </c>
      <c r="I47" s="131">
        <v>209</v>
      </c>
      <c r="J47" s="131">
        <v>261</v>
      </c>
      <c r="L47" s="117"/>
      <c r="M47" s="127">
        <v>41</v>
      </c>
      <c r="N47" s="128">
        <v>0.27100000000000002</v>
      </c>
      <c r="O47" s="129">
        <v>156</v>
      </c>
      <c r="P47" s="130">
        <v>0.23100000000000001</v>
      </c>
      <c r="Q47" s="131">
        <v>95</v>
      </c>
      <c r="R47" s="131">
        <v>123</v>
      </c>
      <c r="S47" s="131">
        <v>156</v>
      </c>
      <c r="T47" s="131">
        <v>195</v>
      </c>
      <c r="U47" s="131">
        <v>240</v>
      </c>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row>
    <row r="48" spans="2:49" ht="14.25" x14ac:dyDescent="0.15">
      <c r="B48" s="127">
        <v>42</v>
      </c>
      <c r="C48" s="128">
        <v>0.38400000000000001</v>
      </c>
      <c r="D48" s="129">
        <v>163</v>
      </c>
      <c r="E48" s="130">
        <v>0.253</v>
      </c>
      <c r="F48" s="131">
        <v>93</v>
      </c>
      <c r="G48" s="131">
        <v>125</v>
      </c>
      <c r="H48" s="131">
        <v>163</v>
      </c>
      <c r="I48" s="131">
        <v>207</v>
      </c>
      <c r="J48" s="131">
        <v>259</v>
      </c>
      <c r="L48" s="117"/>
      <c r="M48" s="127">
        <v>42</v>
      </c>
      <c r="N48" s="128">
        <v>0.27300000000000002</v>
      </c>
      <c r="O48" s="129">
        <v>153</v>
      </c>
      <c r="P48" s="130">
        <v>0.23300000000000001</v>
      </c>
      <c r="Q48" s="131">
        <v>93</v>
      </c>
      <c r="R48" s="131">
        <v>120</v>
      </c>
      <c r="S48" s="131">
        <v>153</v>
      </c>
      <c r="T48" s="131">
        <v>191</v>
      </c>
      <c r="U48" s="131">
        <v>236</v>
      </c>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row>
    <row r="49" spans="2:49" ht="14.25" x14ac:dyDescent="0.15">
      <c r="B49" s="127">
        <v>43</v>
      </c>
      <c r="C49" s="128">
        <v>0.36799999999999999</v>
      </c>
      <c r="D49" s="129">
        <v>161</v>
      </c>
      <c r="E49" s="130">
        <v>0.253</v>
      </c>
      <c r="F49" s="131">
        <v>92</v>
      </c>
      <c r="G49" s="131">
        <v>124</v>
      </c>
      <c r="H49" s="131">
        <v>161</v>
      </c>
      <c r="I49" s="131">
        <v>206</v>
      </c>
      <c r="J49" s="131">
        <v>257</v>
      </c>
      <c r="L49" s="117"/>
      <c r="M49" s="127">
        <v>43</v>
      </c>
      <c r="N49" s="128">
        <v>0.27300000000000002</v>
      </c>
      <c r="O49" s="129">
        <v>150</v>
      </c>
      <c r="P49" s="130">
        <v>0.23499999999999999</v>
      </c>
      <c r="Q49" s="131">
        <v>90</v>
      </c>
      <c r="R49" s="131">
        <v>117</v>
      </c>
      <c r="S49" s="131">
        <v>150</v>
      </c>
      <c r="T49" s="131">
        <v>188</v>
      </c>
      <c r="U49" s="131">
        <v>233</v>
      </c>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row>
    <row r="50" spans="2:49" ht="14.25" x14ac:dyDescent="0.15">
      <c r="B50" s="127">
        <v>44</v>
      </c>
      <c r="C50" s="128">
        <v>0.35199999999999998</v>
      </c>
      <c r="D50" s="129">
        <v>160</v>
      </c>
      <c r="E50" s="130">
        <v>0.253</v>
      </c>
      <c r="F50" s="131">
        <v>92</v>
      </c>
      <c r="G50" s="131">
        <v>123</v>
      </c>
      <c r="H50" s="131">
        <v>160</v>
      </c>
      <c r="I50" s="131">
        <v>204</v>
      </c>
      <c r="J50" s="131">
        <v>255</v>
      </c>
      <c r="L50" s="117"/>
      <c r="M50" s="127">
        <v>44</v>
      </c>
      <c r="N50" s="128">
        <v>0.27200000000000002</v>
      </c>
      <c r="O50" s="129">
        <v>147</v>
      </c>
      <c r="P50" s="130">
        <v>0.23699999999999999</v>
      </c>
      <c r="Q50" s="131">
        <v>88</v>
      </c>
      <c r="R50" s="131">
        <v>115</v>
      </c>
      <c r="S50" s="131">
        <v>147</v>
      </c>
      <c r="T50" s="131">
        <v>185</v>
      </c>
      <c r="U50" s="131">
        <v>229</v>
      </c>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row>
    <row r="51" spans="2:49" ht="14.25" x14ac:dyDescent="0.15">
      <c r="B51" s="127">
        <v>45</v>
      </c>
      <c r="C51" s="128">
        <v>0.33700000000000002</v>
      </c>
      <c r="D51" s="129">
        <v>159</v>
      </c>
      <c r="E51" s="130">
        <v>0.253</v>
      </c>
      <c r="F51" s="131">
        <v>91</v>
      </c>
      <c r="G51" s="131">
        <v>122</v>
      </c>
      <c r="H51" s="131">
        <v>159</v>
      </c>
      <c r="I51" s="131">
        <v>202</v>
      </c>
      <c r="J51" s="131">
        <v>253</v>
      </c>
      <c r="L51" s="117"/>
      <c r="M51" s="127">
        <v>45</v>
      </c>
      <c r="N51" s="128">
        <v>0.26900000000000002</v>
      </c>
      <c r="O51" s="129">
        <v>145</v>
      </c>
      <c r="P51" s="130">
        <v>0.23899999999999999</v>
      </c>
      <c r="Q51" s="131">
        <v>87</v>
      </c>
      <c r="R51" s="131">
        <v>113</v>
      </c>
      <c r="S51" s="131">
        <v>145</v>
      </c>
      <c r="T51" s="131">
        <v>182</v>
      </c>
      <c r="U51" s="131">
        <v>226</v>
      </c>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row>
    <row r="52" spans="2:49" ht="14.25" x14ac:dyDescent="0.15">
      <c r="B52" s="127">
        <v>46</v>
      </c>
      <c r="C52" s="128">
        <v>0.32400000000000001</v>
      </c>
      <c r="D52" s="129">
        <v>157</v>
      </c>
      <c r="E52" s="130">
        <v>0.254</v>
      </c>
      <c r="F52" s="131">
        <v>90</v>
      </c>
      <c r="G52" s="131">
        <v>120</v>
      </c>
      <c r="H52" s="131">
        <v>157</v>
      </c>
      <c r="I52" s="131">
        <v>199</v>
      </c>
      <c r="J52" s="131">
        <v>250</v>
      </c>
      <c r="L52" s="117"/>
      <c r="M52" s="127">
        <v>46</v>
      </c>
      <c r="N52" s="128">
        <v>0.26600000000000001</v>
      </c>
      <c r="O52" s="129">
        <v>142</v>
      </c>
      <c r="P52" s="130">
        <v>0.24099999999999999</v>
      </c>
      <c r="Q52" s="131">
        <v>85</v>
      </c>
      <c r="R52" s="131">
        <v>111</v>
      </c>
      <c r="S52" s="131">
        <v>142</v>
      </c>
      <c r="T52" s="131">
        <v>180</v>
      </c>
      <c r="U52" s="131">
        <v>224</v>
      </c>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row>
    <row r="53" spans="2:49" ht="14.25" x14ac:dyDescent="0.15">
      <c r="B53" s="127">
        <v>47</v>
      </c>
      <c r="C53" s="128">
        <v>0.311</v>
      </c>
      <c r="D53" s="129">
        <v>156</v>
      </c>
      <c r="E53" s="130">
        <v>0.254</v>
      </c>
      <c r="F53" s="131">
        <v>90</v>
      </c>
      <c r="G53" s="131">
        <v>120</v>
      </c>
      <c r="H53" s="131">
        <v>156</v>
      </c>
      <c r="I53" s="131">
        <v>199</v>
      </c>
      <c r="J53" s="131">
        <v>250</v>
      </c>
      <c r="L53" s="117"/>
      <c r="M53" s="127">
        <v>47</v>
      </c>
      <c r="N53" s="128">
        <v>0.26100000000000001</v>
      </c>
      <c r="O53" s="129">
        <v>140</v>
      </c>
      <c r="P53" s="130">
        <v>0.24299999999999999</v>
      </c>
      <c r="Q53" s="131">
        <v>83</v>
      </c>
      <c r="R53" s="131">
        <v>109</v>
      </c>
      <c r="S53" s="131">
        <v>140</v>
      </c>
      <c r="T53" s="131">
        <v>177</v>
      </c>
      <c r="U53" s="131">
        <v>221</v>
      </c>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row>
    <row r="54" spans="2:49" ht="14.25" x14ac:dyDescent="0.15">
      <c r="B54" s="127">
        <v>48</v>
      </c>
      <c r="C54" s="128">
        <v>0.3</v>
      </c>
      <c r="D54" s="129">
        <v>154</v>
      </c>
      <c r="E54" s="130">
        <v>0.254</v>
      </c>
      <c r="F54" s="131">
        <v>89</v>
      </c>
      <c r="G54" s="131">
        <v>118</v>
      </c>
      <c r="H54" s="131">
        <v>154</v>
      </c>
      <c r="I54" s="131">
        <v>197</v>
      </c>
      <c r="J54" s="131">
        <v>248</v>
      </c>
      <c r="L54" s="117"/>
      <c r="M54" s="127">
        <v>48</v>
      </c>
      <c r="N54" s="128">
        <v>0.255</v>
      </c>
      <c r="O54" s="129">
        <v>138</v>
      </c>
      <c r="P54" s="130">
        <v>0.24399999999999999</v>
      </c>
      <c r="Q54" s="131">
        <v>82</v>
      </c>
      <c r="R54" s="131">
        <v>108</v>
      </c>
      <c r="S54" s="131">
        <v>138</v>
      </c>
      <c r="T54" s="131">
        <v>176</v>
      </c>
      <c r="U54" s="131">
        <v>219</v>
      </c>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row>
    <row r="55" spans="2:49" ht="14.25" x14ac:dyDescent="0.15">
      <c r="B55" s="127">
        <v>49</v>
      </c>
      <c r="C55" s="128">
        <v>0.29099999999999998</v>
      </c>
      <c r="D55" s="129">
        <v>153</v>
      </c>
      <c r="E55" s="130">
        <v>0.255</v>
      </c>
      <c r="F55" s="131">
        <v>88</v>
      </c>
      <c r="G55" s="131">
        <v>117</v>
      </c>
      <c r="H55" s="131">
        <v>153</v>
      </c>
      <c r="I55" s="131">
        <v>196</v>
      </c>
      <c r="J55" s="131">
        <v>246</v>
      </c>
      <c r="L55" s="117"/>
      <c r="M55" s="127">
        <v>49</v>
      </c>
      <c r="N55" s="128">
        <v>0.249</v>
      </c>
      <c r="O55" s="129">
        <v>137</v>
      </c>
      <c r="P55" s="130">
        <v>0.246</v>
      </c>
      <c r="Q55" s="131">
        <v>81</v>
      </c>
      <c r="R55" s="131">
        <v>106</v>
      </c>
      <c r="S55" s="131">
        <v>137</v>
      </c>
      <c r="T55" s="131">
        <v>174</v>
      </c>
      <c r="U55" s="131">
        <v>218</v>
      </c>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row>
    <row r="56" spans="2:49" ht="14.25" x14ac:dyDescent="0.15">
      <c r="B56" s="127">
        <v>50</v>
      </c>
      <c r="C56" s="128">
        <v>0.28299999999999997</v>
      </c>
      <c r="D56" s="129">
        <v>152</v>
      </c>
      <c r="E56" s="130">
        <v>0.255</v>
      </c>
      <c r="F56" s="131">
        <v>87</v>
      </c>
      <c r="G56" s="131">
        <v>116</v>
      </c>
      <c r="H56" s="131">
        <v>152</v>
      </c>
      <c r="I56" s="131">
        <v>194</v>
      </c>
      <c r="J56" s="131">
        <v>245</v>
      </c>
      <c r="L56" s="117"/>
      <c r="M56" s="127">
        <v>50</v>
      </c>
      <c r="N56" s="128">
        <v>0.24099999999999999</v>
      </c>
      <c r="O56" s="129">
        <v>135</v>
      </c>
      <c r="P56" s="130">
        <v>0.248</v>
      </c>
      <c r="Q56" s="131">
        <v>80</v>
      </c>
      <c r="R56" s="131">
        <v>105</v>
      </c>
      <c r="S56" s="131">
        <v>135</v>
      </c>
      <c r="T56" s="131">
        <v>172</v>
      </c>
      <c r="U56" s="131">
        <v>216</v>
      </c>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row>
    <row r="57" spans="2:49" ht="14.25" x14ac:dyDescent="0.15">
      <c r="B57" s="127">
        <v>51</v>
      </c>
      <c r="C57" s="128">
        <v>0.27600000000000002</v>
      </c>
      <c r="D57" s="129">
        <v>151</v>
      </c>
      <c r="E57" s="130">
        <v>0.25600000000000001</v>
      </c>
      <c r="F57" s="131">
        <v>87</v>
      </c>
      <c r="G57" s="131">
        <v>115</v>
      </c>
      <c r="H57" s="131">
        <v>151</v>
      </c>
      <c r="I57" s="131">
        <v>193</v>
      </c>
      <c r="J57" s="131">
        <v>243</v>
      </c>
      <c r="L57" s="117"/>
      <c r="M57" s="127">
        <v>51</v>
      </c>
      <c r="N57" s="128">
        <v>0.23300000000000001</v>
      </c>
      <c r="O57" s="129">
        <v>134</v>
      </c>
      <c r="P57" s="130">
        <v>0.25</v>
      </c>
      <c r="Q57" s="131">
        <v>79</v>
      </c>
      <c r="R57" s="131">
        <v>104</v>
      </c>
      <c r="S57" s="131">
        <v>134</v>
      </c>
      <c r="T57" s="131">
        <v>171</v>
      </c>
      <c r="U57" s="131">
        <v>215</v>
      </c>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row>
    <row r="58" spans="2:49" ht="14.25" x14ac:dyDescent="0.15">
      <c r="B58" s="127">
        <v>52</v>
      </c>
      <c r="C58" s="128">
        <v>0.27200000000000002</v>
      </c>
      <c r="D58" s="129">
        <v>149</v>
      </c>
      <c r="E58" s="130">
        <v>0.25700000000000001</v>
      </c>
      <c r="F58" s="131">
        <v>86</v>
      </c>
      <c r="G58" s="131">
        <v>114</v>
      </c>
      <c r="H58" s="131">
        <v>149</v>
      </c>
      <c r="I58" s="131">
        <v>192</v>
      </c>
      <c r="J58" s="131">
        <v>242</v>
      </c>
      <c r="L58" s="117"/>
      <c r="M58" s="127">
        <v>52</v>
      </c>
      <c r="N58" s="128">
        <v>0.22500000000000001</v>
      </c>
      <c r="O58" s="129">
        <v>133</v>
      </c>
      <c r="P58" s="130">
        <v>0.251</v>
      </c>
      <c r="Q58" s="131">
        <v>78</v>
      </c>
      <c r="R58" s="131">
        <v>102</v>
      </c>
      <c r="S58" s="131">
        <v>133</v>
      </c>
      <c r="T58" s="131">
        <v>169</v>
      </c>
      <c r="U58" s="131">
        <v>213</v>
      </c>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row>
    <row r="59" spans="2:49" ht="14.25" x14ac:dyDescent="0.15">
      <c r="B59" s="127">
        <v>53</v>
      </c>
      <c r="C59" s="128">
        <v>0.26900000000000002</v>
      </c>
      <c r="D59" s="129">
        <v>148</v>
      </c>
      <c r="E59" s="130">
        <v>0.25800000000000001</v>
      </c>
      <c r="F59" s="131">
        <v>85</v>
      </c>
      <c r="G59" s="131">
        <v>114</v>
      </c>
      <c r="H59" s="131">
        <v>148</v>
      </c>
      <c r="I59" s="131">
        <v>190</v>
      </c>
      <c r="J59" s="131">
        <v>240</v>
      </c>
      <c r="L59" s="117"/>
      <c r="M59" s="127">
        <v>53</v>
      </c>
      <c r="N59" s="128">
        <v>0.216</v>
      </c>
      <c r="O59" s="129">
        <v>131</v>
      </c>
      <c r="P59" s="130">
        <v>0.253</v>
      </c>
      <c r="Q59" s="131">
        <v>77</v>
      </c>
      <c r="R59" s="131">
        <v>101</v>
      </c>
      <c r="S59" s="131">
        <v>131</v>
      </c>
      <c r="T59" s="131">
        <v>168</v>
      </c>
      <c r="U59" s="131">
        <v>212</v>
      </c>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row>
    <row r="60" spans="2:49" ht="14.25" x14ac:dyDescent="0.15">
      <c r="B60" s="127">
        <v>54</v>
      </c>
      <c r="C60" s="128">
        <v>0.26700000000000002</v>
      </c>
      <c r="D60" s="129">
        <v>147</v>
      </c>
      <c r="E60" s="130">
        <v>0.25900000000000001</v>
      </c>
      <c r="F60" s="131">
        <v>84</v>
      </c>
      <c r="G60" s="131">
        <v>113</v>
      </c>
      <c r="H60" s="131">
        <v>147</v>
      </c>
      <c r="I60" s="131">
        <v>189</v>
      </c>
      <c r="J60" s="131">
        <v>239</v>
      </c>
      <c r="L60" s="117"/>
      <c r="M60" s="127">
        <v>54</v>
      </c>
      <c r="N60" s="128">
        <v>0.20799999999999999</v>
      </c>
      <c r="O60" s="129">
        <v>130</v>
      </c>
      <c r="P60" s="130">
        <v>0.254</v>
      </c>
      <c r="Q60" s="131">
        <v>76</v>
      </c>
      <c r="R60" s="131">
        <v>100</v>
      </c>
      <c r="S60" s="131">
        <v>130</v>
      </c>
      <c r="T60" s="131">
        <v>167</v>
      </c>
      <c r="U60" s="131">
        <v>211</v>
      </c>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row>
    <row r="61" spans="2:49" ht="14.25" x14ac:dyDescent="0.15">
      <c r="B61" s="127">
        <v>55</v>
      </c>
      <c r="C61" s="128">
        <v>0.26800000000000002</v>
      </c>
      <c r="D61" s="129">
        <v>146</v>
      </c>
      <c r="E61" s="130">
        <v>0.26</v>
      </c>
      <c r="F61" s="131">
        <v>84</v>
      </c>
      <c r="G61" s="131">
        <v>112</v>
      </c>
      <c r="H61" s="131">
        <v>146</v>
      </c>
      <c r="I61" s="131">
        <v>188</v>
      </c>
      <c r="J61" s="131">
        <v>238</v>
      </c>
      <c r="L61" s="117"/>
      <c r="M61" s="127">
        <v>55</v>
      </c>
      <c r="N61" s="128">
        <v>0.2</v>
      </c>
      <c r="O61" s="129">
        <v>129</v>
      </c>
      <c r="P61" s="130">
        <v>0.25600000000000001</v>
      </c>
      <c r="Q61" s="131">
        <v>75</v>
      </c>
      <c r="R61" s="131">
        <v>99</v>
      </c>
      <c r="S61" s="131">
        <v>129</v>
      </c>
      <c r="T61" s="131">
        <v>165</v>
      </c>
      <c r="U61" s="131">
        <v>210</v>
      </c>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row>
    <row r="62" spans="2:49" ht="14.25" x14ac:dyDescent="0.15">
      <c r="B62" s="127">
        <v>56</v>
      </c>
      <c r="C62" s="128">
        <v>0.27</v>
      </c>
      <c r="D62" s="129">
        <v>145</v>
      </c>
      <c r="E62" s="130">
        <v>0.26100000000000001</v>
      </c>
      <c r="F62" s="131">
        <v>83</v>
      </c>
      <c r="G62" s="131">
        <v>111</v>
      </c>
      <c r="H62" s="131">
        <v>145</v>
      </c>
      <c r="I62" s="131">
        <v>187</v>
      </c>
      <c r="J62" s="131">
        <v>237</v>
      </c>
      <c r="L62" s="117"/>
      <c r="M62" s="127">
        <v>56</v>
      </c>
      <c r="N62" s="128">
        <v>0.193</v>
      </c>
      <c r="O62" s="129">
        <v>128</v>
      </c>
      <c r="P62" s="130">
        <v>0.25700000000000001</v>
      </c>
      <c r="Q62" s="131">
        <v>74</v>
      </c>
      <c r="R62" s="131">
        <v>98</v>
      </c>
      <c r="S62" s="131">
        <v>128</v>
      </c>
      <c r="T62" s="131">
        <v>164</v>
      </c>
      <c r="U62" s="131">
        <v>208</v>
      </c>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row>
    <row r="63" spans="2:49" ht="14.25" x14ac:dyDescent="0.15">
      <c r="B63" s="127">
        <v>57</v>
      </c>
      <c r="C63" s="128">
        <v>0.27400000000000002</v>
      </c>
      <c r="D63" s="129">
        <v>144</v>
      </c>
      <c r="E63" s="130">
        <v>0.26300000000000001</v>
      </c>
      <c r="F63" s="131">
        <v>82</v>
      </c>
      <c r="G63" s="131">
        <v>110</v>
      </c>
      <c r="H63" s="131">
        <v>144</v>
      </c>
      <c r="I63" s="131">
        <v>186</v>
      </c>
      <c r="J63" s="131">
        <v>236</v>
      </c>
      <c r="L63" s="117"/>
      <c r="M63" s="127">
        <v>57</v>
      </c>
      <c r="N63" s="128">
        <v>0.186</v>
      </c>
      <c r="O63" s="129">
        <v>126</v>
      </c>
      <c r="P63" s="130">
        <v>0.25900000000000001</v>
      </c>
      <c r="Q63" s="131">
        <v>73</v>
      </c>
      <c r="R63" s="131">
        <v>97</v>
      </c>
      <c r="S63" s="131">
        <v>126</v>
      </c>
      <c r="T63" s="131">
        <v>162</v>
      </c>
      <c r="U63" s="131">
        <v>207</v>
      </c>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row>
    <row r="64" spans="2:49" ht="14.25" x14ac:dyDescent="0.15">
      <c r="B64" s="127">
        <v>58</v>
      </c>
      <c r="C64" s="128">
        <v>0.28100000000000003</v>
      </c>
      <c r="D64" s="129">
        <v>143</v>
      </c>
      <c r="E64" s="130">
        <v>0.26400000000000001</v>
      </c>
      <c r="F64" s="131">
        <v>81</v>
      </c>
      <c r="G64" s="131">
        <v>109</v>
      </c>
      <c r="H64" s="131">
        <v>143</v>
      </c>
      <c r="I64" s="131">
        <v>185</v>
      </c>
      <c r="J64" s="131">
        <v>235</v>
      </c>
      <c r="L64" s="117"/>
      <c r="M64" s="127">
        <v>58</v>
      </c>
      <c r="N64" s="128">
        <v>0.18</v>
      </c>
      <c r="O64" s="129">
        <v>125</v>
      </c>
      <c r="P64" s="130">
        <v>0.26</v>
      </c>
      <c r="Q64" s="131">
        <v>72</v>
      </c>
      <c r="R64" s="131">
        <v>95</v>
      </c>
      <c r="S64" s="131">
        <v>125</v>
      </c>
      <c r="T64" s="131">
        <v>161</v>
      </c>
      <c r="U64" s="131">
        <v>205</v>
      </c>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row>
    <row r="65" spans="2:49" ht="14.25" x14ac:dyDescent="0.15">
      <c r="B65" s="127">
        <v>59</v>
      </c>
      <c r="C65" s="128">
        <v>0.28899999999999998</v>
      </c>
      <c r="D65" s="129">
        <v>142</v>
      </c>
      <c r="E65" s="130">
        <v>0.26600000000000001</v>
      </c>
      <c r="F65" s="131">
        <v>80</v>
      </c>
      <c r="G65" s="131">
        <v>108</v>
      </c>
      <c r="H65" s="131">
        <v>142</v>
      </c>
      <c r="I65" s="131">
        <v>184</v>
      </c>
      <c r="J65" s="131">
        <v>233</v>
      </c>
      <c r="L65" s="117"/>
      <c r="M65" s="127">
        <v>59</v>
      </c>
      <c r="N65" s="128">
        <v>0.17599999999999999</v>
      </c>
      <c r="O65" s="129">
        <v>123</v>
      </c>
      <c r="P65" s="130">
        <v>0.26200000000000001</v>
      </c>
      <c r="Q65" s="131">
        <v>71</v>
      </c>
      <c r="R65" s="131">
        <v>94</v>
      </c>
      <c r="S65" s="131">
        <v>123</v>
      </c>
      <c r="T65" s="131">
        <v>159</v>
      </c>
      <c r="U65" s="131">
        <v>203</v>
      </c>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row>
    <row r="66" spans="2:49" ht="14.25" x14ac:dyDescent="0.15">
      <c r="B66" s="127">
        <v>60</v>
      </c>
      <c r="C66" s="128">
        <v>0.3</v>
      </c>
      <c r="D66" s="129">
        <v>141</v>
      </c>
      <c r="E66" s="130">
        <v>0.26800000000000002</v>
      </c>
      <c r="F66" s="131">
        <v>79</v>
      </c>
      <c r="G66" s="131">
        <v>107</v>
      </c>
      <c r="H66" s="131">
        <v>141</v>
      </c>
      <c r="I66" s="131">
        <v>182</v>
      </c>
      <c r="J66" s="131">
        <v>232</v>
      </c>
      <c r="L66" s="117"/>
      <c r="M66" s="127">
        <v>60</v>
      </c>
      <c r="N66" s="128">
        <v>0.17199999999999999</v>
      </c>
      <c r="O66" s="129">
        <v>121</v>
      </c>
      <c r="P66" s="130">
        <v>0.26300000000000001</v>
      </c>
      <c r="Q66" s="131">
        <v>70</v>
      </c>
      <c r="R66" s="131">
        <v>93</v>
      </c>
      <c r="S66" s="131">
        <v>121</v>
      </c>
      <c r="T66" s="131">
        <v>157</v>
      </c>
      <c r="U66" s="131">
        <v>201</v>
      </c>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row>
    <row r="67" spans="2:49" ht="14.25" x14ac:dyDescent="0.15">
      <c r="B67" s="127">
        <v>61</v>
      </c>
      <c r="C67" s="128">
        <v>0.312</v>
      </c>
      <c r="D67" s="129">
        <v>140</v>
      </c>
      <c r="E67" s="130">
        <v>0.27</v>
      </c>
      <c r="F67" s="131">
        <v>77</v>
      </c>
      <c r="G67" s="131">
        <v>105</v>
      </c>
      <c r="H67" s="131">
        <v>140</v>
      </c>
      <c r="I67" s="131">
        <v>181</v>
      </c>
      <c r="J67" s="131">
        <v>230</v>
      </c>
      <c r="L67" s="117"/>
      <c r="M67" s="127">
        <v>61</v>
      </c>
      <c r="N67" s="128">
        <v>0.17</v>
      </c>
      <c r="O67" s="129">
        <v>120</v>
      </c>
      <c r="P67" s="130">
        <v>0.26400000000000001</v>
      </c>
      <c r="Q67" s="131">
        <v>69</v>
      </c>
      <c r="R67" s="131">
        <v>91</v>
      </c>
      <c r="S67" s="131">
        <v>120</v>
      </c>
      <c r="T67" s="131">
        <v>155</v>
      </c>
      <c r="U67" s="131">
        <v>198</v>
      </c>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row>
    <row r="68" spans="2:49" ht="14.25" x14ac:dyDescent="0.15">
      <c r="B68" s="127">
        <v>62</v>
      </c>
      <c r="C68" s="128">
        <v>0.32700000000000001</v>
      </c>
      <c r="D68" s="129">
        <v>138</v>
      </c>
      <c r="E68" s="130">
        <v>0.27200000000000002</v>
      </c>
      <c r="F68" s="131">
        <v>76</v>
      </c>
      <c r="G68" s="131">
        <v>104</v>
      </c>
      <c r="H68" s="131">
        <v>138</v>
      </c>
      <c r="I68" s="131">
        <v>180</v>
      </c>
      <c r="J68" s="131">
        <v>228</v>
      </c>
      <c r="L68" s="117"/>
      <c r="M68" s="127">
        <v>62</v>
      </c>
      <c r="N68" s="128">
        <v>0.16800000000000001</v>
      </c>
      <c r="O68" s="129">
        <v>118</v>
      </c>
      <c r="P68" s="130">
        <v>0.26600000000000001</v>
      </c>
      <c r="Q68" s="131">
        <v>68</v>
      </c>
      <c r="R68" s="131">
        <v>90</v>
      </c>
      <c r="S68" s="131">
        <v>118</v>
      </c>
      <c r="T68" s="131">
        <v>153</v>
      </c>
      <c r="U68" s="131">
        <v>196</v>
      </c>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row>
    <row r="69" spans="2:49" ht="14.25" x14ac:dyDescent="0.15">
      <c r="B69" s="127">
        <v>63</v>
      </c>
      <c r="C69" s="128">
        <v>0.34399999999999997</v>
      </c>
      <c r="D69" s="129">
        <v>137</v>
      </c>
      <c r="E69" s="130">
        <v>0.27400000000000002</v>
      </c>
      <c r="F69" s="131">
        <v>75</v>
      </c>
      <c r="G69" s="131">
        <v>103</v>
      </c>
      <c r="H69" s="131">
        <v>137</v>
      </c>
      <c r="I69" s="131">
        <v>178</v>
      </c>
      <c r="J69" s="131">
        <v>226</v>
      </c>
      <c r="L69" s="117"/>
      <c r="M69" s="127">
        <v>63</v>
      </c>
      <c r="N69" s="128">
        <v>0.16700000000000001</v>
      </c>
      <c r="O69" s="129">
        <v>116</v>
      </c>
      <c r="P69" s="130">
        <v>0.26700000000000002</v>
      </c>
      <c r="Q69" s="131">
        <v>66</v>
      </c>
      <c r="R69" s="131">
        <v>88</v>
      </c>
      <c r="S69" s="131">
        <v>116</v>
      </c>
      <c r="T69" s="131">
        <v>151</v>
      </c>
      <c r="U69" s="131">
        <v>194</v>
      </c>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row>
    <row r="70" spans="2:49" ht="14.25" x14ac:dyDescent="0.15">
      <c r="B70" s="127">
        <v>64</v>
      </c>
      <c r="C70" s="128">
        <v>0.36299999999999999</v>
      </c>
      <c r="D70" s="129">
        <v>135</v>
      </c>
      <c r="E70" s="130">
        <v>0.27600000000000002</v>
      </c>
      <c r="F70" s="131">
        <v>73</v>
      </c>
      <c r="G70" s="131">
        <v>101</v>
      </c>
      <c r="H70" s="131">
        <v>135</v>
      </c>
      <c r="I70" s="131">
        <v>176</v>
      </c>
      <c r="J70" s="131">
        <v>224</v>
      </c>
      <c r="L70" s="117"/>
      <c r="M70" s="127">
        <v>64</v>
      </c>
      <c r="N70" s="128">
        <v>0.16800000000000001</v>
      </c>
      <c r="O70" s="129">
        <v>114</v>
      </c>
      <c r="P70" s="130">
        <v>0.26900000000000002</v>
      </c>
      <c r="Q70" s="131">
        <v>65</v>
      </c>
      <c r="R70" s="131">
        <v>87</v>
      </c>
      <c r="S70" s="131">
        <v>114</v>
      </c>
      <c r="T70" s="131">
        <v>149</v>
      </c>
      <c r="U70" s="131">
        <v>191</v>
      </c>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row>
    <row r="71" spans="2:49" ht="14.25" x14ac:dyDescent="0.15">
      <c r="B71" s="127">
        <v>65</v>
      </c>
      <c r="C71" s="128">
        <v>0.38300000000000001</v>
      </c>
      <c r="D71" s="129">
        <v>134</v>
      </c>
      <c r="E71" s="130">
        <v>0.27800000000000002</v>
      </c>
      <c r="F71" s="131">
        <v>72</v>
      </c>
      <c r="G71" s="131">
        <v>100</v>
      </c>
      <c r="H71" s="131">
        <v>134</v>
      </c>
      <c r="I71" s="131">
        <v>174</v>
      </c>
      <c r="J71" s="131">
        <v>221</v>
      </c>
      <c r="L71" s="117"/>
      <c r="M71" s="127">
        <v>65</v>
      </c>
      <c r="N71" s="128">
        <v>0.16900000000000001</v>
      </c>
      <c r="O71" s="129">
        <v>112</v>
      </c>
      <c r="P71" s="130">
        <v>0.27</v>
      </c>
      <c r="Q71" s="131">
        <v>64</v>
      </c>
      <c r="R71" s="131">
        <v>85</v>
      </c>
      <c r="S71" s="131">
        <v>112</v>
      </c>
      <c r="T71" s="131">
        <v>146</v>
      </c>
      <c r="U71" s="131">
        <v>188</v>
      </c>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row>
    <row r="72" spans="2:49" ht="14.25" x14ac:dyDescent="0.15">
      <c r="B72" s="127">
        <v>66</v>
      </c>
      <c r="C72" s="128">
        <v>0.40500000000000003</v>
      </c>
      <c r="D72" s="129">
        <v>132</v>
      </c>
      <c r="E72" s="130">
        <v>0.28000000000000003</v>
      </c>
      <c r="F72" s="131">
        <v>70</v>
      </c>
      <c r="G72" s="131">
        <v>98</v>
      </c>
      <c r="H72" s="131">
        <v>132</v>
      </c>
      <c r="I72" s="131">
        <v>172</v>
      </c>
      <c r="J72" s="131">
        <v>219</v>
      </c>
      <c r="L72" s="117"/>
      <c r="M72" s="127">
        <v>66</v>
      </c>
      <c r="N72" s="128">
        <v>0.17</v>
      </c>
      <c r="O72" s="129">
        <v>110</v>
      </c>
      <c r="P72" s="130">
        <v>0.27200000000000002</v>
      </c>
      <c r="Q72" s="131">
        <v>62</v>
      </c>
      <c r="R72" s="131">
        <v>84</v>
      </c>
      <c r="S72" s="131">
        <v>110</v>
      </c>
      <c r="T72" s="131">
        <v>144</v>
      </c>
      <c r="U72" s="131">
        <v>186</v>
      </c>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row>
    <row r="73" spans="2:49" ht="14.25" x14ac:dyDescent="0.15">
      <c r="B73" s="127">
        <v>67</v>
      </c>
      <c r="C73" s="128">
        <v>0.42799999999999999</v>
      </c>
      <c r="D73" s="129">
        <v>130</v>
      </c>
      <c r="E73" s="130">
        <v>0.28199999999999997</v>
      </c>
      <c r="F73" s="131">
        <v>68</v>
      </c>
      <c r="G73" s="131">
        <v>96</v>
      </c>
      <c r="H73" s="131">
        <v>130</v>
      </c>
      <c r="I73" s="131">
        <v>170</v>
      </c>
      <c r="J73" s="131">
        <v>216</v>
      </c>
      <c r="L73" s="117"/>
      <c r="M73" s="127">
        <v>67</v>
      </c>
      <c r="N73" s="128">
        <v>0.17299999999999999</v>
      </c>
      <c r="O73" s="129">
        <v>109</v>
      </c>
      <c r="P73" s="130">
        <v>0.27300000000000002</v>
      </c>
      <c r="Q73" s="131">
        <v>61</v>
      </c>
      <c r="R73" s="131">
        <v>82</v>
      </c>
      <c r="S73" s="131">
        <v>109</v>
      </c>
      <c r="T73" s="131">
        <v>142</v>
      </c>
      <c r="U73" s="131">
        <v>183</v>
      </c>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row>
    <row r="74" spans="2:49" ht="14.25" x14ac:dyDescent="0.15">
      <c r="B74" s="127">
        <v>68</v>
      </c>
      <c r="C74" s="128">
        <v>0.45300000000000001</v>
      </c>
      <c r="D74" s="129">
        <v>128</v>
      </c>
      <c r="E74" s="130">
        <v>0.28399999999999997</v>
      </c>
      <c r="F74" s="131">
        <v>66</v>
      </c>
      <c r="G74" s="131">
        <v>95</v>
      </c>
      <c r="H74" s="131">
        <v>128</v>
      </c>
      <c r="I74" s="131">
        <v>168</v>
      </c>
      <c r="J74" s="131">
        <v>213</v>
      </c>
      <c r="L74" s="117"/>
      <c r="M74" s="127">
        <v>68</v>
      </c>
      <c r="N74" s="128">
        <v>0.17699999999999999</v>
      </c>
      <c r="O74" s="129">
        <v>107</v>
      </c>
      <c r="P74" s="130">
        <v>0.27500000000000002</v>
      </c>
      <c r="Q74" s="131">
        <v>60</v>
      </c>
      <c r="R74" s="131">
        <v>80</v>
      </c>
      <c r="S74" s="131">
        <v>107</v>
      </c>
      <c r="T74" s="131">
        <v>139</v>
      </c>
      <c r="U74" s="131">
        <v>180</v>
      </c>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row>
    <row r="75" spans="2:49" ht="14.25" x14ac:dyDescent="0.15">
      <c r="B75" s="127">
        <v>69</v>
      </c>
      <c r="C75" s="128">
        <v>0.47899999999999998</v>
      </c>
      <c r="D75" s="129">
        <v>126</v>
      </c>
      <c r="E75" s="130">
        <v>0.28699999999999998</v>
      </c>
      <c r="F75" s="131">
        <v>65</v>
      </c>
      <c r="G75" s="131">
        <v>93</v>
      </c>
      <c r="H75" s="131">
        <v>126</v>
      </c>
      <c r="I75" s="131">
        <v>165</v>
      </c>
      <c r="J75" s="131">
        <v>209</v>
      </c>
      <c r="L75" s="117"/>
      <c r="M75" s="127">
        <v>69</v>
      </c>
      <c r="N75" s="128">
        <v>0.18099999999999999</v>
      </c>
      <c r="O75" s="129">
        <v>105</v>
      </c>
      <c r="P75" s="130">
        <v>0.27600000000000002</v>
      </c>
      <c r="Q75" s="131">
        <v>59</v>
      </c>
      <c r="R75" s="131">
        <v>79</v>
      </c>
      <c r="S75" s="131">
        <v>105</v>
      </c>
      <c r="T75" s="131">
        <v>137</v>
      </c>
      <c r="U75" s="131">
        <v>177</v>
      </c>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row>
    <row r="76" spans="2:49" ht="14.25" x14ac:dyDescent="0.15">
      <c r="B76" s="127">
        <v>70</v>
      </c>
      <c r="C76" s="128">
        <v>0.50600000000000001</v>
      </c>
      <c r="D76" s="129">
        <v>124</v>
      </c>
      <c r="E76" s="130">
        <v>0.28899999999999998</v>
      </c>
      <c r="F76" s="131">
        <v>63</v>
      </c>
      <c r="G76" s="131">
        <v>91</v>
      </c>
      <c r="H76" s="131">
        <v>124</v>
      </c>
      <c r="I76" s="131">
        <v>162</v>
      </c>
      <c r="J76" s="131">
        <v>206</v>
      </c>
      <c r="L76" s="117"/>
      <c r="M76" s="127">
        <v>70</v>
      </c>
      <c r="N76" s="128">
        <v>0.185</v>
      </c>
      <c r="O76" s="129">
        <v>103</v>
      </c>
      <c r="P76" s="130">
        <v>0.27800000000000002</v>
      </c>
      <c r="Q76" s="131">
        <v>57</v>
      </c>
      <c r="R76" s="131">
        <v>77</v>
      </c>
      <c r="S76" s="131">
        <v>103</v>
      </c>
      <c r="T76" s="131">
        <v>135</v>
      </c>
      <c r="U76" s="131">
        <v>175</v>
      </c>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row>
    <row r="77" spans="2:49" ht="14.25" x14ac:dyDescent="0.15">
      <c r="B77" s="127">
        <v>71</v>
      </c>
      <c r="C77" s="128">
        <v>0.53300000000000003</v>
      </c>
      <c r="D77" s="129">
        <v>122</v>
      </c>
      <c r="E77" s="130">
        <v>0.29099999999999998</v>
      </c>
      <c r="F77" s="131">
        <v>61</v>
      </c>
      <c r="G77" s="131">
        <v>89</v>
      </c>
      <c r="H77" s="131">
        <v>122</v>
      </c>
      <c r="I77" s="131">
        <v>160</v>
      </c>
      <c r="J77" s="131">
        <v>202</v>
      </c>
      <c r="L77" s="117"/>
      <c r="M77" s="127">
        <v>71</v>
      </c>
      <c r="N77" s="128">
        <v>0.189</v>
      </c>
      <c r="O77" s="129">
        <v>101</v>
      </c>
      <c r="P77" s="130">
        <v>0.27900000000000003</v>
      </c>
      <c r="Q77" s="131">
        <v>56</v>
      </c>
      <c r="R77" s="131">
        <v>76</v>
      </c>
      <c r="S77" s="131">
        <v>101</v>
      </c>
      <c r="T77" s="131">
        <v>133</v>
      </c>
      <c r="U77" s="131">
        <v>172</v>
      </c>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row>
    <row r="78" spans="2:49" ht="14.25" x14ac:dyDescent="0.15">
      <c r="B78" s="127">
        <v>72</v>
      </c>
      <c r="C78" s="128">
        <v>0.56200000000000006</v>
      </c>
      <c r="D78" s="129">
        <v>119</v>
      </c>
      <c r="E78" s="130">
        <v>0.29399999999999998</v>
      </c>
      <c r="F78" s="131">
        <v>58</v>
      </c>
      <c r="G78" s="131">
        <v>87</v>
      </c>
      <c r="H78" s="131">
        <v>119</v>
      </c>
      <c r="I78" s="131">
        <v>157</v>
      </c>
      <c r="J78" s="131">
        <v>198</v>
      </c>
      <c r="L78" s="117"/>
      <c r="M78" s="127">
        <v>72</v>
      </c>
      <c r="N78" s="128">
        <v>0.19400000000000001</v>
      </c>
      <c r="O78" s="129">
        <v>100</v>
      </c>
      <c r="P78" s="130">
        <v>0.28100000000000003</v>
      </c>
      <c r="Q78" s="131">
        <v>55</v>
      </c>
      <c r="R78" s="131">
        <v>75</v>
      </c>
      <c r="S78" s="131">
        <v>100</v>
      </c>
      <c r="T78" s="131">
        <v>131</v>
      </c>
      <c r="U78" s="131">
        <v>170</v>
      </c>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row>
    <row r="79" spans="2:49" ht="14.25" x14ac:dyDescent="0.15">
      <c r="B79" s="127">
        <v>73</v>
      </c>
      <c r="C79" s="128">
        <v>0.59099999999999997</v>
      </c>
      <c r="D79" s="129">
        <v>117</v>
      </c>
      <c r="E79" s="130">
        <v>0.29599999999999999</v>
      </c>
      <c r="F79" s="131">
        <v>56</v>
      </c>
      <c r="G79" s="131">
        <v>84</v>
      </c>
      <c r="H79" s="131">
        <v>117</v>
      </c>
      <c r="I79" s="131">
        <v>153</v>
      </c>
      <c r="J79" s="131">
        <v>194</v>
      </c>
      <c r="L79" s="117"/>
      <c r="M79" s="127">
        <v>73</v>
      </c>
      <c r="N79" s="128">
        <v>0.19900000000000001</v>
      </c>
      <c r="O79" s="129">
        <v>98</v>
      </c>
      <c r="P79" s="130">
        <v>0.28199999999999997</v>
      </c>
      <c r="Q79" s="131">
        <v>54</v>
      </c>
      <c r="R79" s="131">
        <v>73</v>
      </c>
      <c r="S79" s="131">
        <v>98</v>
      </c>
      <c r="T79" s="131">
        <v>129</v>
      </c>
      <c r="U79" s="131">
        <v>167</v>
      </c>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row>
    <row r="80" spans="2:49" ht="14.25" x14ac:dyDescent="0.15">
      <c r="B80" s="127">
        <v>74</v>
      </c>
      <c r="C80" s="128">
        <v>0.62</v>
      </c>
      <c r="D80" s="129">
        <v>114</v>
      </c>
      <c r="E80" s="130">
        <v>0.29899999999999999</v>
      </c>
      <c r="F80" s="131">
        <v>54</v>
      </c>
      <c r="G80" s="131">
        <v>82</v>
      </c>
      <c r="H80" s="131">
        <v>114</v>
      </c>
      <c r="I80" s="131">
        <v>150</v>
      </c>
      <c r="J80" s="131">
        <v>190</v>
      </c>
      <c r="L80" s="117"/>
      <c r="M80" s="127">
        <v>74</v>
      </c>
      <c r="N80" s="128">
        <v>0.20300000000000001</v>
      </c>
      <c r="O80" s="129">
        <v>96</v>
      </c>
      <c r="P80" s="130">
        <v>0.28399999999999997</v>
      </c>
      <c r="Q80" s="131">
        <v>53</v>
      </c>
      <c r="R80" s="131">
        <v>72</v>
      </c>
      <c r="S80" s="131">
        <v>96</v>
      </c>
      <c r="T80" s="131">
        <v>127</v>
      </c>
      <c r="U80" s="131">
        <v>165</v>
      </c>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row>
    <row r="81" spans="2:49" ht="14.25" x14ac:dyDescent="0.15">
      <c r="B81" s="127">
        <v>75</v>
      </c>
      <c r="C81" s="128">
        <v>0.65</v>
      </c>
      <c r="D81" s="129">
        <v>112</v>
      </c>
      <c r="E81" s="130">
        <v>0.30099999999999999</v>
      </c>
      <c r="F81" s="131">
        <v>52</v>
      </c>
      <c r="G81" s="131">
        <v>80</v>
      </c>
      <c r="H81" s="131">
        <v>112</v>
      </c>
      <c r="I81" s="131">
        <v>147</v>
      </c>
      <c r="J81" s="131">
        <v>185</v>
      </c>
      <c r="L81" s="117"/>
      <c r="M81" s="127">
        <v>75</v>
      </c>
      <c r="N81" s="128">
        <v>0.20799999999999999</v>
      </c>
      <c r="O81" s="129">
        <v>95</v>
      </c>
      <c r="P81" s="130">
        <v>0.28599999999999998</v>
      </c>
      <c r="Q81" s="131">
        <v>52</v>
      </c>
      <c r="R81" s="131">
        <v>71</v>
      </c>
      <c r="S81" s="131">
        <v>95</v>
      </c>
      <c r="T81" s="131">
        <v>125</v>
      </c>
      <c r="U81" s="131">
        <v>163</v>
      </c>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row>
    <row r="82" spans="2:49" ht="14.25" x14ac:dyDescent="0.15">
      <c r="B82" s="127">
        <v>76</v>
      </c>
      <c r="C82" s="128">
        <v>0.68</v>
      </c>
      <c r="D82" s="129">
        <v>109</v>
      </c>
      <c r="E82" s="130">
        <v>0.30299999999999999</v>
      </c>
      <c r="F82" s="131">
        <v>50</v>
      </c>
      <c r="G82" s="131">
        <v>78</v>
      </c>
      <c r="H82" s="131">
        <v>109</v>
      </c>
      <c r="I82" s="131">
        <v>144</v>
      </c>
      <c r="J82" s="131">
        <v>181</v>
      </c>
      <c r="L82" s="117"/>
      <c r="M82" s="127">
        <v>76</v>
      </c>
      <c r="N82" s="128">
        <v>0.21199999999999999</v>
      </c>
      <c r="O82" s="129">
        <v>93</v>
      </c>
      <c r="P82" s="130">
        <v>0.28699999999999998</v>
      </c>
      <c r="Q82" s="131">
        <v>50</v>
      </c>
      <c r="R82" s="131">
        <v>69</v>
      </c>
      <c r="S82" s="131">
        <v>93</v>
      </c>
      <c r="T82" s="131">
        <v>123</v>
      </c>
      <c r="U82" s="131">
        <v>160</v>
      </c>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row>
    <row r="83" spans="2:49" ht="14.25" x14ac:dyDescent="0.15">
      <c r="B83" s="132">
        <v>77</v>
      </c>
      <c r="C83" s="133">
        <v>0.71</v>
      </c>
      <c r="D83" s="134">
        <v>106</v>
      </c>
      <c r="E83" s="135">
        <v>0.30599999999999999</v>
      </c>
      <c r="F83" s="136">
        <v>48</v>
      </c>
      <c r="G83" s="136">
        <v>75</v>
      </c>
      <c r="H83" s="136">
        <v>106</v>
      </c>
      <c r="I83" s="136">
        <v>140</v>
      </c>
      <c r="J83" s="136">
        <v>177</v>
      </c>
      <c r="L83" s="117"/>
      <c r="M83" s="132">
        <v>77</v>
      </c>
      <c r="N83" s="133">
        <v>0.217</v>
      </c>
      <c r="O83" s="134">
        <v>92</v>
      </c>
      <c r="P83" s="135">
        <v>0.28899999999999998</v>
      </c>
      <c r="Q83" s="136">
        <v>49</v>
      </c>
      <c r="R83" s="136">
        <v>68</v>
      </c>
      <c r="S83" s="136">
        <v>92</v>
      </c>
      <c r="T83" s="136">
        <v>121</v>
      </c>
      <c r="U83" s="136">
        <v>158</v>
      </c>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row>
    <row r="84" spans="2:49" x14ac:dyDescent="0.15">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row>
    <row r="85" spans="2:49" x14ac:dyDescent="0.15">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row>
    <row r="86" spans="2:49" x14ac:dyDescent="0.15">
      <c r="B86" t="s">
        <v>282</v>
      </c>
      <c r="C86" t="s">
        <v>283</v>
      </c>
      <c r="D86" t="s">
        <v>284</v>
      </c>
      <c r="E86" t="s">
        <v>285</v>
      </c>
      <c r="J86" t="s">
        <v>286</v>
      </c>
      <c r="K86" t="s">
        <v>287</v>
      </c>
      <c r="L86" t="s">
        <v>288</v>
      </c>
      <c r="N86" t="s">
        <v>290</v>
      </c>
      <c r="O86" t="s">
        <v>289</v>
      </c>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row>
    <row r="87" spans="2:49" x14ac:dyDescent="0.15">
      <c r="B87">
        <f>+小児慢性特定疾病意見書記載項目計算!C4</f>
        <v>0</v>
      </c>
      <c r="C87" s="178">
        <f>+小児慢性特定疾病意見書記載項目計算!C5</f>
        <v>0</v>
      </c>
      <c r="D87" s="178">
        <f>+小児慢性特定疾病意見書記載項目計算!C6</f>
        <v>0</v>
      </c>
      <c r="E87">
        <f>+小児慢性特定疾病意見書記載項目計算!C9</f>
        <v>0</v>
      </c>
      <c r="G87">
        <f>DATEDIF(C87,D87,"Y")</f>
        <v>0</v>
      </c>
      <c r="J87">
        <f>INDEX(IF(B87="M",IGFmale, IGFfemale), G87+1,1)</f>
        <v>0.56299999999999994</v>
      </c>
      <c r="K87">
        <f>INDEX(IF(B87="M",IGFmale, IGFfemale), G87+1,2)</f>
        <v>69</v>
      </c>
      <c r="L87">
        <f>INDEX(IF(B87="M",IGFmale, IGFfemale), G87+1,3)</f>
        <v>0.51</v>
      </c>
      <c r="N87">
        <f>IF(G87&gt;77,"*",NORMSDIST(((E87/K87)^(J87)-1)/J87/L87)*100)</f>
        <v>2.4815227576623224E-2</v>
      </c>
      <c r="O87">
        <f>IF(G87&gt;77,"*",((E87/K87)^(J87)-1)/J87/L87)</f>
        <v>-3.482743008393411</v>
      </c>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row>
    <row r="88" spans="2:49" x14ac:dyDescent="0.15">
      <c r="B88">
        <f>+B87</f>
        <v>0</v>
      </c>
      <c r="C88" s="178">
        <f>+C87</f>
        <v>0</v>
      </c>
      <c r="D88" s="178">
        <f>+小児慢性特定疾病意見書記載項目計算!F6</f>
        <v>0</v>
      </c>
      <c r="E88">
        <f>+小児慢性特定疾病意見書記載項目計算!F9</f>
        <v>0</v>
      </c>
      <c r="G88">
        <f>DATEDIF(C88,D88,"Y")</f>
        <v>0</v>
      </c>
      <c r="J88">
        <f>INDEX(IF(B88="M",IGFmale, IGFfemale), G88+1,1)</f>
        <v>0.56299999999999994</v>
      </c>
      <c r="K88">
        <f>INDEX(IF(B88="M",IGFmale, IGFfemale), G88+1,2)</f>
        <v>69</v>
      </c>
      <c r="L88">
        <f>INDEX(IF(B88="M",IGFmale, IGFfemale), G88+1,3)</f>
        <v>0.51</v>
      </c>
      <c r="N88">
        <f>IF(G88&gt;77,"*",NORMSDIST(((E88/K88)^(J88)-1)/J88/L88)*100)</f>
        <v>2.4815227576623224E-2</v>
      </c>
      <c r="O88">
        <f>IF(G88&gt;77,"*",((E88/K88)^(J88)-1)/J88/L88)</f>
        <v>-3.482743008393411</v>
      </c>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row>
    <row r="89" spans="2:49" x14ac:dyDescent="0.15">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row>
    <row r="90" spans="2:49" x14ac:dyDescent="0.15">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row>
    <row r="91" spans="2:49" x14ac:dyDescent="0.15">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row>
    <row r="92" spans="2:49" x14ac:dyDescent="0.15">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row>
    <row r="93" spans="2:49" x14ac:dyDescent="0.15">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row>
    <row r="94" spans="2:49" x14ac:dyDescent="0.15">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row>
    <row r="95" spans="2:49" x14ac:dyDescent="0.15">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row>
    <row r="96" spans="2:49" x14ac:dyDescent="0.15">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row>
    <row r="97" spans="22:49" x14ac:dyDescent="0.15">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row>
    <row r="98" spans="22:49" x14ac:dyDescent="0.15">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row>
    <row r="99" spans="22:49" x14ac:dyDescent="0.15">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row>
    <row r="100" spans="22:49" x14ac:dyDescent="0.15">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row>
    <row r="101" spans="22:49" x14ac:dyDescent="0.15">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row>
    <row r="102" spans="22:49" x14ac:dyDescent="0.15">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row>
    <row r="103" spans="22:49" x14ac:dyDescent="0.15">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row>
    <row r="104" spans="22:49" x14ac:dyDescent="0.15">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row>
    <row r="105" spans="22:49" x14ac:dyDescent="0.15">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row>
    <row r="106" spans="22:49" x14ac:dyDescent="0.15">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row>
    <row r="107" spans="22:49" x14ac:dyDescent="0.15">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row>
    <row r="108" spans="22:49" x14ac:dyDescent="0.15">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row>
    <row r="109" spans="22:49" x14ac:dyDescent="0.15">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row>
    <row r="110" spans="22:49" x14ac:dyDescent="0.15">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row>
    <row r="111" spans="22:49" x14ac:dyDescent="0.15">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row>
    <row r="112" spans="22:49" x14ac:dyDescent="0.15">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row>
    <row r="113" spans="22:49" x14ac:dyDescent="0.15">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row>
    <row r="114" spans="22:49" x14ac:dyDescent="0.15">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row>
    <row r="115" spans="22:49" x14ac:dyDescent="0.15">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row>
    <row r="116" spans="22:49" x14ac:dyDescent="0.15">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row>
    <row r="117" spans="22:49" x14ac:dyDescent="0.15">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row>
    <row r="118" spans="22:49" x14ac:dyDescent="0.15">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row>
    <row r="119" spans="22:49" x14ac:dyDescent="0.15">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row>
    <row r="120" spans="22:49" x14ac:dyDescent="0.15">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row>
    <row r="121" spans="22:49" x14ac:dyDescent="0.15">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row>
    <row r="122" spans="22:49" x14ac:dyDescent="0.15">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row>
    <row r="123" spans="22:49" x14ac:dyDescent="0.15">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row>
    <row r="124" spans="22:49" x14ac:dyDescent="0.15">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row>
    <row r="125" spans="22:49" x14ac:dyDescent="0.15">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row>
    <row r="126" spans="22:49" x14ac:dyDescent="0.15">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row>
    <row r="127" spans="22:49" x14ac:dyDescent="0.15">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row>
    <row r="128" spans="22:49" x14ac:dyDescent="0.15">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row>
    <row r="129" spans="22:49" x14ac:dyDescent="0.15">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row>
    <row r="130" spans="22:49" x14ac:dyDescent="0.15">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row>
    <row r="131" spans="22:49" x14ac:dyDescent="0.15">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row>
    <row r="132" spans="22:49" x14ac:dyDescent="0.15">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row>
    <row r="133" spans="22:49" x14ac:dyDescent="0.15">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row>
    <row r="134" spans="22:49" x14ac:dyDescent="0.15">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row>
    <row r="135" spans="22:49" x14ac:dyDescent="0.15">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row>
    <row r="136" spans="22:49" x14ac:dyDescent="0.15">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row>
    <row r="137" spans="22:49" x14ac:dyDescent="0.15">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row>
    <row r="138" spans="22:49" x14ac:dyDescent="0.15">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row>
    <row r="139" spans="22:49" x14ac:dyDescent="0.15">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row>
    <row r="140" spans="22:49" x14ac:dyDescent="0.15">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row>
    <row r="141" spans="22:49" x14ac:dyDescent="0.15">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row>
    <row r="142" spans="22:49" x14ac:dyDescent="0.15">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row>
    <row r="143" spans="22:49" x14ac:dyDescent="0.15">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row>
    <row r="144" spans="22:49" x14ac:dyDescent="0.15">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row>
    <row r="145" spans="22:49" x14ac:dyDescent="0.15">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row>
    <row r="146" spans="22:49" x14ac:dyDescent="0.15">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row>
    <row r="147" spans="22:49" x14ac:dyDescent="0.15">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row>
    <row r="148" spans="22:49" x14ac:dyDescent="0.15">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row>
    <row r="149" spans="22:49" x14ac:dyDescent="0.15">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row>
    <row r="150" spans="22:49" x14ac:dyDescent="0.15">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row>
    <row r="151" spans="22:49" x14ac:dyDescent="0.15">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row>
    <row r="152" spans="22:49" x14ac:dyDescent="0.15">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row>
    <row r="153" spans="22:49" x14ac:dyDescent="0.15">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row>
    <row r="154" spans="22:49" x14ac:dyDescent="0.15">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row>
    <row r="155" spans="22:49" x14ac:dyDescent="0.15">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row>
    <row r="156" spans="22:49" x14ac:dyDescent="0.15">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row>
    <row r="157" spans="22:49" x14ac:dyDescent="0.15">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row>
    <row r="158" spans="22:49" x14ac:dyDescent="0.15">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row>
    <row r="159" spans="22:49" x14ac:dyDescent="0.15">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row>
    <row r="160" spans="22:49" x14ac:dyDescent="0.15">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row>
    <row r="161" spans="22:49" x14ac:dyDescent="0.15">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row>
    <row r="162" spans="22:49" x14ac:dyDescent="0.15">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row>
    <row r="163" spans="22:49" x14ac:dyDescent="0.15">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row>
    <row r="164" spans="22:49" x14ac:dyDescent="0.15">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row>
    <row r="165" spans="22:49" x14ac:dyDescent="0.15">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row>
    <row r="166" spans="22:49" x14ac:dyDescent="0.15">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row>
    <row r="167" spans="22:49" x14ac:dyDescent="0.15">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row>
    <row r="168" spans="22:49" x14ac:dyDescent="0.15">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row>
    <row r="169" spans="22:49" x14ac:dyDescent="0.15">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row>
    <row r="170" spans="22:49" x14ac:dyDescent="0.15">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row>
    <row r="171" spans="22:49" x14ac:dyDescent="0.15">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row>
    <row r="172" spans="22:49" x14ac:dyDescent="0.15">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row>
    <row r="173" spans="22:49" x14ac:dyDescent="0.15">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row>
    <row r="174" spans="22:49" x14ac:dyDescent="0.15">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row>
    <row r="175" spans="22:49" x14ac:dyDescent="0.15">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row>
    <row r="176" spans="22:49" x14ac:dyDescent="0.15">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row>
    <row r="177" spans="22:44" x14ac:dyDescent="0.15">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row>
    <row r="178" spans="22:44" x14ac:dyDescent="0.15">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row>
    <row r="179" spans="22:44" x14ac:dyDescent="0.15">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row>
    <row r="180" spans="22:44" x14ac:dyDescent="0.15">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row>
    <row r="181" spans="22:44" x14ac:dyDescent="0.15">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row>
    <row r="182" spans="22:44" x14ac:dyDescent="0.15">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row>
    <row r="183" spans="22:44" x14ac:dyDescent="0.15">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row>
    <row r="184" spans="22:44" x14ac:dyDescent="0.15">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row>
    <row r="185" spans="22:44" x14ac:dyDescent="0.15">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row>
    <row r="186" spans="22:44" x14ac:dyDescent="0.15">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row>
    <row r="187" spans="22:44" x14ac:dyDescent="0.15">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row>
    <row r="188" spans="22:44" x14ac:dyDescent="0.15">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row>
    <row r="189" spans="22:44" x14ac:dyDescent="0.15">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row>
    <row r="190" spans="22:44" x14ac:dyDescent="0.15">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row>
    <row r="191" spans="22:44" x14ac:dyDescent="0.15">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row>
    <row r="192" spans="22:44" x14ac:dyDescent="0.15">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row>
    <row r="193" spans="22:44" x14ac:dyDescent="0.15">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row>
    <row r="194" spans="22:44" x14ac:dyDescent="0.15">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row>
    <row r="195" spans="22:44" x14ac:dyDescent="0.15">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row>
    <row r="196" spans="22:44" x14ac:dyDescent="0.15">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row>
    <row r="197" spans="22:44" x14ac:dyDescent="0.15">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row>
    <row r="198" spans="22:44" x14ac:dyDescent="0.15">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row>
    <row r="199" spans="22:44" x14ac:dyDescent="0.15">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row>
    <row r="200" spans="22:44" x14ac:dyDescent="0.15">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row>
    <row r="201" spans="22:44" x14ac:dyDescent="0.15">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row>
    <row r="202" spans="22:44" x14ac:dyDescent="0.15">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row>
    <row r="203" spans="22:44" x14ac:dyDescent="0.15">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row>
    <row r="204" spans="22:44" x14ac:dyDescent="0.15">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row>
    <row r="205" spans="22:44" x14ac:dyDescent="0.15">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row>
    <row r="206" spans="22:44" x14ac:dyDescent="0.15">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row>
    <row r="207" spans="22:44" x14ac:dyDescent="0.15">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row>
    <row r="208" spans="22:44" x14ac:dyDescent="0.15">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row>
    <row r="209" spans="22:44" x14ac:dyDescent="0.15">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row>
    <row r="210" spans="22:44" x14ac:dyDescent="0.15">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row>
    <row r="211" spans="22:44" x14ac:dyDescent="0.15">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row>
    <row r="212" spans="22:44" x14ac:dyDescent="0.15">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row>
    <row r="213" spans="22:44" x14ac:dyDescent="0.15">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row>
    <row r="214" spans="22:44" x14ac:dyDescent="0.15">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row>
    <row r="215" spans="22:44" x14ac:dyDescent="0.15">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row>
    <row r="216" spans="22:44" x14ac:dyDescent="0.15">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row>
    <row r="217" spans="22:44" x14ac:dyDescent="0.15">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row>
    <row r="218" spans="22:44" x14ac:dyDescent="0.15">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row>
    <row r="219" spans="22:44" x14ac:dyDescent="0.15">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row>
    <row r="220" spans="22:44" x14ac:dyDescent="0.15">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row>
    <row r="221" spans="22:44" x14ac:dyDescent="0.15">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row>
    <row r="222" spans="22:44" x14ac:dyDescent="0.15">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row>
    <row r="223" spans="22:44" x14ac:dyDescent="0.15">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row>
    <row r="224" spans="22:44" x14ac:dyDescent="0.15">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row>
    <row r="225" spans="22:44" x14ac:dyDescent="0.15">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row>
    <row r="226" spans="22:44" x14ac:dyDescent="0.15">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row>
    <row r="227" spans="22:44" x14ac:dyDescent="0.15">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row>
    <row r="228" spans="22:44" x14ac:dyDescent="0.15">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row>
    <row r="229" spans="22:44" x14ac:dyDescent="0.15">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row>
    <row r="230" spans="22:44" x14ac:dyDescent="0.15">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row>
    <row r="231" spans="22:44" x14ac:dyDescent="0.15">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row>
    <row r="232" spans="22:44" x14ac:dyDescent="0.15">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row>
    <row r="233" spans="22:44" x14ac:dyDescent="0.15">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row>
    <row r="234" spans="22:44" x14ac:dyDescent="0.15">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row>
    <row r="235" spans="22:44" x14ac:dyDescent="0.15">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row>
    <row r="236" spans="22:44" x14ac:dyDescent="0.15">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row>
    <row r="237" spans="22:44" x14ac:dyDescent="0.15">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row>
    <row r="238" spans="22:44" x14ac:dyDescent="0.15">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row>
    <row r="239" spans="22:44" x14ac:dyDescent="0.15">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row>
    <row r="240" spans="22:44" x14ac:dyDescent="0.15">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row>
    <row r="241" spans="22:44" x14ac:dyDescent="0.15">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row>
    <row r="242" spans="22:44" x14ac:dyDescent="0.15">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row>
    <row r="243" spans="22:44" x14ac:dyDescent="0.15">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row>
    <row r="244" spans="22:44" x14ac:dyDescent="0.15">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row>
    <row r="245" spans="22:44" x14ac:dyDescent="0.15">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row>
    <row r="246" spans="22:44" x14ac:dyDescent="0.15">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row>
    <row r="247" spans="22:44" x14ac:dyDescent="0.15">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row>
    <row r="248" spans="22:44" x14ac:dyDescent="0.15">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row>
    <row r="249" spans="22:44" x14ac:dyDescent="0.15">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row>
    <row r="250" spans="22:44" x14ac:dyDescent="0.15">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row>
    <row r="251" spans="22:44" x14ac:dyDescent="0.15">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row>
    <row r="252" spans="22:44" x14ac:dyDescent="0.15">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row>
    <row r="253" spans="22:44" x14ac:dyDescent="0.15">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row>
    <row r="254" spans="22:44" x14ac:dyDescent="0.15">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row>
    <row r="255" spans="22:44" x14ac:dyDescent="0.15">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row>
    <row r="256" spans="22:44" x14ac:dyDescent="0.15">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row>
    <row r="257" spans="22:44" x14ac:dyDescent="0.15">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row>
    <row r="258" spans="22:44" x14ac:dyDescent="0.15">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row>
    <row r="259" spans="22:44" x14ac:dyDescent="0.15">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row>
    <row r="260" spans="22:44" x14ac:dyDescent="0.15">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row>
    <row r="261" spans="22:44" x14ac:dyDescent="0.15">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row>
    <row r="262" spans="22:44" x14ac:dyDescent="0.15">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row>
    <row r="263" spans="22:44" x14ac:dyDescent="0.15">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row>
    <row r="264" spans="22:44" x14ac:dyDescent="0.15">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row>
    <row r="265" spans="22:44" x14ac:dyDescent="0.15">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row>
    <row r="266" spans="22:44" x14ac:dyDescent="0.15">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row>
    <row r="267" spans="22:44" x14ac:dyDescent="0.15">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row>
    <row r="268" spans="22:44" x14ac:dyDescent="0.15">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row>
    <row r="269" spans="22:44" x14ac:dyDescent="0.15">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row>
    <row r="270" spans="22:44" x14ac:dyDescent="0.15">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row>
    <row r="271" spans="22:44" x14ac:dyDescent="0.15">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row>
    <row r="272" spans="22:44" x14ac:dyDescent="0.15">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row>
    <row r="273" spans="22:44" x14ac:dyDescent="0.15">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row>
    <row r="274" spans="22:44" x14ac:dyDescent="0.15">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row>
    <row r="275" spans="22:44" x14ac:dyDescent="0.15">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row>
    <row r="276" spans="22:44" x14ac:dyDescent="0.15">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row>
    <row r="277" spans="22:44" x14ac:dyDescent="0.15">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row>
    <row r="278" spans="22:44" x14ac:dyDescent="0.15">
      <c r="V278" s="24"/>
      <c r="W278" s="24"/>
      <c r="X278" s="24"/>
      <c r="Y278" s="24"/>
      <c r="Z278" s="24"/>
      <c r="AA278" s="24"/>
      <c r="AB278" s="24"/>
      <c r="AC278" s="24"/>
      <c r="AD278" s="24"/>
      <c r="AE278" s="24"/>
      <c r="AF278" s="24"/>
      <c r="AG278" s="24"/>
      <c r="AH278" s="24"/>
      <c r="AI278" s="24"/>
      <c r="AJ278" s="24"/>
      <c r="AK278" s="24"/>
      <c r="AL278" s="24"/>
      <c r="AM278" s="24"/>
      <c r="AN278" s="24"/>
      <c r="AO278" s="24"/>
      <c r="AP278" s="24"/>
      <c r="AQ278" s="24"/>
      <c r="AR278" s="24"/>
    </row>
    <row r="279" spans="22:44" x14ac:dyDescent="0.15">
      <c r="V279" s="24"/>
      <c r="W279" s="24"/>
      <c r="X279" s="24"/>
      <c r="Y279" s="24"/>
      <c r="Z279" s="24"/>
      <c r="AA279" s="24"/>
      <c r="AB279" s="24"/>
      <c r="AC279" s="24"/>
      <c r="AD279" s="24"/>
      <c r="AE279" s="24"/>
      <c r="AF279" s="24"/>
      <c r="AG279" s="24"/>
      <c r="AH279" s="24"/>
      <c r="AI279" s="24"/>
      <c r="AJ279" s="24"/>
      <c r="AK279" s="24"/>
      <c r="AL279" s="24"/>
      <c r="AM279" s="24"/>
      <c r="AN279" s="24"/>
      <c r="AO279" s="24"/>
      <c r="AP279" s="24"/>
      <c r="AQ279" s="24"/>
      <c r="AR279" s="24"/>
    </row>
    <row r="280" spans="22:44" x14ac:dyDescent="0.15">
      <c r="V280" s="24"/>
      <c r="W280" s="24"/>
      <c r="X280" s="24"/>
      <c r="Y280" s="24"/>
      <c r="Z280" s="24"/>
      <c r="AA280" s="24"/>
      <c r="AB280" s="24"/>
      <c r="AC280" s="24"/>
      <c r="AD280" s="24"/>
      <c r="AE280" s="24"/>
      <c r="AF280" s="24"/>
      <c r="AG280" s="24"/>
      <c r="AH280" s="24"/>
      <c r="AI280" s="24"/>
      <c r="AJ280" s="24"/>
      <c r="AK280" s="24"/>
      <c r="AL280" s="24"/>
      <c r="AM280" s="24"/>
      <c r="AN280" s="24"/>
      <c r="AO280" s="24"/>
      <c r="AP280" s="24"/>
      <c r="AQ280" s="24"/>
      <c r="AR280" s="24"/>
    </row>
    <row r="281" spans="22:44" x14ac:dyDescent="0.15">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row>
    <row r="282" spans="22:44" x14ac:dyDescent="0.15">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row>
    <row r="283" spans="22:44" x14ac:dyDescent="0.15">
      <c r="V283" s="24"/>
      <c r="W283" s="24"/>
      <c r="X283" s="24"/>
      <c r="Y283" s="24"/>
      <c r="Z283" s="24"/>
      <c r="AA283" s="24"/>
      <c r="AB283" s="24"/>
      <c r="AC283" s="24"/>
      <c r="AD283" s="24"/>
      <c r="AE283" s="24"/>
      <c r="AF283" s="24"/>
      <c r="AG283" s="24"/>
      <c r="AH283" s="24"/>
      <c r="AI283" s="24"/>
      <c r="AJ283" s="24"/>
      <c r="AK283" s="24"/>
      <c r="AL283" s="24"/>
      <c r="AM283" s="24"/>
      <c r="AN283" s="24"/>
      <c r="AO283" s="24"/>
      <c r="AP283" s="24"/>
      <c r="AQ283" s="24"/>
      <c r="AR283" s="24"/>
    </row>
    <row r="284" spans="22:44" x14ac:dyDescent="0.15">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row>
    <row r="285" spans="22:44" x14ac:dyDescent="0.15">
      <c r="V285" s="24"/>
      <c r="W285" s="24"/>
      <c r="X285" s="24"/>
      <c r="Y285" s="24"/>
      <c r="Z285" s="24"/>
      <c r="AA285" s="24"/>
      <c r="AB285" s="24"/>
      <c r="AC285" s="24"/>
      <c r="AD285" s="24"/>
      <c r="AE285" s="24"/>
      <c r="AF285" s="24"/>
      <c r="AG285" s="24"/>
      <c r="AH285" s="24"/>
      <c r="AI285" s="24"/>
      <c r="AJ285" s="24"/>
      <c r="AK285" s="24"/>
      <c r="AL285" s="24"/>
      <c r="AM285" s="24"/>
      <c r="AN285" s="24"/>
      <c r="AO285" s="24"/>
      <c r="AP285" s="24"/>
      <c r="AQ285" s="24"/>
      <c r="AR285" s="24"/>
    </row>
    <row r="286" spans="22:44" x14ac:dyDescent="0.15">
      <c r="V286" s="24"/>
      <c r="W286" s="24"/>
      <c r="X286" s="24"/>
      <c r="Y286" s="24"/>
      <c r="Z286" s="24"/>
      <c r="AA286" s="24"/>
      <c r="AB286" s="24"/>
      <c r="AC286" s="24"/>
      <c r="AD286" s="24"/>
      <c r="AE286" s="24"/>
      <c r="AF286" s="24"/>
      <c r="AG286" s="24"/>
      <c r="AH286" s="24"/>
      <c r="AI286" s="24"/>
      <c r="AJ286" s="24"/>
      <c r="AK286" s="24"/>
      <c r="AL286" s="24"/>
      <c r="AM286" s="24"/>
      <c r="AN286" s="24"/>
      <c r="AO286" s="24"/>
      <c r="AP286" s="24"/>
      <c r="AQ286" s="24"/>
      <c r="AR286" s="24"/>
    </row>
    <row r="287" spans="22:44" x14ac:dyDescent="0.15">
      <c r="V287" s="24"/>
      <c r="W287" s="24"/>
      <c r="X287" s="24"/>
      <c r="Y287" s="24"/>
      <c r="Z287" s="24"/>
      <c r="AA287" s="24"/>
      <c r="AB287" s="24"/>
      <c r="AC287" s="24"/>
      <c r="AD287" s="24"/>
      <c r="AE287" s="24"/>
      <c r="AF287" s="24"/>
      <c r="AG287" s="24"/>
      <c r="AH287" s="24"/>
      <c r="AI287" s="24"/>
      <c r="AJ287" s="24"/>
      <c r="AK287" s="24"/>
      <c r="AL287" s="24"/>
      <c r="AM287" s="24"/>
      <c r="AN287" s="24"/>
      <c r="AO287" s="24"/>
      <c r="AP287" s="24"/>
      <c r="AQ287" s="24"/>
      <c r="AR287" s="24"/>
    </row>
    <row r="288" spans="22:44" x14ac:dyDescent="0.15">
      <c r="V288" s="24"/>
      <c r="W288" s="24"/>
      <c r="X288" s="24"/>
      <c r="Y288" s="24"/>
      <c r="Z288" s="24"/>
      <c r="AA288" s="24"/>
      <c r="AB288" s="24"/>
      <c r="AC288" s="24"/>
      <c r="AD288" s="24"/>
      <c r="AE288" s="24"/>
      <c r="AF288" s="24"/>
      <c r="AG288" s="24"/>
      <c r="AH288" s="24"/>
      <c r="AI288" s="24"/>
      <c r="AJ288" s="24"/>
      <c r="AK288" s="24"/>
      <c r="AL288" s="24"/>
      <c r="AM288" s="24"/>
      <c r="AN288" s="24"/>
      <c r="AO288" s="24"/>
      <c r="AP288" s="24"/>
      <c r="AQ288" s="24"/>
      <c r="AR288" s="24"/>
    </row>
    <row r="289" spans="22:44" x14ac:dyDescent="0.15">
      <c r="V289" s="24"/>
      <c r="W289" s="24"/>
      <c r="X289" s="24"/>
      <c r="Y289" s="24"/>
      <c r="Z289" s="24"/>
      <c r="AA289" s="24"/>
      <c r="AB289" s="24"/>
      <c r="AC289" s="24"/>
      <c r="AD289" s="24"/>
      <c r="AE289" s="24"/>
      <c r="AF289" s="24"/>
      <c r="AG289" s="24"/>
      <c r="AH289" s="24"/>
      <c r="AI289" s="24"/>
      <c r="AJ289" s="24"/>
      <c r="AK289" s="24"/>
      <c r="AL289" s="24"/>
      <c r="AM289" s="24"/>
      <c r="AN289" s="24"/>
      <c r="AO289" s="24"/>
      <c r="AP289" s="24"/>
      <c r="AQ289" s="24"/>
      <c r="AR289" s="24"/>
    </row>
    <row r="290" spans="22:44" x14ac:dyDescent="0.15">
      <c r="V290" s="24"/>
      <c r="W290" s="24"/>
      <c r="X290" s="24"/>
      <c r="Y290" s="24"/>
      <c r="Z290" s="24"/>
      <c r="AA290" s="24"/>
      <c r="AB290" s="24"/>
      <c r="AC290" s="24"/>
      <c r="AD290" s="24"/>
      <c r="AE290" s="24"/>
      <c r="AF290" s="24"/>
      <c r="AG290" s="24"/>
      <c r="AH290" s="24"/>
      <c r="AI290" s="24"/>
      <c r="AJ290" s="24"/>
      <c r="AK290" s="24"/>
      <c r="AL290" s="24"/>
      <c r="AM290" s="24"/>
      <c r="AN290" s="24"/>
      <c r="AO290" s="24"/>
      <c r="AP290" s="24"/>
      <c r="AQ290" s="24"/>
      <c r="AR290" s="24"/>
    </row>
    <row r="291" spans="22:44" x14ac:dyDescent="0.15">
      <c r="V291" s="24"/>
      <c r="W291" s="24"/>
      <c r="X291" s="24"/>
      <c r="Y291" s="24"/>
      <c r="Z291" s="24"/>
      <c r="AA291" s="24"/>
      <c r="AB291" s="24"/>
      <c r="AC291" s="24"/>
      <c r="AD291" s="24"/>
      <c r="AE291" s="24"/>
      <c r="AF291" s="24"/>
      <c r="AG291" s="24"/>
      <c r="AH291" s="24"/>
      <c r="AI291" s="24"/>
      <c r="AJ291" s="24"/>
      <c r="AK291" s="24"/>
      <c r="AL291" s="24"/>
      <c r="AM291" s="24"/>
      <c r="AN291" s="24"/>
      <c r="AO291" s="24"/>
      <c r="AP291" s="24"/>
      <c r="AQ291" s="24"/>
      <c r="AR291" s="24"/>
    </row>
    <row r="292" spans="22:44" x14ac:dyDescent="0.15">
      <c r="V292" s="24"/>
      <c r="W292" s="24"/>
      <c r="X292" s="24"/>
      <c r="Y292" s="24"/>
      <c r="Z292" s="24"/>
      <c r="AA292" s="24"/>
      <c r="AB292" s="24"/>
      <c r="AC292" s="24"/>
      <c r="AD292" s="24"/>
      <c r="AE292" s="24"/>
      <c r="AF292" s="24"/>
      <c r="AG292" s="24"/>
      <c r="AH292" s="24"/>
      <c r="AI292" s="24"/>
      <c r="AJ292" s="24"/>
      <c r="AK292" s="24"/>
      <c r="AL292" s="24"/>
      <c r="AM292" s="24"/>
      <c r="AN292" s="24"/>
      <c r="AO292" s="24"/>
      <c r="AP292" s="24"/>
      <c r="AQ292" s="24"/>
      <c r="AR292" s="24"/>
    </row>
    <row r="293" spans="22:44" x14ac:dyDescent="0.15">
      <c r="V293" s="24"/>
      <c r="W293" s="24"/>
      <c r="X293" s="24"/>
      <c r="Y293" s="24"/>
      <c r="Z293" s="24"/>
      <c r="AA293" s="24"/>
      <c r="AB293" s="24"/>
      <c r="AC293" s="24"/>
      <c r="AD293" s="24"/>
      <c r="AE293" s="24"/>
      <c r="AF293" s="24"/>
      <c r="AG293" s="24"/>
      <c r="AH293" s="24"/>
      <c r="AI293" s="24"/>
      <c r="AJ293" s="24"/>
      <c r="AK293" s="24"/>
      <c r="AL293" s="24"/>
      <c r="AM293" s="24"/>
      <c r="AN293" s="24"/>
      <c r="AO293" s="24"/>
      <c r="AP293" s="24"/>
      <c r="AQ293" s="24"/>
      <c r="AR293" s="24"/>
    </row>
    <row r="294" spans="22:44" x14ac:dyDescent="0.15">
      <c r="V294" s="24"/>
      <c r="W294" s="24"/>
      <c r="X294" s="24"/>
      <c r="Y294" s="24"/>
      <c r="Z294" s="24"/>
      <c r="AA294" s="24"/>
      <c r="AB294" s="24"/>
      <c r="AC294" s="24"/>
      <c r="AD294" s="24"/>
      <c r="AE294" s="24"/>
      <c r="AF294" s="24"/>
      <c r="AG294" s="24"/>
      <c r="AH294" s="24"/>
      <c r="AI294" s="24"/>
      <c r="AJ294" s="24"/>
      <c r="AK294" s="24"/>
      <c r="AL294" s="24"/>
      <c r="AM294" s="24"/>
      <c r="AN294" s="24"/>
      <c r="AO294" s="24"/>
      <c r="AP294" s="24"/>
      <c r="AQ294" s="24"/>
      <c r="AR294" s="24"/>
    </row>
    <row r="295" spans="22:44" x14ac:dyDescent="0.15">
      <c r="V295" s="24"/>
      <c r="W295" s="24"/>
      <c r="X295" s="24"/>
      <c r="Y295" s="24"/>
      <c r="Z295" s="24"/>
      <c r="AA295" s="24"/>
      <c r="AB295" s="24"/>
      <c r="AC295" s="24"/>
      <c r="AD295" s="24"/>
      <c r="AE295" s="24"/>
      <c r="AF295" s="24"/>
      <c r="AG295" s="24"/>
      <c r="AH295" s="24"/>
      <c r="AI295" s="24"/>
      <c r="AJ295" s="24"/>
      <c r="AK295" s="24"/>
      <c r="AL295" s="24"/>
      <c r="AM295" s="24"/>
      <c r="AN295" s="24"/>
      <c r="AO295" s="24"/>
      <c r="AP295" s="24"/>
      <c r="AQ295" s="24"/>
      <c r="AR295" s="24"/>
    </row>
    <row r="296" spans="22:44" x14ac:dyDescent="0.15">
      <c r="V296" s="24"/>
      <c r="W296" s="24"/>
      <c r="X296" s="24"/>
      <c r="Y296" s="24"/>
      <c r="Z296" s="24"/>
      <c r="AA296" s="24"/>
      <c r="AB296" s="24"/>
      <c r="AC296" s="24"/>
      <c r="AD296" s="24"/>
      <c r="AE296" s="24"/>
      <c r="AF296" s="24"/>
      <c r="AG296" s="24"/>
      <c r="AH296" s="24"/>
      <c r="AI296" s="24"/>
      <c r="AJ296" s="24"/>
      <c r="AK296" s="24"/>
      <c r="AL296" s="24"/>
      <c r="AM296" s="24"/>
      <c r="AN296" s="24"/>
      <c r="AO296" s="24"/>
      <c r="AP296" s="24"/>
      <c r="AQ296" s="24"/>
      <c r="AR296" s="24"/>
    </row>
    <row r="297" spans="22:44" x14ac:dyDescent="0.15">
      <c r="V297" s="24"/>
      <c r="W297" s="24"/>
      <c r="X297" s="24"/>
      <c r="Y297" s="24"/>
      <c r="Z297" s="24"/>
      <c r="AA297" s="24"/>
      <c r="AB297" s="24"/>
      <c r="AC297" s="24"/>
      <c r="AD297" s="24"/>
      <c r="AE297" s="24"/>
      <c r="AF297" s="24"/>
      <c r="AG297" s="24"/>
      <c r="AH297" s="24"/>
      <c r="AI297" s="24"/>
      <c r="AJ297" s="24"/>
      <c r="AK297" s="24"/>
      <c r="AL297" s="24"/>
      <c r="AM297" s="24"/>
      <c r="AN297" s="24"/>
      <c r="AO297" s="24"/>
      <c r="AP297" s="24"/>
      <c r="AQ297" s="24"/>
      <c r="AR297" s="24"/>
    </row>
    <row r="298" spans="22:44" x14ac:dyDescent="0.15">
      <c r="V298" s="24"/>
      <c r="W298" s="24"/>
      <c r="X298" s="24"/>
      <c r="Y298" s="24"/>
      <c r="Z298" s="24"/>
      <c r="AA298" s="24"/>
      <c r="AB298" s="24"/>
      <c r="AC298" s="24"/>
      <c r="AD298" s="24"/>
      <c r="AE298" s="24"/>
      <c r="AF298" s="24"/>
      <c r="AG298" s="24"/>
      <c r="AH298" s="24"/>
      <c r="AI298" s="24"/>
      <c r="AJ298" s="24"/>
      <c r="AK298" s="24"/>
      <c r="AL298" s="24"/>
      <c r="AM298" s="24"/>
      <c r="AN298" s="24"/>
      <c r="AO298" s="24"/>
      <c r="AP298" s="24"/>
      <c r="AQ298" s="24"/>
      <c r="AR298" s="24"/>
    </row>
    <row r="299" spans="22:44" x14ac:dyDescent="0.15">
      <c r="V299" s="24"/>
      <c r="W299" s="24"/>
      <c r="X299" s="24"/>
      <c r="Y299" s="24"/>
      <c r="Z299" s="24"/>
      <c r="AA299" s="24"/>
      <c r="AB299" s="24"/>
      <c r="AC299" s="24"/>
      <c r="AD299" s="24"/>
      <c r="AE299" s="24"/>
      <c r="AF299" s="24"/>
      <c r="AG299" s="24"/>
      <c r="AH299" s="24"/>
      <c r="AI299" s="24"/>
      <c r="AJ299" s="24"/>
      <c r="AK299" s="24"/>
      <c r="AL299" s="24"/>
      <c r="AM299" s="24"/>
      <c r="AN299" s="24"/>
      <c r="AO299" s="24"/>
      <c r="AP299" s="24"/>
      <c r="AQ299" s="24"/>
      <c r="AR299" s="24"/>
    </row>
    <row r="300" spans="22:44" x14ac:dyDescent="0.15">
      <c r="V300" s="24"/>
      <c r="W300" s="24"/>
      <c r="X300" s="24"/>
      <c r="Y300" s="24"/>
      <c r="Z300" s="24"/>
      <c r="AA300" s="24"/>
      <c r="AB300" s="24"/>
      <c r="AC300" s="24"/>
      <c r="AD300" s="24"/>
      <c r="AE300" s="24"/>
      <c r="AF300" s="24"/>
      <c r="AG300" s="24"/>
      <c r="AH300" s="24"/>
      <c r="AI300" s="24"/>
      <c r="AJ300" s="24"/>
      <c r="AK300" s="24"/>
      <c r="AL300" s="24"/>
      <c r="AM300" s="24"/>
      <c r="AN300" s="24"/>
      <c r="AO300" s="24"/>
      <c r="AP300" s="24"/>
      <c r="AQ300" s="24"/>
      <c r="AR300" s="24"/>
    </row>
    <row r="301" spans="22:44" x14ac:dyDescent="0.15">
      <c r="V301" s="24"/>
      <c r="W301" s="24"/>
      <c r="X301" s="24"/>
      <c r="Y301" s="24"/>
      <c r="Z301" s="24"/>
      <c r="AA301" s="24"/>
      <c r="AB301" s="24"/>
      <c r="AC301" s="24"/>
      <c r="AD301" s="24"/>
      <c r="AE301" s="24"/>
      <c r="AF301" s="24"/>
      <c r="AG301" s="24"/>
      <c r="AH301" s="24"/>
      <c r="AI301" s="24"/>
      <c r="AJ301" s="24"/>
      <c r="AK301" s="24"/>
      <c r="AL301" s="24"/>
      <c r="AM301" s="24"/>
      <c r="AN301" s="24"/>
      <c r="AO301" s="24"/>
      <c r="AP301" s="24"/>
      <c r="AQ301" s="24"/>
      <c r="AR301" s="24"/>
    </row>
    <row r="302" spans="22:44" x14ac:dyDescent="0.15">
      <c r="V302" s="24"/>
      <c r="W302" s="24"/>
      <c r="X302" s="24"/>
      <c r="Y302" s="24"/>
      <c r="Z302" s="24"/>
      <c r="AA302" s="24"/>
      <c r="AB302" s="24"/>
      <c r="AC302" s="24"/>
      <c r="AD302" s="24"/>
      <c r="AE302" s="24"/>
      <c r="AF302" s="24"/>
      <c r="AG302" s="24"/>
      <c r="AH302" s="24"/>
      <c r="AI302" s="24"/>
      <c r="AJ302" s="24"/>
      <c r="AK302" s="24"/>
      <c r="AL302" s="24"/>
      <c r="AM302" s="24"/>
      <c r="AN302" s="24"/>
      <c r="AO302" s="24"/>
      <c r="AP302" s="24"/>
      <c r="AQ302" s="24"/>
      <c r="AR302" s="24"/>
    </row>
    <row r="303" spans="22:44" x14ac:dyDescent="0.15">
      <c r="V303" s="24"/>
      <c r="W303" s="24"/>
      <c r="X303" s="24"/>
      <c r="Y303" s="24"/>
      <c r="Z303" s="24"/>
      <c r="AA303" s="24"/>
      <c r="AB303" s="24"/>
      <c r="AC303" s="24"/>
      <c r="AD303" s="24"/>
      <c r="AE303" s="24"/>
      <c r="AF303" s="24"/>
      <c r="AG303" s="24"/>
      <c r="AH303" s="24"/>
      <c r="AI303" s="24"/>
      <c r="AJ303" s="24"/>
      <c r="AK303" s="24"/>
      <c r="AL303" s="24"/>
      <c r="AM303" s="24"/>
      <c r="AN303" s="24"/>
      <c r="AO303" s="24"/>
      <c r="AP303" s="24"/>
      <c r="AQ303" s="24"/>
      <c r="AR303" s="24"/>
    </row>
    <row r="304" spans="22:44" x14ac:dyDescent="0.15">
      <c r="V304" s="24"/>
      <c r="W304" s="24"/>
      <c r="X304" s="24"/>
      <c r="Y304" s="24"/>
      <c r="Z304" s="24"/>
      <c r="AA304" s="24"/>
      <c r="AB304" s="24"/>
      <c r="AC304" s="24"/>
      <c r="AD304" s="24"/>
      <c r="AE304" s="24"/>
      <c r="AF304" s="24"/>
      <c r="AG304" s="24"/>
      <c r="AH304" s="24"/>
      <c r="AI304" s="24"/>
      <c r="AJ304" s="24"/>
      <c r="AK304" s="24"/>
      <c r="AL304" s="24"/>
      <c r="AM304" s="24"/>
      <c r="AN304" s="24"/>
      <c r="AO304" s="24"/>
      <c r="AP304" s="24"/>
      <c r="AQ304" s="24"/>
      <c r="AR304" s="24"/>
    </row>
    <row r="305" spans="22:44" x14ac:dyDescent="0.15">
      <c r="V305" s="24"/>
      <c r="W305" s="24"/>
      <c r="X305" s="24"/>
      <c r="Y305" s="24"/>
      <c r="Z305" s="24"/>
      <c r="AA305" s="24"/>
      <c r="AB305" s="24"/>
      <c r="AC305" s="24"/>
      <c r="AD305" s="24"/>
      <c r="AE305" s="24"/>
      <c r="AF305" s="24"/>
      <c r="AG305" s="24"/>
      <c r="AH305" s="24"/>
      <c r="AI305" s="24"/>
      <c r="AJ305" s="24"/>
      <c r="AK305" s="24"/>
      <c r="AL305" s="24"/>
      <c r="AM305" s="24"/>
      <c r="AN305" s="24"/>
      <c r="AO305" s="24"/>
      <c r="AP305" s="24"/>
      <c r="AQ305" s="24"/>
      <c r="AR305" s="24"/>
    </row>
    <row r="306" spans="22:44" x14ac:dyDescent="0.15">
      <c r="V306" s="24"/>
      <c r="W306" s="24"/>
      <c r="X306" s="24"/>
      <c r="Y306" s="24"/>
      <c r="Z306" s="24"/>
      <c r="AA306" s="24"/>
      <c r="AB306" s="24"/>
      <c r="AC306" s="24"/>
      <c r="AD306" s="24"/>
      <c r="AE306" s="24"/>
      <c r="AF306" s="24"/>
      <c r="AG306" s="24"/>
      <c r="AH306" s="24"/>
      <c r="AI306" s="24"/>
      <c r="AJ306" s="24"/>
      <c r="AK306" s="24"/>
      <c r="AL306" s="24"/>
      <c r="AM306" s="24"/>
      <c r="AN306" s="24"/>
      <c r="AO306" s="24"/>
      <c r="AP306" s="24"/>
      <c r="AQ306" s="24"/>
      <c r="AR306" s="24"/>
    </row>
    <row r="307" spans="22:44" x14ac:dyDescent="0.15">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row>
    <row r="308" spans="22:44" x14ac:dyDescent="0.15">
      <c r="V308" s="24"/>
      <c r="W308" s="24"/>
      <c r="X308" s="24"/>
      <c r="Y308" s="24"/>
      <c r="Z308" s="24"/>
      <c r="AA308" s="24"/>
      <c r="AB308" s="24"/>
      <c r="AC308" s="24"/>
      <c r="AD308" s="24"/>
      <c r="AE308" s="24"/>
      <c r="AF308" s="24"/>
      <c r="AG308" s="24"/>
      <c r="AH308" s="24"/>
      <c r="AI308" s="24"/>
      <c r="AJ308" s="24"/>
      <c r="AK308" s="24"/>
      <c r="AL308" s="24"/>
      <c r="AM308" s="24"/>
      <c r="AN308" s="24"/>
      <c r="AO308" s="24"/>
      <c r="AP308" s="24"/>
      <c r="AQ308" s="24"/>
      <c r="AR308" s="24"/>
    </row>
    <row r="309" spans="22:44" x14ac:dyDescent="0.15">
      <c r="V309" s="24"/>
      <c r="W309" s="24"/>
      <c r="X309" s="24"/>
      <c r="Y309" s="24"/>
      <c r="Z309" s="24"/>
      <c r="AA309" s="24"/>
      <c r="AB309" s="24"/>
      <c r="AC309" s="24"/>
      <c r="AD309" s="24"/>
      <c r="AE309" s="24"/>
      <c r="AF309" s="24"/>
      <c r="AG309" s="24"/>
      <c r="AH309" s="24"/>
      <c r="AI309" s="24"/>
      <c r="AJ309" s="24"/>
      <c r="AK309" s="24"/>
      <c r="AL309" s="24"/>
      <c r="AM309" s="24"/>
      <c r="AN309" s="24"/>
      <c r="AO309" s="24"/>
      <c r="AP309" s="24"/>
      <c r="AQ309" s="24"/>
      <c r="AR309" s="24"/>
    </row>
    <row r="310" spans="22:44" x14ac:dyDescent="0.15">
      <c r="V310" s="24"/>
      <c r="W310" s="24"/>
      <c r="X310" s="24"/>
      <c r="Y310" s="24"/>
      <c r="Z310" s="24"/>
      <c r="AA310" s="24"/>
      <c r="AB310" s="24"/>
      <c r="AC310" s="24"/>
      <c r="AD310" s="24"/>
      <c r="AE310" s="24"/>
      <c r="AF310" s="24"/>
      <c r="AG310" s="24"/>
      <c r="AH310" s="24"/>
      <c r="AI310" s="24"/>
      <c r="AJ310" s="24"/>
      <c r="AK310" s="24"/>
      <c r="AL310" s="24"/>
      <c r="AM310" s="24"/>
      <c r="AN310" s="24"/>
      <c r="AO310" s="24"/>
      <c r="AP310" s="24"/>
      <c r="AQ310" s="24"/>
      <c r="AR310" s="24"/>
    </row>
    <row r="311" spans="22:44" x14ac:dyDescent="0.15">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row>
    <row r="312" spans="22:44" x14ac:dyDescent="0.15">
      <c r="V312" s="24"/>
      <c r="W312" s="24"/>
      <c r="X312" s="24"/>
      <c r="Y312" s="24"/>
      <c r="Z312" s="24"/>
      <c r="AA312" s="24"/>
      <c r="AB312" s="24"/>
      <c r="AC312" s="24"/>
      <c r="AD312" s="24"/>
      <c r="AE312" s="24"/>
      <c r="AF312" s="24"/>
      <c r="AG312" s="24"/>
      <c r="AH312" s="24"/>
      <c r="AI312" s="24"/>
      <c r="AJ312" s="24"/>
      <c r="AK312" s="24"/>
      <c r="AL312" s="24"/>
      <c r="AM312" s="24"/>
      <c r="AN312" s="24"/>
      <c r="AO312" s="24"/>
      <c r="AP312" s="24"/>
      <c r="AQ312" s="24"/>
      <c r="AR312" s="24"/>
    </row>
    <row r="313" spans="22:44" x14ac:dyDescent="0.15">
      <c r="V313" s="24"/>
      <c r="W313" s="24"/>
      <c r="X313" s="24"/>
      <c r="Y313" s="24"/>
      <c r="Z313" s="24"/>
      <c r="AA313" s="24"/>
      <c r="AB313" s="24"/>
      <c r="AC313" s="24"/>
      <c r="AD313" s="24"/>
      <c r="AE313" s="24"/>
      <c r="AF313" s="24"/>
      <c r="AG313" s="24"/>
      <c r="AH313" s="24"/>
      <c r="AI313" s="24"/>
      <c r="AJ313" s="24"/>
      <c r="AK313" s="24"/>
      <c r="AL313" s="24"/>
      <c r="AM313" s="24"/>
      <c r="AN313" s="24"/>
      <c r="AO313" s="24"/>
      <c r="AP313" s="24"/>
      <c r="AQ313" s="24"/>
      <c r="AR313" s="24"/>
    </row>
    <row r="314" spans="22:44" x14ac:dyDescent="0.15">
      <c r="V314" s="24"/>
      <c r="W314" s="24"/>
      <c r="X314" s="24"/>
      <c r="Y314" s="24"/>
      <c r="Z314" s="24"/>
      <c r="AA314" s="24"/>
      <c r="AB314" s="24"/>
      <c r="AC314" s="24"/>
      <c r="AD314" s="24"/>
      <c r="AE314" s="24"/>
      <c r="AF314" s="24"/>
      <c r="AG314" s="24"/>
      <c r="AH314" s="24"/>
      <c r="AI314" s="24"/>
      <c r="AJ314" s="24"/>
      <c r="AK314" s="24"/>
      <c r="AL314" s="24"/>
      <c r="AM314" s="24"/>
      <c r="AN314" s="24"/>
      <c r="AO314" s="24"/>
      <c r="AP314" s="24"/>
      <c r="AQ314" s="24"/>
      <c r="AR314" s="24"/>
    </row>
    <row r="315" spans="22:44" x14ac:dyDescent="0.15">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row>
    <row r="316" spans="22:44" x14ac:dyDescent="0.15">
      <c r="V316" s="24"/>
      <c r="W316" s="24"/>
      <c r="X316" s="24"/>
      <c r="Y316" s="24"/>
      <c r="Z316" s="24"/>
      <c r="AA316" s="24"/>
      <c r="AB316" s="24"/>
      <c r="AC316" s="24"/>
      <c r="AD316" s="24"/>
      <c r="AE316" s="24"/>
      <c r="AF316" s="24"/>
      <c r="AG316" s="24"/>
      <c r="AH316" s="24"/>
      <c r="AI316" s="24"/>
      <c r="AJ316" s="24"/>
      <c r="AK316" s="24"/>
      <c r="AL316" s="24"/>
      <c r="AM316" s="24"/>
      <c r="AN316" s="24"/>
      <c r="AO316" s="24"/>
      <c r="AP316" s="24"/>
      <c r="AQ316" s="24"/>
      <c r="AR316" s="24"/>
    </row>
    <row r="317" spans="22:44" x14ac:dyDescent="0.15">
      <c r="V317" s="24"/>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row>
    <row r="318" spans="22:44" x14ac:dyDescent="0.15">
      <c r="V318" s="24"/>
      <c r="W318" s="24"/>
      <c r="X318" s="24"/>
      <c r="Y318" s="24"/>
      <c r="Z318" s="24"/>
      <c r="AA318" s="24"/>
      <c r="AB318" s="24"/>
      <c r="AC318" s="24"/>
      <c r="AD318" s="24"/>
      <c r="AE318" s="24"/>
      <c r="AF318" s="24"/>
      <c r="AG318" s="24"/>
      <c r="AH318" s="24"/>
      <c r="AI318" s="24"/>
      <c r="AJ318" s="24"/>
      <c r="AK318" s="24"/>
      <c r="AL318" s="24"/>
      <c r="AM318" s="24"/>
      <c r="AN318" s="24"/>
      <c r="AO318" s="24"/>
      <c r="AP318" s="24"/>
      <c r="AQ318" s="24"/>
      <c r="AR318" s="24"/>
    </row>
    <row r="319" spans="22:44" x14ac:dyDescent="0.15">
      <c r="V319" s="24"/>
      <c r="W319" s="24"/>
      <c r="X319" s="24"/>
      <c r="Y319" s="24"/>
      <c r="Z319" s="24"/>
      <c r="AA319" s="24"/>
      <c r="AB319" s="24"/>
      <c r="AC319" s="24"/>
      <c r="AD319" s="24"/>
      <c r="AE319" s="24"/>
      <c r="AF319" s="24"/>
      <c r="AG319" s="24"/>
      <c r="AH319" s="24"/>
      <c r="AI319" s="24"/>
      <c r="AJ319" s="24"/>
      <c r="AK319" s="24"/>
      <c r="AL319" s="24"/>
      <c r="AM319" s="24"/>
      <c r="AN319" s="24"/>
      <c r="AO319" s="24"/>
      <c r="AP319" s="24"/>
      <c r="AQ319" s="24"/>
      <c r="AR319" s="24"/>
    </row>
    <row r="320" spans="22:44" x14ac:dyDescent="0.15">
      <c r="V320" s="24"/>
      <c r="W320" s="24"/>
      <c r="X320" s="24"/>
      <c r="Y320" s="24"/>
      <c r="Z320" s="24"/>
      <c r="AA320" s="24"/>
      <c r="AB320" s="24"/>
      <c r="AC320" s="24"/>
      <c r="AD320" s="24"/>
      <c r="AE320" s="24"/>
      <c r="AF320" s="24"/>
      <c r="AG320" s="24"/>
      <c r="AH320" s="24"/>
      <c r="AI320" s="24"/>
      <c r="AJ320" s="24"/>
      <c r="AK320" s="24"/>
      <c r="AL320" s="24"/>
      <c r="AM320" s="24"/>
      <c r="AN320" s="24"/>
      <c r="AO320" s="24"/>
      <c r="AP320" s="24"/>
      <c r="AQ320" s="24"/>
      <c r="AR320" s="24"/>
    </row>
    <row r="321" spans="22:44" x14ac:dyDescent="0.15">
      <c r="V321" s="24"/>
      <c r="W321" s="24"/>
      <c r="X321" s="24"/>
      <c r="Y321" s="24"/>
      <c r="Z321" s="24"/>
      <c r="AA321" s="24"/>
      <c r="AB321" s="24"/>
      <c r="AC321" s="24"/>
      <c r="AD321" s="24"/>
      <c r="AE321" s="24"/>
      <c r="AF321" s="24"/>
      <c r="AG321" s="24"/>
      <c r="AH321" s="24"/>
      <c r="AI321" s="24"/>
      <c r="AJ321" s="24"/>
      <c r="AK321" s="24"/>
      <c r="AL321" s="24"/>
      <c r="AM321" s="24"/>
      <c r="AN321" s="24"/>
      <c r="AO321" s="24"/>
      <c r="AP321" s="24"/>
      <c r="AQ321" s="24"/>
      <c r="AR321" s="24"/>
    </row>
    <row r="322" spans="22:44" x14ac:dyDescent="0.15">
      <c r="V322" s="24"/>
      <c r="W322" s="24"/>
      <c r="X322" s="24"/>
      <c r="Y322" s="24"/>
      <c r="Z322" s="24"/>
      <c r="AA322" s="24"/>
      <c r="AB322" s="24"/>
      <c r="AC322" s="24"/>
      <c r="AD322" s="24"/>
      <c r="AE322" s="24"/>
      <c r="AF322" s="24"/>
      <c r="AG322" s="24"/>
      <c r="AH322" s="24"/>
      <c r="AI322" s="24"/>
      <c r="AJ322" s="24"/>
      <c r="AK322" s="24"/>
      <c r="AL322" s="24"/>
      <c r="AM322" s="24"/>
      <c r="AN322" s="24"/>
      <c r="AO322" s="24"/>
      <c r="AP322" s="24"/>
      <c r="AQ322" s="24"/>
      <c r="AR322" s="24"/>
    </row>
    <row r="323" spans="22:44" x14ac:dyDescent="0.15">
      <c r="V323" s="24"/>
      <c r="W323" s="24"/>
      <c r="X323" s="24"/>
      <c r="Y323" s="24"/>
      <c r="Z323" s="24"/>
      <c r="AA323" s="24"/>
      <c r="AB323" s="24"/>
      <c r="AC323" s="24"/>
      <c r="AD323" s="24"/>
      <c r="AE323" s="24"/>
      <c r="AF323" s="24"/>
      <c r="AG323" s="24"/>
      <c r="AH323" s="24"/>
      <c r="AI323" s="24"/>
      <c r="AJ323" s="24"/>
      <c r="AK323" s="24"/>
      <c r="AL323" s="24"/>
      <c r="AM323" s="24"/>
      <c r="AN323" s="24"/>
      <c r="AO323" s="24"/>
      <c r="AP323" s="24"/>
      <c r="AQ323" s="24"/>
      <c r="AR323" s="24"/>
    </row>
    <row r="324" spans="22:44" x14ac:dyDescent="0.15">
      <c r="V324" s="24"/>
      <c r="W324" s="24"/>
      <c r="X324" s="24"/>
      <c r="Y324" s="24"/>
      <c r="Z324" s="24"/>
      <c r="AA324" s="24"/>
      <c r="AB324" s="24"/>
      <c r="AC324" s="24"/>
      <c r="AD324" s="24"/>
      <c r="AE324" s="24"/>
      <c r="AF324" s="24"/>
      <c r="AG324" s="24"/>
      <c r="AH324" s="24"/>
      <c r="AI324" s="24"/>
      <c r="AJ324" s="24"/>
      <c r="AK324" s="24"/>
      <c r="AL324" s="24"/>
      <c r="AM324" s="24"/>
      <c r="AN324" s="24"/>
      <c r="AO324" s="24"/>
      <c r="AP324" s="24"/>
      <c r="AQ324" s="24"/>
      <c r="AR324" s="24"/>
    </row>
    <row r="325" spans="22:44" x14ac:dyDescent="0.15">
      <c r="V325" s="24"/>
      <c r="W325" s="24"/>
      <c r="X325" s="24"/>
      <c r="Y325" s="24"/>
      <c r="Z325" s="24"/>
      <c r="AA325" s="24"/>
      <c r="AB325" s="24"/>
      <c r="AC325" s="24"/>
      <c r="AD325" s="24"/>
      <c r="AE325" s="24"/>
      <c r="AF325" s="24"/>
      <c r="AG325" s="24"/>
      <c r="AH325" s="24"/>
      <c r="AI325" s="24"/>
      <c r="AJ325" s="24"/>
      <c r="AK325" s="24"/>
      <c r="AL325" s="24"/>
      <c r="AM325" s="24"/>
      <c r="AN325" s="24"/>
      <c r="AO325" s="24"/>
      <c r="AP325" s="24"/>
      <c r="AQ325" s="24"/>
      <c r="AR325" s="24"/>
    </row>
    <row r="326" spans="22:44" x14ac:dyDescent="0.15">
      <c r="V326" s="24"/>
      <c r="W326" s="24"/>
      <c r="X326" s="24"/>
      <c r="Y326" s="24"/>
      <c r="Z326" s="24"/>
      <c r="AA326" s="24"/>
      <c r="AB326" s="24"/>
      <c r="AC326" s="24"/>
      <c r="AD326" s="24"/>
      <c r="AE326" s="24"/>
      <c r="AF326" s="24"/>
      <c r="AG326" s="24"/>
      <c r="AH326" s="24"/>
      <c r="AI326" s="24"/>
      <c r="AJ326" s="24"/>
      <c r="AK326" s="24"/>
      <c r="AL326" s="24"/>
      <c r="AM326" s="24"/>
      <c r="AN326" s="24"/>
      <c r="AO326" s="24"/>
      <c r="AP326" s="24"/>
      <c r="AQ326" s="24"/>
      <c r="AR326" s="24"/>
    </row>
    <row r="327" spans="22:44" x14ac:dyDescent="0.15">
      <c r="V327" s="24"/>
      <c r="W327" s="24"/>
      <c r="X327" s="24"/>
      <c r="Y327" s="24"/>
      <c r="Z327" s="24"/>
      <c r="AA327" s="24"/>
      <c r="AB327" s="24"/>
      <c r="AC327" s="24"/>
      <c r="AD327" s="24"/>
      <c r="AE327" s="24"/>
      <c r="AF327" s="24"/>
      <c r="AG327" s="24"/>
      <c r="AH327" s="24"/>
      <c r="AI327" s="24"/>
      <c r="AJ327" s="24"/>
      <c r="AK327" s="24"/>
      <c r="AL327" s="24"/>
      <c r="AM327" s="24"/>
      <c r="AN327" s="24"/>
      <c r="AO327" s="24"/>
      <c r="AP327" s="24"/>
      <c r="AQ327" s="24"/>
      <c r="AR327" s="24"/>
    </row>
    <row r="328" spans="22:44" x14ac:dyDescent="0.15">
      <c r="V328" s="24"/>
      <c r="W328" s="24"/>
      <c r="X328" s="24"/>
      <c r="Y328" s="24"/>
      <c r="Z328" s="24"/>
      <c r="AA328" s="24"/>
      <c r="AB328" s="24"/>
      <c r="AC328" s="24"/>
      <c r="AD328" s="24"/>
      <c r="AE328" s="24"/>
      <c r="AF328" s="24"/>
      <c r="AG328" s="24"/>
      <c r="AH328" s="24"/>
      <c r="AI328" s="24"/>
      <c r="AJ328" s="24"/>
      <c r="AK328" s="24"/>
      <c r="AL328" s="24"/>
      <c r="AM328" s="24"/>
      <c r="AN328" s="24"/>
      <c r="AO328" s="24"/>
      <c r="AP328" s="24"/>
      <c r="AQ328" s="24"/>
      <c r="AR328" s="24"/>
    </row>
    <row r="329" spans="22:44" x14ac:dyDescent="0.15">
      <c r="V329" s="24"/>
      <c r="W329" s="24"/>
      <c r="X329" s="24"/>
      <c r="Y329" s="24"/>
      <c r="Z329" s="24"/>
      <c r="AA329" s="24"/>
      <c r="AB329" s="24"/>
      <c r="AC329" s="24"/>
      <c r="AD329" s="24"/>
      <c r="AE329" s="24"/>
      <c r="AF329" s="24"/>
      <c r="AG329" s="24"/>
      <c r="AH329" s="24"/>
      <c r="AI329" s="24"/>
      <c r="AJ329" s="24"/>
      <c r="AK329" s="24"/>
      <c r="AL329" s="24"/>
      <c r="AM329" s="24"/>
      <c r="AN329" s="24"/>
      <c r="AO329" s="24"/>
      <c r="AP329" s="24"/>
      <c r="AQ329" s="24"/>
      <c r="AR329" s="24"/>
    </row>
    <row r="330" spans="22:44" x14ac:dyDescent="0.15">
      <c r="V330" s="24"/>
      <c r="W330" s="24"/>
      <c r="X330" s="24"/>
      <c r="Y330" s="24"/>
      <c r="Z330" s="24"/>
      <c r="AA330" s="24"/>
      <c r="AB330" s="24"/>
      <c r="AC330" s="24"/>
      <c r="AD330" s="24"/>
      <c r="AE330" s="24"/>
      <c r="AF330" s="24"/>
      <c r="AG330" s="24"/>
      <c r="AH330" s="24"/>
      <c r="AI330" s="24"/>
      <c r="AJ330" s="24"/>
      <c r="AK330" s="24"/>
      <c r="AL330" s="24"/>
      <c r="AM330" s="24"/>
      <c r="AN330" s="24"/>
      <c r="AO330" s="24"/>
      <c r="AP330" s="24"/>
      <c r="AQ330" s="24"/>
      <c r="AR330" s="24"/>
    </row>
    <row r="331" spans="22:44" x14ac:dyDescent="0.15">
      <c r="V331" s="24"/>
      <c r="W331" s="24"/>
      <c r="X331" s="24"/>
      <c r="Y331" s="24"/>
      <c r="Z331" s="24"/>
      <c r="AA331" s="24"/>
      <c r="AB331" s="24"/>
      <c r="AC331" s="24"/>
      <c r="AD331" s="24"/>
      <c r="AE331" s="24"/>
      <c r="AF331" s="24"/>
      <c r="AG331" s="24"/>
      <c r="AH331" s="24"/>
      <c r="AI331" s="24"/>
      <c r="AJ331" s="24"/>
      <c r="AK331" s="24"/>
      <c r="AL331" s="24"/>
      <c r="AM331" s="24"/>
      <c r="AN331" s="24"/>
      <c r="AO331" s="24"/>
      <c r="AP331" s="24"/>
      <c r="AQ331" s="24"/>
      <c r="AR331" s="24"/>
    </row>
    <row r="332" spans="22:44" x14ac:dyDescent="0.15">
      <c r="V332" s="24"/>
      <c r="W332" s="24"/>
      <c r="X332" s="24"/>
      <c r="Y332" s="24"/>
      <c r="Z332" s="24"/>
      <c r="AA332" s="24"/>
      <c r="AB332" s="24"/>
      <c r="AC332" s="24"/>
      <c r="AD332" s="24"/>
      <c r="AE332" s="24"/>
      <c r="AF332" s="24"/>
      <c r="AG332" s="24"/>
      <c r="AH332" s="24"/>
      <c r="AI332" s="24"/>
      <c r="AJ332" s="24"/>
      <c r="AK332" s="24"/>
      <c r="AL332" s="24"/>
      <c r="AM332" s="24"/>
      <c r="AN332" s="24"/>
      <c r="AO332" s="24"/>
      <c r="AP332" s="24"/>
      <c r="AQ332" s="24"/>
      <c r="AR332" s="24"/>
    </row>
    <row r="333" spans="22:44" x14ac:dyDescent="0.15">
      <c r="V333" s="24"/>
      <c r="W333" s="24"/>
      <c r="X333" s="24"/>
      <c r="Y333" s="24"/>
      <c r="Z333" s="24"/>
      <c r="AA333" s="24"/>
      <c r="AB333" s="24"/>
      <c r="AC333" s="24"/>
      <c r="AD333" s="24"/>
      <c r="AE333" s="24"/>
      <c r="AF333" s="24"/>
      <c r="AG333" s="24"/>
      <c r="AH333" s="24"/>
      <c r="AI333" s="24"/>
      <c r="AJ333" s="24"/>
      <c r="AK333" s="24"/>
      <c r="AL333" s="24"/>
      <c r="AM333" s="24"/>
      <c r="AN333" s="24"/>
      <c r="AO333" s="24"/>
      <c r="AP333" s="24"/>
      <c r="AQ333" s="24"/>
      <c r="AR333" s="24"/>
    </row>
    <row r="334" spans="22:44" x14ac:dyDescent="0.15">
      <c r="V334" s="24"/>
      <c r="W334" s="24"/>
      <c r="X334" s="24"/>
      <c r="Y334" s="24"/>
      <c r="Z334" s="24"/>
      <c r="AA334" s="24"/>
      <c r="AB334" s="24"/>
      <c r="AC334" s="24"/>
      <c r="AD334" s="24"/>
      <c r="AE334" s="24"/>
      <c r="AF334" s="24"/>
      <c r="AG334" s="24"/>
      <c r="AH334" s="24"/>
      <c r="AI334" s="24"/>
      <c r="AJ334" s="24"/>
      <c r="AK334" s="24"/>
      <c r="AL334" s="24"/>
      <c r="AM334" s="24"/>
      <c r="AN334" s="24"/>
      <c r="AO334" s="24"/>
      <c r="AP334" s="24"/>
      <c r="AQ334" s="24"/>
      <c r="AR334" s="24"/>
    </row>
    <row r="335" spans="22:44" x14ac:dyDescent="0.15">
      <c r="V335" s="24"/>
      <c r="W335" s="24"/>
      <c r="X335" s="24"/>
      <c r="Y335" s="24"/>
      <c r="Z335" s="24"/>
      <c r="AA335" s="24"/>
      <c r="AB335" s="24"/>
      <c r="AC335" s="24"/>
      <c r="AD335" s="24"/>
      <c r="AE335" s="24"/>
      <c r="AF335" s="24"/>
      <c r="AG335" s="24"/>
      <c r="AH335" s="24"/>
      <c r="AI335" s="24"/>
      <c r="AJ335" s="24"/>
      <c r="AK335" s="24"/>
      <c r="AL335" s="24"/>
      <c r="AM335" s="24"/>
      <c r="AN335" s="24"/>
      <c r="AO335" s="24"/>
      <c r="AP335" s="24"/>
      <c r="AQ335" s="24"/>
      <c r="AR335" s="24"/>
    </row>
    <row r="336" spans="22:44" x14ac:dyDescent="0.15">
      <c r="V336" s="24"/>
      <c r="W336" s="24"/>
      <c r="X336" s="24"/>
      <c r="Y336" s="24"/>
      <c r="Z336" s="24"/>
      <c r="AA336" s="24"/>
      <c r="AB336" s="24"/>
      <c r="AC336" s="24"/>
      <c r="AD336" s="24"/>
      <c r="AE336" s="24"/>
      <c r="AF336" s="24"/>
      <c r="AG336" s="24"/>
      <c r="AH336" s="24"/>
      <c r="AI336" s="24"/>
      <c r="AJ336" s="24"/>
      <c r="AK336" s="24"/>
      <c r="AL336" s="24"/>
      <c r="AM336" s="24"/>
      <c r="AN336" s="24"/>
      <c r="AO336" s="24"/>
      <c r="AP336" s="24"/>
      <c r="AQ336" s="24"/>
      <c r="AR336" s="24"/>
    </row>
    <row r="337" spans="22:44" x14ac:dyDescent="0.15">
      <c r="V337" s="24"/>
      <c r="W337" s="24"/>
      <c r="X337" s="24"/>
      <c r="Y337" s="24"/>
      <c r="Z337" s="24"/>
      <c r="AA337" s="24"/>
      <c r="AB337" s="24"/>
      <c r="AC337" s="24"/>
      <c r="AD337" s="24"/>
      <c r="AE337" s="24"/>
      <c r="AF337" s="24"/>
      <c r="AG337" s="24"/>
      <c r="AH337" s="24"/>
      <c r="AI337" s="24"/>
      <c r="AJ337" s="24"/>
      <c r="AK337" s="24"/>
      <c r="AL337" s="24"/>
      <c r="AM337" s="24"/>
      <c r="AN337" s="24"/>
      <c r="AO337" s="24"/>
      <c r="AP337" s="24"/>
      <c r="AQ337" s="24"/>
      <c r="AR337" s="24"/>
    </row>
    <row r="338" spans="22:44" x14ac:dyDescent="0.15">
      <c r="V338" s="24"/>
      <c r="W338" s="24"/>
      <c r="X338" s="24"/>
      <c r="Y338" s="24"/>
      <c r="Z338" s="24"/>
      <c r="AA338" s="24"/>
      <c r="AB338" s="24"/>
      <c r="AC338" s="24"/>
      <c r="AD338" s="24"/>
      <c r="AE338" s="24"/>
      <c r="AF338" s="24"/>
      <c r="AG338" s="24"/>
      <c r="AH338" s="24"/>
      <c r="AI338" s="24"/>
      <c r="AJ338" s="24"/>
      <c r="AK338" s="24"/>
      <c r="AL338" s="24"/>
      <c r="AM338" s="24"/>
      <c r="AN338" s="24"/>
      <c r="AO338" s="24"/>
      <c r="AP338" s="24"/>
      <c r="AQ338" s="24"/>
      <c r="AR338" s="24"/>
    </row>
    <row r="339" spans="22:44" x14ac:dyDescent="0.15">
      <c r="V339" s="24"/>
      <c r="W339" s="24"/>
      <c r="X339" s="24"/>
      <c r="Y339" s="24"/>
      <c r="Z339" s="24"/>
      <c r="AA339" s="24"/>
      <c r="AB339" s="24"/>
      <c r="AC339" s="24"/>
      <c r="AD339" s="24"/>
      <c r="AE339" s="24"/>
      <c r="AF339" s="24"/>
      <c r="AG339" s="24"/>
      <c r="AH339" s="24"/>
      <c r="AI339" s="24"/>
      <c r="AJ339" s="24"/>
      <c r="AK339" s="24"/>
      <c r="AL339" s="24"/>
      <c r="AM339" s="24"/>
      <c r="AN339" s="24"/>
      <c r="AO339" s="24"/>
      <c r="AP339" s="24"/>
      <c r="AQ339" s="24"/>
      <c r="AR339" s="24"/>
    </row>
    <row r="340" spans="22:44" x14ac:dyDescent="0.15">
      <c r="V340" s="24"/>
      <c r="W340" s="24"/>
      <c r="X340" s="24"/>
      <c r="Y340" s="24"/>
      <c r="Z340" s="24"/>
      <c r="AA340" s="24"/>
      <c r="AB340" s="24"/>
      <c r="AC340" s="24"/>
      <c r="AD340" s="24"/>
      <c r="AE340" s="24"/>
      <c r="AF340" s="24"/>
      <c r="AG340" s="24"/>
      <c r="AH340" s="24"/>
      <c r="AI340" s="24"/>
      <c r="AJ340" s="24"/>
      <c r="AK340" s="24"/>
      <c r="AL340" s="24"/>
      <c r="AM340" s="24"/>
      <c r="AN340" s="24"/>
      <c r="AO340" s="24"/>
      <c r="AP340" s="24"/>
      <c r="AQ340" s="24"/>
      <c r="AR340" s="24"/>
    </row>
    <row r="341" spans="22:44" x14ac:dyDescent="0.15">
      <c r="V341" s="24"/>
      <c r="W341" s="24"/>
      <c r="X341" s="24"/>
      <c r="Y341" s="24"/>
      <c r="Z341" s="24"/>
      <c r="AA341" s="24"/>
      <c r="AB341" s="24"/>
      <c r="AC341" s="24"/>
      <c r="AD341" s="24"/>
      <c r="AE341" s="24"/>
      <c r="AF341" s="24"/>
      <c r="AG341" s="24"/>
      <c r="AH341" s="24"/>
      <c r="AI341" s="24"/>
      <c r="AJ341" s="24"/>
      <c r="AK341" s="24"/>
      <c r="AL341" s="24"/>
      <c r="AM341" s="24"/>
      <c r="AN341" s="24"/>
      <c r="AO341" s="24"/>
      <c r="AP341" s="24"/>
      <c r="AQ341" s="24"/>
      <c r="AR341" s="24"/>
    </row>
    <row r="342" spans="22:44" x14ac:dyDescent="0.15">
      <c r="V342" s="24"/>
      <c r="W342" s="24"/>
      <c r="X342" s="24"/>
      <c r="Y342" s="24"/>
      <c r="Z342" s="24"/>
      <c r="AA342" s="24"/>
      <c r="AB342" s="24"/>
      <c r="AC342" s="24"/>
      <c r="AD342" s="24"/>
      <c r="AE342" s="24"/>
      <c r="AF342" s="24"/>
      <c r="AG342" s="24"/>
      <c r="AH342" s="24"/>
      <c r="AI342" s="24"/>
      <c r="AJ342" s="24"/>
      <c r="AK342" s="24"/>
      <c r="AL342" s="24"/>
      <c r="AM342" s="24"/>
      <c r="AN342" s="24"/>
      <c r="AO342" s="24"/>
      <c r="AP342" s="24"/>
      <c r="AQ342" s="24"/>
      <c r="AR342" s="24"/>
    </row>
    <row r="343" spans="22:44" x14ac:dyDescent="0.15">
      <c r="V343" s="24"/>
      <c r="W343" s="24"/>
      <c r="X343" s="24"/>
      <c r="Y343" s="24"/>
      <c r="Z343" s="24"/>
      <c r="AA343" s="24"/>
      <c r="AB343" s="24"/>
      <c r="AC343" s="24"/>
      <c r="AD343" s="24"/>
      <c r="AE343" s="24"/>
      <c r="AF343" s="24"/>
      <c r="AG343" s="24"/>
      <c r="AH343" s="24"/>
      <c r="AI343" s="24"/>
      <c r="AJ343" s="24"/>
      <c r="AK343" s="24"/>
      <c r="AL343" s="24"/>
      <c r="AM343" s="24"/>
      <c r="AN343" s="24"/>
      <c r="AO343" s="24"/>
      <c r="AP343" s="24"/>
      <c r="AQ343" s="24"/>
      <c r="AR343" s="24"/>
    </row>
    <row r="344" spans="22:44" x14ac:dyDescent="0.15">
      <c r="V344" s="24"/>
      <c r="W344" s="24"/>
      <c r="X344" s="24"/>
      <c r="Y344" s="24"/>
      <c r="Z344" s="24"/>
      <c r="AA344" s="24"/>
      <c r="AB344" s="24"/>
      <c r="AC344" s="24"/>
      <c r="AD344" s="24"/>
      <c r="AE344" s="24"/>
      <c r="AF344" s="24"/>
      <c r="AG344" s="24"/>
      <c r="AH344" s="24"/>
      <c r="AI344" s="24"/>
      <c r="AJ344" s="24"/>
      <c r="AK344" s="24"/>
      <c r="AL344" s="24"/>
      <c r="AM344" s="24"/>
      <c r="AN344" s="24"/>
      <c r="AO344" s="24"/>
      <c r="AP344" s="24"/>
      <c r="AQ344" s="24"/>
      <c r="AR344" s="24"/>
    </row>
    <row r="345" spans="22:44" x14ac:dyDescent="0.15">
      <c r="V345" s="24"/>
      <c r="W345" s="24"/>
      <c r="X345" s="24"/>
      <c r="Y345" s="24"/>
      <c r="Z345" s="24"/>
      <c r="AA345" s="24"/>
      <c r="AB345" s="24"/>
      <c r="AC345" s="24"/>
      <c r="AD345" s="24"/>
      <c r="AE345" s="24"/>
      <c r="AF345" s="24"/>
      <c r="AG345" s="24"/>
      <c r="AH345" s="24"/>
      <c r="AI345" s="24"/>
      <c r="AJ345" s="24"/>
      <c r="AK345" s="24"/>
      <c r="AL345" s="24"/>
      <c r="AM345" s="24"/>
      <c r="AN345" s="24"/>
      <c r="AO345" s="24"/>
      <c r="AP345" s="24"/>
      <c r="AQ345" s="24"/>
      <c r="AR345" s="24"/>
    </row>
    <row r="346" spans="22:44" x14ac:dyDescent="0.15">
      <c r="V346" s="24"/>
      <c r="W346" s="24"/>
      <c r="X346" s="24"/>
      <c r="Y346" s="24"/>
      <c r="Z346" s="24"/>
      <c r="AA346" s="24"/>
      <c r="AB346" s="24"/>
      <c r="AC346" s="24"/>
      <c r="AD346" s="24"/>
      <c r="AE346" s="24"/>
      <c r="AF346" s="24"/>
      <c r="AG346" s="24"/>
      <c r="AH346" s="24"/>
      <c r="AI346" s="24"/>
      <c r="AJ346" s="24"/>
      <c r="AK346" s="24"/>
      <c r="AL346" s="24"/>
      <c r="AM346" s="24"/>
      <c r="AN346" s="24"/>
      <c r="AO346" s="24"/>
      <c r="AP346" s="24"/>
      <c r="AQ346" s="24"/>
      <c r="AR346" s="24"/>
    </row>
    <row r="347" spans="22:44" x14ac:dyDescent="0.15">
      <c r="V347" s="24"/>
      <c r="W347" s="24"/>
      <c r="X347" s="24"/>
      <c r="Y347" s="24"/>
      <c r="Z347" s="24"/>
      <c r="AA347" s="24"/>
      <c r="AB347" s="24"/>
      <c r="AC347" s="24"/>
      <c r="AD347" s="24"/>
      <c r="AE347" s="24"/>
      <c r="AF347" s="24"/>
      <c r="AG347" s="24"/>
      <c r="AH347" s="24"/>
      <c r="AI347" s="24"/>
      <c r="AJ347" s="24"/>
      <c r="AK347" s="24"/>
      <c r="AL347" s="24"/>
      <c r="AM347" s="24"/>
      <c r="AN347" s="24"/>
      <c r="AO347" s="24"/>
      <c r="AP347" s="24"/>
      <c r="AQ347" s="24"/>
      <c r="AR347" s="24"/>
    </row>
    <row r="348" spans="22:44" x14ac:dyDescent="0.15">
      <c r="V348" s="24"/>
      <c r="W348" s="24"/>
      <c r="X348" s="24"/>
      <c r="Y348" s="24"/>
      <c r="Z348" s="24"/>
      <c r="AA348" s="24"/>
      <c r="AB348" s="24"/>
      <c r="AC348" s="24"/>
      <c r="AD348" s="24"/>
      <c r="AE348" s="24"/>
      <c r="AF348" s="24"/>
      <c r="AG348" s="24"/>
      <c r="AH348" s="24"/>
      <c r="AI348" s="24"/>
      <c r="AJ348" s="24"/>
      <c r="AK348" s="24"/>
      <c r="AL348" s="24"/>
      <c r="AM348" s="24"/>
      <c r="AN348" s="24"/>
      <c r="AO348" s="24"/>
      <c r="AP348" s="24"/>
      <c r="AQ348" s="24"/>
      <c r="AR348" s="24"/>
    </row>
    <row r="349" spans="22:44" x14ac:dyDescent="0.15">
      <c r="V349" s="24"/>
      <c r="W349" s="24"/>
      <c r="X349" s="24"/>
      <c r="Y349" s="24"/>
      <c r="Z349" s="24"/>
      <c r="AA349" s="24"/>
      <c r="AB349" s="24"/>
      <c r="AC349" s="24"/>
      <c r="AD349" s="24"/>
      <c r="AE349" s="24"/>
      <c r="AF349" s="24"/>
      <c r="AG349" s="24"/>
      <c r="AH349" s="24"/>
      <c r="AI349" s="24"/>
      <c r="AJ349" s="24"/>
      <c r="AK349" s="24"/>
      <c r="AL349" s="24"/>
      <c r="AM349" s="24"/>
      <c r="AN349" s="24"/>
      <c r="AO349" s="24"/>
      <c r="AP349" s="24"/>
      <c r="AQ349" s="24"/>
      <c r="AR349" s="24"/>
    </row>
    <row r="350" spans="22:44" x14ac:dyDescent="0.15">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row>
    <row r="351" spans="22:44" x14ac:dyDescent="0.15">
      <c r="V351" s="24"/>
      <c r="W351" s="24"/>
      <c r="X351" s="24"/>
      <c r="Y351" s="24"/>
      <c r="Z351" s="24"/>
      <c r="AA351" s="24"/>
      <c r="AB351" s="24"/>
      <c r="AC351" s="24"/>
      <c r="AD351" s="24"/>
      <c r="AE351" s="24"/>
      <c r="AF351" s="24"/>
      <c r="AG351" s="24"/>
      <c r="AH351" s="24"/>
      <c r="AI351" s="24"/>
      <c r="AJ351" s="24"/>
      <c r="AK351" s="24"/>
      <c r="AL351" s="24"/>
      <c r="AM351" s="24"/>
      <c r="AN351" s="24"/>
      <c r="AO351" s="24"/>
      <c r="AP351" s="24"/>
      <c r="AQ351" s="24"/>
      <c r="AR351" s="24"/>
    </row>
    <row r="352" spans="22:44" x14ac:dyDescent="0.15">
      <c r="V352" s="24"/>
      <c r="W352" s="24"/>
      <c r="X352" s="24"/>
      <c r="Y352" s="24"/>
      <c r="Z352" s="24"/>
      <c r="AA352" s="24"/>
      <c r="AB352" s="24"/>
      <c r="AC352" s="24"/>
      <c r="AD352" s="24"/>
      <c r="AE352" s="24"/>
      <c r="AF352" s="24"/>
      <c r="AG352" s="24"/>
      <c r="AH352" s="24"/>
      <c r="AI352" s="24"/>
      <c r="AJ352" s="24"/>
      <c r="AK352" s="24"/>
      <c r="AL352" s="24"/>
      <c r="AM352" s="24"/>
      <c r="AN352" s="24"/>
      <c r="AO352" s="24"/>
      <c r="AP352" s="24"/>
      <c r="AQ352" s="24"/>
      <c r="AR352" s="24"/>
    </row>
    <row r="353" spans="22:44" x14ac:dyDescent="0.15">
      <c r="V353" s="24"/>
      <c r="W353" s="24"/>
      <c r="X353" s="24"/>
      <c r="Y353" s="24"/>
      <c r="Z353" s="24"/>
      <c r="AA353" s="24"/>
      <c r="AB353" s="24"/>
      <c r="AC353" s="24"/>
      <c r="AD353" s="24"/>
      <c r="AE353" s="24"/>
      <c r="AF353" s="24"/>
      <c r="AG353" s="24"/>
      <c r="AH353" s="24"/>
      <c r="AI353" s="24"/>
      <c r="AJ353" s="24"/>
      <c r="AK353" s="24"/>
      <c r="AL353" s="24"/>
      <c r="AM353" s="24"/>
      <c r="AN353" s="24"/>
      <c r="AO353" s="24"/>
      <c r="AP353" s="24"/>
      <c r="AQ353" s="24"/>
      <c r="AR353" s="24"/>
    </row>
    <row r="354" spans="22:44" x14ac:dyDescent="0.15">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row>
    <row r="355" spans="22:44" x14ac:dyDescent="0.15">
      <c r="V355" s="24"/>
      <c r="W355" s="24"/>
      <c r="X355" s="24"/>
      <c r="Y355" s="24"/>
      <c r="Z355" s="24"/>
      <c r="AA355" s="24"/>
      <c r="AB355" s="24"/>
      <c r="AC355" s="24"/>
      <c r="AD355" s="24"/>
      <c r="AE355" s="24"/>
      <c r="AF355" s="24"/>
      <c r="AG355" s="24"/>
      <c r="AH355" s="24"/>
      <c r="AI355" s="24"/>
      <c r="AJ355" s="24"/>
      <c r="AK355" s="24"/>
      <c r="AL355" s="24"/>
      <c r="AM355" s="24"/>
      <c r="AN355" s="24"/>
      <c r="AO355" s="24"/>
      <c r="AP355" s="24"/>
      <c r="AQ355" s="24"/>
      <c r="AR355" s="24"/>
    </row>
    <row r="356" spans="22:44" x14ac:dyDescent="0.15">
      <c r="V356" s="24"/>
      <c r="W356" s="24"/>
      <c r="X356" s="24"/>
      <c r="Y356" s="24"/>
      <c r="Z356" s="24"/>
      <c r="AA356" s="24"/>
      <c r="AB356" s="24"/>
      <c r="AC356" s="24"/>
      <c r="AD356" s="24"/>
      <c r="AE356" s="24"/>
      <c r="AF356" s="24"/>
      <c r="AG356" s="24"/>
      <c r="AH356" s="24"/>
      <c r="AI356" s="24"/>
      <c r="AJ356" s="24"/>
      <c r="AK356" s="24"/>
      <c r="AL356" s="24"/>
      <c r="AM356" s="24"/>
      <c r="AN356" s="24"/>
      <c r="AO356" s="24"/>
      <c r="AP356" s="24"/>
      <c r="AQ356" s="24"/>
      <c r="AR356" s="24"/>
    </row>
    <row r="357" spans="22:44" x14ac:dyDescent="0.15">
      <c r="V357" s="24"/>
      <c r="W357" s="24"/>
      <c r="X357" s="24"/>
      <c r="Y357" s="24"/>
      <c r="Z357" s="24"/>
      <c r="AA357" s="24"/>
      <c r="AB357" s="24"/>
      <c r="AC357" s="24"/>
      <c r="AD357" s="24"/>
      <c r="AE357" s="24"/>
      <c r="AF357" s="24"/>
      <c r="AG357" s="24"/>
      <c r="AH357" s="24"/>
      <c r="AI357" s="24"/>
      <c r="AJ357" s="24"/>
      <c r="AK357" s="24"/>
      <c r="AL357" s="24"/>
      <c r="AM357" s="24"/>
      <c r="AN357" s="24"/>
      <c r="AO357" s="24"/>
      <c r="AP357" s="24"/>
      <c r="AQ357" s="24"/>
      <c r="AR357" s="24"/>
    </row>
    <row r="358" spans="22:44" x14ac:dyDescent="0.15">
      <c r="V358" s="24"/>
      <c r="W358" s="24"/>
      <c r="X358" s="24"/>
      <c r="Y358" s="24"/>
      <c r="Z358" s="24"/>
      <c r="AA358" s="24"/>
      <c r="AB358" s="24"/>
      <c r="AC358" s="24"/>
      <c r="AD358" s="24"/>
      <c r="AE358" s="24"/>
      <c r="AF358" s="24"/>
      <c r="AG358" s="24"/>
      <c r="AH358" s="24"/>
      <c r="AI358" s="24"/>
      <c r="AJ358" s="24"/>
      <c r="AK358" s="24"/>
      <c r="AL358" s="24"/>
      <c r="AM358" s="24"/>
      <c r="AN358" s="24"/>
      <c r="AO358" s="24"/>
      <c r="AP358" s="24"/>
      <c r="AQ358" s="24"/>
      <c r="AR358" s="24"/>
    </row>
    <row r="359" spans="22:44" x14ac:dyDescent="0.15">
      <c r="V359" s="24"/>
      <c r="W359" s="24"/>
      <c r="X359" s="24"/>
      <c r="Y359" s="24"/>
      <c r="Z359" s="24"/>
      <c r="AA359" s="24"/>
      <c r="AB359" s="24"/>
      <c r="AC359" s="24"/>
      <c r="AD359" s="24"/>
      <c r="AE359" s="24"/>
      <c r="AF359" s="24"/>
      <c r="AG359" s="24"/>
      <c r="AH359" s="24"/>
      <c r="AI359" s="24"/>
      <c r="AJ359" s="24"/>
      <c r="AK359" s="24"/>
      <c r="AL359" s="24"/>
      <c r="AM359" s="24"/>
      <c r="AN359" s="24"/>
      <c r="AO359" s="24"/>
      <c r="AP359" s="24"/>
      <c r="AQ359" s="24"/>
      <c r="AR359" s="24"/>
    </row>
    <row r="360" spans="22:44" x14ac:dyDescent="0.15">
      <c r="V360" s="24"/>
      <c r="W360" s="24"/>
      <c r="X360" s="24"/>
      <c r="Y360" s="24"/>
      <c r="Z360" s="24"/>
      <c r="AA360" s="24"/>
      <c r="AB360" s="24"/>
      <c r="AC360" s="24"/>
      <c r="AD360" s="24"/>
      <c r="AE360" s="24"/>
      <c r="AF360" s="24"/>
      <c r="AG360" s="24"/>
      <c r="AH360" s="24"/>
      <c r="AI360" s="24"/>
      <c r="AJ360" s="24"/>
      <c r="AK360" s="24"/>
      <c r="AL360" s="24"/>
      <c r="AM360" s="24"/>
      <c r="AN360" s="24"/>
      <c r="AO360" s="24"/>
      <c r="AP360" s="24"/>
      <c r="AQ360" s="24"/>
      <c r="AR360" s="24"/>
    </row>
    <row r="361" spans="22:44" x14ac:dyDescent="0.15">
      <c r="V361" s="24"/>
      <c r="W361" s="24"/>
      <c r="X361" s="24"/>
      <c r="Y361" s="24"/>
      <c r="Z361" s="24"/>
      <c r="AA361" s="24"/>
      <c r="AB361" s="24"/>
      <c r="AC361" s="24"/>
      <c r="AD361" s="24"/>
      <c r="AE361" s="24"/>
      <c r="AF361" s="24"/>
      <c r="AG361" s="24"/>
      <c r="AH361" s="24"/>
      <c r="AI361" s="24"/>
      <c r="AJ361" s="24"/>
      <c r="AK361" s="24"/>
      <c r="AL361" s="24"/>
      <c r="AM361" s="24"/>
      <c r="AN361" s="24"/>
      <c r="AO361" s="24"/>
      <c r="AP361" s="24"/>
      <c r="AQ361" s="24"/>
      <c r="AR361" s="24"/>
    </row>
    <row r="362" spans="22:44" x14ac:dyDescent="0.15">
      <c r="V362" s="24"/>
      <c r="W362" s="24"/>
      <c r="X362" s="24"/>
      <c r="Y362" s="24"/>
      <c r="Z362" s="24"/>
      <c r="AA362" s="24"/>
      <c r="AB362" s="24"/>
      <c r="AC362" s="24"/>
      <c r="AD362" s="24"/>
      <c r="AE362" s="24"/>
      <c r="AF362" s="24"/>
      <c r="AG362" s="24"/>
      <c r="AH362" s="24"/>
      <c r="AI362" s="24"/>
      <c r="AJ362" s="24"/>
      <c r="AK362" s="24"/>
      <c r="AL362" s="24"/>
      <c r="AM362" s="24"/>
      <c r="AN362" s="24"/>
      <c r="AO362" s="24"/>
      <c r="AP362" s="24"/>
      <c r="AQ362" s="24"/>
      <c r="AR362" s="24"/>
    </row>
    <row r="363" spans="22:44" x14ac:dyDescent="0.15">
      <c r="V363" s="24"/>
      <c r="W363" s="24"/>
      <c r="X363" s="24"/>
      <c r="Y363" s="24"/>
      <c r="Z363" s="24"/>
      <c r="AA363" s="24"/>
      <c r="AB363" s="24"/>
      <c r="AC363" s="24"/>
      <c r="AD363" s="24"/>
      <c r="AE363" s="24"/>
      <c r="AF363" s="24"/>
      <c r="AG363" s="24"/>
      <c r="AH363" s="24"/>
      <c r="AI363" s="24"/>
      <c r="AJ363" s="24"/>
      <c r="AK363" s="24"/>
      <c r="AL363" s="24"/>
      <c r="AM363" s="24"/>
      <c r="AN363" s="24"/>
      <c r="AO363" s="24"/>
      <c r="AP363" s="24"/>
      <c r="AQ363" s="24"/>
      <c r="AR363" s="24"/>
    </row>
    <row r="364" spans="22:44" x14ac:dyDescent="0.15">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row>
    <row r="365" spans="22:44" x14ac:dyDescent="0.15">
      <c r="V365" s="24"/>
      <c r="W365" s="24"/>
      <c r="X365" s="24"/>
      <c r="Y365" s="24"/>
      <c r="Z365" s="24"/>
      <c r="AA365" s="24"/>
      <c r="AB365" s="24"/>
      <c r="AC365" s="24"/>
      <c r="AD365" s="24"/>
      <c r="AE365" s="24"/>
      <c r="AF365" s="24"/>
      <c r="AG365" s="24"/>
      <c r="AH365" s="24"/>
      <c r="AI365" s="24"/>
      <c r="AJ365" s="24"/>
      <c r="AK365" s="24"/>
      <c r="AL365" s="24"/>
      <c r="AM365" s="24"/>
      <c r="AN365" s="24"/>
      <c r="AO365" s="24"/>
      <c r="AP365" s="24"/>
      <c r="AQ365" s="24"/>
      <c r="AR365" s="24"/>
    </row>
    <row r="366" spans="22:44" x14ac:dyDescent="0.15">
      <c r="V366" s="24"/>
      <c r="W366" s="24"/>
      <c r="X366" s="24"/>
      <c r="Y366" s="24"/>
      <c r="Z366" s="24"/>
      <c r="AA366" s="24"/>
      <c r="AB366" s="24"/>
      <c r="AC366" s="24"/>
      <c r="AD366" s="24"/>
      <c r="AE366" s="24"/>
      <c r="AF366" s="24"/>
      <c r="AG366" s="24"/>
      <c r="AH366" s="24"/>
      <c r="AI366" s="24"/>
      <c r="AJ366" s="24"/>
      <c r="AK366" s="24"/>
      <c r="AL366" s="24"/>
      <c r="AM366" s="24"/>
      <c r="AN366" s="24"/>
      <c r="AO366" s="24"/>
      <c r="AP366" s="24"/>
      <c r="AQ366" s="24"/>
      <c r="AR366" s="24"/>
    </row>
    <row r="367" spans="22:44" x14ac:dyDescent="0.15">
      <c r="V367" s="24"/>
      <c r="W367" s="24"/>
      <c r="X367" s="24"/>
      <c r="Y367" s="24"/>
      <c r="Z367" s="24"/>
      <c r="AA367" s="24"/>
      <c r="AB367" s="24"/>
      <c r="AC367" s="24"/>
      <c r="AD367" s="24"/>
      <c r="AE367" s="24"/>
      <c r="AF367" s="24"/>
      <c r="AG367" s="24"/>
      <c r="AH367" s="24"/>
      <c r="AI367" s="24"/>
      <c r="AJ367" s="24"/>
      <c r="AK367" s="24"/>
      <c r="AL367" s="24"/>
      <c r="AM367" s="24"/>
      <c r="AN367" s="24"/>
      <c r="AO367" s="24"/>
      <c r="AP367" s="24"/>
      <c r="AQ367" s="24"/>
      <c r="AR367" s="24"/>
    </row>
    <row r="368" spans="22:44" x14ac:dyDescent="0.15">
      <c r="V368" s="24"/>
      <c r="W368" s="24"/>
      <c r="X368" s="24"/>
      <c r="Y368" s="24"/>
      <c r="Z368" s="24"/>
      <c r="AA368" s="24"/>
      <c r="AB368" s="24"/>
      <c r="AC368" s="24"/>
      <c r="AD368" s="24"/>
      <c r="AE368" s="24"/>
      <c r="AF368" s="24"/>
      <c r="AG368" s="24"/>
      <c r="AH368" s="24"/>
      <c r="AI368" s="24"/>
      <c r="AJ368" s="24"/>
      <c r="AK368" s="24"/>
      <c r="AL368" s="24"/>
      <c r="AM368" s="24"/>
      <c r="AN368" s="24"/>
      <c r="AO368" s="24"/>
      <c r="AP368" s="24"/>
      <c r="AQ368" s="24"/>
      <c r="AR368" s="24"/>
    </row>
    <row r="369" spans="22:44" x14ac:dyDescent="0.15">
      <c r="V369" s="24"/>
      <c r="W369" s="24"/>
      <c r="X369" s="24"/>
      <c r="Y369" s="24"/>
      <c r="Z369" s="24"/>
      <c r="AA369" s="24"/>
      <c r="AB369" s="24"/>
      <c r="AC369" s="24"/>
      <c r="AD369" s="24"/>
      <c r="AE369" s="24"/>
      <c r="AF369" s="24"/>
      <c r="AG369" s="24"/>
      <c r="AH369" s="24"/>
      <c r="AI369" s="24"/>
      <c r="AJ369" s="24"/>
      <c r="AK369" s="24"/>
      <c r="AL369" s="24"/>
      <c r="AM369" s="24"/>
      <c r="AN369" s="24"/>
      <c r="AO369" s="24"/>
      <c r="AP369" s="24"/>
      <c r="AQ369" s="24"/>
      <c r="AR369" s="24"/>
    </row>
    <row r="370" spans="22:44" x14ac:dyDescent="0.15">
      <c r="V370" s="24"/>
      <c r="W370" s="24"/>
      <c r="X370" s="24"/>
      <c r="Y370" s="24"/>
      <c r="Z370" s="24"/>
      <c r="AA370" s="24"/>
      <c r="AB370" s="24"/>
      <c r="AC370" s="24"/>
      <c r="AD370" s="24"/>
      <c r="AE370" s="24"/>
      <c r="AF370" s="24"/>
      <c r="AG370" s="24"/>
      <c r="AH370" s="24"/>
      <c r="AI370" s="24"/>
      <c r="AJ370" s="24"/>
      <c r="AK370" s="24"/>
      <c r="AL370" s="24"/>
      <c r="AM370" s="24"/>
      <c r="AN370" s="24"/>
      <c r="AO370" s="24"/>
      <c r="AP370" s="24"/>
      <c r="AQ370" s="24"/>
      <c r="AR370" s="24"/>
    </row>
    <row r="371" spans="22:44" x14ac:dyDescent="0.15">
      <c r="V371" s="24"/>
      <c r="W371" s="24"/>
      <c r="X371" s="24"/>
      <c r="Y371" s="24"/>
      <c r="Z371" s="24"/>
      <c r="AA371" s="24"/>
      <c r="AB371" s="24"/>
      <c r="AC371" s="24"/>
      <c r="AD371" s="24"/>
      <c r="AE371" s="24"/>
      <c r="AF371" s="24"/>
      <c r="AG371" s="24"/>
      <c r="AH371" s="24"/>
      <c r="AI371" s="24"/>
      <c r="AJ371" s="24"/>
      <c r="AK371" s="24"/>
      <c r="AL371" s="24"/>
      <c r="AM371" s="24"/>
      <c r="AN371" s="24"/>
      <c r="AO371" s="24"/>
      <c r="AP371" s="24"/>
      <c r="AQ371" s="24"/>
      <c r="AR371" s="24"/>
    </row>
    <row r="372" spans="22:44" x14ac:dyDescent="0.15">
      <c r="V372" s="24"/>
      <c r="W372" s="24"/>
      <c r="X372" s="24"/>
      <c r="Y372" s="24"/>
      <c r="Z372" s="24"/>
      <c r="AA372" s="24"/>
      <c r="AB372" s="24"/>
      <c r="AC372" s="24"/>
      <c r="AD372" s="24"/>
      <c r="AE372" s="24"/>
      <c r="AF372" s="24"/>
      <c r="AG372" s="24"/>
      <c r="AH372" s="24"/>
      <c r="AI372" s="24"/>
      <c r="AJ372" s="24"/>
      <c r="AK372" s="24"/>
      <c r="AL372" s="24"/>
      <c r="AM372" s="24"/>
      <c r="AN372" s="24"/>
      <c r="AO372" s="24"/>
      <c r="AP372" s="24"/>
      <c r="AQ372" s="24"/>
      <c r="AR372" s="24"/>
    </row>
    <row r="373" spans="22:44" x14ac:dyDescent="0.15">
      <c r="V373" s="24"/>
      <c r="W373" s="24"/>
      <c r="X373" s="24"/>
      <c r="Y373" s="24"/>
      <c r="Z373" s="24"/>
      <c r="AA373" s="24"/>
      <c r="AB373" s="24"/>
      <c r="AC373" s="24"/>
      <c r="AD373" s="24"/>
      <c r="AE373" s="24"/>
      <c r="AF373" s="24"/>
      <c r="AG373" s="24"/>
      <c r="AH373" s="24"/>
      <c r="AI373" s="24"/>
      <c r="AJ373" s="24"/>
      <c r="AK373" s="24"/>
      <c r="AL373" s="24"/>
      <c r="AM373" s="24"/>
      <c r="AN373" s="24"/>
      <c r="AO373" s="24"/>
      <c r="AP373" s="24"/>
      <c r="AQ373" s="24"/>
      <c r="AR373" s="24"/>
    </row>
    <row r="374" spans="22:44" x14ac:dyDescent="0.15">
      <c r="V374" s="24"/>
      <c r="W374" s="24"/>
      <c r="X374" s="24"/>
      <c r="Y374" s="24"/>
      <c r="Z374" s="24"/>
      <c r="AA374" s="24"/>
      <c r="AB374" s="24"/>
      <c r="AC374" s="24"/>
      <c r="AD374" s="24"/>
      <c r="AE374" s="24"/>
      <c r="AF374" s="24"/>
      <c r="AG374" s="24"/>
      <c r="AH374" s="24"/>
      <c r="AI374" s="24"/>
      <c r="AJ374" s="24"/>
      <c r="AK374" s="24"/>
      <c r="AL374" s="24"/>
      <c r="AM374" s="24"/>
      <c r="AN374" s="24"/>
      <c r="AO374" s="24"/>
      <c r="AP374" s="24"/>
      <c r="AQ374" s="24"/>
      <c r="AR374" s="24"/>
    </row>
    <row r="375" spans="22:44" x14ac:dyDescent="0.15">
      <c r="V375" s="24"/>
      <c r="W375" s="24"/>
      <c r="X375" s="24"/>
      <c r="Y375" s="24"/>
      <c r="Z375" s="24"/>
      <c r="AA375" s="24"/>
      <c r="AB375" s="24"/>
      <c r="AC375" s="24"/>
      <c r="AD375" s="24"/>
      <c r="AE375" s="24"/>
      <c r="AF375" s="24"/>
      <c r="AG375" s="24"/>
      <c r="AH375" s="24"/>
      <c r="AI375" s="24"/>
      <c r="AJ375" s="24"/>
      <c r="AK375" s="24"/>
      <c r="AL375" s="24"/>
      <c r="AM375" s="24"/>
      <c r="AN375" s="24"/>
      <c r="AO375" s="24"/>
      <c r="AP375" s="24"/>
      <c r="AQ375" s="24"/>
      <c r="AR375" s="24"/>
    </row>
    <row r="376" spans="22:44" x14ac:dyDescent="0.15">
      <c r="V376" s="24"/>
      <c r="W376" s="24"/>
      <c r="X376" s="24"/>
      <c r="Y376" s="24"/>
      <c r="Z376" s="24"/>
      <c r="AA376" s="24"/>
      <c r="AB376" s="24"/>
      <c r="AC376" s="24"/>
      <c r="AD376" s="24"/>
      <c r="AE376" s="24"/>
      <c r="AF376" s="24"/>
      <c r="AG376" s="24"/>
      <c r="AH376" s="24"/>
      <c r="AI376" s="24"/>
      <c r="AJ376" s="24"/>
      <c r="AK376" s="24"/>
      <c r="AL376" s="24"/>
      <c r="AM376" s="24"/>
      <c r="AN376" s="24"/>
      <c r="AO376" s="24"/>
      <c r="AP376" s="24"/>
      <c r="AQ376" s="24"/>
      <c r="AR376" s="24"/>
    </row>
    <row r="377" spans="22:44" x14ac:dyDescent="0.15">
      <c r="V377" s="24"/>
      <c r="W377" s="24"/>
      <c r="X377" s="24"/>
      <c r="Y377" s="24"/>
      <c r="Z377" s="24"/>
      <c r="AA377" s="24"/>
      <c r="AB377" s="24"/>
      <c r="AC377" s="24"/>
      <c r="AD377" s="24"/>
      <c r="AE377" s="24"/>
      <c r="AF377" s="24"/>
      <c r="AG377" s="24"/>
      <c r="AH377" s="24"/>
      <c r="AI377" s="24"/>
      <c r="AJ377" s="24"/>
      <c r="AK377" s="24"/>
      <c r="AL377" s="24"/>
      <c r="AM377" s="24"/>
      <c r="AN377" s="24"/>
      <c r="AO377" s="24"/>
      <c r="AP377" s="24"/>
      <c r="AQ377" s="24"/>
      <c r="AR377" s="24"/>
    </row>
    <row r="378" spans="22:44" x14ac:dyDescent="0.15">
      <c r="V378" s="24"/>
      <c r="W378" s="24"/>
      <c r="X378" s="24"/>
      <c r="Y378" s="24"/>
      <c r="Z378" s="24"/>
      <c r="AA378" s="24"/>
      <c r="AB378" s="24"/>
      <c r="AC378" s="24"/>
      <c r="AD378" s="24"/>
      <c r="AE378" s="24"/>
      <c r="AF378" s="24"/>
      <c r="AG378" s="24"/>
      <c r="AH378" s="24"/>
      <c r="AI378" s="24"/>
      <c r="AJ378" s="24"/>
      <c r="AK378" s="24"/>
      <c r="AL378" s="24"/>
      <c r="AM378" s="24"/>
      <c r="AN378" s="24"/>
      <c r="AO378" s="24"/>
      <c r="AP378" s="24"/>
      <c r="AQ378" s="24"/>
      <c r="AR378" s="24"/>
    </row>
    <row r="379" spans="22:44" x14ac:dyDescent="0.15">
      <c r="V379" s="24"/>
      <c r="W379" s="24"/>
      <c r="X379" s="24"/>
      <c r="Y379" s="24"/>
      <c r="Z379" s="24"/>
      <c r="AA379" s="24"/>
      <c r="AB379" s="24"/>
      <c r="AC379" s="24"/>
      <c r="AD379" s="24"/>
      <c r="AE379" s="24"/>
      <c r="AF379" s="24"/>
      <c r="AG379" s="24"/>
      <c r="AH379" s="24"/>
      <c r="AI379" s="24"/>
      <c r="AJ379" s="24"/>
      <c r="AK379" s="24"/>
      <c r="AL379" s="24"/>
      <c r="AM379" s="24"/>
      <c r="AN379" s="24"/>
      <c r="AO379" s="24"/>
      <c r="AP379" s="24"/>
      <c r="AQ379" s="24"/>
      <c r="AR379" s="24"/>
    </row>
    <row r="380" spans="22:44" x14ac:dyDescent="0.15">
      <c r="V380" s="24"/>
      <c r="W380" s="24"/>
      <c r="X380" s="24"/>
      <c r="Y380" s="24"/>
      <c r="Z380" s="24"/>
      <c r="AA380" s="24"/>
      <c r="AB380" s="24"/>
      <c r="AC380" s="24"/>
      <c r="AD380" s="24"/>
      <c r="AE380" s="24"/>
      <c r="AF380" s="24"/>
      <c r="AG380" s="24"/>
      <c r="AH380" s="24"/>
      <c r="AI380" s="24"/>
      <c r="AJ380" s="24"/>
      <c r="AK380" s="24"/>
      <c r="AL380" s="24"/>
      <c r="AM380" s="24"/>
      <c r="AN380" s="24"/>
      <c r="AO380" s="24"/>
      <c r="AP380" s="24"/>
      <c r="AQ380" s="24"/>
      <c r="AR380" s="24"/>
    </row>
    <row r="381" spans="22:44" x14ac:dyDescent="0.15">
      <c r="V381" s="24"/>
      <c r="W381" s="24"/>
      <c r="X381" s="24"/>
      <c r="Y381" s="24"/>
      <c r="Z381" s="24"/>
      <c r="AA381" s="24"/>
      <c r="AB381" s="24"/>
      <c r="AC381" s="24"/>
      <c r="AD381" s="24"/>
      <c r="AE381" s="24"/>
      <c r="AF381" s="24"/>
      <c r="AG381" s="24"/>
      <c r="AH381" s="24"/>
      <c r="AI381" s="24"/>
      <c r="AJ381" s="24"/>
      <c r="AK381" s="24"/>
      <c r="AL381" s="24"/>
      <c r="AM381" s="24"/>
      <c r="AN381" s="24"/>
      <c r="AO381" s="24"/>
      <c r="AP381" s="24"/>
      <c r="AQ381" s="24"/>
      <c r="AR381" s="24"/>
    </row>
    <row r="382" spans="22:44" x14ac:dyDescent="0.15">
      <c r="V382" s="24"/>
      <c r="W382" s="24"/>
      <c r="X382" s="24"/>
      <c r="Y382" s="24"/>
      <c r="Z382" s="24"/>
      <c r="AA382" s="24"/>
      <c r="AB382" s="24"/>
      <c r="AC382" s="24"/>
      <c r="AD382" s="24"/>
      <c r="AE382" s="24"/>
      <c r="AF382" s="24"/>
      <c r="AG382" s="24"/>
      <c r="AH382" s="24"/>
      <c r="AI382" s="24"/>
      <c r="AJ382" s="24"/>
      <c r="AK382" s="24"/>
      <c r="AL382" s="24"/>
      <c r="AM382" s="24"/>
      <c r="AN382" s="24"/>
      <c r="AO382" s="24"/>
      <c r="AP382" s="24"/>
      <c r="AQ382" s="24"/>
      <c r="AR382" s="24"/>
    </row>
    <row r="383" spans="22:44" x14ac:dyDescent="0.15">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row>
    <row r="384" spans="22:44" x14ac:dyDescent="0.15">
      <c r="V384" s="24"/>
      <c r="W384" s="24"/>
      <c r="X384" s="24"/>
      <c r="Y384" s="24"/>
      <c r="Z384" s="24"/>
      <c r="AA384" s="24"/>
      <c r="AB384" s="24"/>
      <c r="AC384" s="24"/>
      <c r="AD384" s="24"/>
      <c r="AE384" s="24"/>
      <c r="AF384" s="24"/>
      <c r="AG384" s="24"/>
      <c r="AH384" s="24"/>
      <c r="AI384" s="24"/>
      <c r="AJ384" s="24"/>
      <c r="AK384" s="24"/>
      <c r="AL384" s="24"/>
      <c r="AM384" s="24"/>
      <c r="AN384" s="24"/>
      <c r="AO384" s="24"/>
      <c r="AP384" s="24"/>
      <c r="AQ384" s="24"/>
      <c r="AR384" s="24"/>
    </row>
    <row r="385" spans="22:44" x14ac:dyDescent="0.15">
      <c r="V385" s="24"/>
      <c r="W385" s="24"/>
      <c r="X385" s="24"/>
      <c r="Y385" s="24"/>
      <c r="Z385" s="24"/>
      <c r="AA385" s="24"/>
      <c r="AB385" s="24"/>
      <c r="AC385" s="24"/>
      <c r="AD385" s="24"/>
      <c r="AE385" s="24"/>
      <c r="AF385" s="24"/>
      <c r="AG385" s="24"/>
      <c r="AH385" s="24"/>
      <c r="AI385" s="24"/>
      <c r="AJ385" s="24"/>
      <c r="AK385" s="24"/>
      <c r="AL385" s="24"/>
      <c r="AM385" s="24"/>
      <c r="AN385" s="24"/>
      <c r="AO385" s="24"/>
      <c r="AP385" s="24"/>
      <c r="AQ385" s="24"/>
      <c r="AR385" s="24"/>
    </row>
    <row r="386" spans="22:44" x14ac:dyDescent="0.15">
      <c r="V386" s="24"/>
      <c r="W386" s="24"/>
      <c r="X386" s="24"/>
      <c r="Y386" s="24"/>
      <c r="Z386" s="24"/>
      <c r="AA386" s="24"/>
      <c r="AB386" s="24"/>
      <c r="AC386" s="24"/>
      <c r="AD386" s="24"/>
      <c r="AE386" s="24"/>
      <c r="AF386" s="24"/>
      <c r="AG386" s="24"/>
      <c r="AH386" s="24"/>
      <c r="AI386" s="24"/>
      <c r="AJ386" s="24"/>
      <c r="AK386" s="24"/>
      <c r="AL386" s="24"/>
      <c r="AM386" s="24"/>
      <c r="AN386" s="24"/>
      <c r="AO386" s="24"/>
      <c r="AP386" s="24"/>
      <c r="AQ386" s="24"/>
      <c r="AR386" s="24"/>
    </row>
    <row r="387" spans="22:44" x14ac:dyDescent="0.15">
      <c r="V387" s="24"/>
      <c r="W387" s="24"/>
      <c r="X387" s="24"/>
      <c r="Y387" s="24"/>
      <c r="Z387" s="24"/>
      <c r="AA387" s="24"/>
      <c r="AB387" s="24"/>
      <c r="AC387" s="24"/>
      <c r="AD387" s="24"/>
      <c r="AE387" s="24"/>
      <c r="AF387" s="24"/>
      <c r="AG387" s="24"/>
      <c r="AH387" s="24"/>
      <c r="AI387" s="24"/>
      <c r="AJ387" s="24"/>
      <c r="AK387" s="24"/>
      <c r="AL387" s="24"/>
      <c r="AM387" s="24"/>
      <c r="AN387" s="24"/>
      <c r="AO387" s="24"/>
      <c r="AP387" s="24"/>
      <c r="AQ387" s="24"/>
      <c r="AR387" s="24"/>
    </row>
    <row r="388" spans="22:44" x14ac:dyDescent="0.15">
      <c r="V388" s="24"/>
      <c r="W388" s="24"/>
      <c r="X388" s="24"/>
      <c r="Y388" s="24"/>
      <c r="Z388" s="24"/>
      <c r="AA388" s="24"/>
      <c r="AB388" s="24"/>
      <c r="AC388" s="24"/>
      <c r="AD388" s="24"/>
      <c r="AE388" s="24"/>
      <c r="AF388" s="24"/>
      <c r="AG388" s="24"/>
      <c r="AH388" s="24"/>
      <c r="AI388" s="24"/>
      <c r="AJ388" s="24"/>
      <c r="AK388" s="24"/>
      <c r="AL388" s="24"/>
      <c r="AM388" s="24"/>
      <c r="AN388" s="24"/>
      <c r="AO388" s="24"/>
      <c r="AP388" s="24"/>
      <c r="AQ388" s="24"/>
      <c r="AR388" s="24"/>
    </row>
    <row r="389" spans="22:44" x14ac:dyDescent="0.15">
      <c r="V389" s="24"/>
      <c r="W389" s="24"/>
      <c r="X389" s="24"/>
      <c r="Y389" s="24"/>
      <c r="Z389" s="24"/>
      <c r="AA389" s="24"/>
      <c r="AB389" s="24"/>
      <c r="AC389" s="24"/>
      <c r="AD389" s="24"/>
      <c r="AE389" s="24"/>
      <c r="AF389" s="24"/>
      <c r="AG389" s="24"/>
      <c r="AH389" s="24"/>
      <c r="AI389" s="24"/>
      <c r="AJ389" s="24"/>
      <c r="AK389" s="24"/>
      <c r="AL389" s="24"/>
      <c r="AM389" s="24"/>
      <c r="AN389" s="24"/>
      <c r="AO389" s="24"/>
      <c r="AP389" s="24"/>
      <c r="AQ389" s="24"/>
      <c r="AR389" s="24"/>
    </row>
    <row r="390" spans="22:44" x14ac:dyDescent="0.15">
      <c r="V390" s="24"/>
      <c r="W390" s="24"/>
      <c r="X390" s="24"/>
      <c r="Y390" s="24"/>
      <c r="Z390" s="24"/>
      <c r="AA390" s="24"/>
      <c r="AB390" s="24"/>
      <c r="AC390" s="24"/>
      <c r="AD390" s="24"/>
      <c r="AE390" s="24"/>
      <c r="AF390" s="24"/>
      <c r="AG390" s="24"/>
      <c r="AH390" s="24"/>
      <c r="AI390" s="24"/>
      <c r="AJ390" s="24"/>
      <c r="AK390" s="24"/>
      <c r="AL390" s="24"/>
      <c r="AM390" s="24"/>
      <c r="AN390" s="24"/>
      <c r="AO390" s="24"/>
      <c r="AP390" s="24"/>
      <c r="AQ390" s="24"/>
      <c r="AR390" s="24"/>
    </row>
    <row r="391" spans="22:44" x14ac:dyDescent="0.15">
      <c r="V391" s="24"/>
      <c r="W391" s="24"/>
      <c r="X391" s="24"/>
      <c r="Y391" s="24"/>
      <c r="Z391" s="24"/>
      <c r="AA391" s="24"/>
      <c r="AB391" s="24"/>
      <c r="AC391" s="24"/>
      <c r="AD391" s="24"/>
      <c r="AE391" s="24"/>
      <c r="AF391" s="24"/>
      <c r="AG391" s="24"/>
      <c r="AH391" s="24"/>
      <c r="AI391" s="24"/>
      <c r="AJ391" s="24"/>
      <c r="AK391" s="24"/>
      <c r="AL391" s="24"/>
      <c r="AM391" s="24"/>
      <c r="AN391" s="24"/>
      <c r="AO391" s="24"/>
      <c r="AP391" s="24"/>
      <c r="AQ391" s="24"/>
      <c r="AR391" s="24"/>
    </row>
    <row r="392" spans="22:44" x14ac:dyDescent="0.15">
      <c r="V392" s="24"/>
      <c r="W392" s="24"/>
      <c r="X392" s="24"/>
      <c r="Y392" s="24"/>
      <c r="Z392" s="24"/>
      <c r="AA392" s="24"/>
      <c r="AB392" s="24"/>
      <c r="AC392" s="24"/>
      <c r="AD392" s="24"/>
      <c r="AE392" s="24"/>
      <c r="AF392" s="24"/>
      <c r="AG392" s="24"/>
      <c r="AH392" s="24"/>
      <c r="AI392" s="24"/>
      <c r="AJ392" s="24"/>
      <c r="AK392" s="24"/>
      <c r="AL392" s="24"/>
      <c r="AM392" s="24"/>
      <c r="AN392" s="24"/>
      <c r="AO392" s="24"/>
      <c r="AP392" s="24"/>
      <c r="AQ392" s="24"/>
      <c r="AR392" s="24"/>
    </row>
    <row r="393" spans="22:44" x14ac:dyDescent="0.15">
      <c r="V393" s="24"/>
      <c r="W393" s="24"/>
      <c r="X393" s="24"/>
      <c r="Y393" s="24"/>
      <c r="Z393" s="24"/>
      <c r="AA393" s="24"/>
      <c r="AB393" s="24"/>
      <c r="AC393" s="24"/>
      <c r="AD393" s="24"/>
      <c r="AE393" s="24"/>
      <c r="AF393" s="24"/>
      <c r="AG393" s="24"/>
      <c r="AH393" s="24"/>
      <c r="AI393" s="24"/>
      <c r="AJ393" s="24"/>
      <c r="AK393" s="24"/>
      <c r="AL393" s="24"/>
      <c r="AM393" s="24"/>
      <c r="AN393" s="24"/>
      <c r="AO393" s="24"/>
      <c r="AP393" s="24"/>
      <c r="AQ393" s="24"/>
      <c r="AR393" s="24"/>
    </row>
    <row r="394" spans="22:44" x14ac:dyDescent="0.15">
      <c r="V394" s="24"/>
      <c r="W394" s="24"/>
      <c r="X394" s="24"/>
      <c r="Y394" s="24"/>
      <c r="Z394" s="24"/>
      <c r="AA394" s="24"/>
      <c r="AB394" s="24"/>
      <c r="AC394" s="24"/>
      <c r="AD394" s="24"/>
      <c r="AE394" s="24"/>
      <c r="AF394" s="24"/>
      <c r="AG394" s="24"/>
      <c r="AH394" s="24"/>
      <c r="AI394" s="24"/>
      <c r="AJ394" s="24"/>
      <c r="AK394" s="24"/>
      <c r="AL394" s="24"/>
      <c r="AM394" s="24"/>
      <c r="AN394" s="24"/>
      <c r="AO394" s="24"/>
      <c r="AP394" s="24"/>
      <c r="AQ394" s="24"/>
      <c r="AR394" s="24"/>
    </row>
    <row r="395" spans="22:44" x14ac:dyDescent="0.15">
      <c r="V395" s="24"/>
      <c r="W395" s="24"/>
      <c r="X395" s="24"/>
      <c r="Y395" s="24"/>
      <c r="Z395" s="24"/>
      <c r="AA395" s="24"/>
      <c r="AB395" s="24"/>
      <c r="AC395" s="24"/>
      <c r="AD395" s="24"/>
      <c r="AE395" s="24"/>
      <c r="AF395" s="24"/>
      <c r="AG395" s="24"/>
      <c r="AH395" s="24"/>
      <c r="AI395" s="24"/>
      <c r="AJ395" s="24"/>
      <c r="AK395" s="24"/>
      <c r="AL395" s="24"/>
      <c r="AM395" s="24"/>
      <c r="AN395" s="24"/>
      <c r="AO395" s="24"/>
      <c r="AP395" s="24"/>
      <c r="AQ395" s="24"/>
      <c r="AR395" s="24"/>
    </row>
    <row r="396" spans="22:44" x14ac:dyDescent="0.15">
      <c r="V396" s="24"/>
      <c r="W396" s="24"/>
      <c r="X396" s="24"/>
      <c r="Y396" s="24"/>
      <c r="Z396" s="24"/>
      <c r="AA396" s="24"/>
      <c r="AB396" s="24"/>
      <c r="AC396" s="24"/>
      <c r="AD396" s="24"/>
      <c r="AE396" s="24"/>
      <c r="AF396" s="24"/>
      <c r="AG396" s="24"/>
      <c r="AH396" s="24"/>
      <c r="AI396" s="24"/>
      <c r="AJ396" s="24"/>
      <c r="AK396" s="24"/>
      <c r="AL396" s="24"/>
      <c r="AM396" s="24"/>
      <c r="AN396" s="24"/>
      <c r="AO396" s="24"/>
      <c r="AP396" s="24"/>
      <c r="AQ396" s="24"/>
      <c r="AR396" s="24"/>
    </row>
    <row r="397" spans="22:44" x14ac:dyDescent="0.15">
      <c r="V397" s="24"/>
      <c r="W397" s="24"/>
      <c r="X397" s="24"/>
      <c r="Y397" s="24"/>
      <c r="Z397" s="24"/>
      <c r="AA397" s="24"/>
      <c r="AB397" s="24"/>
      <c r="AC397" s="24"/>
      <c r="AD397" s="24"/>
      <c r="AE397" s="24"/>
      <c r="AF397" s="24"/>
      <c r="AG397" s="24"/>
      <c r="AH397" s="24"/>
      <c r="AI397" s="24"/>
      <c r="AJ397" s="24"/>
      <c r="AK397" s="24"/>
      <c r="AL397" s="24"/>
      <c r="AM397" s="24"/>
      <c r="AN397" s="24"/>
      <c r="AO397" s="24"/>
      <c r="AP397" s="24"/>
      <c r="AQ397" s="24"/>
      <c r="AR397" s="24"/>
    </row>
    <row r="398" spans="22:44" x14ac:dyDescent="0.15">
      <c r="V398" s="24"/>
      <c r="W398" s="24"/>
      <c r="X398" s="24"/>
      <c r="Y398" s="24"/>
      <c r="Z398" s="24"/>
      <c r="AA398" s="24"/>
      <c r="AB398" s="24"/>
      <c r="AC398" s="24"/>
      <c r="AD398" s="24"/>
      <c r="AE398" s="24"/>
      <c r="AF398" s="24"/>
      <c r="AG398" s="24"/>
      <c r="AH398" s="24"/>
      <c r="AI398" s="24"/>
      <c r="AJ398" s="24"/>
      <c r="AK398" s="24"/>
      <c r="AL398" s="24"/>
      <c r="AM398" s="24"/>
      <c r="AN398" s="24"/>
      <c r="AO398" s="24"/>
      <c r="AP398" s="24"/>
      <c r="AQ398" s="24"/>
      <c r="AR398" s="24"/>
    </row>
    <row r="399" spans="22:44" x14ac:dyDescent="0.15">
      <c r="V399" s="24"/>
      <c r="W399" s="24"/>
      <c r="X399" s="24"/>
      <c r="Y399" s="24"/>
      <c r="Z399" s="24"/>
      <c r="AA399" s="24"/>
      <c r="AB399" s="24"/>
      <c r="AC399" s="24"/>
      <c r="AD399" s="24"/>
      <c r="AE399" s="24"/>
      <c r="AF399" s="24"/>
      <c r="AG399" s="24"/>
      <c r="AH399" s="24"/>
      <c r="AI399" s="24"/>
      <c r="AJ399" s="24"/>
      <c r="AK399" s="24"/>
      <c r="AL399" s="24"/>
      <c r="AM399" s="24"/>
      <c r="AN399" s="24"/>
      <c r="AO399" s="24"/>
      <c r="AP399" s="24"/>
      <c r="AQ399" s="24"/>
      <c r="AR399" s="24"/>
    </row>
    <row r="400" spans="22:44" x14ac:dyDescent="0.15">
      <c r="V400" s="24"/>
      <c r="W400" s="24"/>
      <c r="X400" s="24"/>
      <c r="Y400" s="24"/>
      <c r="Z400" s="24"/>
      <c r="AA400" s="24"/>
      <c r="AB400" s="24"/>
      <c r="AC400" s="24"/>
      <c r="AD400" s="24"/>
      <c r="AE400" s="24"/>
      <c r="AF400" s="24"/>
      <c r="AG400" s="24"/>
      <c r="AH400" s="24"/>
      <c r="AI400" s="24"/>
      <c r="AJ400" s="24"/>
      <c r="AK400" s="24"/>
      <c r="AL400" s="24"/>
      <c r="AM400" s="24"/>
      <c r="AN400" s="24"/>
      <c r="AO400" s="24"/>
      <c r="AP400" s="24"/>
      <c r="AQ400" s="24"/>
      <c r="AR400" s="24"/>
    </row>
    <row r="401" spans="22:44" x14ac:dyDescent="0.15">
      <c r="V401" s="24"/>
      <c r="W401" s="24"/>
      <c r="X401" s="24"/>
      <c r="Y401" s="24"/>
      <c r="Z401" s="24"/>
      <c r="AA401" s="24"/>
      <c r="AB401" s="24"/>
      <c r="AC401" s="24"/>
      <c r="AD401" s="24"/>
      <c r="AE401" s="24"/>
      <c r="AF401" s="24"/>
      <c r="AG401" s="24"/>
      <c r="AH401" s="24"/>
      <c r="AI401" s="24"/>
      <c r="AJ401" s="24"/>
      <c r="AK401" s="24"/>
      <c r="AL401" s="24"/>
      <c r="AM401" s="24"/>
      <c r="AN401" s="24"/>
      <c r="AO401" s="24"/>
      <c r="AP401" s="24"/>
      <c r="AQ401" s="24"/>
      <c r="AR401" s="24"/>
    </row>
    <row r="402" spans="22:44" x14ac:dyDescent="0.15">
      <c r="V402" s="24"/>
      <c r="W402" s="24"/>
      <c r="X402" s="24"/>
      <c r="Y402" s="24"/>
      <c r="Z402" s="24"/>
      <c r="AA402" s="24"/>
      <c r="AB402" s="24"/>
      <c r="AC402" s="24"/>
      <c r="AD402" s="24"/>
      <c r="AE402" s="24"/>
      <c r="AF402" s="24"/>
      <c r="AG402" s="24"/>
      <c r="AH402" s="24"/>
      <c r="AI402" s="24"/>
      <c r="AJ402" s="24"/>
      <c r="AK402" s="24"/>
      <c r="AL402" s="24"/>
      <c r="AM402" s="24"/>
      <c r="AN402" s="24"/>
      <c r="AO402" s="24"/>
      <c r="AP402" s="24"/>
      <c r="AQ402" s="24"/>
      <c r="AR402" s="24"/>
    </row>
    <row r="403" spans="22:44" x14ac:dyDescent="0.15">
      <c r="V403" s="24"/>
      <c r="W403" s="24"/>
      <c r="X403" s="24"/>
      <c r="Y403" s="24"/>
      <c r="Z403" s="24"/>
      <c r="AA403" s="24"/>
      <c r="AB403" s="24"/>
      <c r="AC403" s="24"/>
      <c r="AD403" s="24"/>
      <c r="AE403" s="24"/>
      <c r="AF403" s="24"/>
      <c r="AG403" s="24"/>
      <c r="AH403" s="24"/>
      <c r="AI403" s="24"/>
      <c r="AJ403" s="24"/>
      <c r="AK403" s="24"/>
      <c r="AL403" s="24"/>
      <c r="AM403" s="24"/>
      <c r="AN403" s="24"/>
      <c r="AO403" s="24"/>
      <c r="AP403" s="24"/>
      <c r="AQ403" s="24"/>
      <c r="AR403" s="24"/>
    </row>
    <row r="404" spans="22:44" x14ac:dyDescent="0.15">
      <c r="V404" s="24"/>
      <c r="W404" s="24"/>
      <c r="X404" s="24"/>
      <c r="Y404" s="24"/>
      <c r="Z404" s="24"/>
      <c r="AA404" s="24"/>
      <c r="AB404" s="24"/>
      <c r="AC404" s="24"/>
      <c r="AD404" s="24"/>
      <c r="AE404" s="24"/>
      <c r="AF404" s="24"/>
      <c r="AG404" s="24"/>
      <c r="AH404" s="24"/>
      <c r="AI404" s="24"/>
      <c r="AJ404" s="24"/>
      <c r="AK404" s="24"/>
      <c r="AL404" s="24"/>
      <c r="AM404" s="24"/>
      <c r="AN404" s="24"/>
      <c r="AO404" s="24"/>
      <c r="AP404" s="24"/>
      <c r="AQ404" s="24"/>
      <c r="AR404" s="24"/>
    </row>
    <row r="405" spans="22:44" x14ac:dyDescent="0.15">
      <c r="V405" s="24"/>
      <c r="W405" s="24"/>
      <c r="X405" s="24"/>
      <c r="Y405" s="24"/>
      <c r="Z405" s="24"/>
      <c r="AA405" s="24"/>
      <c r="AB405" s="24"/>
      <c r="AC405" s="24"/>
      <c r="AD405" s="24"/>
      <c r="AE405" s="24"/>
      <c r="AF405" s="24"/>
      <c r="AG405" s="24"/>
      <c r="AH405" s="24"/>
      <c r="AI405" s="24"/>
      <c r="AJ405" s="24"/>
      <c r="AK405" s="24"/>
      <c r="AL405" s="24"/>
      <c r="AM405" s="24"/>
      <c r="AN405" s="24"/>
      <c r="AO405" s="24"/>
      <c r="AP405" s="24"/>
      <c r="AQ405" s="24"/>
      <c r="AR405" s="24"/>
    </row>
    <row r="406" spans="22:44" x14ac:dyDescent="0.15">
      <c r="V406" s="24"/>
      <c r="W406" s="24"/>
      <c r="X406" s="24"/>
      <c r="Y406" s="24"/>
      <c r="Z406" s="24"/>
      <c r="AA406" s="24"/>
      <c r="AB406" s="24"/>
      <c r="AC406" s="24"/>
      <c r="AD406" s="24"/>
      <c r="AE406" s="24"/>
      <c r="AF406" s="24"/>
      <c r="AG406" s="24"/>
      <c r="AH406" s="24"/>
      <c r="AI406" s="24"/>
      <c r="AJ406" s="24"/>
      <c r="AK406" s="24"/>
      <c r="AL406" s="24"/>
      <c r="AM406" s="24"/>
      <c r="AN406" s="24"/>
      <c r="AO406" s="24"/>
      <c r="AP406" s="24"/>
      <c r="AQ406" s="24"/>
      <c r="AR406" s="24"/>
    </row>
    <row r="407" spans="22:44" x14ac:dyDescent="0.15">
      <c r="V407" s="24"/>
      <c r="W407" s="24"/>
      <c r="X407" s="24"/>
      <c r="Y407" s="24"/>
      <c r="Z407" s="24"/>
      <c r="AA407" s="24"/>
      <c r="AB407" s="24"/>
      <c r="AC407" s="24"/>
      <c r="AD407" s="24"/>
      <c r="AE407" s="24"/>
      <c r="AF407" s="24"/>
      <c r="AG407" s="24"/>
      <c r="AH407" s="24"/>
      <c r="AI407" s="24"/>
      <c r="AJ407" s="24"/>
      <c r="AK407" s="24"/>
      <c r="AL407" s="24"/>
      <c r="AM407" s="24"/>
      <c r="AN407" s="24"/>
      <c r="AO407" s="24"/>
      <c r="AP407" s="24"/>
      <c r="AQ407" s="24"/>
      <c r="AR407" s="24"/>
    </row>
    <row r="408" spans="22:44" x14ac:dyDescent="0.15">
      <c r="V408" s="24"/>
      <c r="W408" s="24"/>
      <c r="X408" s="24"/>
      <c r="Y408" s="24"/>
      <c r="Z408" s="24"/>
      <c r="AA408" s="24"/>
      <c r="AB408" s="24"/>
      <c r="AC408" s="24"/>
      <c r="AD408" s="24"/>
      <c r="AE408" s="24"/>
      <c r="AF408" s="24"/>
      <c r="AG408" s="24"/>
      <c r="AH408" s="24"/>
      <c r="AI408" s="24"/>
      <c r="AJ408" s="24"/>
      <c r="AK408" s="24"/>
      <c r="AL408" s="24"/>
      <c r="AM408" s="24"/>
      <c r="AN408" s="24"/>
      <c r="AO408" s="24"/>
      <c r="AP408" s="24"/>
      <c r="AQ408" s="24"/>
      <c r="AR408" s="24"/>
    </row>
    <row r="409" spans="22:44" x14ac:dyDescent="0.15">
      <c r="V409" s="24"/>
      <c r="W409" s="24"/>
      <c r="X409" s="24"/>
      <c r="Y409" s="24"/>
      <c r="Z409" s="24"/>
      <c r="AA409" s="24"/>
      <c r="AB409" s="24"/>
      <c r="AC409" s="24"/>
      <c r="AD409" s="24"/>
      <c r="AE409" s="24"/>
      <c r="AF409" s="24"/>
      <c r="AG409" s="24"/>
      <c r="AH409" s="24"/>
      <c r="AI409" s="24"/>
      <c r="AJ409" s="24"/>
      <c r="AK409" s="24"/>
      <c r="AL409" s="24"/>
      <c r="AM409" s="24"/>
      <c r="AN409" s="24"/>
      <c r="AO409" s="24"/>
      <c r="AP409" s="24"/>
      <c r="AQ409" s="24"/>
      <c r="AR409" s="24"/>
    </row>
    <row r="410" spans="22:44" x14ac:dyDescent="0.15">
      <c r="V410" s="24"/>
      <c r="W410" s="24"/>
      <c r="X410" s="24"/>
      <c r="Y410" s="24"/>
      <c r="Z410" s="24"/>
      <c r="AA410" s="24"/>
      <c r="AB410" s="24"/>
      <c r="AC410" s="24"/>
      <c r="AD410" s="24"/>
      <c r="AE410" s="24"/>
      <c r="AF410" s="24"/>
      <c r="AG410" s="24"/>
      <c r="AH410" s="24"/>
      <c r="AI410" s="24"/>
      <c r="AJ410" s="24"/>
      <c r="AK410" s="24"/>
      <c r="AL410" s="24"/>
      <c r="AM410" s="24"/>
      <c r="AN410" s="24"/>
      <c r="AO410" s="24"/>
      <c r="AP410" s="24"/>
      <c r="AQ410" s="24"/>
      <c r="AR410" s="24"/>
    </row>
    <row r="411" spans="22:44" x14ac:dyDescent="0.15">
      <c r="V411" s="24"/>
      <c r="W411" s="24"/>
      <c r="X411" s="24"/>
      <c r="Y411" s="24"/>
      <c r="Z411" s="24"/>
      <c r="AA411" s="24"/>
      <c r="AB411" s="24"/>
      <c r="AC411" s="24"/>
      <c r="AD411" s="24"/>
      <c r="AE411" s="24"/>
      <c r="AF411" s="24"/>
      <c r="AG411" s="24"/>
      <c r="AH411" s="24"/>
      <c r="AI411" s="24"/>
      <c r="AJ411" s="24"/>
      <c r="AK411" s="24"/>
      <c r="AL411" s="24"/>
      <c r="AM411" s="24"/>
      <c r="AN411" s="24"/>
      <c r="AO411" s="24"/>
      <c r="AP411" s="24"/>
      <c r="AQ411" s="24"/>
      <c r="AR411" s="24"/>
    </row>
    <row r="412" spans="22:44" x14ac:dyDescent="0.15">
      <c r="V412" s="24"/>
      <c r="W412" s="24"/>
      <c r="X412" s="24"/>
      <c r="Y412" s="24"/>
      <c r="Z412" s="24"/>
      <c r="AA412" s="24"/>
      <c r="AB412" s="24"/>
      <c r="AC412" s="24"/>
      <c r="AD412" s="24"/>
      <c r="AE412" s="24"/>
      <c r="AF412" s="24"/>
      <c r="AG412" s="24"/>
      <c r="AH412" s="24"/>
      <c r="AI412" s="24"/>
      <c r="AJ412" s="24"/>
      <c r="AK412" s="24"/>
      <c r="AL412" s="24"/>
      <c r="AM412" s="24"/>
      <c r="AN412" s="24"/>
      <c r="AO412" s="24"/>
      <c r="AP412" s="24"/>
      <c r="AQ412" s="24"/>
      <c r="AR412" s="24"/>
    </row>
    <row r="413" spans="22:44" x14ac:dyDescent="0.15">
      <c r="V413" s="24"/>
      <c r="W413" s="24"/>
      <c r="X413" s="24"/>
      <c r="Y413" s="24"/>
      <c r="Z413" s="24"/>
      <c r="AA413" s="24"/>
      <c r="AB413" s="24"/>
      <c r="AC413" s="24"/>
      <c r="AD413" s="24"/>
      <c r="AE413" s="24"/>
      <c r="AF413" s="24"/>
      <c r="AG413" s="24"/>
      <c r="AH413" s="24"/>
      <c r="AI413" s="24"/>
      <c r="AJ413" s="24"/>
      <c r="AK413" s="24"/>
      <c r="AL413" s="24"/>
      <c r="AM413" s="24"/>
      <c r="AN413" s="24"/>
      <c r="AO413" s="24"/>
      <c r="AP413" s="24"/>
      <c r="AQ413" s="24"/>
      <c r="AR413" s="24"/>
    </row>
    <row r="414" spans="22:44" x14ac:dyDescent="0.15">
      <c r="V414" s="24"/>
      <c r="W414" s="24"/>
      <c r="X414" s="24"/>
      <c r="Y414" s="24"/>
      <c r="Z414" s="24"/>
      <c r="AA414" s="24"/>
      <c r="AB414" s="24"/>
      <c r="AC414" s="24"/>
      <c r="AD414" s="24"/>
      <c r="AE414" s="24"/>
      <c r="AF414" s="24"/>
      <c r="AG414" s="24"/>
      <c r="AH414" s="24"/>
      <c r="AI414" s="24"/>
      <c r="AJ414" s="24"/>
      <c r="AK414" s="24"/>
      <c r="AL414" s="24"/>
      <c r="AM414" s="24"/>
      <c r="AN414" s="24"/>
      <c r="AO414" s="24"/>
      <c r="AP414" s="24"/>
      <c r="AQ414" s="24"/>
      <c r="AR414" s="24"/>
    </row>
    <row r="415" spans="22:44" x14ac:dyDescent="0.15">
      <c r="V415" s="24"/>
      <c r="W415" s="24"/>
      <c r="X415" s="24"/>
      <c r="Y415" s="24"/>
      <c r="Z415" s="24"/>
      <c r="AA415" s="24"/>
      <c r="AB415" s="24"/>
      <c r="AC415" s="24"/>
      <c r="AD415" s="24"/>
      <c r="AE415" s="24"/>
      <c r="AF415" s="24"/>
      <c r="AG415" s="24"/>
      <c r="AH415" s="24"/>
      <c r="AI415" s="24"/>
      <c r="AJ415" s="24"/>
      <c r="AK415" s="24"/>
      <c r="AL415" s="24"/>
      <c r="AM415" s="24"/>
      <c r="AN415" s="24"/>
      <c r="AO415" s="24"/>
      <c r="AP415" s="24"/>
      <c r="AQ415" s="24"/>
      <c r="AR415" s="24"/>
    </row>
    <row r="416" spans="22:44" x14ac:dyDescent="0.15">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row>
    <row r="417" spans="22:44" x14ac:dyDescent="0.15">
      <c r="V417" s="24"/>
      <c r="W417" s="24"/>
      <c r="X417" s="24"/>
      <c r="Y417" s="24"/>
      <c r="Z417" s="24"/>
      <c r="AA417" s="24"/>
      <c r="AB417" s="24"/>
      <c r="AC417" s="24"/>
      <c r="AD417" s="24"/>
      <c r="AE417" s="24"/>
      <c r="AF417" s="24"/>
      <c r="AG417" s="24"/>
      <c r="AH417" s="24"/>
      <c r="AI417" s="24"/>
      <c r="AJ417" s="24"/>
      <c r="AK417" s="24"/>
      <c r="AL417" s="24"/>
      <c r="AM417" s="24"/>
      <c r="AN417" s="24"/>
      <c r="AO417" s="24"/>
      <c r="AP417" s="24"/>
      <c r="AQ417" s="24"/>
      <c r="AR417" s="24"/>
    </row>
    <row r="418" spans="22:44" x14ac:dyDescent="0.15">
      <c r="V418" s="24"/>
      <c r="W418" s="24"/>
      <c r="X418" s="24"/>
      <c r="Y418" s="24"/>
      <c r="Z418" s="24"/>
      <c r="AA418" s="24"/>
      <c r="AB418" s="24"/>
      <c r="AC418" s="24"/>
      <c r="AD418" s="24"/>
      <c r="AE418" s="24"/>
      <c r="AF418" s="24"/>
      <c r="AG418" s="24"/>
      <c r="AH418" s="24"/>
      <c r="AI418" s="24"/>
      <c r="AJ418" s="24"/>
      <c r="AK418" s="24"/>
      <c r="AL418" s="24"/>
      <c r="AM418" s="24"/>
      <c r="AN418" s="24"/>
      <c r="AO418" s="24"/>
      <c r="AP418" s="24"/>
      <c r="AQ418" s="24"/>
      <c r="AR418" s="24"/>
    </row>
    <row r="419" spans="22:44" x14ac:dyDescent="0.15">
      <c r="V419" s="24"/>
      <c r="W419" s="24"/>
      <c r="X419" s="24"/>
      <c r="Y419" s="24"/>
      <c r="Z419" s="24"/>
      <c r="AA419" s="24"/>
      <c r="AB419" s="24"/>
      <c r="AC419" s="24"/>
      <c r="AD419" s="24"/>
      <c r="AE419" s="24"/>
      <c r="AF419" s="24"/>
      <c r="AG419" s="24"/>
      <c r="AH419" s="24"/>
      <c r="AI419" s="24"/>
      <c r="AJ419" s="24"/>
      <c r="AK419" s="24"/>
      <c r="AL419" s="24"/>
      <c r="AM419" s="24"/>
      <c r="AN419" s="24"/>
      <c r="AO419" s="24"/>
      <c r="AP419" s="24"/>
      <c r="AQ419" s="24"/>
      <c r="AR419" s="24"/>
    </row>
    <row r="420" spans="22:44" x14ac:dyDescent="0.15">
      <c r="V420" s="24"/>
      <c r="W420" s="24"/>
      <c r="X420" s="24"/>
      <c r="Y420" s="24"/>
      <c r="Z420" s="24"/>
      <c r="AA420" s="24"/>
      <c r="AB420" s="24"/>
      <c r="AC420" s="24"/>
      <c r="AD420" s="24"/>
      <c r="AE420" s="24"/>
      <c r="AF420" s="24"/>
      <c r="AG420" s="24"/>
      <c r="AH420" s="24"/>
      <c r="AI420" s="24"/>
      <c r="AJ420" s="24"/>
      <c r="AK420" s="24"/>
      <c r="AL420" s="24"/>
      <c r="AM420" s="24"/>
      <c r="AN420" s="24"/>
      <c r="AO420" s="24"/>
      <c r="AP420" s="24"/>
      <c r="AQ420" s="24"/>
      <c r="AR420" s="24"/>
    </row>
    <row r="421" spans="22:44" x14ac:dyDescent="0.15">
      <c r="V421" s="24"/>
      <c r="W421" s="24"/>
      <c r="X421" s="24"/>
      <c r="Y421" s="24"/>
      <c r="Z421" s="24"/>
      <c r="AA421" s="24"/>
      <c r="AB421" s="24"/>
      <c r="AC421" s="24"/>
      <c r="AD421" s="24"/>
      <c r="AE421" s="24"/>
      <c r="AF421" s="24"/>
      <c r="AG421" s="24"/>
      <c r="AH421" s="24"/>
      <c r="AI421" s="24"/>
      <c r="AJ421" s="24"/>
      <c r="AK421" s="24"/>
      <c r="AL421" s="24"/>
      <c r="AM421" s="24"/>
      <c r="AN421" s="24"/>
      <c r="AO421" s="24"/>
      <c r="AP421" s="24"/>
      <c r="AQ421" s="24"/>
      <c r="AR421" s="24"/>
    </row>
    <row r="422" spans="22:44" x14ac:dyDescent="0.15">
      <c r="V422" s="24"/>
      <c r="W422" s="24"/>
      <c r="X422" s="24"/>
      <c r="Y422" s="24"/>
      <c r="Z422" s="24"/>
      <c r="AA422" s="24"/>
      <c r="AB422" s="24"/>
      <c r="AC422" s="24"/>
      <c r="AD422" s="24"/>
      <c r="AE422" s="24"/>
      <c r="AF422" s="24"/>
      <c r="AG422" s="24"/>
      <c r="AH422" s="24"/>
      <c r="AI422" s="24"/>
      <c r="AJ422" s="24"/>
      <c r="AK422" s="24"/>
      <c r="AL422" s="24"/>
      <c r="AM422" s="24"/>
      <c r="AN422" s="24"/>
      <c r="AO422" s="24"/>
      <c r="AP422" s="24"/>
      <c r="AQ422" s="24"/>
      <c r="AR422" s="24"/>
    </row>
    <row r="423" spans="22:44" x14ac:dyDescent="0.15">
      <c r="V423" s="24"/>
      <c r="W423" s="24"/>
      <c r="X423" s="24"/>
      <c r="Y423" s="24"/>
      <c r="Z423" s="24"/>
      <c r="AA423" s="24"/>
      <c r="AB423" s="24"/>
      <c r="AC423" s="24"/>
      <c r="AD423" s="24"/>
      <c r="AE423" s="24"/>
      <c r="AF423" s="24"/>
      <c r="AG423" s="24"/>
      <c r="AH423" s="24"/>
      <c r="AI423" s="24"/>
      <c r="AJ423" s="24"/>
      <c r="AK423" s="24"/>
      <c r="AL423" s="24"/>
      <c r="AM423" s="24"/>
      <c r="AN423" s="24"/>
      <c r="AO423" s="24"/>
      <c r="AP423" s="24"/>
      <c r="AQ423" s="24"/>
      <c r="AR423" s="24"/>
    </row>
    <row r="424" spans="22:44" x14ac:dyDescent="0.15">
      <c r="V424" s="24"/>
      <c r="W424" s="24"/>
      <c r="X424" s="24"/>
      <c r="Y424" s="24"/>
      <c r="Z424" s="24"/>
      <c r="AA424" s="24"/>
      <c r="AB424" s="24"/>
      <c r="AC424" s="24"/>
      <c r="AD424" s="24"/>
      <c r="AE424" s="24"/>
      <c r="AF424" s="24"/>
      <c r="AG424" s="24"/>
      <c r="AH424" s="24"/>
      <c r="AI424" s="24"/>
      <c r="AJ424" s="24"/>
      <c r="AK424" s="24"/>
      <c r="AL424" s="24"/>
      <c r="AM424" s="24"/>
      <c r="AN424" s="24"/>
      <c r="AO424" s="24"/>
      <c r="AP424" s="24"/>
      <c r="AQ424" s="24"/>
      <c r="AR424" s="24"/>
    </row>
    <row r="425" spans="22:44" x14ac:dyDescent="0.15">
      <c r="V425" s="24"/>
      <c r="W425" s="24"/>
      <c r="X425" s="24"/>
      <c r="Y425" s="24"/>
      <c r="Z425" s="24"/>
      <c r="AA425" s="24"/>
      <c r="AB425" s="24"/>
      <c r="AC425" s="24"/>
      <c r="AD425" s="24"/>
      <c r="AE425" s="24"/>
      <c r="AF425" s="24"/>
      <c r="AG425" s="24"/>
      <c r="AH425" s="24"/>
      <c r="AI425" s="24"/>
      <c r="AJ425" s="24"/>
      <c r="AK425" s="24"/>
      <c r="AL425" s="24"/>
      <c r="AM425" s="24"/>
      <c r="AN425" s="24"/>
      <c r="AO425" s="24"/>
      <c r="AP425" s="24"/>
      <c r="AQ425" s="24"/>
      <c r="AR425" s="24"/>
    </row>
    <row r="426" spans="22:44" x14ac:dyDescent="0.15">
      <c r="V426" s="24"/>
      <c r="W426" s="24"/>
      <c r="X426" s="24"/>
      <c r="Y426" s="24"/>
      <c r="Z426" s="24"/>
      <c r="AA426" s="24"/>
      <c r="AB426" s="24"/>
      <c r="AC426" s="24"/>
      <c r="AD426" s="24"/>
      <c r="AE426" s="24"/>
      <c r="AF426" s="24"/>
      <c r="AG426" s="24"/>
      <c r="AH426" s="24"/>
      <c r="AI426" s="24"/>
      <c r="AJ426" s="24"/>
      <c r="AK426" s="24"/>
      <c r="AL426" s="24"/>
      <c r="AM426" s="24"/>
      <c r="AN426" s="24"/>
      <c r="AO426" s="24"/>
      <c r="AP426" s="24"/>
      <c r="AQ426" s="24"/>
      <c r="AR426" s="24"/>
    </row>
    <row r="427" spans="22:44" x14ac:dyDescent="0.15">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row>
    <row r="428" spans="22:44" x14ac:dyDescent="0.15">
      <c r="V428" s="24"/>
      <c r="W428" s="24"/>
      <c r="X428" s="24"/>
      <c r="Y428" s="24"/>
      <c r="Z428" s="24"/>
      <c r="AA428" s="24"/>
      <c r="AB428" s="24"/>
      <c r="AC428" s="24"/>
      <c r="AD428" s="24"/>
      <c r="AE428" s="24"/>
      <c r="AF428" s="24"/>
      <c r="AG428" s="24"/>
      <c r="AH428" s="24"/>
      <c r="AI428" s="24"/>
      <c r="AJ428" s="24"/>
      <c r="AK428" s="24"/>
      <c r="AL428" s="24"/>
      <c r="AM428" s="24"/>
      <c r="AN428" s="24"/>
      <c r="AO428" s="24"/>
      <c r="AP428" s="24"/>
      <c r="AQ428" s="24"/>
      <c r="AR428" s="24"/>
    </row>
    <row r="429" spans="22:44" x14ac:dyDescent="0.15">
      <c r="V429" s="24"/>
      <c r="W429" s="24"/>
      <c r="X429" s="24"/>
      <c r="Y429" s="24"/>
      <c r="Z429" s="24"/>
      <c r="AA429" s="24"/>
      <c r="AB429" s="24"/>
      <c r="AC429" s="24"/>
      <c r="AD429" s="24"/>
      <c r="AE429" s="24"/>
      <c r="AF429" s="24"/>
      <c r="AG429" s="24"/>
      <c r="AH429" s="24"/>
      <c r="AI429" s="24"/>
      <c r="AJ429" s="24"/>
      <c r="AK429" s="24"/>
      <c r="AL429" s="24"/>
      <c r="AM429" s="24"/>
      <c r="AN429" s="24"/>
      <c r="AO429" s="24"/>
      <c r="AP429" s="24"/>
      <c r="AQ429" s="24"/>
      <c r="AR429" s="24"/>
    </row>
    <row r="430" spans="22:44" x14ac:dyDescent="0.15">
      <c r="V430" s="24"/>
      <c r="W430" s="24"/>
      <c r="X430" s="24"/>
      <c r="Y430" s="24"/>
      <c r="Z430" s="24"/>
      <c r="AA430" s="24"/>
      <c r="AB430" s="24"/>
      <c r="AC430" s="24"/>
      <c r="AD430" s="24"/>
      <c r="AE430" s="24"/>
      <c r="AF430" s="24"/>
      <c r="AG430" s="24"/>
      <c r="AH430" s="24"/>
      <c r="AI430" s="24"/>
      <c r="AJ430" s="24"/>
      <c r="AK430" s="24"/>
      <c r="AL430" s="24"/>
      <c r="AM430" s="24"/>
      <c r="AN430" s="24"/>
      <c r="AO430" s="24"/>
      <c r="AP430" s="24"/>
      <c r="AQ430" s="24"/>
      <c r="AR430" s="24"/>
    </row>
    <row r="431" spans="22:44" x14ac:dyDescent="0.15">
      <c r="V431" s="24"/>
      <c r="W431" s="24"/>
      <c r="X431" s="24"/>
      <c r="Y431" s="24"/>
      <c r="Z431" s="24"/>
      <c r="AA431" s="24"/>
      <c r="AB431" s="24"/>
      <c r="AC431" s="24"/>
      <c r="AD431" s="24"/>
      <c r="AE431" s="24"/>
      <c r="AF431" s="24"/>
      <c r="AG431" s="24"/>
      <c r="AH431" s="24"/>
      <c r="AI431" s="24"/>
      <c r="AJ431" s="24"/>
      <c r="AK431" s="24"/>
      <c r="AL431" s="24"/>
      <c r="AM431" s="24"/>
      <c r="AN431" s="24"/>
      <c r="AO431" s="24"/>
      <c r="AP431" s="24"/>
      <c r="AQ431" s="24"/>
      <c r="AR431" s="24"/>
    </row>
    <row r="432" spans="22:44" x14ac:dyDescent="0.15">
      <c r="V432" s="24"/>
      <c r="W432" s="24"/>
      <c r="X432" s="24"/>
      <c r="Y432" s="24"/>
      <c r="Z432" s="24"/>
      <c r="AA432" s="24"/>
      <c r="AB432" s="24"/>
      <c r="AC432" s="24"/>
      <c r="AD432" s="24"/>
      <c r="AE432" s="24"/>
      <c r="AF432" s="24"/>
      <c r="AG432" s="24"/>
      <c r="AH432" s="24"/>
      <c r="AI432" s="24"/>
      <c r="AJ432" s="24"/>
      <c r="AK432" s="24"/>
      <c r="AL432" s="24"/>
      <c r="AM432" s="24"/>
      <c r="AN432" s="24"/>
      <c r="AO432" s="24"/>
      <c r="AP432" s="24"/>
      <c r="AQ432" s="24"/>
      <c r="AR432" s="24"/>
    </row>
    <row r="433" spans="22:44" x14ac:dyDescent="0.15">
      <c r="V433" s="24"/>
      <c r="W433" s="24"/>
      <c r="X433" s="24"/>
      <c r="Y433" s="24"/>
      <c r="Z433" s="24"/>
      <c r="AA433" s="24"/>
      <c r="AB433" s="24"/>
      <c r="AC433" s="24"/>
      <c r="AD433" s="24"/>
      <c r="AE433" s="24"/>
      <c r="AF433" s="24"/>
      <c r="AG433" s="24"/>
      <c r="AH433" s="24"/>
      <c r="AI433" s="24"/>
      <c r="AJ433" s="24"/>
      <c r="AK433" s="24"/>
      <c r="AL433" s="24"/>
      <c r="AM433" s="24"/>
      <c r="AN433" s="24"/>
      <c r="AO433" s="24"/>
      <c r="AP433" s="24"/>
      <c r="AQ433" s="24"/>
      <c r="AR433" s="24"/>
    </row>
    <row r="434" spans="22:44" x14ac:dyDescent="0.15">
      <c r="V434" s="24"/>
      <c r="W434" s="24"/>
      <c r="X434" s="24"/>
      <c r="Y434" s="24"/>
      <c r="Z434" s="24"/>
      <c r="AA434" s="24"/>
      <c r="AB434" s="24"/>
      <c r="AC434" s="24"/>
      <c r="AD434" s="24"/>
      <c r="AE434" s="24"/>
      <c r="AF434" s="24"/>
      <c r="AG434" s="24"/>
      <c r="AH434" s="24"/>
      <c r="AI434" s="24"/>
      <c r="AJ434" s="24"/>
      <c r="AK434" s="24"/>
      <c r="AL434" s="24"/>
      <c r="AM434" s="24"/>
      <c r="AN434" s="24"/>
      <c r="AO434" s="24"/>
      <c r="AP434" s="24"/>
      <c r="AQ434" s="24"/>
      <c r="AR434" s="24"/>
    </row>
    <row r="435" spans="22:44" x14ac:dyDescent="0.15">
      <c r="V435" s="24"/>
      <c r="W435" s="24"/>
      <c r="X435" s="24"/>
      <c r="Y435" s="24"/>
      <c r="Z435" s="24"/>
      <c r="AA435" s="24"/>
      <c r="AB435" s="24"/>
      <c r="AC435" s="24"/>
      <c r="AD435" s="24"/>
      <c r="AE435" s="24"/>
      <c r="AF435" s="24"/>
      <c r="AG435" s="24"/>
      <c r="AH435" s="24"/>
      <c r="AI435" s="24"/>
      <c r="AJ435" s="24"/>
      <c r="AK435" s="24"/>
      <c r="AL435" s="24"/>
      <c r="AM435" s="24"/>
      <c r="AN435" s="24"/>
      <c r="AO435" s="24"/>
      <c r="AP435" s="24"/>
      <c r="AQ435" s="24"/>
      <c r="AR435" s="24"/>
    </row>
    <row r="436" spans="22:44" x14ac:dyDescent="0.15">
      <c r="V436" s="24"/>
      <c r="W436" s="24"/>
      <c r="X436" s="24"/>
      <c r="Y436" s="24"/>
      <c r="Z436" s="24"/>
      <c r="AA436" s="24"/>
      <c r="AB436" s="24"/>
      <c r="AC436" s="24"/>
      <c r="AD436" s="24"/>
      <c r="AE436" s="24"/>
      <c r="AF436" s="24"/>
      <c r="AG436" s="24"/>
      <c r="AH436" s="24"/>
      <c r="AI436" s="24"/>
      <c r="AJ436" s="24"/>
      <c r="AK436" s="24"/>
      <c r="AL436" s="24"/>
      <c r="AM436" s="24"/>
      <c r="AN436" s="24"/>
      <c r="AO436" s="24"/>
      <c r="AP436" s="24"/>
      <c r="AQ436" s="24"/>
      <c r="AR436" s="24"/>
    </row>
    <row r="437" spans="22:44" x14ac:dyDescent="0.15">
      <c r="V437" s="24"/>
      <c r="W437" s="24"/>
      <c r="X437" s="24"/>
      <c r="Y437" s="24"/>
      <c r="Z437" s="24"/>
      <c r="AA437" s="24"/>
      <c r="AB437" s="24"/>
      <c r="AC437" s="24"/>
      <c r="AD437" s="24"/>
      <c r="AE437" s="24"/>
      <c r="AF437" s="24"/>
      <c r="AG437" s="24"/>
      <c r="AH437" s="24"/>
      <c r="AI437" s="24"/>
      <c r="AJ437" s="24"/>
      <c r="AK437" s="24"/>
      <c r="AL437" s="24"/>
      <c r="AM437" s="24"/>
      <c r="AN437" s="24"/>
      <c r="AO437" s="24"/>
      <c r="AP437" s="24"/>
      <c r="AQ437" s="24"/>
      <c r="AR437" s="24"/>
    </row>
    <row r="438" spans="22:44" x14ac:dyDescent="0.15">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row>
    <row r="439" spans="22:44" x14ac:dyDescent="0.15">
      <c r="V439" s="24"/>
      <c r="W439" s="24"/>
      <c r="X439" s="24"/>
      <c r="Y439" s="24"/>
      <c r="Z439" s="24"/>
      <c r="AA439" s="24"/>
      <c r="AB439" s="24"/>
      <c r="AC439" s="24"/>
      <c r="AD439" s="24"/>
      <c r="AE439" s="24"/>
      <c r="AF439" s="24"/>
      <c r="AG439" s="24"/>
      <c r="AH439" s="24"/>
      <c r="AI439" s="24"/>
      <c r="AJ439" s="24"/>
      <c r="AK439" s="24"/>
      <c r="AL439" s="24"/>
      <c r="AM439" s="24"/>
      <c r="AN439" s="24"/>
      <c r="AO439" s="24"/>
      <c r="AP439" s="24"/>
      <c r="AQ439" s="24"/>
      <c r="AR439" s="24"/>
    </row>
    <row r="440" spans="22:44" x14ac:dyDescent="0.15">
      <c r="V440" s="24"/>
      <c r="W440" s="24"/>
      <c r="X440" s="24"/>
      <c r="Y440" s="24"/>
      <c r="Z440" s="24"/>
      <c r="AA440" s="24"/>
      <c r="AB440" s="24"/>
      <c r="AC440" s="24"/>
      <c r="AD440" s="24"/>
      <c r="AE440" s="24"/>
      <c r="AF440" s="24"/>
      <c r="AG440" s="24"/>
      <c r="AH440" s="24"/>
      <c r="AI440" s="24"/>
      <c r="AJ440" s="24"/>
      <c r="AK440" s="24"/>
      <c r="AL440" s="24"/>
      <c r="AM440" s="24"/>
      <c r="AN440" s="24"/>
      <c r="AO440" s="24"/>
      <c r="AP440" s="24"/>
      <c r="AQ440" s="24"/>
      <c r="AR440" s="24"/>
    </row>
    <row r="441" spans="22:44" x14ac:dyDescent="0.15">
      <c r="V441" s="24"/>
      <c r="W441" s="24"/>
      <c r="X441" s="24"/>
      <c r="Y441" s="24"/>
      <c r="Z441" s="24"/>
      <c r="AA441" s="24"/>
      <c r="AB441" s="24"/>
      <c r="AC441" s="24"/>
      <c r="AD441" s="24"/>
      <c r="AE441" s="24"/>
      <c r="AF441" s="24"/>
      <c r="AG441" s="24"/>
      <c r="AH441" s="24"/>
      <c r="AI441" s="24"/>
      <c r="AJ441" s="24"/>
      <c r="AK441" s="24"/>
      <c r="AL441" s="24"/>
      <c r="AM441" s="24"/>
      <c r="AN441" s="24"/>
      <c r="AO441" s="24"/>
      <c r="AP441" s="24"/>
      <c r="AQ441" s="24"/>
      <c r="AR441" s="24"/>
    </row>
    <row r="442" spans="22:44" x14ac:dyDescent="0.15">
      <c r="V442" s="24"/>
      <c r="W442" s="24"/>
      <c r="X442" s="24"/>
      <c r="Y442" s="24"/>
      <c r="Z442" s="24"/>
      <c r="AA442" s="24"/>
      <c r="AB442" s="24"/>
      <c r="AC442" s="24"/>
      <c r="AD442" s="24"/>
      <c r="AE442" s="24"/>
      <c r="AF442" s="24"/>
      <c r="AG442" s="24"/>
      <c r="AH442" s="24"/>
      <c r="AI442" s="24"/>
      <c r="AJ442" s="24"/>
      <c r="AK442" s="24"/>
      <c r="AL442" s="24"/>
      <c r="AM442" s="24"/>
      <c r="AN442" s="24"/>
      <c r="AO442" s="24"/>
      <c r="AP442" s="24"/>
      <c r="AQ442" s="24"/>
      <c r="AR442" s="24"/>
    </row>
    <row r="443" spans="22:44" x14ac:dyDescent="0.15">
      <c r="V443" s="24"/>
      <c r="W443" s="24"/>
      <c r="X443" s="24"/>
      <c r="Y443" s="24"/>
      <c r="Z443" s="24"/>
      <c r="AA443" s="24"/>
      <c r="AB443" s="24"/>
      <c r="AC443" s="24"/>
      <c r="AD443" s="24"/>
      <c r="AE443" s="24"/>
      <c r="AF443" s="24"/>
      <c r="AG443" s="24"/>
      <c r="AH443" s="24"/>
      <c r="AI443" s="24"/>
      <c r="AJ443" s="24"/>
      <c r="AK443" s="24"/>
      <c r="AL443" s="24"/>
      <c r="AM443" s="24"/>
      <c r="AN443" s="24"/>
      <c r="AO443" s="24"/>
      <c r="AP443" s="24"/>
      <c r="AQ443" s="24"/>
      <c r="AR443" s="24"/>
    </row>
    <row r="444" spans="22:44" x14ac:dyDescent="0.15">
      <c r="V444" s="24"/>
      <c r="W444" s="24"/>
      <c r="X444" s="24"/>
      <c r="Y444" s="24"/>
      <c r="Z444" s="24"/>
      <c r="AA444" s="24"/>
      <c r="AB444" s="24"/>
      <c r="AC444" s="24"/>
      <c r="AD444" s="24"/>
      <c r="AE444" s="24"/>
      <c r="AF444" s="24"/>
      <c r="AG444" s="24"/>
      <c r="AH444" s="24"/>
      <c r="AI444" s="24"/>
      <c r="AJ444" s="24"/>
      <c r="AK444" s="24"/>
      <c r="AL444" s="24"/>
      <c r="AM444" s="24"/>
      <c r="AN444" s="24"/>
      <c r="AO444" s="24"/>
      <c r="AP444" s="24"/>
      <c r="AQ444" s="24"/>
      <c r="AR444" s="24"/>
    </row>
    <row r="445" spans="22:44" x14ac:dyDescent="0.15">
      <c r="V445" s="24"/>
      <c r="W445" s="24"/>
      <c r="X445" s="24"/>
      <c r="Y445" s="24"/>
      <c r="Z445" s="24"/>
      <c r="AA445" s="24"/>
      <c r="AB445" s="24"/>
      <c r="AC445" s="24"/>
      <c r="AD445" s="24"/>
      <c r="AE445" s="24"/>
      <c r="AF445" s="24"/>
      <c r="AG445" s="24"/>
      <c r="AH445" s="24"/>
      <c r="AI445" s="24"/>
      <c r="AJ445" s="24"/>
      <c r="AK445" s="24"/>
      <c r="AL445" s="24"/>
      <c r="AM445" s="24"/>
      <c r="AN445" s="24"/>
      <c r="AO445" s="24"/>
      <c r="AP445" s="24"/>
      <c r="AQ445" s="24"/>
      <c r="AR445" s="24"/>
    </row>
    <row r="446" spans="22:44" x14ac:dyDescent="0.15">
      <c r="V446" s="24"/>
      <c r="W446" s="24"/>
      <c r="X446" s="24"/>
      <c r="Y446" s="24"/>
      <c r="Z446" s="24"/>
      <c r="AA446" s="24"/>
      <c r="AB446" s="24"/>
      <c r="AC446" s="24"/>
      <c r="AD446" s="24"/>
      <c r="AE446" s="24"/>
      <c r="AF446" s="24"/>
      <c r="AG446" s="24"/>
      <c r="AH446" s="24"/>
      <c r="AI446" s="24"/>
      <c r="AJ446" s="24"/>
      <c r="AK446" s="24"/>
      <c r="AL446" s="24"/>
      <c r="AM446" s="24"/>
      <c r="AN446" s="24"/>
      <c r="AO446" s="24"/>
      <c r="AP446" s="24"/>
      <c r="AQ446" s="24"/>
      <c r="AR446" s="24"/>
    </row>
    <row r="447" spans="22:44" x14ac:dyDescent="0.15">
      <c r="V447" s="24"/>
      <c r="W447" s="24"/>
      <c r="X447" s="24"/>
      <c r="Y447" s="24"/>
      <c r="Z447" s="24"/>
      <c r="AA447" s="24"/>
      <c r="AB447" s="24"/>
      <c r="AC447" s="24"/>
      <c r="AD447" s="24"/>
      <c r="AE447" s="24"/>
      <c r="AF447" s="24"/>
      <c r="AG447" s="24"/>
      <c r="AH447" s="24"/>
      <c r="AI447" s="24"/>
      <c r="AJ447" s="24"/>
      <c r="AK447" s="24"/>
      <c r="AL447" s="24"/>
      <c r="AM447" s="24"/>
      <c r="AN447" s="24"/>
      <c r="AO447" s="24"/>
      <c r="AP447" s="24"/>
      <c r="AQ447" s="24"/>
      <c r="AR447" s="24"/>
    </row>
    <row r="448" spans="22:44" x14ac:dyDescent="0.15">
      <c r="V448" s="24"/>
      <c r="W448" s="24"/>
      <c r="X448" s="24"/>
      <c r="Y448" s="24"/>
      <c r="Z448" s="24"/>
      <c r="AA448" s="24"/>
      <c r="AB448" s="24"/>
      <c r="AC448" s="24"/>
      <c r="AD448" s="24"/>
      <c r="AE448" s="24"/>
      <c r="AF448" s="24"/>
      <c r="AG448" s="24"/>
      <c r="AH448" s="24"/>
      <c r="AI448" s="24"/>
      <c r="AJ448" s="24"/>
      <c r="AK448" s="24"/>
      <c r="AL448" s="24"/>
      <c r="AM448" s="24"/>
      <c r="AN448" s="24"/>
      <c r="AO448" s="24"/>
      <c r="AP448" s="24"/>
      <c r="AQ448" s="24"/>
      <c r="AR448" s="24"/>
    </row>
    <row r="449" spans="22:44" x14ac:dyDescent="0.15">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row>
    <row r="450" spans="22:44" x14ac:dyDescent="0.15">
      <c r="V450" s="24"/>
      <c r="W450" s="24"/>
      <c r="X450" s="24"/>
      <c r="Y450" s="24"/>
      <c r="Z450" s="24"/>
      <c r="AA450" s="24"/>
      <c r="AB450" s="24"/>
      <c r="AC450" s="24"/>
      <c r="AD450" s="24"/>
      <c r="AE450" s="24"/>
      <c r="AF450" s="24"/>
      <c r="AG450" s="24"/>
      <c r="AH450" s="24"/>
      <c r="AI450" s="24"/>
      <c r="AJ450" s="24"/>
      <c r="AK450" s="24"/>
      <c r="AL450" s="24"/>
      <c r="AM450" s="24"/>
      <c r="AN450" s="24"/>
      <c r="AO450" s="24"/>
      <c r="AP450" s="24"/>
      <c r="AQ450" s="24"/>
      <c r="AR450" s="24"/>
    </row>
    <row r="451" spans="22:44" x14ac:dyDescent="0.15">
      <c r="V451" s="24"/>
      <c r="W451" s="24"/>
      <c r="X451" s="24"/>
      <c r="Y451" s="24"/>
      <c r="Z451" s="24"/>
      <c r="AA451" s="24"/>
      <c r="AB451" s="24"/>
      <c r="AC451" s="24"/>
      <c r="AD451" s="24"/>
      <c r="AE451" s="24"/>
      <c r="AF451" s="24"/>
      <c r="AG451" s="24"/>
      <c r="AH451" s="24"/>
      <c r="AI451" s="24"/>
      <c r="AJ451" s="24"/>
      <c r="AK451" s="24"/>
      <c r="AL451" s="24"/>
      <c r="AM451" s="24"/>
      <c r="AN451" s="24"/>
      <c r="AO451" s="24"/>
      <c r="AP451" s="24"/>
      <c r="AQ451" s="24"/>
      <c r="AR451" s="24"/>
    </row>
    <row r="452" spans="22:44" x14ac:dyDescent="0.15">
      <c r="V452" s="24"/>
      <c r="W452" s="24"/>
      <c r="X452" s="24"/>
      <c r="Y452" s="24"/>
      <c r="Z452" s="24"/>
      <c r="AA452" s="24"/>
      <c r="AB452" s="24"/>
      <c r="AC452" s="24"/>
      <c r="AD452" s="24"/>
      <c r="AE452" s="24"/>
      <c r="AF452" s="24"/>
      <c r="AG452" s="24"/>
      <c r="AH452" s="24"/>
      <c r="AI452" s="24"/>
      <c r="AJ452" s="24"/>
      <c r="AK452" s="24"/>
      <c r="AL452" s="24"/>
      <c r="AM452" s="24"/>
      <c r="AN452" s="24"/>
      <c r="AO452" s="24"/>
      <c r="AP452" s="24"/>
      <c r="AQ452" s="24"/>
      <c r="AR452" s="24"/>
    </row>
    <row r="453" spans="22:44" x14ac:dyDescent="0.15">
      <c r="V453" s="24"/>
      <c r="W453" s="24"/>
      <c r="X453" s="24"/>
      <c r="Y453" s="24"/>
      <c r="Z453" s="24"/>
      <c r="AA453" s="24"/>
      <c r="AB453" s="24"/>
      <c r="AC453" s="24"/>
      <c r="AD453" s="24"/>
      <c r="AE453" s="24"/>
      <c r="AF453" s="24"/>
      <c r="AG453" s="24"/>
      <c r="AH453" s="24"/>
      <c r="AI453" s="24"/>
      <c r="AJ453" s="24"/>
      <c r="AK453" s="24"/>
      <c r="AL453" s="24"/>
      <c r="AM453" s="24"/>
      <c r="AN453" s="24"/>
      <c r="AO453" s="24"/>
      <c r="AP453" s="24"/>
      <c r="AQ453" s="24"/>
      <c r="AR453" s="24"/>
    </row>
    <row r="454" spans="22:44" x14ac:dyDescent="0.15">
      <c r="V454" s="24"/>
      <c r="W454" s="24"/>
      <c r="X454" s="24"/>
      <c r="Y454" s="24"/>
      <c r="Z454" s="24"/>
      <c r="AA454" s="24"/>
      <c r="AB454" s="24"/>
      <c r="AC454" s="24"/>
      <c r="AD454" s="24"/>
      <c r="AE454" s="24"/>
      <c r="AF454" s="24"/>
      <c r="AG454" s="24"/>
      <c r="AH454" s="24"/>
      <c r="AI454" s="24"/>
      <c r="AJ454" s="24"/>
      <c r="AK454" s="24"/>
      <c r="AL454" s="24"/>
      <c r="AM454" s="24"/>
      <c r="AN454" s="24"/>
      <c r="AO454" s="24"/>
      <c r="AP454" s="24"/>
      <c r="AQ454" s="24"/>
      <c r="AR454" s="24"/>
    </row>
    <row r="455" spans="22:44" x14ac:dyDescent="0.15">
      <c r="V455" s="24"/>
      <c r="W455" s="24"/>
      <c r="X455" s="24"/>
      <c r="Y455" s="24"/>
      <c r="Z455" s="24"/>
      <c r="AA455" s="24"/>
      <c r="AB455" s="24"/>
      <c r="AC455" s="24"/>
      <c r="AD455" s="24"/>
      <c r="AE455" s="24"/>
      <c r="AF455" s="24"/>
      <c r="AG455" s="24"/>
      <c r="AH455" s="24"/>
      <c r="AI455" s="24"/>
      <c r="AJ455" s="24"/>
      <c r="AK455" s="24"/>
      <c r="AL455" s="24"/>
      <c r="AM455" s="24"/>
      <c r="AN455" s="24"/>
      <c r="AO455" s="24"/>
      <c r="AP455" s="24"/>
      <c r="AQ455" s="24"/>
      <c r="AR455" s="24"/>
    </row>
    <row r="456" spans="22:44" x14ac:dyDescent="0.15">
      <c r="V456" s="24"/>
      <c r="W456" s="24"/>
      <c r="X456" s="24"/>
      <c r="Y456" s="24"/>
      <c r="Z456" s="24"/>
      <c r="AA456" s="24"/>
      <c r="AB456" s="24"/>
      <c r="AC456" s="24"/>
      <c r="AD456" s="24"/>
      <c r="AE456" s="24"/>
      <c r="AF456" s="24"/>
      <c r="AG456" s="24"/>
      <c r="AH456" s="24"/>
      <c r="AI456" s="24"/>
      <c r="AJ456" s="24"/>
      <c r="AK456" s="24"/>
      <c r="AL456" s="24"/>
      <c r="AM456" s="24"/>
      <c r="AN456" s="24"/>
      <c r="AO456" s="24"/>
      <c r="AP456" s="24"/>
      <c r="AQ456" s="24"/>
      <c r="AR456" s="24"/>
    </row>
    <row r="457" spans="22:44" x14ac:dyDescent="0.15">
      <c r="V457" s="24"/>
      <c r="W457" s="24"/>
      <c r="X457" s="24"/>
      <c r="Y457" s="24"/>
      <c r="Z457" s="24"/>
      <c r="AA457" s="24"/>
      <c r="AB457" s="24"/>
      <c r="AC457" s="24"/>
      <c r="AD457" s="24"/>
      <c r="AE457" s="24"/>
      <c r="AF457" s="24"/>
      <c r="AG457" s="24"/>
      <c r="AH457" s="24"/>
      <c r="AI457" s="24"/>
      <c r="AJ457" s="24"/>
      <c r="AK457" s="24"/>
      <c r="AL457" s="24"/>
      <c r="AM457" s="24"/>
      <c r="AN457" s="24"/>
      <c r="AO457" s="24"/>
      <c r="AP457" s="24"/>
      <c r="AQ457" s="24"/>
      <c r="AR457" s="24"/>
    </row>
    <row r="458" spans="22:44" x14ac:dyDescent="0.15">
      <c r="V458" s="24"/>
      <c r="W458" s="24"/>
      <c r="X458" s="24"/>
      <c r="Y458" s="24"/>
      <c r="Z458" s="24"/>
      <c r="AA458" s="24"/>
      <c r="AB458" s="24"/>
      <c r="AC458" s="24"/>
      <c r="AD458" s="24"/>
      <c r="AE458" s="24"/>
      <c r="AF458" s="24"/>
      <c r="AG458" s="24"/>
      <c r="AH458" s="24"/>
      <c r="AI458" s="24"/>
      <c r="AJ458" s="24"/>
      <c r="AK458" s="24"/>
      <c r="AL458" s="24"/>
      <c r="AM458" s="24"/>
      <c r="AN458" s="24"/>
      <c r="AO458" s="24"/>
      <c r="AP458" s="24"/>
      <c r="AQ458" s="24"/>
      <c r="AR458" s="24"/>
    </row>
    <row r="459" spans="22:44" x14ac:dyDescent="0.15">
      <c r="V459" s="24"/>
      <c r="W459" s="24"/>
      <c r="X459" s="24"/>
      <c r="Y459" s="24"/>
      <c r="Z459" s="24"/>
      <c r="AA459" s="24"/>
      <c r="AB459" s="24"/>
      <c r="AC459" s="24"/>
      <c r="AD459" s="24"/>
      <c r="AE459" s="24"/>
      <c r="AF459" s="24"/>
      <c r="AG459" s="24"/>
      <c r="AH459" s="24"/>
      <c r="AI459" s="24"/>
      <c r="AJ459" s="24"/>
      <c r="AK459" s="24"/>
      <c r="AL459" s="24"/>
      <c r="AM459" s="24"/>
      <c r="AN459" s="24"/>
      <c r="AO459" s="24"/>
      <c r="AP459" s="24"/>
      <c r="AQ459" s="24"/>
      <c r="AR459" s="24"/>
    </row>
    <row r="460" spans="22:44" x14ac:dyDescent="0.15">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row>
    <row r="461" spans="22:44" x14ac:dyDescent="0.15">
      <c r="V461" s="24"/>
      <c r="W461" s="24"/>
      <c r="X461" s="24"/>
      <c r="Y461" s="24"/>
      <c r="Z461" s="24"/>
      <c r="AA461" s="24"/>
      <c r="AB461" s="24"/>
      <c r="AC461" s="24"/>
      <c r="AD461" s="24"/>
      <c r="AE461" s="24"/>
      <c r="AF461" s="24"/>
      <c r="AG461" s="24"/>
      <c r="AH461" s="24"/>
      <c r="AI461" s="24"/>
      <c r="AJ461" s="24"/>
      <c r="AK461" s="24"/>
      <c r="AL461" s="24"/>
      <c r="AM461" s="24"/>
      <c r="AN461" s="24"/>
      <c r="AO461" s="24"/>
      <c r="AP461" s="24"/>
      <c r="AQ461" s="24"/>
      <c r="AR461" s="24"/>
    </row>
    <row r="462" spans="22:44" x14ac:dyDescent="0.15">
      <c r="V462" s="24"/>
      <c r="W462" s="24"/>
      <c r="X462" s="24"/>
      <c r="Y462" s="24"/>
      <c r="Z462" s="24"/>
      <c r="AA462" s="24"/>
      <c r="AB462" s="24"/>
      <c r="AC462" s="24"/>
      <c r="AD462" s="24"/>
      <c r="AE462" s="24"/>
      <c r="AF462" s="24"/>
      <c r="AG462" s="24"/>
      <c r="AH462" s="24"/>
      <c r="AI462" s="24"/>
      <c r="AJ462" s="24"/>
      <c r="AK462" s="24"/>
      <c r="AL462" s="24"/>
      <c r="AM462" s="24"/>
      <c r="AN462" s="24"/>
      <c r="AO462" s="24"/>
      <c r="AP462" s="24"/>
      <c r="AQ462" s="24"/>
      <c r="AR462" s="24"/>
    </row>
    <row r="463" spans="22:44" x14ac:dyDescent="0.15">
      <c r="V463" s="24"/>
      <c r="W463" s="24"/>
      <c r="X463" s="24"/>
      <c r="Y463" s="24"/>
      <c r="Z463" s="24"/>
      <c r="AA463" s="24"/>
      <c r="AB463" s="24"/>
      <c r="AC463" s="24"/>
      <c r="AD463" s="24"/>
      <c r="AE463" s="24"/>
      <c r="AF463" s="24"/>
      <c r="AG463" s="24"/>
      <c r="AH463" s="24"/>
      <c r="AI463" s="24"/>
      <c r="AJ463" s="24"/>
      <c r="AK463" s="24"/>
      <c r="AL463" s="24"/>
      <c r="AM463" s="24"/>
      <c r="AN463" s="24"/>
      <c r="AO463" s="24"/>
      <c r="AP463" s="24"/>
      <c r="AQ463" s="24"/>
      <c r="AR463" s="24"/>
    </row>
    <row r="464" spans="22:44" x14ac:dyDescent="0.15">
      <c r="V464" s="24"/>
      <c r="W464" s="24"/>
      <c r="X464" s="24"/>
      <c r="Y464" s="24"/>
      <c r="Z464" s="24"/>
      <c r="AA464" s="24"/>
      <c r="AB464" s="24"/>
      <c r="AC464" s="24"/>
      <c r="AD464" s="24"/>
      <c r="AE464" s="24"/>
      <c r="AF464" s="24"/>
      <c r="AG464" s="24"/>
      <c r="AH464" s="24"/>
      <c r="AI464" s="24"/>
      <c r="AJ464" s="24"/>
      <c r="AK464" s="24"/>
      <c r="AL464" s="24"/>
      <c r="AM464" s="24"/>
      <c r="AN464" s="24"/>
      <c r="AO464" s="24"/>
      <c r="AP464" s="24"/>
      <c r="AQ464" s="24"/>
      <c r="AR464" s="24"/>
    </row>
    <row r="465" spans="22:44" x14ac:dyDescent="0.15">
      <c r="V465" s="24"/>
      <c r="W465" s="24"/>
      <c r="X465" s="24"/>
      <c r="Y465" s="24"/>
      <c r="Z465" s="24"/>
      <c r="AA465" s="24"/>
      <c r="AB465" s="24"/>
      <c r="AC465" s="24"/>
      <c r="AD465" s="24"/>
      <c r="AE465" s="24"/>
      <c r="AF465" s="24"/>
      <c r="AG465" s="24"/>
      <c r="AH465" s="24"/>
      <c r="AI465" s="24"/>
      <c r="AJ465" s="24"/>
      <c r="AK465" s="24"/>
      <c r="AL465" s="24"/>
      <c r="AM465" s="24"/>
      <c r="AN465" s="24"/>
      <c r="AO465" s="24"/>
      <c r="AP465" s="24"/>
      <c r="AQ465" s="24"/>
      <c r="AR465" s="24"/>
    </row>
    <row r="466" spans="22:44" x14ac:dyDescent="0.15">
      <c r="V466" s="24"/>
      <c r="W466" s="24"/>
      <c r="X466" s="24"/>
      <c r="Y466" s="24"/>
      <c r="Z466" s="24"/>
      <c r="AA466" s="24"/>
      <c r="AB466" s="24"/>
      <c r="AC466" s="24"/>
      <c r="AD466" s="24"/>
      <c r="AE466" s="24"/>
      <c r="AF466" s="24"/>
      <c r="AG466" s="24"/>
      <c r="AH466" s="24"/>
      <c r="AI466" s="24"/>
      <c r="AJ466" s="24"/>
      <c r="AK466" s="24"/>
      <c r="AL466" s="24"/>
      <c r="AM466" s="24"/>
      <c r="AN466" s="24"/>
      <c r="AO466" s="24"/>
      <c r="AP466" s="24"/>
      <c r="AQ466" s="24"/>
      <c r="AR466" s="24"/>
    </row>
    <row r="467" spans="22:44" x14ac:dyDescent="0.15">
      <c r="V467" s="24"/>
      <c r="W467" s="24"/>
      <c r="X467" s="24"/>
      <c r="Y467" s="24"/>
      <c r="Z467" s="24"/>
      <c r="AA467" s="24"/>
      <c r="AB467" s="24"/>
      <c r="AC467" s="24"/>
      <c r="AD467" s="24"/>
      <c r="AE467" s="24"/>
      <c r="AF467" s="24"/>
      <c r="AG467" s="24"/>
      <c r="AH467" s="24"/>
      <c r="AI467" s="24"/>
      <c r="AJ467" s="24"/>
      <c r="AK467" s="24"/>
      <c r="AL467" s="24"/>
      <c r="AM467" s="24"/>
      <c r="AN467" s="24"/>
      <c r="AO467" s="24"/>
      <c r="AP467" s="24"/>
      <c r="AQ467" s="24"/>
      <c r="AR467" s="24"/>
    </row>
    <row r="468" spans="22:44" x14ac:dyDescent="0.15">
      <c r="V468" s="24"/>
      <c r="W468" s="24"/>
      <c r="X468" s="24"/>
      <c r="Y468" s="24"/>
      <c r="Z468" s="24"/>
      <c r="AA468" s="24"/>
      <c r="AB468" s="24"/>
      <c r="AC468" s="24"/>
      <c r="AD468" s="24"/>
      <c r="AE468" s="24"/>
      <c r="AF468" s="24"/>
      <c r="AG468" s="24"/>
      <c r="AH468" s="24"/>
      <c r="AI468" s="24"/>
      <c r="AJ468" s="24"/>
      <c r="AK468" s="24"/>
      <c r="AL468" s="24"/>
      <c r="AM468" s="24"/>
      <c r="AN468" s="24"/>
      <c r="AO468" s="24"/>
      <c r="AP468" s="24"/>
      <c r="AQ468" s="24"/>
      <c r="AR468" s="24"/>
    </row>
    <row r="469" spans="22:44" x14ac:dyDescent="0.15">
      <c r="V469" s="24"/>
      <c r="W469" s="24"/>
      <c r="X469" s="24"/>
      <c r="Y469" s="24"/>
      <c r="Z469" s="24"/>
      <c r="AA469" s="24"/>
      <c r="AB469" s="24"/>
      <c r="AC469" s="24"/>
      <c r="AD469" s="24"/>
      <c r="AE469" s="24"/>
      <c r="AF469" s="24"/>
      <c r="AG469" s="24"/>
      <c r="AH469" s="24"/>
      <c r="AI469" s="24"/>
      <c r="AJ469" s="24"/>
      <c r="AK469" s="24"/>
      <c r="AL469" s="24"/>
      <c r="AM469" s="24"/>
      <c r="AN469" s="24"/>
      <c r="AO469" s="24"/>
      <c r="AP469" s="24"/>
      <c r="AQ469" s="24"/>
      <c r="AR469" s="24"/>
    </row>
    <row r="470" spans="22:44" x14ac:dyDescent="0.15">
      <c r="V470" s="24"/>
      <c r="W470" s="24"/>
      <c r="X470" s="24"/>
      <c r="Y470" s="24"/>
      <c r="Z470" s="24"/>
      <c r="AA470" s="24"/>
      <c r="AB470" s="24"/>
      <c r="AC470" s="24"/>
      <c r="AD470" s="24"/>
      <c r="AE470" s="24"/>
      <c r="AF470" s="24"/>
      <c r="AG470" s="24"/>
      <c r="AH470" s="24"/>
      <c r="AI470" s="24"/>
      <c r="AJ470" s="24"/>
      <c r="AK470" s="24"/>
      <c r="AL470" s="24"/>
      <c r="AM470" s="24"/>
      <c r="AN470" s="24"/>
      <c r="AO470" s="24"/>
      <c r="AP470" s="24"/>
      <c r="AQ470" s="24"/>
      <c r="AR470" s="24"/>
    </row>
    <row r="471" spans="22:44" x14ac:dyDescent="0.15">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row>
    <row r="472" spans="22:44" x14ac:dyDescent="0.15">
      <c r="V472" s="24"/>
      <c r="W472" s="24"/>
      <c r="X472" s="24"/>
      <c r="Y472" s="24"/>
      <c r="Z472" s="24"/>
      <c r="AA472" s="24"/>
      <c r="AB472" s="24"/>
      <c r="AC472" s="24"/>
      <c r="AD472" s="24"/>
      <c r="AE472" s="24"/>
      <c r="AF472" s="24"/>
      <c r="AG472" s="24"/>
      <c r="AH472" s="24"/>
      <c r="AI472" s="24"/>
      <c r="AJ472" s="24"/>
      <c r="AK472" s="24"/>
      <c r="AL472" s="24"/>
      <c r="AM472" s="24"/>
      <c r="AN472" s="24"/>
      <c r="AO472" s="24"/>
      <c r="AP472" s="24"/>
      <c r="AQ472" s="24"/>
      <c r="AR472" s="24"/>
    </row>
    <row r="473" spans="22:44" x14ac:dyDescent="0.15">
      <c r="V473" s="24"/>
      <c r="W473" s="24"/>
      <c r="X473" s="24"/>
      <c r="Y473" s="24"/>
      <c r="Z473" s="24"/>
      <c r="AA473" s="24"/>
      <c r="AB473" s="24"/>
      <c r="AC473" s="24"/>
      <c r="AD473" s="24"/>
      <c r="AE473" s="24"/>
      <c r="AF473" s="24"/>
      <c r="AG473" s="24"/>
      <c r="AH473" s="24"/>
      <c r="AI473" s="24"/>
      <c r="AJ473" s="24"/>
      <c r="AK473" s="24"/>
      <c r="AL473" s="24"/>
      <c r="AM473" s="24"/>
      <c r="AN473" s="24"/>
      <c r="AO473" s="24"/>
      <c r="AP473" s="24"/>
      <c r="AQ473" s="24"/>
      <c r="AR473" s="24"/>
    </row>
    <row r="474" spans="22:44" x14ac:dyDescent="0.15">
      <c r="V474" s="24"/>
      <c r="W474" s="24"/>
      <c r="X474" s="24"/>
      <c r="Y474" s="24"/>
      <c r="Z474" s="24"/>
      <c r="AA474" s="24"/>
      <c r="AB474" s="24"/>
      <c r="AC474" s="24"/>
      <c r="AD474" s="24"/>
      <c r="AE474" s="24"/>
      <c r="AF474" s="24"/>
      <c r="AG474" s="24"/>
      <c r="AH474" s="24"/>
      <c r="AI474" s="24"/>
      <c r="AJ474" s="24"/>
      <c r="AK474" s="24"/>
      <c r="AL474" s="24"/>
      <c r="AM474" s="24"/>
      <c r="AN474" s="24"/>
      <c r="AO474" s="24"/>
      <c r="AP474" s="24"/>
      <c r="AQ474" s="24"/>
      <c r="AR474" s="24"/>
    </row>
    <row r="475" spans="22:44" x14ac:dyDescent="0.15">
      <c r="V475" s="24"/>
      <c r="W475" s="24"/>
      <c r="X475" s="24"/>
      <c r="Y475" s="24"/>
      <c r="Z475" s="24"/>
      <c r="AA475" s="24"/>
      <c r="AB475" s="24"/>
      <c r="AC475" s="24"/>
      <c r="AD475" s="24"/>
      <c r="AE475" s="24"/>
      <c r="AF475" s="24"/>
      <c r="AG475" s="24"/>
      <c r="AH475" s="24"/>
      <c r="AI475" s="24"/>
      <c r="AJ475" s="24"/>
      <c r="AK475" s="24"/>
      <c r="AL475" s="24"/>
      <c r="AM475" s="24"/>
      <c r="AN475" s="24"/>
      <c r="AO475" s="24"/>
      <c r="AP475" s="24"/>
      <c r="AQ475" s="24"/>
      <c r="AR475" s="24"/>
    </row>
    <row r="476" spans="22:44" x14ac:dyDescent="0.15">
      <c r="V476" s="24"/>
      <c r="W476" s="24"/>
      <c r="X476" s="24"/>
      <c r="Y476" s="24"/>
      <c r="Z476" s="24"/>
      <c r="AA476" s="24"/>
      <c r="AB476" s="24"/>
      <c r="AC476" s="24"/>
      <c r="AD476" s="24"/>
      <c r="AE476" s="24"/>
      <c r="AF476" s="24"/>
      <c r="AG476" s="24"/>
      <c r="AH476" s="24"/>
      <c r="AI476" s="24"/>
      <c r="AJ476" s="24"/>
      <c r="AK476" s="24"/>
      <c r="AL476" s="24"/>
      <c r="AM476" s="24"/>
      <c r="AN476" s="24"/>
      <c r="AO476" s="24"/>
      <c r="AP476" s="24"/>
      <c r="AQ476" s="24"/>
      <c r="AR476" s="24"/>
    </row>
    <row r="477" spans="22:44" x14ac:dyDescent="0.15">
      <c r="V477" s="24"/>
      <c r="W477" s="24"/>
      <c r="X477" s="24"/>
      <c r="Y477" s="24"/>
      <c r="Z477" s="24"/>
      <c r="AA477" s="24"/>
      <c r="AB477" s="24"/>
      <c r="AC477" s="24"/>
      <c r="AD477" s="24"/>
      <c r="AE477" s="24"/>
      <c r="AF477" s="24"/>
      <c r="AG477" s="24"/>
      <c r="AH477" s="24"/>
      <c r="AI477" s="24"/>
      <c r="AJ477" s="24"/>
      <c r="AK477" s="24"/>
      <c r="AL477" s="24"/>
      <c r="AM477" s="24"/>
      <c r="AN477" s="24"/>
      <c r="AO477" s="24"/>
      <c r="AP477" s="24"/>
      <c r="AQ477" s="24"/>
      <c r="AR477" s="24"/>
    </row>
    <row r="478" spans="22:44" x14ac:dyDescent="0.15">
      <c r="V478" s="24"/>
      <c r="W478" s="24"/>
      <c r="X478" s="24"/>
      <c r="Y478" s="24"/>
      <c r="Z478" s="24"/>
      <c r="AA478" s="24"/>
      <c r="AB478" s="24"/>
      <c r="AC478" s="24"/>
      <c r="AD478" s="24"/>
      <c r="AE478" s="24"/>
      <c r="AF478" s="24"/>
      <c r="AG478" s="24"/>
      <c r="AH478" s="24"/>
      <c r="AI478" s="24"/>
      <c r="AJ478" s="24"/>
      <c r="AK478" s="24"/>
      <c r="AL478" s="24"/>
      <c r="AM478" s="24"/>
      <c r="AN478" s="24"/>
      <c r="AO478" s="24"/>
      <c r="AP478" s="24"/>
      <c r="AQ478" s="24"/>
      <c r="AR478" s="24"/>
    </row>
    <row r="479" spans="22:44" x14ac:dyDescent="0.15">
      <c r="V479" s="24"/>
      <c r="W479" s="24"/>
      <c r="X479" s="24"/>
      <c r="Y479" s="24"/>
      <c r="Z479" s="24"/>
      <c r="AA479" s="24"/>
      <c r="AB479" s="24"/>
      <c r="AC479" s="24"/>
      <c r="AD479" s="24"/>
      <c r="AE479" s="24"/>
      <c r="AF479" s="24"/>
      <c r="AG479" s="24"/>
      <c r="AH479" s="24"/>
      <c r="AI479" s="24"/>
      <c r="AJ479" s="24"/>
      <c r="AK479" s="24"/>
      <c r="AL479" s="24"/>
      <c r="AM479" s="24"/>
      <c r="AN479" s="24"/>
      <c r="AO479" s="24"/>
      <c r="AP479" s="24"/>
      <c r="AQ479" s="24"/>
      <c r="AR479" s="24"/>
    </row>
    <row r="480" spans="22:44" x14ac:dyDescent="0.15">
      <c r="V480" s="24"/>
      <c r="W480" s="24"/>
      <c r="X480" s="24"/>
      <c r="Y480" s="24"/>
      <c r="Z480" s="24"/>
      <c r="AA480" s="24"/>
      <c r="AB480" s="24"/>
      <c r="AC480" s="24"/>
      <c r="AD480" s="24"/>
      <c r="AE480" s="24"/>
      <c r="AF480" s="24"/>
      <c r="AG480" s="24"/>
      <c r="AH480" s="24"/>
      <c r="AI480" s="24"/>
      <c r="AJ480" s="24"/>
      <c r="AK480" s="24"/>
      <c r="AL480" s="24"/>
      <c r="AM480" s="24"/>
      <c r="AN480" s="24"/>
      <c r="AO480" s="24"/>
      <c r="AP480" s="24"/>
      <c r="AQ480" s="24"/>
      <c r="AR480" s="24"/>
    </row>
    <row r="481" spans="22:44" x14ac:dyDescent="0.15">
      <c r="V481" s="24"/>
      <c r="W481" s="24"/>
      <c r="X481" s="24"/>
      <c r="Y481" s="24"/>
      <c r="Z481" s="24"/>
      <c r="AA481" s="24"/>
      <c r="AB481" s="24"/>
      <c r="AC481" s="24"/>
      <c r="AD481" s="24"/>
      <c r="AE481" s="24"/>
      <c r="AF481" s="24"/>
      <c r="AG481" s="24"/>
      <c r="AH481" s="24"/>
      <c r="AI481" s="24"/>
      <c r="AJ481" s="24"/>
      <c r="AK481" s="24"/>
      <c r="AL481" s="24"/>
      <c r="AM481" s="24"/>
      <c r="AN481" s="24"/>
      <c r="AO481" s="24"/>
      <c r="AP481" s="24"/>
      <c r="AQ481" s="24"/>
      <c r="AR481" s="24"/>
    </row>
    <row r="482" spans="22:44" x14ac:dyDescent="0.15">
      <c r="V482" s="24"/>
      <c r="W482" s="24"/>
      <c r="X482" s="24"/>
      <c r="Y482" s="24"/>
      <c r="Z482" s="24"/>
      <c r="AA482" s="24"/>
      <c r="AB482" s="24"/>
      <c r="AC482" s="24"/>
      <c r="AD482" s="24"/>
      <c r="AE482" s="24"/>
      <c r="AF482" s="24"/>
      <c r="AG482" s="24"/>
      <c r="AH482" s="24"/>
      <c r="AI482" s="24"/>
      <c r="AJ482" s="24"/>
      <c r="AK482" s="24"/>
      <c r="AL482" s="24"/>
      <c r="AM482" s="24"/>
      <c r="AN482" s="24"/>
      <c r="AO482" s="24"/>
      <c r="AP482" s="24"/>
      <c r="AQ482" s="24"/>
      <c r="AR482" s="24"/>
    </row>
    <row r="483" spans="22:44" x14ac:dyDescent="0.15">
      <c r="V483" s="24"/>
      <c r="W483" s="24"/>
      <c r="X483" s="24"/>
      <c r="Y483" s="24"/>
      <c r="Z483" s="24"/>
      <c r="AA483" s="24"/>
      <c r="AB483" s="24"/>
      <c r="AC483" s="24"/>
      <c r="AD483" s="24"/>
      <c r="AE483" s="24"/>
      <c r="AF483" s="24"/>
      <c r="AG483" s="24"/>
      <c r="AH483" s="24"/>
      <c r="AI483" s="24"/>
      <c r="AJ483" s="24"/>
      <c r="AK483" s="24"/>
      <c r="AL483" s="24"/>
      <c r="AM483" s="24"/>
      <c r="AN483" s="24"/>
      <c r="AO483" s="24"/>
      <c r="AP483" s="24"/>
      <c r="AQ483" s="24"/>
      <c r="AR483" s="24"/>
    </row>
    <row r="484" spans="22:44" x14ac:dyDescent="0.15">
      <c r="V484" s="24"/>
      <c r="W484" s="24"/>
      <c r="X484" s="24"/>
      <c r="Y484" s="24"/>
      <c r="Z484" s="24"/>
      <c r="AA484" s="24"/>
      <c r="AB484" s="24"/>
      <c r="AC484" s="24"/>
      <c r="AD484" s="24"/>
      <c r="AE484" s="24"/>
      <c r="AF484" s="24"/>
      <c r="AG484" s="24"/>
      <c r="AH484" s="24"/>
      <c r="AI484" s="24"/>
      <c r="AJ484" s="24"/>
      <c r="AK484" s="24"/>
      <c r="AL484" s="24"/>
      <c r="AM484" s="24"/>
      <c r="AN484" s="24"/>
      <c r="AO484" s="24"/>
      <c r="AP484" s="24"/>
      <c r="AQ484" s="24"/>
      <c r="AR484" s="24"/>
    </row>
    <row r="485" spans="22:44" x14ac:dyDescent="0.15">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row>
    <row r="486" spans="22:44" x14ac:dyDescent="0.15">
      <c r="V486" s="24"/>
      <c r="W486" s="24"/>
      <c r="X486" s="24"/>
      <c r="Y486" s="24"/>
      <c r="Z486" s="24"/>
      <c r="AA486" s="24"/>
      <c r="AB486" s="24"/>
      <c r="AC486" s="24"/>
      <c r="AD486" s="24"/>
      <c r="AE486" s="24"/>
      <c r="AF486" s="24"/>
      <c r="AG486" s="24"/>
      <c r="AH486" s="24"/>
      <c r="AI486" s="24"/>
      <c r="AJ486" s="24"/>
      <c r="AK486" s="24"/>
      <c r="AL486" s="24"/>
      <c r="AM486" s="24"/>
      <c r="AN486" s="24"/>
      <c r="AO486" s="24"/>
      <c r="AP486" s="24"/>
      <c r="AQ486" s="24"/>
      <c r="AR486" s="24"/>
    </row>
    <row r="487" spans="22:44" x14ac:dyDescent="0.15">
      <c r="V487" s="24"/>
      <c r="W487" s="24"/>
      <c r="X487" s="24"/>
      <c r="Y487" s="24"/>
      <c r="Z487" s="24"/>
      <c r="AA487" s="24"/>
      <c r="AB487" s="24"/>
      <c r="AC487" s="24"/>
      <c r="AD487" s="24"/>
      <c r="AE487" s="24"/>
      <c r="AF487" s="24"/>
      <c r="AG487" s="24"/>
      <c r="AH487" s="24"/>
      <c r="AI487" s="24"/>
      <c r="AJ487" s="24"/>
      <c r="AK487" s="24"/>
      <c r="AL487" s="24"/>
      <c r="AM487" s="24"/>
      <c r="AN487" s="24"/>
      <c r="AO487" s="24"/>
      <c r="AP487" s="24"/>
      <c r="AQ487" s="24"/>
      <c r="AR487" s="24"/>
    </row>
    <row r="488" spans="22:44" x14ac:dyDescent="0.15">
      <c r="V488" s="24"/>
      <c r="W488" s="24"/>
      <c r="X488" s="24"/>
      <c r="Y488" s="24"/>
      <c r="Z488" s="24"/>
      <c r="AA488" s="24"/>
      <c r="AB488" s="24"/>
      <c r="AC488" s="24"/>
      <c r="AD488" s="24"/>
      <c r="AE488" s="24"/>
      <c r="AF488" s="24"/>
      <c r="AG488" s="24"/>
      <c r="AH488" s="24"/>
      <c r="AI488" s="24"/>
      <c r="AJ488" s="24"/>
      <c r="AK488" s="24"/>
      <c r="AL488" s="24"/>
      <c r="AM488" s="24"/>
      <c r="AN488" s="24"/>
      <c r="AO488" s="24"/>
      <c r="AP488" s="24"/>
      <c r="AQ488" s="24"/>
      <c r="AR488" s="24"/>
    </row>
    <row r="489" spans="22:44" x14ac:dyDescent="0.15">
      <c r="V489" s="24"/>
      <c r="W489" s="24"/>
      <c r="X489" s="24"/>
      <c r="Y489" s="24"/>
      <c r="Z489" s="24"/>
      <c r="AA489" s="24"/>
      <c r="AB489" s="24"/>
      <c r="AC489" s="24"/>
      <c r="AD489" s="24"/>
      <c r="AE489" s="24"/>
      <c r="AF489" s="24"/>
      <c r="AG489" s="24"/>
      <c r="AH489" s="24"/>
      <c r="AI489" s="24"/>
      <c r="AJ489" s="24"/>
      <c r="AK489" s="24"/>
      <c r="AL489" s="24"/>
      <c r="AM489" s="24"/>
      <c r="AN489" s="24"/>
      <c r="AO489" s="24"/>
      <c r="AP489" s="24"/>
      <c r="AQ489" s="24"/>
      <c r="AR489" s="24"/>
    </row>
    <row r="490" spans="22:44" x14ac:dyDescent="0.15">
      <c r="V490" s="24"/>
      <c r="W490" s="24"/>
      <c r="X490" s="24"/>
      <c r="Y490" s="24"/>
      <c r="Z490" s="24"/>
      <c r="AA490" s="24"/>
      <c r="AB490" s="24"/>
      <c r="AC490" s="24"/>
      <c r="AD490" s="24"/>
      <c r="AE490" s="24"/>
      <c r="AF490" s="24"/>
      <c r="AG490" s="24"/>
      <c r="AH490" s="24"/>
      <c r="AI490" s="24"/>
      <c r="AJ490" s="24"/>
      <c r="AK490" s="24"/>
      <c r="AL490" s="24"/>
      <c r="AM490" s="24"/>
      <c r="AN490" s="24"/>
      <c r="AO490" s="24"/>
      <c r="AP490" s="24"/>
      <c r="AQ490" s="24"/>
      <c r="AR490" s="24"/>
    </row>
    <row r="491" spans="22:44" x14ac:dyDescent="0.15">
      <c r="V491" s="24"/>
      <c r="W491" s="24"/>
      <c r="X491" s="24"/>
      <c r="Y491" s="24"/>
      <c r="Z491" s="24"/>
      <c r="AA491" s="24"/>
      <c r="AB491" s="24"/>
      <c r="AC491" s="24"/>
      <c r="AD491" s="24"/>
      <c r="AE491" s="24"/>
      <c r="AF491" s="24"/>
      <c r="AG491" s="24"/>
      <c r="AH491" s="24"/>
      <c r="AI491" s="24"/>
      <c r="AJ491" s="24"/>
      <c r="AK491" s="24"/>
      <c r="AL491" s="24"/>
      <c r="AM491" s="24"/>
      <c r="AN491" s="24"/>
      <c r="AO491" s="24"/>
      <c r="AP491" s="24"/>
      <c r="AQ491" s="24"/>
      <c r="AR491" s="24"/>
    </row>
    <row r="492" spans="22:44" x14ac:dyDescent="0.15">
      <c r="V492" s="24"/>
      <c r="W492" s="24"/>
      <c r="X492" s="24"/>
      <c r="Y492" s="24"/>
      <c r="Z492" s="24"/>
      <c r="AA492" s="24"/>
      <c r="AB492" s="24"/>
      <c r="AC492" s="24"/>
      <c r="AD492" s="24"/>
      <c r="AE492" s="24"/>
      <c r="AF492" s="24"/>
      <c r="AG492" s="24"/>
      <c r="AH492" s="24"/>
      <c r="AI492" s="24"/>
      <c r="AJ492" s="24"/>
      <c r="AK492" s="24"/>
      <c r="AL492" s="24"/>
      <c r="AM492" s="24"/>
      <c r="AN492" s="24"/>
      <c r="AO492" s="24"/>
      <c r="AP492" s="24"/>
      <c r="AQ492" s="24"/>
      <c r="AR492" s="24"/>
    </row>
    <row r="493" spans="22:44" x14ac:dyDescent="0.15">
      <c r="V493" s="24"/>
      <c r="W493" s="24"/>
      <c r="X493" s="24"/>
      <c r="Y493" s="24"/>
      <c r="Z493" s="24"/>
      <c r="AA493" s="24"/>
      <c r="AB493" s="24"/>
      <c r="AC493" s="24"/>
      <c r="AD493" s="24"/>
      <c r="AE493" s="24"/>
      <c r="AF493" s="24"/>
      <c r="AG493" s="24"/>
      <c r="AH493" s="24"/>
      <c r="AI493" s="24"/>
      <c r="AJ493" s="24"/>
      <c r="AK493" s="24"/>
      <c r="AL493" s="24"/>
      <c r="AM493" s="24"/>
      <c r="AN493" s="24"/>
      <c r="AO493" s="24"/>
      <c r="AP493" s="24"/>
      <c r="AQ493" s="24"/>
      <c r="AR493" s="24"/>
    </row>
    <row r="494" spans="22:44" x14ac:dyDescent="0.15">
      <c r="V494" s="24"/>
      <c r="W494" s="24"/>
      <c r="X494" s="24"/>
      <c r="Y494" s="24"/>
      <c r="Z494" s="24"/>
      <c r="AA494" s="24"/>
      <c r="AB494" s="24"/>
      <c r="AC494" s="24"/>
      <c r="AD494" s="24"/>
      <c r="AE494" s="24"/>
      <c r="AF494" s="24"/>
      <c r="AG494" s="24"/>
      <c r="AH494" s="24"/>
      <c r="AI494" s="24"/>
      <c r="AJ494" s="24"/>
      <c r="AK494" s="24"/>
      <c r="AL494" s="24"/>
      <c r="AM494" s="24"/>
      <c r="AN494" s="24"/>
      <c r="AO494" s="24"/>
      <c r="AP494" s="24"/>
      <c r="AQ494" s="24"/>
      <c r="AR494" s="24"/>
    </row>
    <row r="495" spans="22:44" x14ac:dyDescent="0.15">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row>
    <row r="496" spans="22:44" x14ac:dyDescent="0.15">
      <c r="V496" s="24"/>
      <c r="W496" s="24"/>
      <c r="X496" s="24"/>
      <c r="Y496" s="24"/>
      <c r="Z496" s="24"/>
      <c r="AA496" s="24"/>
      <c r="AB496" s="24"/>
      <c r="AC496" s="24"/>
      <c r="AD496" s="24"/>
      <c r="AE496" s="24"/>
      <c r="AF496" s="24"/>
      <c r="AG496" s="24"/>
      <c r="AH496" s="24"/>
      <c r="AI496" s="24"/>
      <c r="AJ496" s="24"/>
      <c r="AK496" s="24"/>
      <c r="AL496" s="24"/>
      <c r="AM496" s="24"/>
      <c r="AN496" s="24"/>
      <c r="AO496" s="24"/>
      <c r="AP496" s="24"/>
      <c r="AQ496" s="24"/>
      <c r="AR496" s="24"/>
    </row>
    <row r="497" spans="22:44" x14ac:dyDescent="0.15">
      <c r="V497" s="24"/>
      <c r="W497" s="24"/>
      <c r="X497" s="24"/>
      <c r="Y497" s="24"/>
      <c r="Z497" s="24"/>
      <c r="AA497" s="24"/>
      <c r="AB497" s="24"/>
      <c r="AC497" s="24"/>
      <c r="AD497" s="24"/>
      <c r="AE497" s="24"/>
      <c r="AF497" s="24"/>
      <c r="AG497" s="24"/>
      <c r="AH497" s="24"/>
      <c r="AI497" s="24"/>
      <c r="AJ497" s="24"/>
      <c r="AK497" s="24"/>
      <c r="AL497" s="24"/>
      <c r="AM497" s="24"/>
      <c r="AN497" s="24"/>
      <c r="AO497" s="24"/>
      <c r="AP497" s="24"/>
      <c r="AQ497" s="24"/>
      <c r="AR497" s="24"/>
    </row>
    <row r="498" spans="22:44" x14ac:dyDescent="0.15">
      <c r="V498" s="24"/>
      <c r="W498" s="24"/>
      <c r="X498" s="24"/>
      <c r="Y498" s="24"/>
      <c r="Z498" s="24"/>
      <c r="AA498" s="24"/>
      <c r="AB498" s="24"/>
      <c r="AC498" s="24"/>
      <c r="AD498" s="24"/>
      <c r="AE498" s="24"/>
      <c r="AF498" s="24"/>
      <c r="AG498" s="24"/>
      <c r="AH498" s="24"/>
      <c r="AI498" s="24"/>
      <c r="AJ498" s="24"/>
      <c r="AK498" s="24"/>
      <c r="AL498" s="24"/>
      <c r="AM498" s="24"/>
      <c r="AN498" s="24"/>
      <c r="AO498" s="24"/>
      <c r="AP498" s="24"/>
      <c r="AQ498" s="24"/>
      <c r="AR498" s="24"/>
    </row>
    <row r="499" spans="22:44" x14ac:dyDescent="0.15">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row>
    <row r="500" spans="22:44" x14ac:dyDescent="0.15">
      <c r="V500" s="24"/>
      <c r="W500" s="24"/>
      <c r="X500" s="24"/>
      <c r="Y500" s="24"/>
      <c r="Z500" s="24"/>
      <c r="AA500" s="24"/>
      <c r="AB500" s="24"/>
      <c r="AC500" s="24"/>
      <c r="AD500" s="24"/>
      <c r="AE500" s="24"/>
      <c r="AF500" s="24"/>
      <c r="AG500" s="24"/>
      <c r="AH500" s="24"/>
      <c r="AI500" s="24"/>
      <c r="AJ500" s="24"/>
      <c r="AK500" s="24"/>
      <c r="AL500" s="24"/>
      <c r="AM500" s="24"/>
      <c r="AN500" s="24"/>
      <c r="AO500" s="24"/>
      <c r="AP500" s="24"/>
      <c r="AQ500" s="24"/>
      <c r="AR500" s="24"/>
    </row>
    <row r="501" spans="22:44" x14ac:dyDescent="0.15">
      <c r="V501" s="24"/>
      <c r="W501" s="24"/>
      <c r="X501" s="24"/>
      <c r="Y501" s="24"/>
      <c r="Z501" s="24"/>
      <c r="AA501" s="24"/>
      <c r="AB501" s="24"/>
      <c r="AC501" s="24"/>
      <c r="AD501" s="24"/>
      <c r="AE501" s="24"/>
      <c r="AF501" s="24"/>
      <c r="AG501" s="24"/>
      <c r="AH501" s="24"/>
      <c r="AI501" s="24"/>
      <c r="AJ501" s="24"/>
      <c r="AK501" s="24"/>
      <c r="AL501" s="24"/>
      <c r="AM501" s="24"/>
      <c r="AN501" s="24"/>
      <c r="AO501" s="24"/>
      <c r="AP501" s="24"/>
      <c r="AQ501" s="24"/>
      <c r="AR501" s="24"/>
    </row>
    <row r="502" spans="22:44" x14ac:dyDescent="0.15">
      <c r="V502" s="24"/>
      <c r="W502" s="24"/>
      <c r="X502" s="24"/>
      <c r="Y502" s="24"/>
      <c r="Z502" s="24"/>
      <c r="AA502" s="24"/>
      <c r="AB502" s="24"/>
      <c r="AC502" s="24"/>
      <c r="AD502" s="24"/>
      <c r="AE502" s="24"/>
      <c r="AF502" s="24"/>
      <c r="AG502" s="24"/>
      <c r="AH502" s="24"/>
      <c r="AI502" s="24"/>
      <c r="AJ502" s="24"/>
      <c r="AK502" s="24"/>
      <c r="AL502" s="24"/>
      <c r="AM502" s="24"/>
      <c r="AN502" s="24"/>
      <c r="AO502" s="24"/>
      <c r="AP502" s="24"/>
      <c r="AQ502" s="24"/>
      <c r="AR502" s="24"/>
    </row>
    <row r="503" spans="22:44" x14ac:dyDescent="0.15">
      <c r="V503" s="24"/>
      <c r="W503" s="24"/>
      <c r="X503" s="24"/>
      <c r="Y503" s="24"/>
      <c r="Z503" s="24"/>
      <c r="AA503" s="24"/>
      <c r="AB503" s="24"/>
      <c r="AC503" s="24"/>
      <c r="AD503" s="24"/>
      <c r="AE503" s="24"/>
      <c r="AF503" s="24"/>
      <c r="AG503" s="24"/>
      <c r="AH503" s="24"/>
      <c r="AI503" s="24"/>
      <c r="AJ503" s="24"/>
      <c r="AK503" s="24"/>
      <c r="AL503" s="24"/>
      <c r="AM503" s="24"/>
      <c r="AN503" s="24"/>
      <c r="AO503" s="24"/>
      <c r="AP503" s="24"/>
      <c r="AQ503" s="24"/>
      <c r="AR503" s="24"/>
    </row>
    <row r="504" spans="22:44" x14ac:dyDescent="0.15">
      <c r="V504" s="24"/>
      <c r="W504" s="24"/>
      <c r="X504" s="24"/>
      <c r="Y504" s="24"/>
      <c r="Z504" s="24"/>
      <c r="AA504" s="24"/>
      <c r="AB504" s="24"/>
      <c r="AC504" s="24"/>
      <c r="AD504" s="24"/>
      <c r="AE504" s="24"/>
      <c r="AF504" s="24"/>
      <c r="AG504" s="24"/>
      <c r="AH504" s="24"/>
      <c r="AI504" s="24"/>
      <c r="AJ504" s="24"/>
      <c r="AK504" s="24"/>
      <c r="AL504" s="24"/>
      <c r="AM504" s="24"/>
      <c r="AN504" s="24"/>
      <c r="AO504" s="24"/>
      <c r="AP504" s="24"/>
      <c r="AQ504" s="24"/>
      <c r="AR504" s="24"/>
    </row>
    <row r="505" spans="22:44" x14ac:dyDescent="0.15">
      <c r="V505" s="24"/>
      <c r="W505" s="24"/>
      <c r="X505" s="24"/>
      <c r="Y505" s="24"/>
      <c r="Z505" s="24"/>
      <c r="AA505" s="24"/>
      <c r="AB505" s="24"/>
      <c r="AC505" s="24"/>
      <c r="AD505" s="24"/>
      <c r="AE505" s="24"/>
      <c r="AF505" s="24"/>
      <c r="AG505" s="24"/>
      <c r="AH505" s="24"/>
      <c r="AI505" s="24"/>
      <c r="AJ505" s="24"/>
      <c r="AK505" s="24"/>
      <c r="AL505" s="24"/>
      <c r="AM505" s="24"/>
      <c r="AN505" s="24"/>
      <c r="AO505" s="24"/>
      <c r="AP505" s="24"/>
      <c r="AQ505" s="24"/>
      <c r="AR505" s="24"/>
    </row>
    <row r="506" spans="22:44" x14ac:dyDescent="0.15">
      <c r="V506" s="24"/>
      <c r="W506" s="24"/>
      <c r="X506" s="24"/>
      <c r="Y506" s="24"/>
      <c r="Z506" s="24"/>
      <c r="AA506" s="24"/>
      <c r="AB506" s="24"/>
      <c r="AC506" s="24"/>
      <c r="AD506" s="24"/>
      <c r="AE506" s="24"/>
      <c r="AF506" s="24"/>
      <c r="AG506" s="24"/>
      <c r="AH506" s="24"/>
      <c r="AI506" s="24"/>
      <c r="AJ506" s="24"/>
      <c r="AK506" s="24"/>
      <c r="AL506" s="24"/>
      <c r="AM506" s="24"/>
      <c r="AN506" s="24"/>
      <c r="AO506" s="24"/>
      <c r="AP506" s="24"/>
      <c r="AQ506" s="24"/>
      <c r="AR506" s="24"/>
    </row>
    <row r="507" spans="22:44" x14ac:dyDescent="0.15">
      <c r="V507" s="24"/>
      <c r="W507" s="24"/>
      <c r="X507" s="24"/>
      <c r="Y507" s="24"/>
      <c r="Z507" s="24"/>
      <c r="AA507" s="24"/>
      <c r="AB507" s="24"/>
      <c r="AC507" s="24"/>
      <c r="AD507" s="24"/>
      <c r="AE507" s="24"/>
      <c r="AF507" s="24"/>
      <c r="AG507" s="24"/>
      <c r="AH507" s="24"/>
      <c r="AI507" s="24"/>
      <c r="AJ507" s="24"/>
      <c r="AK507" s="24"/>
      <c r="AL507" s="24"/>
      <c r="AM507" s="24"/>
      <c r="AN507" s="24"/>
      <c r="AO507" s="24"/>
      <c r="AP507" s="24"/>
      <c r="AQ507" s="24"/>
      <c r="AR507" s="24"/>
    </row>
    <row r="508" spans="22:44" x14ac:dyDescent="0.15">
      <c r="V508" s="24"/>
      <c r="W508" s="24"/>
      <c r="X508" s="24"/>
      <c r="Y508" s="24"/>
      <c r="Z508" s="24"/>
      <c r="AA508" s="24"/>
      <c r="AB508" s="24"/>
      <c r="AC508" s="24"/>
      <c r="AD508" s="24"/>
      <c r="AE508" s="24"/>
      <c r="AF508" s="24"/>
      <c r="AG508" s="24"/>
      <c r="AH508" s="24"/>
      <c r="AI508" s="24"/>
      <c r="AJ508" s="24"/>
      <c r="AK508" s="24"/>
      <c r="AL508" s="24"/>
      <c r="AM508" s="24"/>
      <c r="AN508" s="24"/>
      <c r="AO508" s="24"/>
      <c r="AP508" s="24"/>
      <c r="AQ508" s="24"/>
      <c r="AR508" s="24"/>
    </row>
    <row r="509" spans="22:44" x14ac:dyDescent="0.15">
      <c r="V509" s="24"/>
      <c r="W509" s="24"/>
      <c r="X509" s="24"/>
      <c r="Y509" s="24"/>
      <c r="Z509" s="24"/>
      <c r="AA509" s="24"/>
      <c r="AB509" s="24"/>
      <c r="AC509" s="24"/>
      <c r="AD509" s="24"/>
      <c r="AE509" s="24"/>
      <c r="AF509" s="24"/>
      <c r="AG509" s="24"/>
      <c r="AH509" s="24"/>
      <c r="AI509" s="24"/>
      <c r="AJ509" s="24"/>
      <c r="AK509" s="24"/>
      <c r="AL509" s="24"/>
      <c r="AM509" s="24"/>
      <c r="AN509" s="24"/>
      <c r="AO509" s="24"/>
      <c r="AP509" s="24"/>
      <c r="AQ509" s="24"/>
      <c r="AR509" s="24"/>
    </row>
    <row r="510" spans="22:44" x14ac:dyDescent="0.15">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row>
    <row r="511" spans="22:44" x14ac:dyDescent="0.15">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row>
    <row r="512" spans="22:44" x14ac:dyDescent="0.15">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row>
    <row r="513" spans="22:44" x14ac:dyDescent="0.15">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row>
    <row r="514" spans="22:44" x14ac:dyDescent="0.15">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row>
    <row r="515" spans="22:44" x14ac:dyDescent="0.15">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row>
    <row r="516" spans="22:44" x14ac:dyDescent="0.15">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row>
    <row r="517" spans="22:44" x14ac:dyDescent="0.15">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row>
    <row r="518" spans="22:44" x14ac:dyDescent="0.15">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row>
    <row r="519" spans="22:44" x14ac:dyDescent="0.15">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row>
    <row r="520" spans="22:44" x14ac:dyDescent="0.15">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row>
    <row r="521" spans="22:44" x14ac:dyDescent="0.15">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row>
    <row r="522" spans="22:44" x14ac:dyDescent="0.15">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row>
    <row r="523" spans="22:44" x14ac:dyDescent="0.15">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row>
    <row r="524" spans="22:44" x14ac:dyDescent="0.15">
      <c r="V524" s="24"/>
      <c r="W524" s="24"/>
      <c r="X524" s="24"/>
      <c r="Y524" s="24"/>
      <c r="Z524" s="24"/>
      <c r="AA524" s="24"/>
      <c r="AB524" s="24"/>
      <c r="AC524" s="24"/>
      <c r="AD524" s="24"/>
      <c r="AE524" s="24"/>
      <c r="AF524" s="24"/>
      <c r="AG524" s="24"/>
      <c r="AH524" s="24"/>
      <c r="AI524" s="24"/>
      <c r="AJ524" s="24"/>
      <c r="AK524" s="24"/>
      <c r="AL524" s="24"/>
      <c r="AM524" s="24"/>
      <c r="AN524" s="24"/>
      <c r="AO524" s="24"/>
      <c r="AP524" s="24"/>
      <c r="AQ524" s="24"/>
      <c r="AR524" s="24"/>
    </row>
    <row r="525" spans="22:44" x14ac:dyDescent="0.15">
      <c r="V525" s="24"/>
      <c r="W525" s="24"/>
      <c r="X525" s="24"/>
      <c r="Y525" s="24"/>
      <c r="Z525" s="24"/>
      <c r="AA525" s="24"/>
      <c r="AB525" s="24"/>
      <c r="AC525" s="24"/>
      <c r="AD525" s="24"/>
      <c r="AE525" s="24"/>
      <c r="AF525" s="24"/>
      <c r="AG525" s="24"/>
      <c r="AH525" s="24"/>
      <c r="AI525" s="24"/>
      <c r="AJ525" s="24"/>
      <c r="AK525" s="24"/>
      <c r="AL525" s="24"/>
      <c r="AM525" s="24"/>
      <c r="AN525" s="24"/>
      <c r="AO525" s="24"/>
      <c r="AP525" s="24"/>
      <c r="AQ525" s="24"/>
      <c r="AR525" s="24"/>
    </row>
    <row r="526" spans="22:44" x14ac:dyDescent="0.15">
      <c r="V526" s="24"/>
      <c r="W526" s="24"/>
      <c r="X526" s="24"/>
      <c r="Y526" s="24"/>
      <c r="Z526" s="24"/>
      <c r="AA526" s="24"/>
      <c r="AB526" s="24"/>
      <c r="AC526" s="24"/>
      <c r="AD526" s="24"/>
      <c r="AE526" s="24"/>
      <c r="AF526" s="24"/>
      <c r="AG526" s="24"/>
      <c r="AH526" s="24"/>
      <c r="AI526" s="24"/>
      <c r="AJ526" s="24"/>
      <c r="AK526" s="24"/>
      <c r="AL526" s="24"/>
      <c r="AM526" s="24"/>
      <c r="AN526" s="24"/>
      <c r="AO526" s="24"/>
      <c r="AP526" s="24"/>
      <c r="AQ526" s="24"/>
      <c r="AR526" s="24"/>
    </row>
    <row r="527" spans="22:44" x14ac:dyDescent="0.15">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row>
    <row r="528" spans="22:44" x14ac:dyDescent="0.15">
      <c r="V528" s="24"/>
      <c r="W528" s="24"/>
      <c r="X528" s="24"/>
      <c r="Y528" s="24"/>
      <c r="Z528" s="24"/>
      <c r="AA528" s="24"/>
      <c r="AB528" s="24"/>
      <c r="AC528" s="24"/>
      <c r="AD528" s="24"/>
      <c r="AE528" s="24"/>
      <c r="AF528" s="24"/>
      <c r="AG528" s="24"/>
      <c r="AH528" s="24"/>
      <c r="AI528" s="24"/>
      <c r="AJ528" s="24"/>
      <c r="AK528" s="24"/>
      <c r="AL528" s="24"/>
      <c r="AM528" s="24"/>
      <c r="AN528" s="24"/>
      <c r="AO528" s="24"/>
      <c r="AP528" s="24"/>
      <c r="AQ528" s="24"/>
      <c r="AR528" s="24"/>
    </row>
    <row r="529" spans="22:44" x14ac:dyDescent="0.15">
      <c r="V529" s="24"/>
      <c r="W529" s="24"/>
      <c r="X529" s="24"/>
      <c r="Y529" s="24"/>
      <c r="Z529" s="24"/>
      <c r="AA529" s="24"/>
      <c r="AB529" s="24"/>
      <c r="AC529" s="24"/>
      <c r="AD529" s="24"/>
      <c r="AE529" s="24"/>
      <c r="AF529" s="24"/>
      <c r="AG529" s="24"/>
      <c r="AH529" s="24"/>
      <c r="AI529" s="24"/>
      <c r="AJ529" s="24"/>
      <c r="AK529" s="24"/>
      <c r="AL529" s="24"/>
      <c r="AM529" s="24"/>
      <c r="AN529" s="24"/>
      <c r="AO529" s="24"/>
      <c r="AP529" s="24"/>
      <c r="AQ529" s="24"/>
      <c r="AR529" s="24"/>
    </row>
    <row r="530" spans="22:44" x14ac:dyDescent="0.15">
      <c r="V530" s="24"/>
      <c r="W530" s="24"/>
      <c r="X530" s="24"/>
      <c r="Y530" s="24"/>
      <c r="Z530" s="24"/>
      <c r="AA530" s="24"/>
      <c r="AB530" s="24"/>
      <c r="AC530" s="24"/>
      <c r="AD530" s="24"/>
      <c r="AE530" s="24"/>
      <c r="AF530" s="24"/>
      <c r="AG530" s="24"/>
      <c r="AH530" s="24"/>
      <c r="AI530" s="24"/>
      <c r="AJ530" s="24"/>
      <c r="AK530" s="24"/>
      <c r="AL530" s="24"/>
      <c r="AM530" s="24"/>
      <c r="AN530" s="24"/>
      <c r="AO530" s="24"/>
      <c r="AP530" s="24"/>
      <c r="AQ530" s="24"/>
      <c r="AR530" s="24"/>
    </row>
    <row r="531" spans="22:44" x14ac:dyDescent="0.15">
      <c r="V531" s="24"/>
      <c r="W531" s="24"/>
      <c r="X531" s="24"/>
      <c r="Y531" s="24"/>
      <c r="Z531" s="24"/>
      <c r="AA531" s="24"/>
      <c r="AB531" s="24"/>
      <c r="AC531" s="24"/>
      <c r="AD531" s="24"/>
      <c r="AE531" s="24"/>
      <c r="AF531" s="24"/>
      <c r="AG531" s="24"/>
      <c r="AH531" s="24"/>
      <c r="AI531" s="24"/>
      <c r="AJ531" s="24"/>
      <c r="AK531" s="24"/>
      <c r="AL531" s="24"/>
      <c r="AM531" s="24"/>
      <c r="AN531" s="24"/>
      <c r="AO531" s="24"/>
      <c r="AP531" s="24"/>
      <c r="AQ531" s="24"/>
      <c r="AR531" s="24"/>
    </row>
    <row r="532" spans="22:44" x14ac:dyDescent="0.15">
      <c r="V532" s="24"/>
      <c r="W532" s="24"/>
      <c r="X532" s="24"/>
      <c r="Y532" s="24"/>
      <c r="Z532" s="24"/>
      <c r="AA532" s="24"/>
      <c r="AB532" s="24"/>
      <c r="AC532" s="24"/>
      <c r="AD532" s="24"/>
      <c r="AE532" s="24"/>
      <c r="AF532" s="24"/>
      <c r="AG532" s="24"/>
      <c r="AH532" s="24"/>
      <c r="AI532" s="24"/>
      <c r="AJ532" s="24"/>
      <c r="AK532" s="24"/>
      <c r="AL532" s="24"/>
      <c r="AM532" s="24"/>
      <c r="AN532" s="24"/>
      <c r="AO532" s="24"/>
      <c r="AP532" s="24"/>
      <c r="AQ532" s="24"/>
      <c r="AR532" s="24"/>
    </row>
    <row r="533" spans="22:44" x14ac:dyDescent="0.15">
      <c r="V533" s="24"/>
      <c r="W533" s="24"/>
      <c r="X533" s="24"/>
      <c r="Y533" s="24"/>
      <c r="Z533" s="24"/>
      <c r="AA533" s="24"/>
      <c r="AB533" s="24"/>
      <c r="AC533" s="24"/>
      <c r="AD533" s="24"/>
      <c r="AE533" s="24"/>
      <c r="AF533" s="24"/>
      <c r="AG533" s="24"/>
      <c r="AH533" s="24"/>
      <c r="AI533" s="24"/>
      <c r="AJ533" s="24"/>
      <c r="AK533" s="24"/>
      <c r="AL533" s="24"/>
      <c r="AM533" s="24"/>
      <c r="AN533" s="24"/>
      <c r="AO533" s="24"/>
      <c r="AP533" s="24"/>
      <c r="AQ533" s="24"/>
      <c r="AR533" s="24"/>
    </row>
    <row r="534" spans="22:44" x14ac:dyDescent="0.15">
      <c r="V534" s="24"/>
      <c r="W534" s="24"/>
      <c r="X534" s="24"/>
      <c r="Y534" s="24"/>
      <c r="Z534" s="24"/>
      <c r="AA534" s="24"/>
      <c r="AB534" s="24"/>
      <c r="AC534" s="24"/>
      <c r="AD534" s="24"/>
      <c r="AE534" s="24"/>
      <c r="AF534" s="24"/>
      <c r="AG534" s="24"/>
      <c r="AH534" s="24"/>
      <c r="AI534" s="24"/>
      <c r="AJ534" s="24"/>
      <c r="AK534" s="24"/>
      <c r="AL534" s="24"/>
      <c r="AM534" s="24"/>
      <c r="AN534" s="24"/>
      <c r="AO534" s="24"/>
      <c r="AP534" s="24"/>
      <c r="AQ534" s="24"/>
      <c r="AR534" s="24"/>
    </row>
    <row r="535" spans="22:44" x14ac:dyDescent="0.15">
      <c r="V535" s="24"/>
      <c r="W535" s="24"/>
      <c r="X535" s="24"/>
      <c r="Y535" s="24"/>
      <c r="Z535" s="24"/>
      <c r="AA535" s="24"/>
      <c r="AB535" s="24"/>
      <c r="AC535" s="24"/>
      <c r="AD535" s="24"/>
      <c r="AE535" s="24"/>
      <c r="AF535" s="24"/>
      <c r="AG535" s="24"/>
      <c r="AH535" s="24"/>
      <c r="AI535" s="24"/>
      <c r="AJ535" s="24"/>
      <c r="AK535" s="24"/>
      <c r="AL535" s="24"/>
      <c r="AM535" s="24"/>
      <c r="AN535" s="24"/>
      <c r="AO535" s="24"/>
      <c r="AP535" s="24"/>
      <c r="AQ535" s="24"/>
      <c r="AR535" s="24"/>
    </row>
    <row r="536" spans="22:44" x14ac:dyDescent="0.15">
      <c r="V536" s="24"/>
      <c r="W536" s="24"/>
      <c r="X536" s="24"/>
      <c r="Y536" s="24"/>
      <c r="Z536" s="24"/>
      <c r="AA536" s="24"/>
      <c r="AB536" s="24"/>
      <c r="AC536" s="24"/>
      <c r="AD536" s="24"/>
      <c r="AE536" s="24"/>
      <c r="AF536" s="24"/>
      <c r="AG536" s="24"/>
      <c r="AH536" s="24"/>
      <c r="AI536" s="24"/>
      <c r="AJ536" s="24"/>
      <c r="AK536" s="24"/>
      <c r="AL536" s="24"/>
      <c r="AM536" s="24"/>
      <c r="AN536" s="24"/>
      <c r="AO536" s="24"/>
      <c r="AP536" s="24"/>
      <c r="AQ536" s="24"/>
      <c r="AR536" s="24"/>
    </row>
    <row r="537" spans="22:44" x14ac:dyDescent="0.15">
      <c r="V537" s="24"/>
      <c r="W537" s="24"/>
      <c r="X537" s="24"/>
      <c r="Y537" s="24"/>
      <c r="Z537" s="24"/>
      <c r="AA537" s="24"/>
      <c r="AB537" s="24"/>
      <c r="AC537" s="24"/>
      <c r="AD537" s="24"/>
      <c r="AE537" s="24"/>
      <c r="AF537" s="24"/>
      <c r="AG537" s="24"/>
      <c r="AH537" s="24"/>
      <c r="AI537" s="24"/>
      <c r="AJ537" s="24"/>
      <c r="AK537" s="24"/>
      <c r="AL537" s="24"/>
      <c r="AM537" s="24"/>
      <c r="AN537" s="24"/>
      <c r="AO537" s="24"/>
      <c r="AP537" s="24"/>
      <c r="AQ537" s="24"/>
      <c r="AR537" s="24"/>
    </row>
    <row r="538" spans="22:44" x14ac:dyDescent="0.15">
      <c r="V538" s="24"/>
      <c r="W538" s="24"/>
      <c r="X538" s="24"/>
      <c r="Y538" s="24"/>
      <c r="Z538" s="24"/>
      <c r="AA538" s="24"/>
      <c r="AB538" s="24"/>
      <c r="AC538" s="24"/>
      <c r="AD538" s="24"/>
      <c r="AE538" s="24"/>
      <c r="AF538" s="24"/>
      <c r="AG538" s="24"/>
      <c r="AH538" s="24"/>
      <c r="AI538" s="24"/>
      <c r="AJ538" s="24"/>
      <c r="AK538" s="24"/>
      <c r="AL538" s="24"/>
      <c r="AM538" s="24"/>
      <c r="AN538" s="24"/>
      <c r="AO538" s="24"/>
      <c r="AP538" s="24"/>
      <c r="AQ538" s="24"/>
      <c r="AR538" s="24"/>
    </row>
    <row r="539" spans="22:44" x14ac:dyDescent="0.15">
      <c r="V539" s="24"/>
      <c r="W539" s="24"/>
      <c r="X539" s="24"/>
      <c r="Y539" s="24"/>
      <c r="Z539" s="24"/>
      <c r="AA539" s="24"/>
      <c r="AB539" s="24"/>
      <c r="AC539" s="24"/>
      <c r="AD539" s="24"/>
      <c r="AE539" s="24"/>
      <c r="AF539" s="24"/>
      <c r="AG539" s="24"/>
      <c r="AH539" s="24"/>
      <c r="AI539" s="24"/>
      <c r="AJ539" s="24"/>
      <c r="AK539" s="24"/>
      <c r="AL539" s="24"/>
      <c r="AM539" s="24"/>
      <c r="AN539" s="24"/>
      <c r="AO539" s="24"/>
      <c r="AP539" s="24"/>
      <c r="AQ539" s="24"/>
      <c r="AR539" s="24"/>
    </row>
    <row r="540" spans="22:44" x14ac:dyDescent="0.15">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row>
    <row r="541" spans="22:44" x14ac:dyDescent="0.15">
      <c r="V541" s="24"/>
      <c r="W541" s="24"/>
      <c r="X541" s="24"/>
      <c r="Y541" s="24"/>
      <c r="Z541" s="24"/>
      <c r="AA541" s="24"/>
      <c r="AB541" s="24"/>
      <c r="AC541" s="24"/>
      <c r="AD541" s="24"/>
      <c r="AE541" s="24"/>
      <c r="AF541" s="24"/>
      <c r="AG541" s="24"/>
      <c r="AH541" s="24"/>
      <c r="AI541" s="24"/>
      <c r="AJ541" s="24"/>
      <c r="AK541" s="24"/>
      <c r="AL541" s="24"/>
      <c r="AM541" s="24"/>
      <c r="AN541" s="24"/>
      <c r="AO541" s="24"/>
      <c r="AP541" s="24"/>
      <c r="AQ541" s="24"/>
      <c r="AR541" s="24"/>
    </row>
    <row r="542" spans="22:44" x14ac:dyDescent="0.15">
      <c r="V542" s="24"/>
      <c r="W542" s="24"/>
      <c r="X542" s="24"/>
      <c r="Y542" s="24"/>
      <c r="Z542" s="24"/>
      <c r="AA542" s="24"/>
      <c r="AB542" s="24"/>
      <c r="AC542" s="24"/>
      <c r="AD542" s="24"/>
      <c r="AE542" s="24"/>
      <c r="AF542" s="24"/>
      <c r="AG542" s="24"/>
      <c r="AH542" s="24"/>
      <c r="AI542" s="24"/>
      <c r="AJ542" s="24"/>
      <c r="AK542" s="24"/>
      <c r="AL542" s="24"/>
      <c r="AM542" s="24"/>
      <c r="AN542" s="24"/>
      <c r="AO542" s="24"/>
      <c r="AP542" s="24"/>
      <c r="AQ542" s="24"/>
      <c r="AR542" s="24"/>
    </row>
    <row r="543" spans="22:44" x14ac:dyDescent="0.15">
      <c r="V543" s="24"/>
      <c r="W543" s="24"/>
      <c r="X543" s="24"/>
      <c r="Y543" s="24"/>
      <c r="Z543" s="24"/>
      <c r="AA543" s="24"/>
      <c r="AB543" s="24"/>
      <c r="AC543" s="24"/>
      <c r="AD543" s="24"/>
      <c r="AE543" s="24"/>
      <c r="AF543" s="24"/>
      <c r="AG543" s="24"/>
      <c r="AH543" s="24"/>
      <c r="AI543" s="24"/>
      <c r="AJ543" s="24"/>
      <c r="AK543" s="24"/>
      <c r="AL543" s="24"/>
      <c r="AM543" s="24"/>
      <c r="AN543" s="24"/>
      <c r="AO543" s="24"/>
      <c r="AP543" s="24"/>
      <c r="AQ543" s="24"/>
      <c r="AR543" s="24"/>
    </row>
    <row r="544" spans="22:44" x14ac:dyDescent="0.15">
      <c r="V544" s="24"/>
      <c r="W544" s="24"/>
      <c r="X544" s="24"/>
      <c r="Y544" s="24"/>
      <c r="Z544" s="24"/>
      <c r="AA544" s="24"/>
      <c r="AB544" s="24"/>
      <c r="AC544" s="24"/>
      <c r="AD544" s="24"/>
      <c r="AE544" s="24"/>
      <c r="AF544" s="24"/>
      <c r="AG544" s="24"/>
      <c r="AH544" s="24"/>
      <c r="AI544" s="24"/>
      <c r="AJ544" s="24"/>
      <c r="AK544" s="24"/>
      <c r="AL544" s="24"/>
      <c r="AM544" s="24"/>
      <c r="AN544" s="24"/>
      <c r="AO544" s="24"/>
      <c r="AP544" s="24"/>
      <c r="AQ544" s="24"/>
      <c r="AR544" s="24"/>
    </row>
    <row r="545" spans="22:44" x14ac:dyDescent="0.15">
      <c r="V545" s="24"/>
      <c r="W545" s="24"/>
      <c r="X545" s="24"/>
      <c r="Y545" s="24"/>
      <c r="Z545" s="24"/>
      <c r="AA545" s="24"/>
      <c r="AB545" s="24"/>
      <c r="AC545" s="24"/>
      <c r="AD545" s="24"/>
      <c r="AE545" s="24"/>
      <c r="AF545" s="24"/>
      <c r="AG545" s="24"/>
      <c r="AH545" s="24"/>
      <c r="AI545" s="24"/>
      <c r="AJ545" s="24"/>
      <c r="AK545" s="24"/>
      <c r="AL545" s="24"/>
      <c r="AM545" s="24"/>
      <c r="AN545" s="24"/>
      <c r="AO545" s="24"/>
      <c r="AP545" s="24"/>
      <c r="AQ545" s="24"/>
      <c r="AR545" s="24"/>
    </row>
  </sheetData>
  <sheetProtection password="8E09" sheet="1" objects="1" scenarios="1"/>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39"/>
  <sheetViews>
    <sheetView workbookViewId="0">
      <selection activeCell="C3" sqref="C3"/>
    </sheetView>
  </sheetViews>
  <sheetFormatPr defaultRowHeight="13.5" x14ac:dyDescent="0.15"/>
  <cols>
    <col min="1" max="1" width="4.5" customWidth="1"/>
    <col min="2" max="2" width="26.125" customWidth="1"/>
    <col min="3" max="3" width="18" customWidth="1"/>
    <col min="4" max="4" width="2.125" customWidth="1"/>
    <col min="5" max="5" width="26.125" customWidth="1"/>
    <col min="6" max="6" width="18" customWidth="1"/>
    <col min="7" max="7" width="2.5" customWidth="1"/>
    <col min="8" max="9" width="19.125" customWidth="1"/>
    <col min="12" max="12" width="9.875" bestFit="1" customWidth="1"/>
  </cols>
  <sheetData>
    <row r="1" spans="1:19" x14ac:dyDescent="0.15">
      <c r="A1" s="4"/>
      <c r="B1" s="24"/>
      <c r="C1" s="24"/>
      <c r="D1" s="24"/>
      <c r="E1" s="24"/>
      <c r="F1" s="24"/>
      <c r="G1" s="24"/>
      <c r="H1" s="24"/>
      <c r="I1" s="24"/>
      <c r="J1" s="24"/>
      <c r="K1" s="24"/>
      <c r="L1" s="24"/>
      <c r="M1" s="24"/>
      <c r="N1" s="24"/>
      <c r="O1" s="24"/>
      <c r="P1" s="24"/>
      <c r="Q1" s="24"/>
    </row>
    <row r="2" spans="1:19" x14ac:dyDescent="0.15">
      <c r="A2" s="4"/>
      <c r="B2" s="24"/>
      <c r="C2" s="24"/>
      <c r="D2" s="24"/>
      <c r="E2" s="24"/>
      <c r="F2" s="24"/>
      <c r="G2" s="24"/>
      <c r="H2" s="24"/>
      <c r="I2" s="24"/>
      <c r="J2" s="24"/>
      <c r="K2" s="24"/>
      <c r="L2" s="24"/>
      <c r="M2" s="24"/>
      <c r="N2" s="24"/>
      <c r="O2" s="24"/>
      <c r="P2" s="24"/>
      <c r="Q2" s="24"/>
    </row>
    <row r="3" spans="1:19" ht="25.5" customHeight="1" x14ac:dyDescent="0.15">
      <c r="A3" s="4"/>
      <c r="B3" s="36" t="s">
        <v>21</v>
      </c>
      <c r="C3" s="162"/>
      <c r="D3" s="146"/>
      <c r="E3" s="24"/>
      <c r="F3" s="24"/>
      <c r="G3" s="24"/>
      <c r="H3" s="24"/>
      <c r="I3" s="24"/>
      <c r="J3" s="24"/>
      <c r="K3" s="24"/>
      <c r="L3" s="24"/>
      <c r="M3" s="24"/>
      <c r="N3" s="24"/>
      <c r="O3" s="24"/>
      <c r="P3" s="24"/>
      <c r="Q3" s="24"/>
    </row>
    <row r="4" spans="1:19" ht="25.5" customHeight="1" x14ac:dyDescent="0.15">
      <c r="A4" s="4"/>
      <c r="B4" s="36" t="s">
        <v>177</v>
      </c>
      <c r="C4" s="162"/>
      <c r="D4" s="146"/>
      <c r="E4" s="24"/>
      <c r="F4" s="24"/>
      <c r="G4" s="24"/>
      <c r="H4" s="24"/>
      <c r="I4" s="24"/>
      <c r="J4" s="24"/>
      <c r="K4" s="24"/>
      <c r="L4" s="24"/>
      <c r="M4" s="24"/>
      <c r="N4" s="24"/>
      <c r="O4" s="24"/>
      <c r="P4" s="24"/>
      <c r="Q4" s="24"/>
    </row>
    <row r="5" spans="1:19" ht="25.5" customHeight="1" x14ac:dyDescent="0.15">
      <c r="A5" s="4"/>
      <c r="B5" s="36" t="s">
        <v>178</v>
      </c>
      <c r="C5" s="163"/>
      <c r="D5" s="146"/>
      <c r="E5" s="24"/>
      <c r="G5" s="24"/>
      <c r="H5" s="183" t="s">
        <v>255</v>
      </c>
      <c r="I5" s="184"/>
      <c r="J5" s="24"/>
      <c r="K5" s="24"/>
      <c r="L5" s="24"/>
      <c r="M5" s="24"/>
      <c r="N5" s="24"/>
      <c r="O5" s="24"/>
      <c r="P5" s="24"/>
      <c r="Q5" s="24"/>
      <c r="R5" s="24"/>
      <c r="S5" s="27"/>
    </row>
    <row r="6" spans="1:19" ht="25.5" customHeight="1" x14ac:dyDescent="0.15">
      <c r="A6" s="4"/>
      <c r="B6" s="36" t="s">
        <v>246</v>
      </c>
      <c r="C6" s="163"/>
      <c r="D6" s="146"/>
      <c r="E6" s="91" t="s">
        <v>247</v>
      </c>
      <c r="F6" s="163"/>
      <c r="G6" s="24"/>
      <c r="H6" s="160" t="s">
        <v>230</v>
      </c>
      <c r="I6" s="161" t="s">
        <v>202</v>
      </c>
      <c r="J6" s="24"/>
      <c r="K6" s="24"/>
      <c r="L6" s="24"/>
      <c r="M6" s="24"/>
      <c r="N6" s="24"/>
      <c r="O6" s="24"/>
      <c r="P6" s="24"/>
      <c r="Q6" s="24"/>
    </row>
    <row r="7" spans="1:19" ht="25.5" customHeight="1" x14ac:dyDescent="0.15">
      <c r="A7" s="4"/>
      <c r="B7" s="36" t="s">
        <v>191</v>
      </c>
      <c r="C7" s="164"/>
      <c r="D7" s="146"/>
      <c r="E7" s="91" t="s">
        <v>191</v>
      </c>
      <c r="F7" s="164"/>
      <c r="G7" s="24"/>
      <c r="H7" s="42" t="str">
        <f>IF(COUNTA(C5:C7,F6,F7,C4)=6,+BMILMS!B59,"")</f>
        <v/>
      </c>
      <c r="I7" s="42" t="str">
        <f>IF(COUNTA(C4:C7,F6,F7)=6,+BMILMS!C62,"")</f>
        <v/>
      </c>
      <c r="J7" s="24"/>
      <c r="K7" s="24"/>
      <c r="L7" s="24"/>
      <c r="M7" s="24"/>
      <c r="N7" s="24"/>
      <c r="O7" s="24"/>
      <c r="P7" s="24"/>
      <c r="Q7" s="24"/>
    </row>
    <row r="8" spans="1:19" ht="25.5" customHeight="1" x14ac:dyDescent="0.15">
      <c r="A8" s="4"/>
      <c r="B8" s="36" t="s">
        <v>192</v>
      </c>
      <c r="C8" s="164"/>
      <c r="D8" s="146"/>
      <c r="E8" s="91" t="s">
        <v>192</v>
      </c>
      <c r="F8" s="164"/>
      <c r="G8" s="24"/>
      <c r="J8" s="24"/>
      <c r="K8" s="24"/>
      <c r="L8" s="24"/>
      <c r="M8" s="24"/>
      <c r="N8" s="24"/>
      <c r="O8" s="24"/>
      <c r="P8" s="24"/>
      <c r="Q8" s="24"/>
    </row>
    <row r="9" spans="1:19" ht="25.5" customHeight="1" x14ac:dyDescent="0.15">
      <c r="A9" s="4"/>
      <c r="B9" s="36" t="s">
        <v>281</v>
      </c>
      <c r="C9" s="177"/>
      <c r="D9" s="146"/>
      <c r="E9" s="36" t="s">
        <v>281</v>
      </c>
      <c r="F9" s="177"/>
      <c r="G9" s="24"/>
      <c r="J9" s="24"/>
      <c r="K9" s="24"/>
      <c r="L9" s="24"/>
      <c r="M9" s="24"/>
      <c r="N9" s="24"/>
      <c r="O9" s="24"/>
      <c r="P9" s="24"/>
      <c r="Q9" s="24"/>
    </row>
    <row r="10" spans="1:19" ht="18.75" x14ac:dyDescent="0.15">
      <c r="A10" s="4"/>
      <c r="D10" s="146"/>
      <c r="E10" s="145"/>
      <c r="F10" s="24"/>
      <c r="G10" s="24"/>
      <c r="J10" s="24"/>
      <c r="K10" s="24"/>
      <c r="L10" s="24"/>
      <c r="M10" s="24"/>
      <c r="N10" s="24"/>
      <c r="O10" s="24"/>
      <c r="P10" s="24"/>
      <c r="Q10" s="24"/>
    </row>
    <row r="11" spans="1:19" ht="25.5" customHeight="1" x14ac:dyDescent="0.15">
      <c r="A11" s="4"/>
      <c r="B11" s="36" t="s">
        <v>193</v>
      </c>
      <c r="C11" s="156" t="str">
        <f>IF(COUNTA(C5:C6)=2,DATEDIF(C5,C6,"Y")+(C6-(DATE(YEAR(C5)+DATEDIF(C5,C6,"Y"),MONTH(C5),DAY(C5))))/(365+IF(MOD(YEAR((DATE(YEAR(C6)-1,MONTH(C5),DAY(C5)))),4)=0,IF((DATE(YEAR(C6)-1,MONTH(C5),DAY(C5)))&gt;DATE(YEAR((DATE(YEAR(C6)-1,MONTH(C5),DAY(C5)))),2,29),0,1),0)+IF(MOD(YEAR(C6),4)=0,IF(C6&gt;DATE(YEAR(C6),2,29),1,0),0)),"")</f>
        <v/>
      </c>
      <c r="D11" s="146"/>
      <c r="E11" s="91" t="s">
        <v>193</v>
      </c>
      <c r="F11" s="156" t="str">
        <f>IF(COUNTA(C5,F6)=2,DATEDIF(C5,F6,"Y")+(F6-(DATE(YEAR(C5)+DATEDIF(C5,F6,"Y"),MONTH(C5),DAY(C5))))/(365+IF(MOD(YEAR((DATE(YEAR(F6)-1,MONTH(C5),DAY(C5)))),4)=0,IF((DATE(YEAR(F6)-1,MONTH(C5),DAY(C5)))&gt;DATE(YEAR((DATE(YEAR(F6)-1,MONTH(C5),DAY(C5)))),2,29),0,1),0)+IF(MOD(YEAR(F6),4)=0,IF(F6&gt;DATE(YEAR(F6),2,29),1,0),0)),"")</f>
        <v/>
      </c>
      <c r="G11" s="24"/>
      <c r="H11" s="158"/>
      <c r="I11" s="180"/>
      <c r="J11" s="24"/>
      <c r="K11" s="24"/>
      <c r="L11" s="24"/>
      <c r="M11" s="24"/>
      <c r="N11" s="24"/>
      <c r="O11" s="24"/>
      <c r="P11" s="24"/>
      <c r="Q11" s="24"/>
    </row>
    <row r="12" spans="1:19" ht="25.5" customHeight="1" x14ac:dyDescent="0.15">
      <c r="A12" s="4"/>
      <c r="B12" s="36" t="s">
        <v>54</v>
      </c>
      <c r="C12" s="41" t="str">
        <f>IF(COUNTA(C5:C6)=2,BMILMS!B45&amp;"歳 "&amp;BMILMS!C45&amp;"か月","")</f>
        <v/>
      </c>
      <c r="D12" s="146"/>
      <c r="E12" s="91" t="s">
        <v>54</v>
      </c>
      <c r="F12" s="41" t="str">
        <f>IF(COUNTA(C5,F6)=2,BMILMS!F45&amp;"歳 "&amp;BMILMS!G45&amp;"か月","")</f>
        <v/>
      </c>
      <c r="G12" s="24"/>
      <c r="J12" s="24"/>
      <c r="K12" s="24"/>
      <c r="L12" s="24"/>
      <c r="M12" s="24"/>
      <c r="N12" s="24"/>
      <c r="O12" s="24"/>
      <c r="P12" s="24"/>
      <c r="Q12" s="24"/>
    </row>
    <row r="13" spans="1:19" ht="25.5" customHeight="1" x14ac:dyDescent="0.15">
      <c r="A13" s="4"/>
      <c r="B13" s="24"/>
      <c r="C13" s="1"/>
      <c r="D13" s="146"/>
      <c r="G13" s="24"/>
      <c r="J13" s="24"/>
      <c r="K13" s="24"/>
      <c r="L13" s="24"/>
      <c r="M13" s="24"/>
      <c r="N13" s="24"/>
      <c r="O13" s="24"/>
      <c r="P13" s="24"/>
      <c r="Q13" s="24"/>
    </row>
    <row r="14" spans="1:19" ht="25.5" customHeight="1" x14ac:dyDescent="0.15">
      <c r="A14" s="4"/>
      <c r="B14" s="36" t="s">
        <v>30</v>
      </c>
      <c r="C14" s="42" t="str">
        <f>IF(COUNTA(C4:C7)=4,IF(C11&gt;=18,"*",(C7-(INDEX(IF(C4="F",Hfemalemean,Hmalemean),BMILMS!C45+1,INT(C11)+1)))/(INDEX(IF(C4="F",Hfemalesd,Hmalesd),BMILMS!C45+1,INT(C11)+1))),"")</f>
        <v/>
      </c>
      <c r="D14" s="146"/>
      <c r="E14" s="36" t="s">
        <v>30</v>
      </c>
      <c r="F14" s="42" t="str">
        <f>IF(COUNTA(C4,C5, F6,F7)=4,IF(F11&gt;=18,"*",(F7-(INDEX(IF(C4="F",Hfemalemean,Hmalemean),BMILMS!G45+1,INT(F11)+1)))/(INDEX(IF(C4="F",Hfemalesd,Hmalesd),BMILMS!G45+1,INT(F11)+1))),"")</f>
        <v/>
      </c>
      <c r="G14" s="24"/>
      <c r="H14" s="24"/>
      <c r="I14" s="24"/>
      <c r="J14" s="24"/>
      <c r="K14" s="24"/>
      <c r="L14" s="24"/>
      <c r="M14" s="24"/>
      <c r="N14" s="24"/>
      <c r="O14" s="24"/>
      <c r="P14" s="24"/>
      <c r="Q14" s="24"/>
    </row>
    <row r="15" spans="1:19" ht="25.5" customHeight="1" x14ac:dyDescent="0.15">
      <c r="A15" s="4"/>
      <c r="B15" s="36" t="s">
        <v>179</v>
      </c>
      <c r="C15" s="42" t="str">
        <f>IF(COUNTA(C4,C5,C6,C8)=4,IF(BMILMS!B45+BMILMS!C45/12&gt;17.583,"*",((C8/WeightSDS!C68)^(WeightSDS!B68)-1)/WeightSDS!B68/WeightSDS!D68),"")</f>
        <v/>
      </c>
      <c r="D15" s="146"/>
      <c r="E15" s="36" t="s">
        <v>179</v>
      </c>
      <c r="F15" s="42" t="str">
        <f>IF(COUNTA(C4,C5,F6,F8)=4,IF(BMILMS!F45+BMILMS!G45/12&gt;17.583,"*",((F8/WeightSDS!C80)^(WeightSDS!B80)-1)/WeightSDS!B80/WeightSDS!D80),"")</f>
        <v/>
      </c>
      <c r="G15" s="24"/>
      <c r="H15" s="24"/>
      <c r="I15" s="24"/>
      <c r="J15" s="24"/>
      <c r="K15" s="24"/>
      <c r="L15" s="24"/>
      <c r="M15" s="24"/>
      <c r="N15" s="24"/>
      <c r="O15" s="24"/>
      <c r="P15" s="24"/>
      <c r="Q15" s="24"/>
    </row>
    <row r="16" spans="1:19" ht="25.5" customHeight="1" x14ac:dyDescent="0.15">
      <c r="A16" s="4"/>
      <c r="B16" s="36" t="s">
        <v>194</v>
      </c>
      <c r="C16" s="43" t="str">
        <f>IF(COUNTA(C4:C8)=5,IF(C11&lt;1,"*",IF(C11&gt;=6,"*",IF(C7&gt;=120,"*",IF(C7&lt;70,"*",(C8-BMILMS!B46)/BMILMS!B46*100)))),"")</f>
        <v/>
      </c>
      <c r="D16" s="148"/>
      <c r="E16" s="36" t="s">
        <v>194</v>
      </c>
      <c r="F16" s="43" t="str">
        <f>IF(COUNTA(C4,C5,F6:F8)=5,IF(F11&lt;1,"*",IF(F11&gt;=6,"*",IF(F7&gt;=120,"*",IF(F7&lt;70,"*",(F8-BMILMS!F46)/BMILMS!F46*100)))),"")</f>
        <v/>
      </c>
      <c r="G16" s="24"/>
      <c r="H16" s="24"/>
      <c r="I16" s="24"/>
      <c r="J16" s="24"/>
      <c r="K16" s="24"/>
      <c r="L16" s="24"/>
      <c r="M16" s="24"/>
      <c r="N16" s="24"/>
      <c r="O16" s="24"/>
      <c r="P16" s="24"/>
      <c r="Q16" s="24"/>
    </row>
    <row r="17" spans="1:19" ht="25.5" customHeight="1" x14ac:dyDescent="0.15">
      <c r="A17" s="4"/>
      <c r="B17" s="36" t="s">
        <v>195</v>
      </c>
      <c r="C17" s="43" t="str">
        <f>IF(COUNTA(C4:C8)=5,IF(C11&lt;6,"*",IF(BMILMS!B45+BMILMS!C45/12&gt;=17.583,"*",(C8-C7*INDEX(IF(C4="F",muratafemale,muratamale),INT(C11)-4,1)-INDEX(IF(C4="F",muratafemale,muratamale),INT(C11)-4,2))/(C7*INDEX(IF(C4="F",muratafemale,muratamale),INT(C11)-4,1)+INDEX(IF(C4="F",muratafemale,muratamale),INT(C11)-4,2))*100)),"")</f>
        <v/>
      </c>
      <c r="D17" s="148"/>
      <c r="E17" s="36" t="s">
        <v>195</v>
      </c>
      <c r="F17" s="43" t="str">
        <f>IF(COUNTA(C4,C5,F6:F8)&lt;5,"",IF(F11&lt;6,"*",IF(BMILMS!F45+BMILMS!G45/12&gt;=17.583,"*",(F8-F7*INDEX(IF(C4="F",muratafemale,muratamale),INT(F11)-4,1)-INDEX(IF(C4="F",muratafemale,muratamale),INT(F11)-4,2))/(F7*INDEX(IF(C4="F",muratafemale,muratamale),INT(F11)-4,1)+INDEX(IF(C4="F",muratafemale,muratamale),INT(F11)-4,2))*100)))</f>
        <v/>
      </c>
      <c r="G17" s="24"/>
      <c r="H17" s="24"/>
      <c r="I17" s="24"/>
      <c r="J17" s="24"/>
      <c r="K17" s="24"/>
      <c r="L17" s="24"/>
      <c r="M17" s="24"/>
      <c r="N17" s="24"/>
      <c r="O17" s="24"/>
      <c r="P17" s="24"/>
      <c r="Q17" s="24"/>
    </row>
    <row r="18" spans="1:19" ht="25.5" customHeight="1" x14ac:dyDescent="0.15">
      <c r="A18" s="4"/>
      <c r="B18" s="36" t="s">
        <v>196</v>
      </c>
      <c r="C18" s="43" t="str">
        <f>IF(COUNTA(C4:C8)=5,IF(C7&gt;=IF(C4="M",181,174),"*",IF(C7&lt;101,"*",IF(C11&lt;6,"*",IF(BMILMS!B45+BMILMS!C45/12&gt;=17.583,"*",(C8-BMILMS!C46)/BMILMS!C46*100)))),"")</f>
        <v/>
      </c>
      <c r="D18" s="148"/>
      <c r="E18" s="36" t="s">
        <v>196</v>
      </c>
      <c r="F18" s="43" t="str">
        <f>IF(COUNTA(C4,C5,F6:F8)=5,IF(F7&gt;=IF(C4="M",181,174),"*",IF(F7&lt;101,"*",IF(F11&lt;6,"*",IF(BMILMS!F45+BMILMS!G45/12&gt;=17.583,"*",(F8-BMILMS!G46)/BMILMS!G46*100)))),"")</f>
        <v/>
      </c>
      <c r="G18" s="24"/>
      <c r="H18" s="24"/>
      <c r="I18" s="24"/>
      <c r="J18" s="24"/>
      <c r="K18" s="24"/>
      <c r="L18" s="24"/>
      <c r="M18" s="24"/>
      <c r="N18" s="24"/>
      <c r="O18" s="24"/>
      <c r="P18" s="24"/>
      <c r="Q18" s="24"/>
    </row>
    <row r="19" spans="1:19" ht="25.5" customHeight="1" x14ac:dyDescent="0.15">
      <c r="A19" s="4"/>
      <c r="B19" s="36" t="s">
        <v>197</v>
      </c>
      <c r="C19" s="43" t="str">
        <f>IF(COUNTA(C4:C8)=5,C8/C7^2*10000,"")</f>
        <v/>
      </c>
      <c r="D19" s="148"/>
      <c r="E19" s="36" t="s">
        <v>197</v>
      </c>
      <c r="F19" s="43" t="str">
        <f>IF(COUNTA(C4,C5,F6:F8)=5,F8/F7^2*10000,"")</f>
        <v/>
      </c>
      <c r="G19" s="24"/>
      <c r="H19" s="24"/>
      <c r="I19" s="24"/>
      <c r="J19" s="24"/>
      <c r="K19" s="24"/>
      <c r="L19" s="24"/>
      <c r="M19" s="24"/>
      <c r="N19" s="24"/>
      <c r="O19" s="24"/>
      <c r="P19" s="24"/>
      <c r="Q19" s="24"/>
    </row>
    <row r="20" spans="1:19" ht="25.5" customHeight="1" x14ac:dyDescent="0.15">
      <c r="A20" s="4"/>
      <c r="B20" s="36" t="s">
        <v>198</v>
      </c>
      <c r="C20" s="43" t="str">
        <f>IF(COUNTA(C4:C8)=5,IF(BMILMS!B45+BMILMS!C45/12&gt;17.583,"*",NORMSDIST(((C19/BMILMS!C39)^(BMILMS!B39)-1)/BMILMS!B39/BMILMS!D39)*100),"")</f>
        <v/>
      </c>
      <c r="D20" s="148"/>
      <c r="E20" s="36" t="s">
        <v>198</v>
      </c>
      <c r="F20" s="43" t="str">
        <f>IF(COUNTA(C4,C5,F6:F8)=5,IF(BMILMS!F45+BMILMS!G45/12&gt;17.583,"*",NORMSDIST(((F19/BMILMS!G39)^(BMILMS!F39)-1)/BMILMS!F39/BMILMS!H39)*100),"")</f>
        <v/>
      </c>
      <c r="G20" s="24"/>
      <c r="H20" s="24"/>
      <c r="I20" s="24"/>
      <c r="J20" s="24"/>
      <c r="K20" s="24"/>
      <c r="L20" s="24"/>
      <c r="M20" s="24"/>
      <c r="N20" s="24"/>
      <c r="O20" s="24"/>
      <c r="P20" s="24"/>
      <c r="Q20" s="24"/>
    </row>
    <row r="21" spans="1:19" ht="25.5" customHeight="1" x14ac:dyDescent="0.15">
      <c r="A21" s="4"/>
      <c r="B21" s="36" t="s">
        <v>199</v>
      </c>
      <c r="C21" s="42" t="str">
        <f>IF(COUNTA(C4,C5,C6,C7,C8)=5,IF(BMILMS!B45+BMILMS!C45/12&gt;17.583,"*",((C19/BMILMS!C39)^(BMILMS!B39)-1)/BMILMS!B39/BMILMS!D39),"")</f>
        <v/>
      </c>
      <c r="D21" s="147"/>
      <c r="E21" s="36" t="s">
        <v>23</v>
      </c>
      <c r="F21" s="42" t="str">
        <f>IF(COUNTA(C4,C5,F6:F8)=5,IF(BMILMS!F45+BMILMS!G45/12&gt;17.583,"*",((F19/BMILMS!G39)^(BMILMS!F39)-1)/BMILMS!F39/BMILMS!H39),"")</f>
        <v/>
      </c>
      <c r="G21" s="24"/>
      <c r="H21" s="24"/>
      <c r="I21" s="24"/>
      <c r="J21" s="24"/>
      <c r="K21" s="24"/>
      <c r="L21" s="24"/>
      <c r="M21" s="24"/>
      <c r="N21" s="24"/>
      <c r="O21" s="24"/>
      <c r="P21" s="24"/>
      <c r="Q21" s="24"/>
    </row>
    <row r="22" spans="1:19" ht="25.5" customHeight="1" x14ac:dyDescent="0.15">
      <c r="A22" s="4"/>
      <c r="B22" s="36" t="s">
        <v>280</v>
      </c>
      <c r="C22" s="43" t="str">
        <f>IF(COUNTA(C5,C6,C9)=3,IF(C11&gt;77,"*",'IGF-LMS'!N87),"")</f>
        <v/>
      </c>
      <c r="D22" s="148"/>
      <c r="E22" s="36" t="s">
        <v>280</v>
      </c>
      <c r="F22" s="43" t="str">
        <f>IF(COUNTA(C5,F6,F9)=3,IF(F11&gt;77,"*",'IGF-LMS'!N88),"")</f>
        <v/>
      </c>
      <c r="G22" s="24"/>
      <c r="H22" s="24"/>
      <c r="I22" s="24"/>
      <c r="J22" s="24"/>
      <c r="K22" s="24"/>
      <c r="L22" s="24"/>
      <c r="M22" s="24"/>
      <c r="N22" s="24"/>
      <c r="O22" s="24"/>
      <c r="P22" s="24"/>
      <c r="Q22" s="24"/>
    </row>
    <row r="23" spans="1:19" ht="25.5" customHeight="1" x14ac:dyDescent="0.15">
      <c r="A23" s="4"/>
      <c r="B23" s="36" t="s">
        <v>279</v>
      </c>
      <c r="C23" s="42" t="str">
        <f>IF(COUNTA(C5,C6,C9)=3,IF(C11&gt;77,"*",'IGF-LMS'!O87),"")</f>
        <v/>
      </c>
      <c r="D23" s="147"/>
      <c r="E23" s="36" t="s">
        <v>279</v>
      </c>
      <c r="F23" s="42" t="str">
        <f>IF(COUNTA(C5,F6,F9)=3,IF(F11&gt;77,"*",'IGF-LMS'!O88),"")</f>
        <v/>
      </c>
      <c r="G23" s="24"/>
      <c r="H23" s="24"/>
      <c r="I23" s="24"/>
      <c r="J23" s="24"/>
      <c r="K23" s="24"/>
      <c r="L23" s="24"/>
      <c r="M23" s="24"/>
      <c r="N23" s="24"/>
      <c r="O23" s="24"/>
      <c r="P23" s="24"/>
      <c r="Q23" s="24"/>
    </row>
    <row r="24" spans="1:19" ht="25.5" customHeight="1" x14ac:dyDescent="0.15">
      <c r="A24" s="4"/>
      <c r="G24" s="24"/>
      <c r="H24" s="24"/>
      <c r="I24" s="24"/>
      <c r="J24" s="24"/>
      <c r="K24" s="24"/>
      <c r="L24" s="24"/>
      <c r="M24" s="24"/>
      <c r="N24" s="24"/>
      <c r="O24" s="24"/>
      <c r="P24" s="24"/>
      <c r="Q24" s="24"/>
    </row>
    <row r="25" spans="1:19" ht="25.5" customHeight="1" x14ac:dyDescent="0.15">
      <c r="A25" s="4"/>
      <c r="B25" s="176"/>
      <c r="C25" s="147"/>
      <c r="D25" s="147"/>
      <c r="E25" s="176"/>
      <c r="F25" s="147"/>
      <c r="G25" s="24"/>
      <c r="H25" s="24"/>
      <c r="I25" s="24"/>
      <c r="J25" s="24"/>
      <c r="K25" s="24"/>
      <c r="L25" s="24"/>
      <c r="M25" s="24"/>
      <c r="N25" s="24"/>
      <c r="O25" s="24"/>
      <c r="P25" s="24"/>
      <c r="Q25" s="24"/>
    </row>
    <row r="26" spans="1:19" x14ac:dyDescent="0.15">
      <c r="A26" s="4"/>
      <c r="B26" t="s">
        <v>187</v>
      </c>
    </row>
    <row r="27" spans="1:19" x14ac:dyDescent="0.15">
      <c r="A27" s="4"/>
      <c r="B27" t="s">
        <v>188</v>
      </c>
    </row>
    <row r="28" spans="1:19" x14ac:dyDescent="0.15">
      <c r="A28" s="4"/>
      <c r="B28" t="s">
        <v>186</v>
      </c>
    </row>
    <row r="29" spans="1:19" x14ac:dyDescent="0.15">
      <c r="A29" s="4"/>
    </row>
    <row r="30" spans="1:19" x14ac:dyDescent="0.15">
      <c r="A30" s="4"/>
      <c r="C30" s="24"/>
      <c r="D30" s="24"/>
      <c r="E30" s="24"/>
      <c r="F30" s="24"/>
      <c r="G30" s="24"/>
      <c r="H30" s="24"/>
      <c r="I30" s="24"/>
      <c r="J30" s="24"/>
      <c r="K30" s="24"/>
      <c r="L30" s="24"/>
      <c r="M30" s="24"/>
      <c r="N30" s="24"/>
      <c r="O30" s="24"/>
      <c r="P30" s="24"/>
      <c r="Q30" s="24"/>
      <c r="R30" s="24"/>
      <c r="S30" s="24"/>
    </row>
    <row r="31" spans="1:19" x14ac:dyDescent="0.15">
      <c r="A31" s="4"/>
      <c r="C31" s="24"/>
      <c r="D31" s="24"/>
      <c r="E31" s="24"/>
      <c r="F31" s="24"/>
      <c r="G31" s="24"/>
      <c r="H31" s="24"/>
      <c r="I31" s="24"/>
      <c r="J31" s="24"/>
      <c r="K31" s="24"/>
      <c r="L31" s="24"/>
      <c r="M31" s="24"/>
      <c r="N31" s="24"/>
      <c r="O31" s="24"/>
      <c r="P31" s="24"/>
      <c r="Q31" s="24"/>
      <c r="R31" s="24"/>
      <c r="S31" s="24"/>
    </row>
    <row r="32" spans="1:19" x14ac:dyDescent="0.15">
      <c r="A32" s="4"/>
      <c r="C32" s="24"/>
      <c r="D32" s="24"/>
      <c r="E32" s="24"/>
      <c r="F32" s="24"/>
      <c r="G32" s="24"/>
      <c r="H32" s="24"/>
      <c r="I32" s="24"/>
      <c r="J32" s="24"/>
      <c r="K32" s="24"/>
      <c r="L32" s="24"/>
      <c r="M32" s="24"/>
      <c r="N32" s="24"/>
      <c r="O32" s="24"/>
      <c r="P32" s="24"/>
      <c r="Q32" s="24"/>
      <c r="R32" s="24"/>
      <c r="S32" s="24"/>
    </row>
    <row r="33" spans="1:19" x14ac:dyDescent="0.15">
      <c r="A33" s="4"/>
      <c r="B33" s="24"/>
      <c r="C33" s="24"/>
      <c r="D33" s="24"/>
      <c r="E33" s="24"/>
      <c r="F33" s="24"/>
      <c r="G33" s="24"/>
      <c r="H33" s="24"/>
      <c r="I33" s="24"/>
      <c r="J33" s="24"/>
      <c r="K33" s="24"/>
      <c r="L33" s="24"/>
      <c r="M33" s="24"/>
      <c r="N33" s="24"/>
      <c r="O33" s="24"/>
      <c r="P33" s="24"/>
      <c r="Q33" s="24"/>
      <c r="R33" s="24"/>
      <c r="S33" s="24"/>
    </row>
    <row r="34" spans="1:19" x14ac:dyDescent="0.15">
      <c r="A34" s="4"/>
      <c r="B34" s="24"/>
      <c r="C34" s="24"/>
      <c r="D34" s="24"/>
      <c r="E34" s="24"/>
      <c r="F34" s="24"/>
      <c r="G34" s="24"/>
      <c r="H34" s="24"/>
      <c r="I34" s="24"/>
      <c r="J34" s="24"/>
      <c r="K34" s="24"/>
      <c r="L34" s="24"/>
      <c r="M34" s="24"/>
      <c r="N34" s="24"/>
      <c r="O34" s="24"/>
      <c r="P34" s="24"/>
      <c r="Q34" s="24"/>
      <c r="R34" s="24"/>
      <c r="S34" s="24"/>
    </row>
    <row r="35" spans="1:19" x14ac:dyDescent="0.15">
      <c r="B35" s="24"/>
      <c r="C35" s="24"/>
      <c r="D35" s="24"/>
      <c r="E35" s="24"/>
      <c r="F35" s="24"/>
      <c r="G35" s="24"/>
      <c r="H35" s="24"/>
      <c r="I35" s="24"/>
      <c r="J35" s="24"/>
      <c r="K35" s="24"/>
      <c r="L35" s="24"/>
      <c r="M35" s="24"/>
      <c r="N35" s="24"/>
      <c r="O35" s="24"/>
      <c r="P35" s="24"/>
      <c r="Q35" s="24"/>
      <c r="R35" s="24"/>
      <c r="S35" s="24"/>
    </row>
    <row r="36" spans="1:19" x14ac:dyDescent="0.15">
      <c r="B36" s="24"/>
      <c r="C36" s="24"/>
      <c r="D36" s="24"/>
      <c r="E36" s="24"/>
      <c r="F36" s="24"/>
      <c r="G36" s="24"/>
      <c r="H36" s="24"/>
      <c r="I36" s="24"/>
      <c r="J36" s="24"/>
      <c r="K36" s="24"/>
      <c r="L36" s="24"/>
      <c r="M36" s="24"/>
      <c r="N36" s="24"/>
      <c r="O36" s="24"/>
      <c r="P36" s="24"/>
      <c r="Q36" s="24"/>
      <c r="R36" s="24"/>
      <c r="S36" s="24"/>
    </row>
    <row r="37" spans="1:19" x14ac:dyDescent="0.15">
      <c r="B37" s="24"/>
      <c r="C37" s="24"/>
      <c r="D37" s="24"/>
      <c r="E37" s="24"/>
      <c r="F37" s="24"/>
      <c r="G37" s="24"/>
      <c r="H37" s="24"/>
      <c r="I37" s="24"/>
      <c r="J37" s="24"/>
      <c r="K37" s="24"/>
      <c r="L37" s="24"/>
      <c r="M37" s="24"/>
      <c r="N37" s="24"/>
      <c r="O37" s="24"/>
      <c r="P37" s="24"/>
      <c r="Q37" s="24"/>
      <c r="R37" s="24"/>
      <c r="S37" s="24"/>
    </row>
    <row r="38" spans="1:19" x14ac:dyDescent="0.15">
      <c r="B38" s="24"/>
      <c r="C38" s="24"/>
      <c r="D38" s="24"/>
      <c r="E38" s="24"/>
      <c r="F38" s="24"/>
      <c r="G38" s="24"/>
      <c r="H38" s="24"/>
      <c r="I38" s="24"/>
      <c r="J38" s="24"/>
      <c r="K38" s="24"/>
      <c r="L38" s="24"/>
      <c r="M38" s="24"/>
      <c r="N38" s="24"/>
      <c r="O38" s="24"/>
      <c r="P38" s="24"/>
      <c r="Q38" s="24"/>
      <c r="R38" s="24"/>
      <c r="S38" s="24"/>
    </row>
    <row r="39" spans="1:19" x14ac:dyDescent="0.15">
      <c r="B39" s="24"/>
      <c r="C39" s="24"/>
      <c r="D39" s="24"/>
      <c r="E39" s="24"/>
      <c r="F39" s="24"/>
      <c r="G39" s="24"/>
      <c r="H39" s="24"/>
      <c r="I39" s="24"/>
      <c r="J39" s="24"/>
      <c r="K39" s="24"/>
      <c r="L39" s="24"/>
      <c r="M39" s="24"/>
      <c r="N39" s="24"/>
      <c r="O39" s="24"/>
      <c r="P39" s="24"/>
      <c r="Q39" s="24"/>
      <c r="R39" s="24"/>
      <c r="S39" s="24"/>
    </row>
  </sheetData>
  <sheetProtection algorithmName="SHA-512" hashValue="qI44pXMFPf0dkqDbmp/SkyFURlcDZDNWOBwXzRPwdxp9tTsYrQrw70e//iVilGGABYWvBsrusPYBL7N5cYdKCA==" saltValue="CnYyKVxVTCxnly88Biq5JQ==" spinCount="100000" sheet="1" objects="1" scenarios="1"/>
  <mergeCells count="1">
    <mergeCell ref="H5:I5"/>
  </mergeCells>
  <phoneticPr fontId="1"/>
  <dataValidations count="1">
    <dataValidation type="list" allowBlank="1" showInputMessage="1" showErrorMessage="1" sqref="C4" xr:uid="{00000000-0002-0000-0500-000000000000}">
      <formula1>sex</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BJ57"/>
  <sheetViews>
    <sheetView workbookViewId="0">
      <pane xSplit="3" ySplit="7" topLeftCell="D8" activePane="bottomRight" state="frozen"/>
      <selection pane="topRight" activeCell="D1" sqref="D1"/>
      <selection pane="bottomLeft" activeCell="A8" sqref="A8"/>
      <selection pane="bottomRight" activeCell="D20" sqref="D20"/>
    </sheetView>
  </sheetViews>
  <sheetFormatPr defaultRowHeight="13.5" x14ac:dyDescent="0.15"/>
  <cols>
    <col min="1" max="1" width="2.875" style="24" customWidth="1"/>
    <col min="2" max="2" width="5.75" style="24" customWidth="1"/>
    <col min="3" max="3" width="17.125" style="24" customWidth="1"/>
    <col min="4" max="4" width="12.5" style="24" customWidth="1"/>
    <col min="5" max="7" width="6.375" style="24" customWidth="1"/>
    <col min="8" max="8" width="8.375" style="26" customWidth="1"/>
    <col min="9" max="11" width="6.875" style="26" customWidth="1"/>
    <col min="12" max="14" width="6.25" style="24" customWidth="1"/>
    <col min="15" max="15" width="8.375" style="26" customWidth="1"/>
    <col min="16" max="17" width="7.125" style="24" customWidth="1"/>
    <col min="18" max="18" width="9.5" style="24" customWidth="1"/>
    <col min="19" max="19" width="11" style="24" customWidth="1"/>
    <col min="20" max="20" width="7.125" customWidth="1"/>
    <col min="21" max="21" width="7.125" style="24" customWidth="1"/>
    <col min="22" max="26" width="7.75" style="24" customWidth="1"/>
    <col min="27" max="28" width="7.75" style="24" hidden="1" customWidth="1"/>
    <col min="29" max="29" width="10.625" style="24" hidden="1" customWidth="1"/>
    <col min="30" max="39" width="9" hidden="1" customWidth="1"/>
    <col min="40" max="40" width="16.75" style="24" hidden="1" customWidth="1"/>
    <col min="41" max="41" width="3.625" style="27" hidden="1" customWidth="1"/>
    <col min="42" max="44" width="4.25" style="24" hidden="1" customWidth="1"/>
    <col min="45" max="45" width="5" style="24" hidden="1" customWidth="1"/>
    <col min="46" max="46" width="8" style="24" hidden="1" customWidth="1"/>
    <col min="47" max="48" width="14.5" style="24" hidden="1" customWidth="1"/>
    <col min="49" max="49" width="10.875" style="24" hidden="1" customWidth="1"/>
    <col min="50" max="55" width="9" style="24" hidden="1" customWidth="1"/>
    <col min="56" max="56" width="8.875" style="24" hidden="1" customWidth="1"/>
    <col min="57" max="62" width="9" style="24" hidden="1" customWidth="1"/>
    <col min="63" max="88" width="9" style="24" customWidth="1"/>
    <col min="89" max="16384" width="9" style="24"/>
  </cols>
  <sheetData>
    <row r="1" spans="2:62" ht="14.25" thickBot="1" x14ac:dyDescent="0.2">
      <c r="J1" s="61"/>
      <c r="K1" s="61"/>
      <c r="L1" s="4"/>
      <c r="M1" s="4"/>
      <c r="N1" s="4"/>
      <c r="O1" s="61"/>
      <c r="P1" s="4"/>
      <c r="Q1" s="4"/>
      <c r="R1" s="4"/>
      <c r="S1" s="4"/>
    </row>
    <row r="2" spans="2:62" x14ac:dyDescent="0.15">
      <c r="B2" s="92"/>
      <c r="C2" s="93"/>
      <c r="D2" s="93"/>
      <c r="E2" s="113"/>
      <c r="H2" s="24"/>
      <c r="I2" s="24"/>
      <c r="J2" s="24"/>
      <c r="K2" s="24"/>
      <c r="O2" s="24"/>
      <c r="R2" s="4"/>
      <c r="S2" s="4"/>
      <c r="T2" s="34"/>
      <c r="AD2" s="24"/>
      <c r="AE2" s="24"/>
      <c r="AF2" s="24"/>
      <c r="AG2" s="24"/>
      <c r="AH2" s="24"/>
      <c r="AI2" s="24"/>
      <c r="AJ2" s="24"/>
      <c r="AL2" s="24"/>
    </row>
    <row r="3" spans="2:62" ht="27" customHeight="1" x14ac:dyDescent="0.15">
      <c r="B3" s="94" t="s">
        <v>203</v>
      </c>
      <c r="C3" s="95" t="s">
        <v>21</v>
      </c>
      <c r="D3" s="95" t="s">
        <v>38</v>
      </c>
      <c r="E3" s="114" t="s">
        <v>39</v>
      </c>
      <c r="G3" s="139"/>
      <c r="H3" s="24"/>
      <c r="I3" s="24"/>
      <c r="J3" s="24"/>
      <c r="K3" s="24"/>
      <c r="O3" s="24"/>
      <c r="R3" s="4"/>
      <c r="S3" s="4"/>
      <c r="AD3" s="24"/>
    </row>
    <row r="4" spans="2:62" ht="14.25" thickBot="1" x14ac:dyDescent="0.2">
      <c r="B4" s="96"/>
      <c r="C4" s="97"/>
      <c r="D4" s="98"/>
      <c r="E4" s="115"/>
      <c r="H4" s="24"/>
      <c r="I4" s="24"/>
      <c r="J4" s="24"/>
      <c r="K4" s="24"/>
      <c r="O4" s="24"/>
      <c r="R4" s="4"/>
      <c r="S4" s="4"/>
    </row>
    <row r="5" spans="2:62" ht="14.25" thickBot="1" x14ac:dyDescent="0.2">
      <c r="J5" s="61"/>
      <c r="K5" s="61"/>
      <c r="L5" s="4"/>
      <c r="M5" s="4"/>
      <c r="N5" s="4"/>
      <c r="O5" s="61"/>
      <c r="P5" s="4"/>
      <c r="Q5" s="4"/>
      <c r="R5" s="4"/>
      <c r="S5" s="4"/>
    </row>
    <row r="6" spans="2:62" x14ac:dyDescent="0.15">
      <c r="C6" s="186" t="s">
        <v>244</v>
      </c>
      <c r="D6" s="100"/>
      <c r="E6" s="100"/>
      <c r="F6" s="100"/>
      <c r="G6" s="100"/>
      <c r="H6" s="101"/>
      <c r="I6" s="102" t="s">
        <v>58</v>
      </c>
      <c r="J6" s="185" t="s">
        <v>57</v>
      </c>
      <c r="K6" s="185"/>
      <c r="L6" s="100"/>
      <c r="M6" s="100"/>
      <c r="N6" s="100"/>
      <c r="O6" s="165"/>
      <c r="P6" s="100"/>
      <c r="Q6" s="100"/>
      <c r="R6" s="99"/>
      <c r="S6" s="100"/>
      <c r="T6" s="92"/>
      <c r="U6" s="113"/>
      <c r="AD6" s="24"/>
      <c r="AE6" s="24"/>
      <c r="AF6" s="24"/>
      <c r="AG6" s="24"/>
      <c r="AH6" s="24"/>
      <c r="AI6" s="24"/>
      <c r="AJ6" s="24"/>
      <c r="AL6" s="24"/>
      <c r="AM6" s="24"/>
      <c r="AX6" s="24" t="s">
        <v>226</v>
      </c>
      <c r="BD6" s="4" t="s">
        <v>207</v>
      </c>
      <c r="BH6" s="4" t="s">
        <v>262</v>
      </c>
    </row>
    <row r="7" spans="2:62" s="4" customFormat="1" ht="81" customHeight="1" thickBot="1" x14ac:dyDescent="0.2">
      <c r="C7" s="187"/>
      <c r="D7" s="108" t="s">
        <v>37</v>
      </c>
      <c r="E7" s="104" t="s">
        <v>36</v>
      </c>
      <c r="F7" s="104" t="s">
        <v>35</v>
      </c>
      <c r="G7" s="104" t="s">
        <v>277</v>
      </c>
      <c r="H7" s="105" t="s">
        <v>30</v>
      </c>
      <c r="I7" s="107" t="s">
        <v>53</v>
      </c>
      <c r="J7" s="107" t="s">
        <v>52</v>
      </c>
      <c r="K7" s="107" t="s">
        <v>53</v>
      </c>
      <c r="L7" s="108" t="s">
        <v>208</v>
      </c>
      <c r="M7" s="108" t="s">
        <v>209</v>
      </c>
      <c r="N7" s="108" t="s">
        <v>210</v>
      </c>
      <c r="O7" s="108" t="s">
        <v>263</v>
      </c>
      <c r="P7" s="106" t="s">
        <v>211</v>
      </c>
      <c r="Q7" s="106" t="s">
        <v>212</v>
      </c>
      <c r="R7" s="103" t="s">
        <v>59</v>
      </c>
      <c r="S7" s="108" t="s">
        <v>54</v>
      </c>
      <c r="T7" s="150" t="s">
        <v>232</v>
      </c>
      <c r="U7" s="149" t="s">
        <v>231</v>
      </c>
      <c r="V7" s="24"/>
      <c r="W7" s="24"/>
      <c r="X7" s="24"/>
      <c r="Y7" s="24"/>
      <c r="Z7" s="24"/>
      <c r="AA7" s="24"/>
      <c r="AB7" s="24"/>
      <c r="AC7" s="24" t="s">
        <v>229</v>
      </c>
      <c r="AD7" s="24"/>
      <c r="AE7" s="24"/>
      <c r="AF7" s="24"/>
      <c r="AG7" s="33" t="s">
        <v>233</v>
      </c>
      <c r="AH7" s="33" t="s">
        <v>234</v>
      </c>
      <c r="AI7" s="24"/>
      <c r="AJ7" s="24"/>
      <c r="AL7" s="24"/>
      <c r="AM7" s="24"/>
      <c r="AN7" s="32"/>
      <c r="AO7" s="109" t="s">
        <v>24</v>
      </c>
      <c r="AP7" s="7" t="s">
        <v>25</v>
      </c>
      <c r="AQ7" s="7"/>
      <c r="AR7" s="20"/>
      <c r="AS7" s="7"/>
      <c r="AT7" s="20" t="s">
        <v>55</v>
      </c>
      <c r="AU7" s="20" t="s">
        <v>56</v>
      </c>
      <c r="AV7" s="20"/>
      <c r="AW7"/>
      <c r="AX7" t="s">
        <v>204</v>
      </c>
      <c r="AY7" t="s">
        <v>205</v>
      </c>
      <c r="AZ7" t="s">
        <v>206</v>
      </c>
      <c r="BA7" s="4" t="s">
        <v>29</v>
      </c>
      <c r="BD7" t="s">
        <v>204</v>
      </c>
      <c r="BE7" t="s">
        <v>205</v>
      </c>
      <c r="BF7" t="s">
        <v>206</v>
      </c>
      <c r="BH7" t="s">
        <v>15</v>
      </c>
      <c r="BI7" t="s">
        <v>19</v>
      </c>
      <c r="BJ7" t="s">
        <v>18</v>
      </c>
    </row>
    <row r="8" spans="2:62" s="4" customFormat="1" x14ac:dyDescent="0.15">
      <c r="B8" s="40"/>
      <c r="C8" s="141"/>
      <c r="D8" s="22"/>
      <c r="E8" s="110"/>
      <c r="F8" s="110"/>
      <c r="G8" s="110"/>
      <c r="H8" s="44" t="str">
        <f t="shared" ref="H8:H39" si="0">IF(COUNTA($E$4,$D$4,D8,E8)=4,IF(AO8+AP8/12&gt;17.583,"*",(E8-(INDEX(IF($E$4="F",Hfemalemean,Hmalemean),AP8+1,INT(R8)+1)))/(INDEX(IF($E$4="F",Hfemalesd,Hmalesd),AP8+1,INT(R8)+1))),"")</f>
        <v/>
      </c>
      <c r="I8" s="111" t="str">
        <f t="shared" ref="I8" si="1">IF(COUNTA($E$4,$D$4,D8,E8,F8)=5,IF(R8&lt;1,"*",IF(R8&gt;=6,"*",IF(E8&gt;=120,"*",IF(E8&lt;70,"*",(F8-AT8)/AT8*100)))),"")</f>
        <v/>
      </c>
      <c r="J8" s="111" t="str">
        <f t="shared" ref="J8:J39" si="2">IF(COUNTA($E$4,$D$4,D8,E8,F8)&lt;5,"",IF(R8&lt;6,"*",IF(AO8+AP8/12&gt;=17.583,"*",(F8-E8*INDEX(IF($E$4="F",muratafemale,muratamale),INT(R8)-4,1)-INDEX(IF($E$4="F",muratafemale,muratamale),INT(R8)-4,2))/(E8*INDEX(IF($E$4="F",muratafemale,muratamale),INT(R8)-4,1)+INDEX(IF($E$4="F",muratafemale,muratamale),INT(R8)-4,2))*100)))</f>
        <v/>
      </c>
      <c r="K8" s="111" t="str">
        <f>IF(COUNTA($E$4,$D$4,D8,E8,F8)=5,IF(E8&gt;=IF($E$4="M",181,174),"*",IF(E8&lt;101,"*",IF(R8&lt;6,"*",IF(AO8+AP8/12&gt;=17.583,"*",(F8-AU8)/AU8*100)))),"")</f>
        <v/>
      </c>
      <c r="L8" s="44" t="str">
        <f t="shared" ref="L8" si="3">IF(COUNTA($E$4,$D$4,D8,E8,F8)=5,F8/E8^2*10000,"")</f>
        <v/>
      </c>
      <c r="M8" s="111" t="str">
        <f>IF(COUNTA($E$4,$D$4,D8,E8,F8)=5,IF(AO8+AP8/12&gt;17.583,"*",NORMSDIST(((L8/AY8)^(AX8)-1)/AX8/AZ8)*100),"")</f>
        <v/>
      </c>
      <c r="N8" s="44" t="str">
        <f>IF(COUNTA($E$4,$D$4,D8,E8,F8)=5,IF(AO8+AP8/12&gt;17.583,"*",((L8/AY8)^(AX8)-1)/AX8/AZ8),"")</f>
        <v/>
      </c>
      <c r="O8" s="44" t="str">
        <f t="shared" ref="O8:O39" si="4">IF(COUNTA($E$4,$D$4,D8,E8,F8)=5,IF(AO8+AP8/12&gt;17.583,"*",((F8/BI8)^(BH8)-1)/BH8/BJ8),"")</f>
        <v/>
      </c>
      <c r="P8" s="111" t="str">
        <f>IF(COUNTA($E$4,$D$4,D8,G8)=4,IF(R8&gt;77,"*",NORMSDIST(((G8/BE8)^(BD8)-1)/BD8/BF8)*100),"")</f>
        <v/>
      </c>
      <c r="Q8" s="44" t="str">
        <f>IF(COUNTA($E$4,$D$4,D8,G8)=4,IF(R8&gt;77,"*",((G8/BE8)^(BD8)-1)/BD8/BF8),"")</f>
        <v/>
      </c>
      <c r="R8" s="157" t="str">
        <f>IF(COUNT($D$4,D8)=2,DATEDIF($D$4,D8,"Y")+(D8-(DATE(YEAR($D$4)+DATEDIF($D$4,D8,"Y"),MONTH($D$4),DAY($D$4))))/(365+IF(MOD(YEAR((DATE(YEAR(D8)-1,MONTH($D$4),DAY($D$4)))),4)=0,IF((DATE(YEAR(D8)-1,MONTH($D$4),DAY($D$4)))&gt;DATE(YEAR((DATE(YEAR(D8)-1,MONTH($D$4),DAY($D$4)))),2,29),0,1),0)+IF(MOD(YEAR(D8),4)=0,IF(D8&gt;DATE(YEAR(D8),2,29),1,0),0)),"")</f>
        <v/>
      </c>
      <c r="S8" s="44" t="str">
        <f>IF(R8="","",AO8&amp;"歳"&amp;AP8&amp;"か月")</f>
        <v/>
      </c>
      <c r="T8" s="140"/>
      <c r="U8" s="140"/>
      <c r="V8" s="24"/>
      <c r="W8" s="24"/>
      <c r="X8" s="24"/>
      <c r="Y8" s="24"/>
      <c r="Z8" s="24"/>
      <c r="AA8" s="24">
        <f>COUNTA(C8)+AA7</f>
        <v>0</v>
      </c>
      <c r="AB8" s="24"/>
      <c r="AC8" s="24" t="str">
        <f>IF(COUNTA(C8)=1,R8,"")</f>
        <v/>
      </c>
      <c r="AD8" s="24" t="str">
        <f>IF(COUNTA(C8)=1,E8,"")</f>
        <v/>
      </c>
      <c r="AE8" s="24">
        <f>IF(COUNTA(C8)=1,E8,AE7)</f>
        <v>0</v>
      </c>
      <c r="AG8" s="24"/>
      <c r="AH8" s="24"/>
      <c r="AI8" s="24"/>
      <c r="AJ8" s="24"/>
      <c r="AL8" s="24"/>
      <c r="AM8" s="24"/>
      <c r="AN8" s="31"/>
      <c r="AO8" s="34">
        <f t="shared" ref="AO8:AO39" si="5">DATEDIF($D$4,D8,"Y")</f>
        <v>0</v>
      </c>
      <c r="AP8" s="24">
        <f t="shared" ref="AP8:AP39" si="6">DATEDIF($D$4,D8,"YM")</f>
        <v>0</v>
      </c>
      <c r="AQ8" s="24"/>
      <c r="AR8" s="38"/>
      <c r="AS8" s="112"/>
      <c r="AT8" s="59">
        <f t="shared" ref="AT8:AT39" si="7">IF($E$4="M",2.06*10^-3*E8^2-0.1166*E8+6.5273,2.49*10^-3*E8^2-0.1858*E8+9.036)</f>
        <v>9.0359999999999996</v>
      </c>
      <c r="AU8" s="59">
        <f t="shared" ref="AU8:AU39" si="8">((E8/100)^3*INDEX(itoOI,IF($E$4="M",0,3)+IF(E8&lt;140,1,IF(E8&lt;=149,2,3)),1)+(E8/100)^2*INDEX(itoOI,IF($E$4="M",0,3)+IF(E8&lt;140,1,IF(E8&lt;=149,2,3)),2)+(E8/100)*INDEX(itoOI,IF($E$4="M",0,3)+IF(E8&lt;140,1,IF(E8&lt;=149,2,3)),3)+INDEX(itoOI,IF($E$4="M",0,3)+IF(E8&lt;140,1,IF(E8&lt;=149,2,3)),4))</f>
        <v>-184.49199999999999</v>
      </c>
      <c r="AV8" s="59"/>
      <c r="AW8"/>
      <c r="AX8">
        <f>IF($E$4="M",IF(BA8&lt;78,BMILMS!$D$5*BA8^3+BMILMS!$E$5*BA8^2+BMILMS!$F$5*BA8+BMILMS!$G$5,IF(BA8&lt;150,BMILMS!$D$6*BA8^3+BMILMS!$E$6*BA8^2+BMILMS!$F$6*BA8+BMILMS!$G$6,BMILMS!$D$7*BA8^3+BMILMS!$E$7*BA8^2+BMILMS!$F$7*BA8+BMILMS!$G$7)),IF(BA8&lt;69,BMILMS!$D$9*BA8^3+BMILMS!$E$9*BA8^2+BMILMS!$F$9*BA8+BMILMS!$G$9,IF(BA8&lt;150,BMILMS!$D$10*BA8^3+BMILMS!$E$10*BA8^2+BMILMS!$F$10*BA8+BMILMS!$G$10,BMILMS!$D$11*BA8^3+BMILMS!$E$11*BA8^2+BMILMS!$F$11*BA8+BMILMS!$G$11)))</f>
        <v>0.79584630099999998</v>
      </c>
      <c r="AY8">
        <f>IF($E$4="M",(IF(BA8&lt;2.5,BMILMS!$D$21*BA8^3+BMILMS!$E$21*BA8^2+BMILMS!$F$21*BA8+BMILMS!$G$21,IF(BA8&lt;9.5,BMILMS!$D$22*BA8^3+BMILMS!$E$22*BA8^2+BMILMS!$F$22*BA8+BMILMS!$G$22,IF(BA8&lt;26.75,BMILMS!$D$23*BA8^3+BMILMS!$E$23*BA8^2+BMILMS!$F$23*BA8+BMILMS!$G$23,IF(BA8&lt;90,BMILMS!$D$24*BA8^3+BMILMS!$E$24*BA8^2+BMILMS!$F$24*BA8+BMILMS!$G$24,BMILMS!$D$25*BA8^3+BMILMS!$E$25*BA8^2+BMILMS!$F$25*BA8+BMILMS!$G$25))))),(IF(BA8&lt;2.5,BMILMS!$D$27*BA8^3+BMILMS!$E$27*BA8^2+BMILMS!$F$27*BA8+BMILMS!$G$27,IF(BA8&lt;9.5,BMILMS!$D$28*BA8^3+BMILMS!$E$28*BA8^2+BMILMS!$F$28*BA8+BMILMS!$G$28,IF(BA8&lt;26.75,BMILMS!$D$29*BA8^3+BMILMS!$E$29*BA8^2+BMILMS!$F$29*BA8+BMILMS!$G$29,IF(BA8&lt;90,BMILMS!$D$30*BA8^3+BMILMS!$E$30*BA8^2+BMILMS!$F$30*BA8+BMILMS!$G$30,IF(BA8&lt;150,BMILMS!$D$31*BA8^3+BMILMS!$E$31*BA8^2+BMILMS!$F$31*BA8+BMILMS!$G$31,BMILMS!$D$32*BA8^3+BMILMS!$E$32*BA8^2+BMILMS!$F$32*BA8+BMILMS!$G$32)))))))</f>
        <v>12.568967990000001</v>
      </c>
      <c r="AZ8">
        <f>IF($E$4="M",(IF(BA8&lt;90,BMILMS!$D$14*BA8^3+BMILMS!$E$14*BA8^2+BMILMS!$F$14*BA8+BMILMS!$G$14,BMILMS!$D$15*BA8^3+BMILMS!$E$15*BA8^2+BMILMS!$F$15*BA8+BMILMS!$G$15)),(IF(BA8&lt;90,BMILMS!$D$17*BA8^3+BMILMS!$E$17*BA8^2+BMILMS!$F$17*BA8+BMILMS!$G$17,BMILMS!$D$18*BA8^3+BMILMS!$E$18*BA8^2+BMILMS!$F$18*BA8+BMILMS!$G$18)))</f>
        <v>8.8969350000000003E-2</v>
      </c>
      <c r="BA8" s="24">
        <f>AO8*12+AP8</f>
        <v>0</v>
      </c>
      <c r="BB8" s="24">
        <f t="shared" ref="BB8:BB39" si="9">IF(COUNTA(C8)=1,BA8,BB7)</f>
        <v>0</v>
      </c>
      <c r="BD8">
        <f>INDEX(IF($E$4="M",IGFmale, IGFfemale), AO8+1,1)</f>
        <v>0.56299999999999994</v>
      </c>
      <c r="BE8">
        <f>INDEX(IF($E$4="M",IGFmale, IGFfemale), AO8+1,2)</f>
        <v>69</v>
      </c>
      <c r="BF8">
        <f>INDEX(IF($E$4="M",IGFmale, IGFfemale), AO8+1,3)</f>
        <v>0.51</v>
      </c>
      <c r="BH8" s="35">
        <f>IF($E$4="M",WeightSDS!P$5*$BA8^7+WeightSDS!Q$5*$BA8^6+WeightSDS!R$5*$BA8^5+WeightSDS!S$5*$BA8^4+WeightSDS!T$5*$BA8^3+WeightSDS!U$5*$BA8^2+WeightSDS!V$5*$BA8+WeightSDS!W$5,IF($BA8&lt;186,WeightSDS!P$8*$BA8^7+WeightSDS!Q$8*$BA8^6+WeightSDS!R$8*$BA8^5+WeightSDS!S$8*$BA8^4+WeightSDS!T$8*$BA8^3+WeightSDS!U$8*$BA8^2+WeightSDS!V$8*$BA8+WeightSDS!W$8,WeightSDS!$U$9+WeightSDS!$V$9*($BA8-WeightSDS!$W$9)))</f>
        <v>0.75407122999999998</v>
      </c>
      <c r="BI8" s="24">
        <f>IF($E$4="M",IF($BA8&lt;45,WeightSDS!M$23*$BA8^10+WeightSDS!N$23*$BA8^9+WeightSDS!O$23*$BA8^8+WeightSDS!P$23*$BA8^7+WeightSDS!Q$23*$BA8^6+WeightSDS!R$23*$BA8^5+WeightSDS!S$23*$BA8^4+WeightSDS!T$23*$BA8^3+WeightSDS!U$23*$BA8^2+WeightSDS!V$23*$BA8+WeightSDS!W$23,IF($BA8&lt;153,WeightSDS!M$25*$BA8^10+WeightSDS!N$25*$BA8^9+WeightSDS!O$25*$BA8^8+WeightSDS!P$25*$BA8^7+WeightSDS!Q$25*$BA8^6+WeightSDS!R$25*$BA8^5+WeightSDS!S$25*$BA8^4+WeightSDS!T$25*$BA8^3+WeightSDS!U$25*$BA8^2+WeightSDS!V$25*$BA8+WeightSDS!W$25,WeightSDS!M$27+WeightSDS!N$27/(1+EXP(WeightSDS!O$27+WeightSDS!P$27*$BA8)))),IF($BA8&lt;43.8,WeightSDS!M$29*$BA8^10+WeightSDS!N$29*$BA8^9+WeightSDS!O$29*$BA8^8+WeightSDS!P$29*$BA8^7+WeightSDS!Q$29*$BA8^6+WeightSDS!R$29*$BA8^5+WeightSDS!S$29*$BA8^4+WeightSDS!T$29*$BA8^3+WeightSDS!U$29*$BA8^2+WeightSDS!V$29*$BA8+WeightSDS!W$29-0.010431*(1-$BA8/210),IF($BA8&lt;123,WeightSDS!M$30*$BA8^10+WeightSDS!N$30*$BA8^9+WeightSDS!O$30*$BA8^8+WeightSDS!P$30*$BA8^7+WeightSDS!Q$30*$BA8^6+WeightSDS!R$30*$BA8^5+WeightSDS!S$30*$BA8^4+WeightSDS!T$30*$BA8^3+WeightSDS!U$30*$BA8^2+WeightSDS!V$30*$BA8+WeightSDS!W$30-0.010431*(1-1/$BA8),WeightSDS!M$32+WeightSDS!N$32/(1+EXP(WeightSDS!O$32+WeightSDS!P$32*$BA8))-0.010431*(1-$BA8/210))))</f>
        <v>2.9500001032655536</v>
      </c>
      <c r="BJ8" s="24">
        <f>IF($E$4="M",IF($BA8&lt;162,WeightSDS!P$12*$BA8^7+WeightSDS!Q$12*$BA8^6+WeightSDS!R$12*$BA8^5+WeightSDS!S$12*$BA8^4+WeightSDS!T$12*$BA8^3+WeightSDS!U$12*$BA8^2+WeightSDS!V$12*$BA8+WeightSDS!W$12,WeightSDS!P$14*$BA8^7+WeightSDS!Q$14*$BA8^6+WeightSDS!R$14*$BA8^5+WeightSDS!S$14*$BA8^4+WeightSDS!T$14*$BA8^3+WeightSDS!U$14*$BA8^2+WeightSDS!V$14*$BA8+WeightSDS!W$14),IF($BA8&lt;156,WeightSDS!O$17*$BA8^8+WeightSDS!P$17*$BA8^7+WeightSDS!Q$17*$BA8^6+WeightSDS!R$17*$BA8^5+WeightSDS!S$17*$BA8^4+WeightSDS!T$17*$BA8^3+WeightSDS!U$17*$BA8^2+WeightSDS!V$17*$BA8+WeightSDS!W$17,IF($BA8&lt;186,WeightSDS!$U$18+(WeightSDS!$V$18-WeightSDS!$U$18)/24*($BA8-186)+WeightSDS!$W$18*(-$BA8+186)^2-0.005,WeightSDS!$U$18+(WeightSDS!$V$18-WeightSDS!$U$18)/24*($BA8-186)-0.005)))</f>
        <v>0.14604529399999999</v>
      </c>
    </row>
    <row r="9" spans="2:62" s="4" customFormat="1" x14ac:dyDescent="0.15">
      <c r="B9" s="40"/>
      <c r="C9" s="141"/>
      <c r="D9" s="22"/>
      <c r="E9" s="110"/>
      <c r="F9" s="110"/>
      <c r="G9" s="110"/>
      <c r="H9" s="44" t="str">
        <f t="shared" si="0"/>
        <v/>
      </c>
      <c r="I9" s="111" t="str">
        <f t="shared" ref="I9:I57" si="10">IF(COUNTA($E$4,$D$4,D9,E9,F9)=5,IF(R9&lt;1,"*",IF(R9&gt;=6,"*",IF(E9&gt;=120,"*",IF(E9&lt;70,"*",(F9-AT9)/AT9*100)))),"")</f>
        <v/>
      </c>
      <c r="J9" s="111" t="str">
        <f t="shared" si="2"/>
        <v/>
      </c>
      <c r="K9" s="111" t="str">
        <f t="shared" ref="K9:K57" si="11">IF(COUNTA($E$4,$D$4,D9,E9,F9)=5,IF(E9&gt;=IF($E$4="M",181,174),"*",IF(E9&lt;101,"*",IF(R9&lt;6,"*",IF(AO9+AP9/12&gt;=17.583,"*",(F9-AU9)/AU9*100)))),"")</f>
        <v/>
      </c>
      <c r="L9" s="44" t="str">
        <f t="shared" ref="L9:L57" si="12">IF(COUNTA($E$4,$D$4,D9,E9,F9)=5,F9/E9^2*10000,"")</f>
        <v/>
      </c>
      <c r="M9" s="111" t="str">
        <f t="shared" ref="M9:M57" si="13">IF(COUNTA($E$4,$D$4,D9,E9,F9)=5,IF(AO9+AP9/12&gt;17.583,"*",NORMSDIST(((L9/AY9)^(AX9)-1)/AX9/AZ9)*100),"")</f>
        <v/>
      </c>
      <c r="N9" s="44" t="str">
        <f t="shared" ref="N9:N57" si="14">IF(COUNTA($E$4,$D$4,D9,E9,F9)=5,IF(AO9+AP9/12&gt;17.583,"*",((L9/AY9)^(AX9)-1)/AX9/AZ9),"")</f>
        <v/>
      </c>
      <c r="O9" s="44" t="str">
        <f t="shared" si="4"/>
        <v/>
      </c>
      <c r="P9" s="111" t="str">
        <f t="shared" ref="P9:P57" si="15">IF(COUNTA($E$4,$D$4,D9,G9)=4,IF(R9&gt;77,"*",NORMSDIST(((G9/BE9)^(BD9)-1)/BD9/BF9)*100),"")</f>
        <v/>
      </c>
      <c r="Q9" s="44" t="str">
        <f t="shared" ref="Q9:Q57" si="16">IF(COUNTA($E$4,$D$4,D9,G9)=4,IF(R9&gt;77,"*",((G9/BE9)^(BD9)-1)/BD9/BF9),"")</f>
        <v/>
      </c>
      <c r="R9" s="157" t="str">
        <f>IF(COUNT($D$4,D9)=2,DATEDIF($D$4,D9,"Y")+(D9-(DATE(YEAR($D$4)+DATEDIF($D$4,D9,"Y"),MONTH($D$4),DAY($D$4))))/(365+IF(MOD(YEAR((DATE(YEAR(D9)-1,MONTH($D$4),DAY($D$4)))),4)=0,IF((DATE(YEAR(D9)-1,MONTH($D$4),DAY($D$4)))&gt;DATE(YEAR((DATE(YEAR(D9)-1,MONTH($D$4),DAY($D$4)))),2,29),0,1),0)+IF(MOD(YEAR(D9),4)=0,IF(D9&gt;DATE(YEAR(D9),2,29),1,0),0)),"")</f>
        <v/>
      </c>
      <c r="S9" s="44" t="str">
        <f t="shared" ref="S9:S57" si="17">IF(R9="","",AO9&amp;"歳"&amp;AP9&amp;"か月")</f>
        <v/>
      </c>
      <c r="T9" s="140" t="str">
        <f t="shared" ref="T9:T18" si="18">IF(AA9=1,"",IF(AE9=AE8,"",(AE9-AE8)/(AC9-AC8)))</f>
        <v/>
      </c>
      <c r="U9" s="140" t="str">
        <f t="shared" ref="U9:U39" si="19">IF(COUNT(T9)=1,IF(AA9=1,"",IF(COUNTA(C9)=1,IF(AG9&lt;1,"NA",IF(AG9&gt;=17,IF(AH9&gt;=IF($D$4="M",10,4),"NA",IF(BB9&gt;BB8,AM9,"NA")),IF(BB9&gt;BB8,AM9,"NA"))),"")),"")</f>
        <v/>
      </c>
      <c r="V9" s="24"/>
      <c r="W9" s="24"/>
      <c r="X9" s="24"/>
      <c r="Y9" s="24"/>
      <c r="Z9" s="24"/>
      <c r="AA9" s="24">
        <f t="shared" ref="AA9:AA39" si="20">COUNTA(C9)+AA8</f>
        <v>0</v>
      </c>
      <c r="AB9" s="24"/>
      <c r="AC9" s="24" t="str">
        <f>IF(COUNTA(C9)=1,R9,R8)</f>
        <v/>
      </c>
      <c r="AD9" s="24" t="str">
        <f t="shared" ref="AD9:AD39" si="21">IF(COUNTA(C9)=1,E9,"")</f>
        <v/>
      </c>
      <c r="AE9" s="24">
        <f t="shared" ref="AE9:AE39" si="22">IF(COUNTA(C9)=1,E9,AE8)</f>
        <v>0</v>
      </c>
      <c r="AG9" s="24" t="e">
        <f>ROUNDDOWN(AC8+(AC9-AC8)/2,0)</f>
        <v>#VALUE!</v>
      </c>
      <c r="AH9" s="24" t="e">
        <f>ROUNDDOWN((AC8+(AC9-AC8)/2-AG9)*12,0)</f>
        <v>#VALUE!</v>
      </c>
      <c r="AI9" s="24" t="e">
        <f t="shared" ref="AI9:AI20" si="23">INDEX(IF($E$4="M",MHVaverage,FHVaverage),AH9+1,AG9+1)</f>
        <v>#VALUE!</v>
      </c>
      <c r="AJ9" s="24" t="e">
        <f t="shared" ref="AJ9:AJ20" si="24">INDEX(IF($E$4="M",MHVstd,FHVstd),AH9+1,AG9+1)</f>
        <v>#VALUE!</v>
      </c>
      <c r="AL9" s="24"/>
      <c r="AM9" s="24" t="e">
        <f>(T9-AI9)/AJ9</f>
        <v>#VALUE!</v>
      </c>
      <c r="AN9" s="31"/>
      <c r="AO9" s="34">
        <f t="shared" si="5"/>
        <v>0</v>
      </c>
      <c r="AP9" s="24">
        <f t="shared" si="6"/>
        <v>0</v>
      </c>
      <c r="AQ9" s="24"/>
      <c r="AR9" s="112"/>
      <c r="AS9" s="112"/>
      <c r="AT9" s="59">
        <f t="shared" si="7"/>
        <v>9.0359999999999996</v>
      </c>
      <c r="AU9" s="59">
        <f t="shared" si="8"/>
        <v>-184.49199999999999</v>
      </c>
      <c r="AV9" s="59"/>
      <c r="AW9"/>
      <c r="AX9">
        <f>IF($E$4="M",IF(BA9&lt;78,BMILMS!$D$5*BA9^3+BMILMS!$E$5*BA9^2+BMILMS!$F$5*BA9+BMILMS!$G$5,IF(BA9&lt;150,BMILMS!$D$6*BA9^3+BMILMS!$E$6*BA9^2+BMILMS!$F$6*BA9+BMILMS!$G$6,BMILMS!$D$7*BA9^3+BMILMS!$E$7*BA9^2+BMILMS!$F$7*BA9+BMILMS!$G$7)),IF(BA9&lt;69,BMILMS!$D$9*BA9^3+BMILMS!$E$9*BA9^2+BMILMS!$F$9*BA9+BMILMS!$G$9,IF(BA9&lt;150,BMILMS!$D$10*BA9^3+BMILMS!$E$10*BA9^2+BMILMS!$F$10*BA9+BMILMS!$G$10,BMILMS!$D$11*BA9^3+BMILMS!$E$11*BA9^2+BMILMS!$F$11*BA9+BMILMS!$G$11)))</f>
        <v>0.79584630099999998</v>
      </c>
      <c r="AY9">
        <f>IF($E$4="M",(IF(BA9&lt;2.5,BMILMS!$D$21*BA9^3+BMILMS!$E$21*BA9^2+BMILMS!$F$21*BA9+BMILMS!$G$21,IF(BA9&lt;9.5,BMILMS!$D$22*BA9^3+BMILMS!$E$22*BA9^2+BMILMS!$F$22*BA9+BMILMS!$G$22,IF(BA9&lt;26.75,BMILMS!$D$23*BA9^3+BMILMS!$E$23*BA9^2+BMILMS!$F$23*BA9+BMILMS!$G$23,IF(BA9&lt;90,BMILMS!$D$24*BA9^3+BMILMS!$E$24*BA9^2+BMILMS!$F$24*BA9+BMILMS!$G$24,BMILMS!$D$25*BA9^3+BMILMS!$E$25*BA9^2+BMILMS!$F$25*BA9+BMILMS!$G$25))))),(IF(BA9&lt;2.5,BMILMS!$D$27*BA9^3+BMILMS!$E$27*BA9^2+BMILMS!$F$27*BA9+BMILMS!$G$27,IF(BA9&lt;9.5,BMILMS!$D$28*BA9^3+BMILMS!$E$28*BA9^2+BMILMS!$F$28*BA9+BMILMS!$G$28,IF(BA9&lt;26.75,BMILMS!$D$29*BA9^3+BMILMS!$E$29*BA9^2+BMILMS!$F$29*BA9+BMILMS!$G$29,IF(BA9&lt;90,BMILMS!$D$30*BA9^3+BMILMS!$E$30*BA9^2+BMILMS!$F$30*BA9+BMILMS!$G$30,IF(BA9&lt;150,BMILMS!$D$31*BA9^3+BMILMS!$E$31*BA9^2+BMILMS!$F$31*BA9+BMILMS!$G$31,BMILMS!$D$32*BA9^3+BMILMS!$E$32*BA9^2+BMILMS!$F$32*BA9+BMILMS!$G$32)))))))</f>
        <v>12.568967990000001</v>
      </c>
      <c r="AZ9">
        <f>IF($E$4="M",(IF(BA9&lt;90,BMILMS!$D$14*BA9^3+BMILMS!$E$14*BA9^2+BMILMS!$F$14*BA9+BMILMS!$G$14,BMILMS!$D$15*BA9^3+BMILMS!$E$15*BA9^2+BMILMS!$F$15*BA9+BMILMS!$G$15)),(IF(BA9&lt;90,BMILMS!$D$17*BA9^3+BMILMS!$E$17*BA9^2+BMILMS!$F$17*BA9+BMILMS!$G$17,BMILMS!$D$18*BA9^3+BMILMS!$E$18*BA9^2+BMILMS!$F$18*BA9+BMILMS!$G$18)))</f>
        <v>8.8969350000000003E-2</v>
      </c>
      <c r="BA9" s="24">
        <f t="shared" ref="BA9:BA14" si="25">AO9*12+AP9</f>
        <v>0</v>
      </c>
      <c r="BB9" s="24">
        <f t="shared" si="9"/>
        <v>0</v>
      </c>
      <c r="BD9">
        <f>INDEX(IF($E$4="M",IGFmale, IGFfemale), AO9+1,1)</f>
        <v>0.56299999999999994</v>
      </c>
      <c r="BE9">
        <f>INDEX(IF($E$4="M",IGFmale, IGFfemale), AO9+1,2)</f>
        <v>69</v>
      </c>
      <c r="BF9">
        <f t="shared" ref="BF9:BF33" si="26">INDEX(IF($E$4="M",IGFmale, IGFfemale), AO9+1,3)</f>
        <v>0.51</v>
      </c>
      <c r="BH9" s="35">
        <f>IF($E$4="M",WeightSDS!P$5*$BA9^7+WeightSDS!Q$5*$BA9^6+WeightSDS!R$5*$BA9^5+WeightSDS!S$5*$BA9^4+WeightSDS!T$5*$BA9^3+WeightSDS!U$5*$BA9^2+WeightSDS!V$5*$BA9+WeightSDS!W$5,IF($BA9&lt;186,WeightSDS!P$8*$BA9^7+WeightSDS!Q$8*$BA9^6+WeightSDS!R$8*$BA9^5+WeightSDS!S$8*$BA9^4+WeightSDS!T$8*$BA9^3+WeightSDS!U$8*$BA9^2+WeightSDS!V$8*$BA9+WeightSDS!W$8,WeightSDS!$U$9+WeightSDS!$V$9*($BA9-WeightSDS!$W$9)))</f>
        <v>0.75407122999999998</v>
      </c>
      <c r="BI9" s="24">
        <f>IF($E$4="M",IF($BA9&lt;45,WeightSDS!M$23*$BA9^10+WeightSDS!N$23*$BA9^9+WeightSDS!O$23*$BA9^8+WeightSDS!P$23*$BA9^7+WeightSDS!Q$23*$BA9^6+WeightSDS!R$23*$BA9^5+WeightSDS!S$23*$BA9^4+WeightSDS!T$23*$BA9^3+WeightSDS!U$23*$BA9^2+WeightSDS!V$23*$BA9+WeightSDS!W$23,IF($BA9&lt;153,WeightSDS!M$25*$BA9^10+WeightSDS!N$25*$BA9^9+WeightSDS!O$25*$BA9^8+WeightSDS!P$25*$BA9^7+WeightSDS!Q$25*$BA9^6+WeightSDS!R$25*$BA9^5+WeightSDS!S$25*$BA9^4+WeightSDS!T$25*$BA9^3+WeightSDS!U$25*$BA9^2+WeightSDS!V$25*$BA9+WeightSDS!W$25,WeightSDS!M$27+WeightSDS!N$27/(1+EXP(WeightSDS!O$27+WeightSDS!P$27*$BA9)))),IF($BA9&lt;43.8,WeightSDS!M$29*$BA9^10+WeightSDS!N$29*$BA9^9+WeightSDS!O$29*$BA9^8+WeightSDS!P$29*$BA9^7+WeightSDS!Q$29*$BA9^6+WeightSDS!R$29*$BA9^5+WeightSDS!S$29*$BA9^4+WeightSDS!T$29*$BA9^3+WeightSDS!U$29*$BA9^2+WeightSDS!V$29*$BA9+WeightSDS!W$29-0.010431*(1-$BA9/210),IF($BA9&lt;123,WeightSDS!M$30*$BA9^10+WeightSDS!N$30*$BA9^9+WeightSDS!O$30*$BA9^8+WeightSDS!P$30*$BA9^7+WeightSDS!Q$30*$BA9^6+WeightSDS!R$30*$BA9^5+WeightSDS!S$30*$BA9^4+WeightSDS!T$30*$BA9^3+WeightSDS!U$30*$BA9^2+WeightSDS!V$30*$BA9+WeightSDS!W$30-0.010431*(1-1/$BA9),WeightSDS!M$32+WeightSDS!N$32/(1+EXP(WeightSDS!O$32+WeightSDS!P$32*$BA9))-0.010431*(1-$BA9/210))))</f>
        <v>2.9500001032655536</v>
      </c>
      <c r="BJ9" s="24">
        <f>IF($E$4="M",IF($BA9&lt;162,WeightSDS!P$12*$BA9^7+WeightSDS!Q$12*$BA9^6+WeightSDS!R$12*$BA9^5+WeightSDS!S$12*$BA9^4+WeightSDS!T$12*$BA9^3+WeightSDS!U$12*$BA9^2+WeightSDS!V$12*$BA9+WeightSDS!W$12,WeightSDS!P$14*$BA9^7+WeightSDS!Q$14*$BA9^6+WeightSDS!R$14*$BA9^5+WeightSDS!S$14*$BA9^4+WeightSDS!T$14*$BA9^3+WeightSDS!U$14*$BA9^2+WeightSDS!V$14*$BA9+WeightSDS!W$14),IF($BA9&lt;156,WeightSDS!O$17*$BA9^8+WeightSDS!P$17*$BA9^7+WeightSDS!Q$17*$BA9^6+WeightSDS!R$17*$BA9^5+WeightSDS!S$17*$BA9^4+WeightSDS!T$17*$BA9^3+WeightSDS!U$17*$BA9^2+WeightSDS!V$17*$BA9+WeightSDS!W$17,IF($BA9&lt;186,WeightSDS!$U$18+(WeightSDS!$V$18-WeightSDS!$U$18)/24*($BA9-186)+WeightSDS!$W$18*(-$BA9+186)^2-0.005,WeightSDS!$U$18+(WeightSDS!$V$18-WeightSDS!$U$18)/24*($BA9-186)-0.005)))</f>
        <v>0.14604529399999999</v>
      </c>
    </row>
    <row r="10" spans="2:62" s="4" customFormat="1" x14ac:dyDescent="0.15">
      <c r="B10" s="40"/>
      <c r="C10" s="141"/>
      <c r="D10" s="22"/>
      <c r="E10" s="110"/>
      <c r="F10" s="110"/>
      <c r="G10" s="110"/>
      <c r="H10" s="44" t="str">
        <f t="shared" si="0"/>
        <v/>
      </c>
      <c r="I10" s="111" t="str">
        <f t="shared" si="10"/>
        <v/>
      </c>
      <c r="J10" s="111" t="str">
        <f t="shared" si="2"/>
        <v/>
      </c>
      <c r="K10" s="111" t="str">
        <f t="shared" si="11"/>
        <v/>
      </c>
      <c r="L10" s="44" t="str">
        <f t="shared" si="12"/>
        <v/>
      </c>
      <c r="M10" s="111" t="str">
        <f t="shared" si="13"/>
        <v/>
      </c>
      <c r="N10" s="44" t="str">
        <f t="shared" si="14"/>
        <v/>
      </c>
      <c r="O10" s="44" t="str">
        <f t="shared" si="4"/>
        <v/>
      </c>
      <c r="P10" s="111" t="str">
        <f t="shared" si="15"/>
        <v/>
      </c>
      <c r="Q10" s="44" t="str">
        <f t="shared" si="16"/>
        <v/>
      </c>
      <c r="R10" s="157" t="str">
        <f>IF(COUNT($D$4,D10)=2,DATEDIF($D$4,D10,"Y")+(D10-(DATE(YEAR($D$4)+DATEDIF($D$4,D10,"Y"),MONTH($D$4),DAY($D$4))))/(365+IF(MOD(YEAR((DATE(YEAR(D10)-1,MONTH($D$4),DAY($D$4)))),4)=0,IF((DATE(YEAR(D10)-1,MONTH($D$4),DAY($D$4)))&gt;DATE(YEAR((DATE(YEAR(D10)-1,MONTH($D$4),DAY($D$4)))),2,29),0,1),0)+IF(MOD(YEAR(D10),4)=0,IF(D10&gt;DATE(YEAR(D10),2,29),1,0),0)),"")</f>
        <v/>
      </c>
      <c r="S10" s="44" t="str">
        <f t="shared" si="17"/>
        <v/>
      </c>
      <c r="T10" s="140" t="str">
        <f t="shared" si="18"/>
        <v/>
      </c>
      <c r="U10" s="140" t="str">
        <f t="shared" si="19"/>
        <v/>
      </c>
      <c r="V10" s="24"/>
      <c r="W10" s="24"/>
      <c r="X10" s="24"/>
      <c r="Y10" s="24"/>
      <c r="Z10" s="24"/>
      <c r="AA10" s="24">
        <f t="shared" si="20"/>
        <v>0</v>
      </c>
      <c r="AB10" s="24"/>
      <c r="AC10" s="24" t="str">
        <f t="shared" ref="AC10:AC57" si="27">IF(COUNTA(C10)=1,R10,AC9)</f>
        <v/>
      </c>
      <c r="AD10" s="24" t="str">
        <f t="shared" si="21"/>
        <v/>
      </c>
      <c r="AE10" s="24">
        <f t="shared" si="22"/>
        <v>0</v>
      </c>
      <c r="AG10" s="24" t="e">
        <f>ROUNDDOWN(AC9+(AC10-AC9)/2,0)</f>
        <v>#VALUE!</v>
      </c>
      <c r="AH10" s="24" t="e">
        <f>ROUNDDOWN((AC9+(AC10-AC9)/2-AG10)*12,0)</f>
        <v>#VALUE!</v>
      </c>
      <c r="AI10" s="24" t="e">
        <f t="shared" si="23"/>
        <v>#VALUE!</v>
      </c>
      <c r="AJ10" s="24" t="e">
        <f t="shared" si="24"/>
        <v>#VALUE!</v>
      </c>
      <c r="AL10" s="24"/>
      <c r="AM10" s="24" t="e">
        <f>(T10-AI10)/AJ10</f>
        <v>#VALUE!</v>
      </c>
      <c r="AN10" s="31"/>
      <c r="AO10" s="34">
        <f t="shared" si="5"/>
        <v>0</v>
      </c>
      <c r="AP10" s="24">
        <f t="shared" si="6"/>
        <v>0</v>
      </c>
      <c r="AQ10" s="24"/>
      <c r="AR10" s="112"/>
      <c r="AS10" s="112"/>
      <c r="AT10" s="59">
        <f t="shared" si="7"/>
        <v>9.0359999999999996</v>
      </c>
      <c r="AU10" s="59">
        <f t="shared" si="8"/>
        <v>-184.49199999999999</v>
      </c>
      <c r="AV10" s="59"/>
      <c r="AW10"/>
      <c r="AX10">
        <f>IF($E$4="M",IF(BA10&lt;78,BMILMS!$D$5*BA10^3+BMILMS!$E$5*BA10^2+BMILMS!$F$5*BA10+BMILMS!$G$5,IF(BA10&lt;150,BMILMS!$D$6*BA10^3+BMILMS!$E$6*BA10^2+BMILMS!$F$6*BA10+BMILMS!$G$6,BMILMS!$D$7*BA10^3+BMILMS!$E$7*BA10^2+BMILMS!$F$7*BA10+BMILMS!$G$7)),IF(BA10&lt;69,BMILMS!$D$9*BA10^3+BMILMS!$E$9*BA10^2+BMILMS!$F$9*BA10+BMILMS!$G$9,IF(BA10&lt;150,BMILMS!$D$10*BA10^3+BMILMS!$E$10*BA10^2+BMILMS!$F$10*BA10+BMILMS!$G$10,BMILMS!$D$11*BA10^3+BMILMS!$E$11*BA10^2+BMILMS!$F$11*BA10+BMILMS!$G$11)))</f>
        <v>0.79584630099999998</v>
      </c>
      <c r="AY10">
        <f>IF($E$4="M",(IF(BA10&lt;2.5,BMILMS!$D$21*BA10^3+BMILMS!$E$21*BA10^2+BMILMS!$F$21*BA10+BMILMS!$G$21,IF(BA10&lt;9.5,BMILMS!$D$22*BA10^3+BMILMS!$E$22*BA10^2+BMILMS!$F$22*BA10+BMILMS!$G$22,IF(BA10&lt;26.75,BMILMS!$D$23*BA10^3+BMILMS!$E$23*BA10^2+BMILMS!$F$23*BA10+BMILMS!$G$23,IF(BA10&lt;90,BMILMS!$D$24*BA10^3+BMILMS!$E$24*BA10^2+BMILMS!$F$24*BA10+BMILMS!$G$24,BMILMS!$D$25*BA10^3+BMILMS!$E$25*BA10^2+BMILMS!$F$25*BA10+BMILMS!$G$25))))),(IF(BA10&lt;2.5,BMILMS!$D$27*BA10^3+BMILMS!$E$27*BA10^2+BMILMS!$F$27*BA10+BMILMS!$G$27,IF(BA10&lt;9.5,BMILMS!$D$28*BA10^3+BMILMS!$E$28*BA10^2+BMILMS!$F$28*BA10+BMILMS!$G$28,IF(BA10&lt;26.75,BMILMS!$D$29*BA10^3+BMILMS!$E$29*BA10^2+BMILMS!$F$29*BA10+BMILMS!$G$29,IF(BA10&lt;90,BMILMS!$D$30*BA10^3+BMILMS!$E$30*BA10^2+BMILMS!$F$30*BA10+BMILMS!$G$30,IF(BA10&lt;150,BMILMS!$D$31*BA10^3+BMILMS!$E$31*BA10^2+BMILMS!$F$31*BA10+BMILMS!$G$31,BMILMS!$D$32*BA10^3+BMILMS!$E$32*BA10^2+BMILMS!$F$32*BA10+BMILMS!$G$32)))))))</f>
        <v>12.568967990000001</v>
      </c>
      <c r="AZ10">
        <f>IF($E$4="M",(IF(BA10&lt;90,BMILMS!$D$14*BA10^3+BMILMS!$E$14*BA10^2+BMILMS!$F$14*BA10+BMILMS!$G$14,BMILMS!$D$15*BA10^3+BMILMS!$E$15*BA10^2+BMILMS!$F$15*BA10+BMILMS!$G$15)),(IF(BA10&lt;90,BMILMS!$D$17*BA10^3+BMILMS!$E$17*BA10^2+BMILMS!$F$17*BA10+BMILMS!$G$17,BMILMS!$D$18*BA10^3+BMILMS!$E$18*BA10^2+BMILMS!$F$18*BA10+BMILMS!$G$18)))</f>
        <v>8.8969350000000003E-2</v>
      </c>
      <c r="BA10" s="24">
        <f t="shared" si="25"/>
        <v>0</v>
      </c>
      <c r="BB10" s="24">
        <f t="shared" si="9"/>
        <v>0</v>
      </c>
      <c r="BD10">
        <f>INDEX(IF($E$4="M",IGFmale, IGFfemale), AO10+1,1)</f>
        <v>0.56299999999999994</v>
      </c>
      <c r="BE10">
        <f>INDEX(IF($E$4="M",IGFmale, IGFfemale), AO10+1,2)</f>
        <v>69</v>
      </c>
      <c r="BF10">
        <f t="shared" si="26"/>
        <v>0.51</v>
      </c>
      <c r="BH10" s="35">
        <f>IF($E$4="M",WeightSDS!P$5*$BA10^7+WeightSDS!Q$5*$BA10^6+WeightSDS!R$5*$BA10^5+WeightSDS!S$5*$BA10^4+WeightSDS!T$5*$BA10^3+WeightSDS!U$5*$BA10^2+WeightSDS!V$5*$BA10+WeightSDS!W$5,IF($BA10&lt;186,WeightSDS!P$8*$BA10^7+WeightSDS!Q$8*$BA10^6+WeightSDS!R$8*$BA10^5+WeightSDS!S$8*$BA10^4+WeightSDS!T$8*$BA10^3+WeightSDS!U$8*$BA10^2+WeightSDS!V$8*$BA10+WeightSDS!W$8,WeightSDS!$U$9+WeightSDS!$V$9*($BA10-WeightSDS!$W$9)))</f>
        <v>0.75407122999999998</v>
      </c>
      <c r="BI10" s="24">
        <f>IF($E$4="M",IF($BA10&lt;45,WeightSDS!M$23*$BA10^10+WeightSDS!N$23*$BA10^9+WeightSDS!O$23*$BA10^8+WeightSDS!P$23*$BA10^7+WeightSDS!Q$23*$BA10^6+WeightSDS!R$23*$BA10^5+WeightSDS!S$23*$BA10^4+WeightSDS!T$23*$BA10^3+WeightSDS!U$23*$BA10^2+WeightSDS!V$23*$BA10+WeightSDS!W$23,IF($BA10&lt;153,WeightSDS!M$25*$BA10^10+WeightSDS!N$25*$BA10^9+WeightSDS!O$25*$BA10^8+WeightSDS!P$25*$BA10^7+WeightSDS!Q$25*$BA10^6+WeightSDS!R$25*$BA10^5+WeightSDS!S$25*$BA10^4+WeightSDS!T$25*$BA10^3+WeightSDS!U$25*$BA10^2+WeightSDS!V$25*$BA10+WeightSDS!W$25,WeightSDS!M$27+WeightSDS!N$27/(1+EXP(WeightSDS!O$27+WeightSDS!P$27*$BA10)))),IF($BA10&lt;43.8,WeightSDS!M$29*$BA10^10+WeightSDS!N$29*$BA10^9+WeightSDS!O$29*$BA10^8+WeightSDS!P$29*$BA10^7+WeightSDS!Q$29*$BA10^6+WeightSDS!R$29*$BA10^5+WeightSDS!S$29*$BA10^4+WeightSDS!T$29*$BA10^3+WeightSDS!U$29*$BA10^2+WeightSDS!V$29*$BA10+WeightSDS!W$29-0.010431*(1-$BA10/210),IF($BA10&lt;123,WeightSDS!M$30*$BA10^10+WeightSDS!N$30*$BA10^9+WeightSDS!O$30*$BA10^8+WeightSDS!P$30*$BA10^7+WeightSDS!Q$30*$BA10^6+WeightSDS!R$30*$BA10^5+WeightSDS!S$30*$BA10^4+WeightSDS!T$30*$BA10^3+WeightSDS!U$30*$BA10^2+WeightSDS!V$30*$BA10+WeightSDS!W$30-0.010431*(1-1/$BA10),WeightSDS!M$32+WeightSDS!N$32/(1+EXP(WeightSDS!O$32+WeightSDS!P$32*$BA10))-0.010431*(1-$BA10/210))))</f>
        <v>2.9500001032655536</v>
      </c>
      <c r="BJ10" s="24">
        <f>IF($E$4="M",IF($BA10&lt;162,WeightSDS!P$12*$BA10^7+WeightSDS!Q$12*$BA10^6+WeightSDS!R$12*$BA10^5+WeightSDS!S$12*$BA10^4+WeightSDS!T$12*$BA10^3+WeightSDS!U$12*$BA10^2+WeightSDS!V$12*$BA10+WeightSDS!W$12,WeightSDS!P$14*$BA10^7+WeightSDS!Q$14*$BA10^6+WeightSDS!R$14*$BA10^5+WeightSDS!S$14*$BA10^4+WeightSDS!T$14*$BA10^3+WeightSDS!U$14*$BA10^2+WeightSDS!V$14*$BA10+WeightSDS!W$14),IF($BA10&lt;156,WeightSDS!O$17*$BA10^8+WeightSDS!P$17*$BA10^7+WeightSDS!Q$17*$BA10^6+WeightSDS!R$17*$BA10^5+WeightSDS!S$17*$BA10^4+WeightSDS!T$17*$BA10^3+WeightSDS!U$17*$BA10^2+WeightSDS!V$17*$BA10+WeightSDS!W$17,IF($BA10&lt;186,WeightSDS!$U$18+(WeightSDS!$V$18-WeightSDS!$U$18)/24*($BA10-186)+WeightSDS!$W$18*(-$BA10+186)^2-0.005,WeightSDS!$U$18+(WeightSDS!$V$18-WeightSDS!$U$18)/24*($BA10-186)-0.005)))</f>
        <v>0.14604529399999999</v>
      </c>
    </row>
    <row r="11" spans="2:62" s="4" customFormat="1" x14ac:dyDescent="0.15">
      <c r="B11" s="40"/>
      <c r="C11" s="141"/>
      <c r="D11" s="22"/>
      <c r="E11" s="110"/>
      <c r="F11" s="110"/>
      <c r="G11" s="110"/>
      <c r="H11" s="44" t="str">
        <f t="shared" si="0"/>
        <v/>
      </c>
      <c r="I11" s="111" t="str">
        <f t="shared" si="10"/>
        <v/>
      </c>
      <c r="J11" s="111" t="str">
        <f t="shared" si="2"/>
        <v/>
      </c>
      <c r="K11" s="111" t="str">
        <f t="shared" si="11"/>
        <v/>
      </c>
      <c r="L11" s="44" t="str">
        <f t="shared" si="12"/>
        <v/>
      </c>
      <c r="M11" s="111" t="str">
        <f t="shared" si="13"/>
        <v/>
      </c>
      <c r="N11" s="44" t="str">
        <f t="shared" si="14"/>
        <v/>
      </c>
      <c r="O11" s="44" t="str">
        <f t="shared" si="4"/>
        <v/>
      </c>
      <c r="P11" s="111" t="str">
        <f t="shared" si="15"/>
        <v/>
      </c>
      <c r="Q11" s="44" t="str">
        <f t="shared" si="16"/>
        <v/>
      </c>
      <c r="R11" s="157" t="str">
        <f>IF(COUNT($D$4,D11)=2,DATEDIF($D$4,D11,"Y")+(D11-(DATE(YEAR($D$4)+DATEDIF($D$4,D11,"Y"),MONTH($D$4),DAY($D$4))))/(365+IF(MOD(YEAR((DATE(YEAR(D11)-1,MONTH($D$4),DAY($D$4)))),4)=0,IF((DATE(YEAR(D11)-1,MONTH($D$4),DAY($D$4)))&gt;DATE(YEAR((DATE(YEAR(D11)-1,MONTH($D$4),DAY($D$4)))),2,29),0,1),0)+IF(MOD(YEAR(D11),4)=0,IF(D11&gt;DATE(YEAR(D11),2,29),1,0),0)),"")</f>
        <v/>
      </c>
      <c r="S11" s="44" t="str">
        <f t="shared" si="17"/>
        <v/>
      </c>
      <c r="T11" s="140" t="str">
        <f t="shared" si="18"/>
        <v/>
      </c>
      <c r="U11" s="140" t="str">
        <f t="shared" si="19"/>
        <v/>
      </c>
      <c r="V11" s="24"/>
      <c r="W11" s="24"/>
      <c r="X11" s="24"/>
      <c r="Y11" s="24"/>
      <c r="Z11" s="24"/>
      <c r="AA11" s="24">
        <f t="shared" si="20"/>
        <v>0</v>
      </c>
      <c r="AB11" s="24"/>
      <c r="AC11" s="24" t="str">
        <f>IF(COUNTA(C11)=1,R11,AC10)</f>
        <v/>
      </c>
      <c r="AD11" s="24" t="str">
        <f t="shared" si="21"/>
        <v/>
      </c>
      <c r="AE11" s="24">
        <f t="shared" si="22"/>
        <v>0</v>
      </c>
      <c r="AG11" s="24" t="e">
        <f>ROUNDDOWN(AC10+(AC11-AC10)/2,0)</f>
        <v>#VALUE!</v>
      </c>
      <c r="AH11" s="24" t="e">
        <f>ROUNDDOWN((AC10+(AC11-AC10)/2-AG11)*12,0)</f>
        <v>#VALUE!</v>
      </c>
      <c r="AI11" s="24" t="e">
        <f t="shared" si="23"/>
        <v>#VALUE!</v>
      </c>
      <c r="AJ11" s="24" t="e">
        <f t="shared" si="24"/>
        <v>#VALUE!</v>
      </c>
      <c r="AL11" s="24"/>
      <c r="AM11" s="24" t="e">
        <f>(T11-AI11)/AJ11</f>
        <v>#VALUE!</v>
      </c>
      <c r="AN11" s="31"/>
      <c r="AO11" s="34">
        <f t="shared" si="5"/>
        <v>0</v>
      </c>
      <c r="AP11" s="24">
        <f t="shared" si="6"/>
        <v>0</v>
      </c>
      <c r="AQ11" s="24"/>
      <c r="AR11" s="112"/>
      <c r="AS11" s="112"/>
      <c r="AT11" s="59">
        <f t="shared" si="7"/>
        <v>9.0359999999999996</v>
      </c>
      <c r="AU11" s="59">
        <f t="shared" si="8"/>
        <v>-184.49199999999999</v>
      </c>
      <c r="AV11" s="59"/>
      <c r="AW11"/>
      <c r="AX11">
        <f>IF($E$4="M",IF(BA11&lt;78,BMILMS!$D$5*BA11^3+BMILMS!$E$5*BA11^2+BMILMS!$F$5*BA11+BMILMS!$G$5,IF(BA11&lt;150,BMILMS!$D$6*BA11^3+BMILMS!$E$6*BA11^2+BMILMS!$F$6*BA11+BMILMS!$G$6,BMILMS!$D$7*BA11^3+BMILMS!$E$7*BA11^2+BMILMS!$F$7*BA11+BMILMS!$G$7)),IF(BA11&lt;69,BMILMS!$D$9*BA11^3+BMILMS!$E$9*BA11^2+BMILMS!$F$9*BA11+BMILMS!$G$9,IF(BA11&lt;150,BMILMS!$D$10*BA11^3+BMILMS!$E$10*BA11^2+BMILMS!$F$10*BA11+BMILMS!$G$10,BMILMS!$D$11*BA11^3+BMILMS!$E$11*BA11^2+BMILMS!$F$11*BA11+BMILMS!$G$11)))</f>
        <v>0.79584630099999998</v>
      </c>
      <c r="AY11">
        <f>IF($E$4="M",(IF(BA11&lt;2.5,BMILMS!$D$21*BA11^3+BMILMS!$E$21*BA11^2+BMILMS!$F$21*BA11+BMILMS!$G$21,IF(BA11&lt;9.5,BMILMS!$D$22*BA11^3+BMILMS!$E$22*BA11^2+BMILMS!$F$22*BA11+BMILMS!$G$22,IF(BA11&lt;26.75,BMILMS!$D$23*BA11^3+BMILMS!$E$23*BA11^2+BMILMS!$F$23*BA11+BMILMS!$G$23,IF(BA11&lt;90,BMILMS!$D$24*BA11^3+BMILMS!$E$24*BA11^2+BMILMS!$F$24*BA11+BMILMS!$G$24,BMILMS!$D$25*BA11^3+BMILMS!$E$25*BA11^2+BMILMS!$F$25*BA11+BMILMS!$G$25))))),(IF(BA11&lt;2.5,BMILMS!$D$27*BA11^3+BMILMS!$E$27*BA11^2+BMILMS!$F$27*BA11+BMILMS!$G$27,IF(BA11&lt;9.5,BMILMS!$D$28*BA11^3+BMILMS!$E$28*BA11^2+BMILMS!$F$28*BA11+BMILMS!$G$28,IF(BA11&lt;26.75,BMILMS!$D$29*BA11^3+BMILMS!$E$29*BA11^2+BMILMS!$F$29*BA11+BMILMS!$G$29,IF(BA11&lt;90,BMILMS!$D$30*BA11^3+BMILMS!$E$30*BA11^2+BMILMS!$F$30*BA11+BMILMS!$G$30,IF(BA11&lt;150,BMILMS!$D$31*BA11^3+BMILMS!$E$31*BA11^2+BMILMS!$F$31*BA11+BMILMS!$G$31,BMILMS!$D$32*BA11^3+BMILMS!$E$32*BA11^2+BMILMS!$F$32*BA11+BMILMS!$G$32)))))))</f>
        <v>12.568967990000001</v>
      </c>
      <c r="AZ11">
        <f>IF($E$4="M",(IF(BA11&lt;90,BMILMS!$D$14*BA11^3+BMILMS!$E$14*BA11^2+BMILMS!$F$14*BA11+BMILMS!$G$14,BMILMS!$D$15*BA11^3+BMILMS!$E$15*BA11^2+BMILMS!$F$15*BA11+BMILMS!$G$15)),(IF(BA11&lt;90,BMILMS!$D$17*BA11^3+BMILMS!$E$17*BA11^2+BMILMS!$F$17*BA11+BMILMS!$G$17,BMILMS!$D$18*BA11^3+BMILMS!$E$18*BA11^2+BMILMS!$F$18*BA11+BMILMS!$G$18)))</f>
        <v>8.8969350000000003E-2</v>
      </c>
      <c r="BA11" s="24">
        <f t="shared" si="25"/>
        <v>0</v>
      </c>
      <c r="BB11" s="24">
        <f t="shared" si="9"/>
        <v>0</v>
      </c>
      <c r="BD11">
        <f>INDEX(IF($E$4="M",IGFmale, IGFfemale), AO11+1,1)</f>
        <v>0.56299999999999994</v>
      </c>
      <c r="BE11">
        <f t="shared" ref="BE11:BE33" si="28">INDEX(IF($E$4="M",IGFmale, IGFfemale), AO11+1,2)</f>
        <v>69</v>
      </c>
      <c r="BF11">
        <f t="shared" si="26"/>
        <v>0.51</v>
      </c>
      <c r="BH11" s="35">
        <f>IF($E$4="M",WeightSDS!P$5*$BA11^7+WeightSDS!Q$5*$BA11^6+WeightSDS!R$5*$BA11^5+WeightSDS!S$5*$BA11^4+WeightSDS!T$5*$BA11^3+WeightSDS!U$5*$BA11^2+WeightSDS!V$5*$BA11+WeightSDS!W$5,IF($BA11&lt;186,WeightSDS!P$8*$BA11^7+WeightSDS!Q$8*$BA11^6+WeightSDS!R$8*$BA11^5+WeightSDS!S$8*$BA11^4+WeightSDS!T$8*$BA11^3+WeightSDS!U$8*$BA11^2+WeightSDS!V$8*$BA11+WeightSDS!W$8,WeightSDS!$U$9+WeightSDS!$V$9*($BA11-WeightSDS!$W$9)))</f>
        <v>0.75407122999999998</v>
      </c>
      <c r="BI11" s="24">
        <f>IF($E$4="M",IF($BA11&lt;45,WeightSDS!M$23*$BA11^10+WeightSDS!N$23*$BA11^9+WeightSDS!O$23*$BA11^8+WeightSDS!P$23*$BA11^7+WeightSDS!Q$23*$BA11^6+WeightSDS!R$23*$BA11^5+WeightSDS!S$23*$BA11^4+WeightSDS!T$23*$BA11^3+WeightSDS!U$23*$BA11^2+WeightSDS!V$23*$BA11+WeightSDS!W$23,IF($BA11&lt;153,WeightSDS!M$25*$BA11^10+WeightSDS!N$25*$BA11^9+WeightSDS!O$25*$BA11^8+WeightSDS!P$25*$BA11^7+WeightSDS!Q$25*$BA11^6+WeightSDS!R$25*$BA11^5+WeightSDS!S$25*$BA11^4+WeightSDS!T$25*$BA11^3+WeightSDS!U$25*$BA11^2+WeightSDS!V$25*$BA11+WeightSDS!W$25,WeightSDS!M$27+WeightSDS!N$27/(1+EXP(WeightSDS!O$27+WeightSDS!P$27*$BA11)))),IF($BA11&lt;43.8,WeightSDS!M$29*$BA11^10+WeightSDS!N$29*$BA11^9+WeightSDS!O$29*$BA11^8+WeightSDS!P$29*$BA11^7+WeightSDS!Q$29*$BA11^6+WeightSDS!R$29*$BA11^5+WeightSDS!S$29*$BA11^4+WeightSDS!T$29*$BA11^3+WeightSDS!U$29*$BA11^2+WeightSDS!V$29*$BA11+WeightSDS!W$29-0.010431*(1-$BA11/210),IF($BA11&lt;123,WeightSDS!M$30*$BA11^10+WeightSDS!N$30*$BA11^9+WeightSDS!O$30*$BA11^8+WeightSDS!P$30*$BA11^7+WeightSDS!Q$30*$BA11^6+WeightSDS!R$30*$BA11^5+WeightSDS!S$30*$BA11^4+WeightSDS!T$30*$BA11^3+WeightSDS!U$30*$BA11^2+WeightSDS!V$30*$BA11+WeightSDS!W$30-0.010431*(1-1/$BA11),WeightSDS!M$32+WeightSDS!N$32/(1+EXP(WeightSDS!O$32+WeightSDS!P$32*$BA11))-0.010431*(1-$BA11/210))))</f>
        <v>2.9500001032655536</v>
      </c>
      <c r="BJ11" s="24">
        <f>IF($E$4="M",IF($BA11&lt;162,WeightSDS!P$12*$BA11^7+WeightSDS!Q$12*$BA11^6+WeightSDS!R$12*$BA11^5+WeightSDS!S$12*$BA11^4+WeightSDS!T$12*$BA11^3+WeightSDS!U$12*$BA11^2+WeightSDS!V$12*$BA11+WeightSDS!W$12,WeightSDS!P$14*$BA11^7+WeightSDS!Q$14*$BA11^6+WeightSDS!R$14*$BA11^5+WeightSDS!S$14*$BA11^4+WeightSDS!T$14*$BA11^3+WeightSDS!U$14*$BA11^2+WeightSDS!V$14*$BA11+WeightSDS!W$14),IF($BA11&lt;156,WeightSDS!O$17*$BA11^8+WeightSDS!P$17*$BA11^7+WeightSDS!Q$17*$BA11^6+WeightSDS!R$17*$BA11^5+WeightSDS!S$17*$BA11^4+WeightSDS!T$17*$BA11^3+WeightSDS!U$17*$BA11^2+WeightSDS!V$17*$BA11+WeightSDS!W$17,IF($BA11&lt;186,WeightSDS!$U$18+(WeightSDS!$V$18-WeightSDS!$U$18)/24*($BA11-186)+WeightSDS!$W$18*(-$BA11+186)^2-0.005,WeightSDS!$U$18+(WeightSDS!$V$18-WeightSDS!$U$18)/24*($BA11-186)-0.005)))</f>
        <v>0.14604529399999999</v>
      </c>
    </row>
    <row r="12" spans="2:62" s="4" customFormat="1" x14ac:dyDescent="0.15">
      <c r="B12" s="40"/>
      <c r="C12" s="141"/>
      <c r="D12" s="22"/>
      <c r="E12" s="110"/>
      <c r="F12" s="110"/>
      <c r="G12" s="110"/>
      <c r="H12" s="44" t="str">
        <f t="shared" si="0"/>
        <v/>
      </c>
      <c r="I12" s="111" t="str">
        <f t="shared" si="10"/>
        <v/>
      </c>
      <c r="J12" s="111" t="str">
        <f t="shared" si="2"/>
        <v/>
      </c>
      <c r="K12" s="111" t="str">
        <f t="shared" si="11"/>
        <v/>
      </c>
      <c r="L12" s="44" t="str">
        <f t="shared" si="12"/>
        <v/>
      </c>
      <c r="M12" s="111" t="str">
        <f t="shared" si="13"/>
        <v/>
      </c>
      <c r="N12" s="44" t="str">
        <f t="shared" si="14"/>
        <v/>
      </c>
      <c r="O12" s="44" t="str">
        <f t="shared" si="4"/>
        <v/>
      </c>
      <c r="P12" s="111" t="str">
        <f t="shared" si="15"/>
        <v/>
      </c>
      <c r="Q12" s="44" t="str">
        <f t="shared" si="16"/>
        <v/>
      </c>
      <c r="R12" s="157" t="str">
        <f>IF(COUNT($D$4,D12)=2,DATEDIF($D$4,D12,"Y")+(D12-(DATE(YEAR($D$4)+DATEDIF($D$4,D12,"Y"),MONTH($D$4),DAY($D$4))))/(365+IF(MOD(YEAR((DATE(YEAR(D12)-1,MONTH($D$4),DAY($D$4)))),4)=0,IF((DATE(YEAR(D12)-1,MONTH($D$4),DAY($D$4)))&gt;DATE(YEAR((DATE(YEAR(D12)-1,MONTH($D$4),DAY($D$4)))),2,29),0,1),0)+IF(MOD(YEAR(D12),4)=0,IF(D12&gt;DATE(YEAR(D12),2,29),1,0),0)),"")</f>
        <v/>
      </c>
      <c r="S12" s="44" t="str">
        <f t="shared" si="17"/>
        <v/>
      </c>
      <c r="T12" s="140" t="str">
        <f t="shared" si="18"/>
        <v/>
      </c>
      <c r="U12" s="140" t="str">
        <f>IF(COUNT(T12)=1,IF(AA12=1,"",IF(COUNTA(C12)=1,IF(AG12&lt;1,"NA",IF(AG12&gt;=17,IF(AH12&gt;=IF($D$4="M",10,4),"NA",IF(BB12&gt;BB11,AM12,"NA")),IF(BB12&gt;BB11,AM12,"NA"))),"")),"")</f>
        <v/>
      </c>
      <c r="V12" s="24"/>
      <c r="W12" s="24"/>
      <c r="X12" s="24"/>
      <c r="Y12" s="24"/>
      <c r="Z12" s="24"/>
      <c r="AA12" s="24">
        <f t="shared" si="20"/>
        <v>0</v>
      </c>
      <c r="AB12" s="24"/>
      <c r="AC12" s="24" t="str">
        <f t="shared" si="27"/>
        <v/>
      </c>
      <c r="AD12" s="24" t="str">
        <f t="shared" si="21"/>
        <v/>
      </c>
      <c r="AE12" s="24">
        <f t="shared" si="22"/>
        <v>0</v>
      </c>
      <c r="AG12" s="24" t="e">
        <f>ROUNDDOWN(AC11+(AC12-AC11)/2,0)</f>
        <v>#VALUE!</v>
      </c>
      <c r="AH12" s="24" t="e">
        <f>ROUNDDOWN((AC11+(AC12-AC11)/2-AG12)*12,0)</f>
        <v>#VALUE!</v>
      </c>
      <c r="AI12" s="24" t="e">
        <f t="shared" si="23"/>
        <v>#VALUE!</v>
      </c>
      <c r="AJ12" s="24" t="e">
        <f t="shared" si="24"/>
        <v>#VALUE!</v>
      </c>
      <c r="AL12" s="24"/>
      <c r="AM12" s="24" t="e">
        <f>(T12-AI12)/AJ12</f>
        <v>#VALUE!</v>
      </c>
      <c r="AN12" s="31"/>
      <c r="AO12" s="34">
        <f t="shared" si="5"/>
        <v>0</v>
      </c>
      <c r="AP12" s="24">
        <f t="shared" si="6"/>
        <v>0</v>
      </c>
      <c r="AQ12" s="24"/>
      <c r="AR12" s="112"/>
      <c r="AS12" s="112"/>
      <c r="AT12" s="59">
        <f t="shared" si="7"/>
        <v>9.0359999999999996</v>
      </c>
      <c r="AU12" s="59">
        <f t="shared" si="8"/>
        <v>-184.49199999999999</v>
      </c>
      <c r="AV12" s="59"/>
      <c r="AW12"/>
      <c r="AX12">
        <f>IF($E$4="M",IF(BA12&lt;78,BMILMS!$D$5*BA12^3+BMILMS!$E$5*BA12^2+BMILMS!$F$5*BA12+BMILMS!$G$5,IF(BA12&lt;150,BMILMS!$D$6*BA12^3+BMILMS!$E$6*BA12^2+BMILMS!$F$6*BA12+BMILMS!$G$6,BMILMS!$D$7*BA12^3+BMILMS!$E$7*BA12^2+BMILMS!$F$7*BA12+BMILMS!$G$7)),IF(BA12&lt;69,BMILMS!$D$9*BA12^3+BMILMS!$E$9*BA12^2+BMILMS!$F$9*BA12+BMILMS!$G$9,IF(BA12&lt;150,BMILMS!$D$10*BA12^3+BMILMS!$E$10*BA12^2+BMILMS!$F$10*BA12+BMILMS!$G$10,BMILMS!$D$11*BA12^3+BMILMS!$E$11*BA12^2+BMILMS!$F$11*BA12+BMILMS!$G$11)))</f>
        <v>0.79584630099999998</v>
      </c>
      <c r="AY12">
        <f>IF($E$4="M",(IF(BA12&lt;2.5,BMILMS!$D$21*BA12^3+BMILMS!$E$21*BA12^2+BMILMS!$F$21*BA12+BMILMS!$G$21,IF(BA12&lt;9.5,BMILMS!$D$22*BA12^3+BMILMS!$E$22*BA12^2+BMILMS!$F$22*BA12+BMILMS!$G$22,IF(BA12&lt;26.75,BMILMS!$D$23*BA12^3+BMILMS!$E$23*BA12^2+BMILMS!$F$23*BA12+BMILMS!$G$23,IF(BA12&lt;90,BMILMS!$D$24*BA12^3+BMILMS!$E$24*BA12^2+BMILMS!$F$24*BA12+BMILMS!$G$24,BMILMS!$D$25*BA12^3+BMILMS!$E$25*BA12^2+BMILMS!$F$25*BA12+BMILMS!$G$25))))),(IF(BA12&lt;2.5,BMILMS!$D$27*BA12^3+BMILMS!$E$27*BA12^2+BMILMS!$F$27*BA12+BMILMS!$G$27,IF(BA12&lt;9.5,BMILMS!$D$28*BA12^3+BMILMS!$E$28*BA12^2+BMILMS!$F$28*BA12+BMILMS!$G$28,IF(BA12&lt;26.75,BMILMS!$D$29*BA12^3+BMILMS!$E$29*BA12^2+BMILMS!$F$29*BA12+BMILMS!$G$29,IF(BA12&lt;90,BMILMS!$D$30*BA12^3+BMILMS!$E$30*BA12^2+BMILMS!$F$30*BA12+BMILMS!$G$30,IF(BA12&lt;150,BMILMS!$D$31*BA12^3+BMILMS!$E$31*BA12^2+BMILMS!$F$31*BA12+BMILMS!$G$31,BMILMS!$D$32*BA12^3+BMILMS!$E$32*BA12^2+BMILMS!$F$32*BA12+BMILMS!$G$32)))))))</f>
        <v>12.568967990000001</v>
      </c>
      <c r="AZ12">
        <f>IF($E$4="M",(IF(BA12&lt;90,BMILMS!$D$14*BA12^3+BMILMS!$E$14*BA12^2+BMILMS!$F$14*BA12+BMILMS!$G$14,BMILMS!$D$15*BA12^3+BMILMS!$E$15*BA12^2+BMILMS!$F$15*BA12+BMILMS!$G$15)),(IF(BA12&lt;90,BMILMS!$D$17*BA12^3+BMILMS!$E$17*BA12^2+BMILMS!$F$17*BA12+BMILMS!$G$17,BMILMS!$D$18*BA12^3+BMILMS!$E$18*BA12^2+BMILMS!$F$18*BA12+BMILMS!$G$18)))</f>
        <v>8.8969350000000003E-2</v>
      </c>
      <c r="BA12" s="24">
        <f t="shared" si="25"/>
        <v>0</v>
      </c>
      <c r="BB12" s="24">
        <f t="shared" si="9"/>
        <v>0</v>
      </c>
      <c r="BD12">
        <f t="shared" ref="BD12:BD33" si="29">INDEX(IF($E$4="M",IGFmale, IGFfemale), AO12+1,1)</f>
        <v>0.56299999999999994</v>
      </c>
      <c r="BE12">
        <f t="shared" si="28"/>
        <v>69</v>
      </c>
      <c r="BF12">
        <f t="shared" si="26"/>
        <v>0.51</v>
      </c>
      <c r="BH12" s="35">
        <f>IF($E$4="M",WeightSDS!P$5*$BA12^7+WeightSDS!Q$5*$BA12^6+WeightSDS!R$5*$BA12^5+WeightSDS!S$5*$BA12^4+WeightSDS!T$5*$BA12^3+WeightSDS!U$5*$BA12^2+WeightSDS!V$5*$BA12+WeightSDS!W$5,IF($BA12&lt;186,WeightSDS!P$8*$BA12^7+WeightSDS!Q$8*$BA12^6+WeightSDS!R$8*$BA12^5+WeightSDS!S$8*$BA12^4+WeightSDS!T$8*$BA12^3+WeightSDS!U$8*$BA12^2+WeightSDS!V$8*$BA12+WeightSDS!W$8,WeightSDS!$U$9+WeightSDS!$V$9*($BA12-WeightSDS!$W$9)))</f>
        <v>0.75407122999999998</v>
      </c>
      <c r="BI12" s="24">
        <f>IF($E$4="M",IF($BA12&lt;45,WeightSDS!M$23*$BA12^10+WeightSDS!N$23*$BA12^9+WeightSDS!O$23*$BA12^8+WeightSDS!P$23*$BA12^7+WeightSDS!Q$23*$BA12^6+WeightSDS!R$23*$BA12^5+WeightSDS!S$23*$BA12^4+WeightSDS!T$23*$BA12^3+WeightSDS!U$23*$BA12^2+WeightSDS!V$23*$BA12+WeightSDS!W$23,IF($BA12&lt;153,WeightSDS!M$25*$BA12^10+WeightSDS!N$25*$BA12^9+WeightSDS!O$25*$BA12^8+WeightSDS!P$25*$BA12^7+WeightSDS!Q$25*$BA12^6+WeightSDS!R$25*$BA12^5+WeightSDS!S$25*$BA12^4+WeightSDS!T$25*$BA12^3+WeightSDS!U$25*$BA12^2+WeightSDS!V$25*$BA12+WeightSDS!W$25,WeightSDS!M$27+WeightSDS!N$27/(1+EXP(WeightSDS!O$27+WeightSDS!P$27*$BA12)))),IF($BA12&lt;43.8,WeightSDS!M$29*$BA12^10+WeightSDS!N$29*$BA12^9+WeightSDS!O$29*$BA12^8+WeightSDS!P$29*$BA12^7+WeightSDS!Q$29*$BA12^6+WeightSDS!R$29*$BA12^5+WeightSDS!S$29*$BA12^4+WeightSDS!T$29*$BA12^3+WeightSDS!U$29*$BA12^2+WeightSDS!V$29*$BA12+WeightSDS!W$29-0.010431*(1-$BA12/210),IF($BA12&lt;123,WeightSDS!M$30*$BA12^10+WeightSDS!N$30*$BA12^9+WeightSDS!O$30*$BA12^8+WeightSDS!P$30*$BA12^7+WeightSDS!Q$30*$BA12^6+WeightSDS!R$30*$BA12^5+WeightSDS!S$30*$BA12^4+WeightSDS!T$30*$BA12^3+WeightSDS!U$30*$BA12^2+WeightSDS!V$30*$BA12+WeightSDS!W$30-0.010431*(1-1/$BA12),WeightSDS!M$32+WeightSDS!N$32/(1+EXP(WeightSDS!O$32+WeightSDS!P$32*$BA12))-0.010431*(1-$BA12/210))))</f>
        <v>2.9500001032655536</v>
      </c>
      <c r="BJ12" s="24">
        <f>IF($E$4="M",IF($BA12&lt;162,WeightSDS!P$12*$BA12^7+WeightSDS!Q$12*$BA12^6+WeightSDS!R$12*$BA12^5+WeightSDS!S$12*$BA12^4+WeightSDS!T$12*$BA12^3+WeightSDS!U$12*$BA12^2+WeightSDS!V$12*$BA12+WeightSDS!W$12,WeightSDS!P$14*$BA12^7+WeightSDS!Q$14*$BA12^6+WeightSDS!R$14*$BA12^5+WeightSDS!S$14*$BA12^4+WeightSDS!T$14*$BA12^3+WeightSDS!U$14*$BA12^2+WeightSDS!V$14*$BA12+WeightSDS!W$14),IF($BA12&lt;156,WeightSDS!O$17*$BA12^8+WeightSDS!P$17*$BA12^7+WeightSDS!Q$17*$BA12^6+WeightSDS!R$17*$BA12^5+WeightSDS!S$17*$BA12^4+WeightSDS!T$17*$BA12^3+WeightSDS!U$17*$BA12^2+WeightSDS!V$17*$BA12+WeightSDS!W$17,IF($BA12&lt;186,WeightSDS!$U$18+(WeightSDS!$V$18-WeightSDS!$U$18)/24*($BA12-186)+WeightSDS!$W$18*(-$BA12+186)^2-0.005,WeightSDS!$U$18+(WeightSDS!$V$18-WeightSDS!$U$18)/24*($BA12-186)-0.005)))</f>
        <v>0.14604529399999999</v>
      </c>
    </row>
    <row r="13" spans="2:62" s="4" customFormat="1" x14ac:dyDescent="0.15">
      <c r="B13" s="40"/>
      <c r="C13" s="141"/>
      <c r="D13" s="22"/>
      <c r="E13" s="110"/>
      <c r="F13" s="110"/>
      <c r="G13" s="110"/>
      <c r="H13" s="44" t="str">
        <f t="shared" si="0"/>
        <v/>
      </c>
      <c r="I13" s="111" t="str">
        <f t="shared" si="10"/>
        <v/>
      </c>
      <c r="J13" s="111" t="str">
        <f t="shared" si="2"/>
        <v/>
      </c>
      <c r="K13" s="111" t="str">
        <f t="shared" si="11"/>
        <v/>
      </c>
      <c r="L13" s="44" t="str">
        <f t="shared" si="12"/>
        <v/>
      </c>
      <c r="M13" s="111" t="str">
        <f t="shared" si="13"/>
        <v/>
      </c>
      <c r="N13" s="44" t="str">
        <f t="shared" si="14"/>
        <v/>
      </c>
      <c r="O13" s="44" t="str">
        <f t="shared" si="4"/>
        <v/>
      </c>
      <c r="P13" s="111" t="str">
        <f t="shared" si="15"/>
        <v/>
      </c>
      <c r="Q13" s="44" t="str">
        <f t="shared" si="16"/>
        <v/>
      </c>
      <c r="R13" s="157" t="str">
        <f t="shared" ref="R13:R39" si="30">IF(COUNT($D$4,D13)=2,DATEDIF($D$4,D13,"Y")+(D13-(DATE(YEAR($D$4)+DATEDIF($D$4,D13,"Y"),MONTH($D$4),DAY($D$4))))/(365+IF(MOD(YEAR((DATE(YEAR(D13)-1,MONTH($D$4),DAY($D$4)))),4)=0,IF((DATE(YEAR(D13)-1,MONTH($D$4),DAY($D$4)))&gt;DATE(YEAR((DATE(YEAR(D13)-1,MONTH($D$4),DAY($D$4)))),2,29),0,1),0)+IF(MOD(YEAR(D13),4)=0,IF(D13&gt;DATE(YEAR(D13),2,29),1,0),0)),"")</f>
        <v/>
      </c>
      <c r="S13" s="44" t="str">
        <f t="shared" si="17"/>
        <v/>
      </c>
      <c r="T13" s="140" t="str">
        <f t="shared" si="18"/>
        <v/>
      </c>
      <c r="U13" s="140" t="str">
        <f>IF(COUNT(T13)=1,IF(AA13=1,"",IF(COUNTA(C13)=1,IF(AG13&lt;1,"NA",IF(AG13&gt;=17,IF(AH13&gt;=IF($D$4="M",10,4),"NA",IF(BB13&gt;BB12,AM13,"NA")),IF(BB13&gt;BB12,AM13,"NA"))),"")),"")</f>
        <v/>
      </c>
      <c r="V13" s="24"/>
      <c r="W13" s="24"/>
      <c r="X13" s="24"/>
      <c r="Y13" s="24"/>
      <c r="Z13" s="24"/>
      <c r="AA13" s="24">
        <f t="shared" si="20"/>
        <v>0</v>
      </c>
      <c r="AB13" s="24"/>
      <c r="AC13" s="24" t="str">
        <f t="shared" si="27"/>
        <v/>
      </c>
      <c r="AD13" s="24" t="str">
        <f t="shared" si="21"/>
        <v/>
      </c>
      <c r="AE13" s="24">
        <f t="shared" si="22"/>
        <v>0</v>
      </c>
      <c r="AG13" s="24" t="e">
        <f t="shared" ref="AG13:AG33" si="31">ROUNDDOWN(AC12+(AC13-AC12)/2,0)</f>
        <v>#VALUE!</v>
      </c>
      <c r="AH13" s="24" t="e">
        <f t="shared" ref="AH13:AH33" si="32">ROUNDDOWN((AC12+(AC13-AC12)/2-AG13)*12,0)</f>
        <v>#VALUE!</v>
      </c>
      <c r="AI13" s="24" t="e">
        <f t="shared" si="23"/>
        <v>#VALUE!</v>
      </c>
      <c r="AJ13" s="24" t="e">
        <f t="shared" si="24"/>
        <v>#VALUE!</v>
      </c>
      <c r="AL13" s="24"/>
      <c r="AM13" s="24" t="e">
        <f t="shared" ref="AM13:AM57" si="33">(T13-AI13)/AJ13</f>
        <v>#VALUE!</v>
      </c>
      <c r="AN13" s="31"/>
      <c r="AO13" s="34">
        <f t="shared" si="5"/>
        <v>0</v>
      </c>
      <c r="AP13" s="24">
        <f t="shared" si="6"/>
        <v>0</v>
      </c>
      <c r="AQ13" s="24"/>
      <c r="AR13" s="112"/>
      <c r="AS13" s="112"/>
      <c r="AT13" s="59">
        <f t="shared" si="7"/>
        <v>9.0359999999999996</v>
      </c>
      <c r="AU13" s="59">
        <f t="shared" si="8"/>
        <v>-184.49199999999999</v>
      </c>
      <c r="AV13" s="59"/>
      <c r="AW13"/>
      <c r="AX13">
        <f>IF($E$4="M",IF(BA13&lt;78,BMILMS!$D$5*BA13^3+BMILMS!$E$5*BA13^2+BMILMS!$F$5*BA13+BMILMS!$G$5,IF(BA13&lt;150,BMILMS!$D$6*BA13^3+BMILMS!$E$6*BA13^2+BMILMS!$F$6*BA13+BMILMS!$G$6,BMILMS!$D$7*BA13^3+BMILMS!$E$7*BA13^2+BMILMS!$F$7*BA13+BMILMS!$G$7)),IF(BA13&lt;69,BMILMS!$D$9*BA13^3+BMILMS!$E$9*BA13^2+BMILMS!$F$9*BA13+BMILMS!$G$9,IF(BA13&lt;150,BMILMS!$D$10*BA13^3+BMILMS!$E$10*BA13^2+BMILMS!$F$10*BA13+BMILMS!$G$10,BMILMS!$D$11*BA13^3+BMILMS!$E$11*BA13^2+BMILMS!$F$11*BA13+BMILMS!$G$11)))</f>
        <v>0.79584630099999998</v>
      </c>
      <c r="AY13">
        <f>IF($E$4="M",(IF(BA13&lt;2.5,BMILMS!$D$21*BA13^3+BMILMS!$E$21*BA13^2+BMILMS!$F$21*BA13+BMILMS!$G$21,IF(BA13&lt;9.5,BMILMS!$D$22*BA13^3+BMILMS!$E$22*BA13^2+BMILMS!$F$22*BA13+BMILMS!$G$22,IF(BA13&lt;26.75,BMILMS!$D$23*BA13^3+BMILMS!$E$23*BA13^2+BMILMS!$F$23*BA13+BMILMS!$G$23,IF(BA13&lt;90,BMILMS!$D$24*BA13^3+BMILMS!$E$24*BA13^2+BMILMS!$F$24*BA13+BMILMS!$G$24,BMILMS!$D$25*BA13^3+BMILMS!$E$25*BA13^2+BMILMS!$F$25*BA13+BMILMS!$G$25))))),(IF(BA13&lt;2.5,BMILMS!$D$27*BA13^3+BMILMS!$E$27*BA13^2+BMILMS!$F$27*BA13+BMILMS!$G$27,IF(BA13&lt;9.5,BMILMS!$D$28*BA13^3+BMILMS!$E$28*BA13^2+BMILMS!$F$28*BA13+BMILMS!$G$28,IF(BA13&lt;26.75,BMILMS!$D$29*BA13^3+BMILMS!$E$29*BA13^2+BMILMS!$F$29*BA13+BMILMS!$G$29,IF(BA13&lt;90,BMILMS!$D$30*BA13^3+BMILMS!$E$30*BA13^2+BMILMS!$F$30*BA13+BMILMS!$G$30,IF(BA13&lt;150,BMILMS!$D$31*BA13^3+BMILMS!$E$31*BA13^2+BMILMS!$F$31*BA13+BMILMS!$G$31,BMILMS!$D$32*BA13^3+BMILMS!$E$32*BA13^2+BMILMS!$F$32*BA13+BMILMS!$G$32)))))))</f>
        <v>12.568967990000001</v>
      </c>
      <c r="AZ13">
        <f>IF($E$4="M",(IF(BA13&lt;90,BMILMS!$D$14*BA13^3+BMILMS!$E$14*BA13^2+BMILMS!$F$14*BA13+BMILMS!$G$14,BMILMS!$D$15*BA13^3+BMILMS!$E$15*BA13^2+BMILMS!$F$15*BA13+BMILMS!$G$15)),(IF(BA13&lt;90,BMILMS!$D$17*BA13^3+BMILMS!$E$17*BA13^2+BMILMS!$F$17*BA13+BMILMS!$G$17,BMILMS!$D$18*BA13^3+BMILMS!$E$18*BA13^2+BMILMS!$F$18*BA13+BMILMS!$G$18)))</f>
        <v>8.8969350000000003E-2</v>
      </c>
      <c r="BA13" s="24">
        <f t="shared" si="25"/>
        <v>0</v>
      </c>
      <c r="BB13" s="24">
        <f t="shared" si="9"/>
        <v>0</v>
      </c>
      <c r="BD13">
        <f t="shared" si="29"/>
        <v>0.56299999999999994</v>
      </c>
      <c r="BE13">
        <f t="shared" si="28"/>
        <v>69</v>
      </c>
      <c r="BF13">
        <f t="shared" si="26"/>
        <v>0.51</v>
      </c>
      <c r="BH13" s="35">
        <f>IF($E$4="M",WeightSDS!P$5*$BA13^7+WeightSDS!Q$5*$BA13^6+WeightSDS!R$5*$BA13^5+WeightSDS!S$5*$BA13^4+WeightSDS!T$5*$BA13^3+WeightSDS!U$5*$BA13^2+WeightSDS!V$5*$BA13+WeightSDS!W$5,IF($BA13&lt;186,WeightSDS!P$8*$BA13^7+WeightSDS!Q$8*$BA13^6+WeightSDS!R$8*$BA13^5+WeightSDS!S$8*$BA13^4+WeightSDS!T$8*$BA13^3+WeightSDS!U$8*$BA13^2+WeightSDS!V$8*$BA13+WeightSDS!W$8,WeightSDS!$U$9+WeightSDS!$V$9*($BA13-WeightSDS!$W$9)))</f>
        <v>0.75407122999999998</v>
      </c>
      <c r="BI13" s="24">
        <f>IF($E$4="M",IF($BA13&lt;45,WeightSDS!M$23*$BA13^10+WeightSDS!N$23*$BA13^9+WeightSDS!O$23*$BA13^8+WeightSDS!P$23*$BA13^7+WeightSDS!Q$23*$BA13^6+WeightSDS!R$23*$BA13^5+WeightSDS!S$23*$BA13^4+WeightSDS!T$23*$BA13^3+WeightSDS!U$23*$BA13^2+WeightSDS!V$23*$BA13+WeightSDS!W$23,IF($BA13&lt;153,WeightSDS!M$25*$BA13^10+WeightSDS!N$25*$BA13^9+WeightSDS!O$25*$BA13^8+WeightSDS!P$25*$BA13^7+WeightSDS!Q$25*$BA13^6+WeightSDS!R$25*$BA13^5+WeightSDS!S$25*$BA13^4+WeightSDS!T$25*$BA13^3+WeightSDS!U$25*$BA13^2+WeightSDS!V$25*$BA13+WeightSDS!W$25,WeightSDS!M$27+WeightSDS!N$27/(1+EXP(WeightSDS!O$27+WeightSDS!P$27*$BA13)))),IF($BA13&lt;43.8,WeightSDS!M$29*$BA13^10+WeightSDS!N$29*$BA13^9+WeightSDS!O$29*$BA13^8+WeightSDS!P$29*$BA13^7+WeightSDS!Q$29*$BA13^6+WeightSDS!R$29*$BA13^5+WeightSDS!S$29*$BA13^4+WeightSDS!T$29*$BA13^3+WeightSDS!U$29*$BA13^2+WeightSDS!V$29*$BA13+WeightSDS!W$29-0.010431*(1-$BA13/210),IF($BA13&lt;123,WeightSDS!M$30*$BA13^10+WeightSDS!N$30*$BA13^9+WeightSDS!O$30*$BA13^8+WeightSDS!P$30*$BA13^7+WeightSDS!Q$30*$BA13^6+WeightSDS!R$30*$BA13^5+WeightSDS!S$30*$BA13^4+WeightSDS!T$30*$BA13^3+WeightSDS!U$30*$BA13^2+WeightSDS!V$30*$BA13+WeightSDS!W$30-0.010431*(1-1/$BA13),WeightSDS!M$32+WeightSDS!N$32/(1+EXP(WeightSDS!O$32+WeightSDS!P$32*$BA13))-0.010431*(1-$BA13/210))))</f>
        <v>2.9500001032655536</v>
      </c>
      <c r="BJ13" s="24">
        <f>IF($E$4="M",IF($BA13&lt;162,WeightSDS!P$12*$BA13^7+WeightSDS!Q$12*$BA13^6+WeightSDS!R$12*$BA13^5+WeightSDS!S$12*$BA13^4+WeightSDS!T$12*$BA13^3+WeightSDS!U$12*$BA13^2+WeightSDS!V$12*$BA13+WeightSDS!W$12,WeightSDS!P$14*$BA13^7+WeightSDS!Q$14*$BA13^6+WeightSDS!R$14*$BA13^5+WeightSDS!S$14*$BA13^4+WeightSDS!T$14*$BA13^3+WeightSDS!U$14*$BA13^2+WeightSDS!V$14*$BA13+WeightSDS!W$14),IF($BA13&lt;156,WeightSDS!O$17*$BA13^8+WeightSDS!P$17*$BA13^7+WeightSDS!Q$17*$BA13^6+WeightSDS!R$17*$BA13^5+WeightSDS!S$17*$BA13^4+WeightSDS!T$17*$BA13^3+WeightSDS!U$17*$BA13^2+WeightSDS!V$17*$BA13+WeightSDS!W$17,IF($BA13&lt;186,WeightSDS!$U$18+(WeightSDS!$V$18-WeightSDS!$U$18)/24*($BA13-186)+WeightSDS!$W$18*(-$BA13+186)^2-0.005,WeightSDS!$U$18+(WeightSDS!$V$18-WeightSDS!$U$18)/24*($BA13-186)-0.005)))</f>
        <v>0.14604529399999999</v>
      </c>
    </row>
    <row r="14" spans="2:62" s="4" customFormat="1" x14ac:dyDescent="0.15">
      <c r="B14" s="40"/>
      <c r="C14" s="141"/>
      <c r="D14" s="22"/>
      <c r="E14" s="110"/>
      <c r="F14" s="110"/>
      <c r="G14" s="110"/>
      <c r="H14" s="44" t="str">
        <f t="shared" si="0"/>
        <v/>
      </c>
      <c r="I14" s="111" t="str">
        <f t="shared" si="10"/>
        <v/>
      </c>
      <c r="J14" s="111" t="str">
        <f t="shared" si="2"/>
        <v/>
      </c>
      <c r="K14" s="111" t="str">
        <f t="shared" si="11"/>
        <v/>
      </c>
      <c r="L14" s="44" t="str">
        <f t="shared" si="12"/>
        <v/>
      </c>
      <c r="M14" s="111" t="str">
        <f t="shared" si="13"/>
        <v/>
      </c>
      <c r="N14" s="44" t="str">
        <f t="shared" si="14"/>
        <v/>
      </c>
      <c r="O14" s="44" t="str">
        <f t="shared" si="4"/>
        <v/>
      </c>
      <c r="P14" s="111" t="str">
        <f t="shared" si="15"/>
        <v/>
      </c>
      <c r="Q14" s="44" t="str">
        <f t="shared" si="16"/>
        <v/>
      </c>
      <c r="R14" s="157" t="str">
        <f t="shared" si="30"/>
        <v/>
      </c>
      <c r="S14" s="44" t="str">
        <f t="shared" si="17"/>
        <v/>
      </c>
      <c r="T14" s="140" t="str">
        <f t="shared" si="18"/>
        <v/>
      </c>
      <c r="U14" s="140" t="str">
        <f>IF(COUNT(T14)=1,IF(AA14=1,"",IF(COUNTA(C14)=1,IF(AG14&lt;1,"NA",IF(AG14&gt;=17,IF(AH14&gt;=IF($D$4="M",10,4),"NA",IF(BB14&gt;BB13,AM14,"NA")),IF(BB14&gt;BB13,AM14,"NA"))),"")),"")</f>
        <v/>
      </c>
      <c r="V14" s="24"/>
      <c r="W14" s="24"/>
      <c r="X14" s="24"/>
      <c r="Y14" s="24"/>
      <c r="Z14" s="24"/>
      <c r="AA14" s="24">
        <f t="shared" si="20"/>
        <v>0</v>
      </c>
      <c r="AB14" s="24"/>
      <c r="AC14" s="24" t="str">
        <f>IF(COUNTA(C14)=1,R14,AC13)</f>
        <v/>
      </c>
      <c r="AD14" s="24" t="str">
        <f t="shared" si="21"/>
        <v/>
      </c>
      <c r="AE14" s="24">
        <f t="shared" si="22"/>
        <v>0</v>
      </c>
      <c r="AG14" s="24" t="e">
        <f t="shared" si="31"/>
        <v>#VALUE!</v>
      </c>
      <c r="AH14" s="24" t="e">
        <f t="shared" si="32"/>
        <v>#VALUE!</v>
      </c>
      <c r="AI14" s="24" t="e">
        <f t="shared" si="23"/>
        <v>#VALUE!</v>
      </c>
      <c r="AJ14" s="24" t="e">
        <f t="shared" si="24"/>
        <v>#VALUE!</v>
      </c>
      <c r="AL14" s="24"/>
      <c r="AM14" s="24" t="e">
        <f t="shared" si="33"/>
        <v>#VALUE!</v>
      </c>
      <c r="AN14" s="31"/>
      <c r="AO14" s="34">
        <f t="shared" si="5"/>
        <v>0</v>
      </c>
      <c r="AP14" s="24">
        <f t="shared" si="6"/>
        <v>0</v>
      </c>
      <c r="AQ14" s="24"/>
      <c r="AR14" s="112"/>
      <c r="AS14" s="112"/>
      <c r="AT14" s="59">
        <f t="shared" si="7"/>
        <v>9.0359999999999996</v>
      </c>
      <c r="AU14" s="59">
        <f t="shared" si="8"/>
        <v>-184.49199999999999</v>
      </c>
      <c r="AV14" s="59"/>
      <c r="AW14"/>
      <c r="AX14">
        <f>IF($E$4="M",IF(BA14&lt;78,BMILMS!$D$5*BA14^3+BMILMS!$E$5*BA14^2+BMILMS!$F$5*BA14+BMILMS!$G$5,IF(BA14&lt;150,BMILMS!$D$6*BA14^3+BMILMS!$E$6*BA14^2+BMILMS!$F$6*BA14+BMILMS!$G$6,BMILMS!$D$7*BA14^3+BMILMS!$E$7*BA14^2+BMILMS!$F$7*BA14+BMILMS!$G$7)),IF(BA14&lt;69,BMILMS!$D$9*BA14^3+BMILMS!$E$9*BA14^2+BMILMS!$F$9*BA14+BMILMS!$G$9,IF(BA14&lt;150,BMILMS!$D$10*BA14^3+BMILMS!$E$10*BA14^2+BMILMS!$F$10*BA14+BMILMS!$G$10,BMILMS!$D$11*BA14^3+BMILMS!$E$11*BA14^2+BMILMS!$F$11*BA14+BMILMS!$G$11)))</f>
        <v>0.79584630099999998</v>
      </c>
      <c r="AY14">
        <f>IF($E$4="M",(IF(BA14&lt;2.5,BMILMS!$D$21*BA14^3+BMILMS!$E$21*BA14^2+BMILMS!$F$21*BA14+BMILMS!$G$21,IF(BA14&lt;9.5,BMILMS!$D$22*BA14^3+BMILMS!$E$22*BA14^2+BMILMS!$F$22*BA14+BMILMS!$G$22,IF(BA14&lt;26.75,BMILMS!$D$23*BA14^3+BMILMS!$E$23*BA14^2+BMILMS!$F$23*BA14+BMILMS!$G$23,IF(BA14&lt;90,BMILMS!$D$24*BA14^3+BMILMS!$E$24*BA14^2+BMILMS!$F$24*BA14+BMILMS!$G$24,BMILMS!$D$25*BA14^3+BMILMS!$E$25*BA14^2+BMILMS!$F$25*BA14+BMILMS!$G$25))))),(IF(BA14&lt;2.5,BMILMS!$D$27*BA14^3+BMILMS!$E$27*BA14^2+BMILMS!$F$27*BA14+BMILMS!$G$27,IF(BA14&lt;9.5,BMILMS!$D$28*BA14^3+BMILMS!$E$28*BA14^2+BMILMS!$F$28*BA14+BMILMS!$G$28,IF(BA14&lt;26.75,BMILMS!$D$29*BA14^3+BMILMS!$E$29*BA14^2+BMILMS!$F$29*BA14+BMILMS!$G$29,IF(BA14&lt;90,BMILMS!$D$30*BA14^3+BMILMS!$E$30*BA14^2+BMILMS!$F$30*BA14+BMILMS!$G$30,IF(BA14&lt;150,BMILMS!$D$31*BA14^3+BMILMS!$E$31*BA14^2+BMILMS!$F$31*BA14+BMILMS!$G$31,BMILMS!$D$32*BA14^3+BMILMS!$E$32*BA14^2+BMILMS!$F$32*BA14+BMILMS!$G$32)))))))</f>
        <v>12.568967990000001</v>
      </c>
      <c r="AZ14">
        <f>IF($E$4="M",(IF(BA14&lt;90,BMILMS!$D$14*BA14^3+BMILMS!$E$14*BA14^2+BMILMS!$F$14*BA14+BMILMS!$G$14,BMILMS!$D$15*BA14^3+BMILMS!$E$15*BA14^2+BMILMS!$F$15*BA14+BMILMS!$G$15)),(IF(BA14&lt;90,BMILMS!$D$17*BA14^3+BMILMS!$E$17*BA14^2+BMILMS!$F$17*BA14+BMILMS!$G$17,BMILMS!$D$18*BA14^3+BMILMS!$E$18*BA14^2+BMILMS!$F$18*BA14+BMILMS!$G$18)))</f>
        <v>8.8969350000000003E-2</v>
      </c>
      <c r="BA14" s="24">
        <f t="shared" si="25"/>
        <v>0</v>
      </c>
      <c r="BB14" s="24">
        <f t="shared" si="9"/>
        <v>0</v>
      </c>
      <c r="BD14">
        <f>INDEX(IF($E$4="M",IGFmale, IGFfemale), AO14+1,1)</f>
        <v>0.56299999999999994</v>
      </c>
      <c r="BE14">
        <f t="shared" si="28"/>
        <v>69</v>
      </c>
      <c r="BF14">
        <f t="shared" si="26"/>
        <v>0.51</v>
      </c>
      <c r="BH14" s="35">
        <f>IF($E$4="M",WeightSDS!P$5*$BA14^7+WeightSDS!Q$5*$BA14^6+WeightSDS!R$5*$BA14^5+WeightSDS!S$5*$BA14^4+WeightSDS!T$5*$BA14^3+WeightSDS!U$5*$BA14^2+WeightSDS!V$5*$BA14+WeightSDS!W$5,IF($BA14&lt;186,WeightSDS!P$8*$BA14^7+WeightSDS!Q$8*$BA14^6+WeightSDS!R$8*$BA14^5+WeightSDS!S$8*$BA14^4+WeightSDS!T$8*$BA14^3+WeightSDS!U$8*$BA14^2+WeightSDS!V$8*$BA14+WeightSDS!W$8,WeightSDS!$U$9+WeightSDS!$V$9*($BA14-WeightSDS!$W$9)))</f>
        <v>0.75407122999999998</v>
      </c>
      <c r="BI14" s="24">
        <f>IF($E$4="M",IF($BA14&lt;45,WeightSDS!M$23*$BA14^10+WeightSDS!N$23*$BA14^9+WeightSDS!O$23*$BA14^8+WeightSDS!P$23*$BA14^7+WeightSDS!Q$23*$BA14^6+WeightSDS!R$23*$BA14^5+WeightSDS!S$23*$BA14^4+WeightSDS!T$23*$BA14^3+WeightSDS!U$23*$BA14^2+WeightSDS!V$23*$BA14+WeightSDS!W$23,IF($BA14&lt;153,WeightSDS!M$25*$BA14^10+WeightSDS!N$25*$BA14^9+WeightSDS!O$25*$BA14^8+WeightSDS!P$25*$BA14^7+WeightSDS!Q$25*$BA14^6+WeightSDS!R$25*$BA14^5+WeightSDS!S$25*$BA14^4+WeightSDS!T$25*$BA14^3+WeightSDS!U$25*$BA14^2+WeightSDS!V$25*$BA14+WeightSDS!W$25,WeightSDS!M$27+WeightSDS!N$27/(1+EXP(WeightSDS!O$27+WeightSDS!P$27*$BA14)))),IF($BA14&lt;43.8,WeightSDS!M$29*$BA14^10+WeightSDS!N$29*$BA14^9+WeightSDS!O$29*$BA14^8+WeightSDS!P$29*$BA14^7+WeightSDS!Q$29*$BA14^6+WeightSDS!R$29*$BA14^5+WeightSDS!S$29*$BA14^4+WeightSDS!T$29*$BA14^3+WeightSDS!U$29*$BA14^2+WeightSDS!V$29*$BA14+WeightSDS!W$29-0.010431*(1-$BA14/210),IF($BA14&lt;123,WeightSDS!M$30*$BA14^10+WeightSDS!N$30*$BA14^9+WeightSDS!O$30*$BA14^8+WeightSDS!P$30*$BA14^7+WeightSDS!Q$30*$BA14^6+WeightSDS!R$30*$BA14^5+WeightSDS!S$30*$BA14^4+WeightSDS!T$30*$BA14^3+WeightSDS!U$30*$BA14^2+WeightSDS!V$30*$BA14+WeightSDS!W$30-0.010431*(1-1/$BA14),WeightSDS!M$32+WeightSDS!N$32/(1+EXP(WeightSDS!O$32+WeightSDS!P$32*$BA14))-0.010431*(1-$BA14/210))))</f>
        <v>2.9500001032655536</v>
      </c>
      <c r="BJ14" s="24">
        <f>IF($E$4="M",IF($BA14&lt;162,WeightSDS!P$12*$BA14^7+WeightSDS!Q$12*$BA14^6+WeightSDS!R$12*$BA14^5+WeightSDS!S$12*$BA14^4+WeightSDS!T$12*$BA14^3+WeightSDS!U$12*$BA14^2+WeightSDS!V$12*$BA14+WeightSDS!W$12,WeightSDS!P$14*$BA14^7+WeightSDS!Q$14*$BA14^6+WeightSDS!R$14*$BA14^5+WeightSDS!S$14*$BA14^4+WeightSDS!T$14*$BA14^3+WeightSDS!U$14*$BA14^2+WeightSDS!V$14*$BA14+WeightSDS!W$14),IF($BA14&lt;156,WeightSDS!O$17*$BA14^8+WeightSDS!P$17*$BA14^7+WeightSDS!Q$17*$BA14^6+WeightSDS!R$17*$BA14^5+WeightSDS!S$17*$BA14^4+WeightSDS!T$17*$BA14^3+WeightSDS!U$17*$BA14^2+WeightSDS!V$17*$BA14+WeightSDS!W$17,IF($BA14&lt;186,WeightSDS!$U$18+(WeightSDS!$V$18-WeightSDS!$U$18)/24*($BA14-186)+WeightSDS!$W$18*(-$BA14+186)^2-0.005,WeightSDS!$U$18+(WeightSDS!$V$18-WeightSDS!$U$18)/24*($BA14-186)-0.005)))</f>
        <v>0.14604529399999999</v>
      </c>
    </row>
    <row r="15" spans="2:62" s="4" customFormat="1" x14ac:dyDescent="0.15">
      <c r="B15" s="40"/>
      <c r="C15" s="141"/>
      <c r="D15" s="22"/>
      <c r="E15" s="110"/>
      <c r="F15" s="110"/>
      <c r="G15" s="110"/>
      <c r="H15" s="44" t="str">
        <f t="shared" si="0"/>
        <v/>
      </c>
      <c r="I15" s="111" t="str">
        <f t="shared" si="10"/>
        <v/>
      </c>
      <c r="J15" s="111" t="str">
        <f t="shared" si="2"/>
        <v/>
      </c>
      <c r="K15" s="111" t="str">
        <f t="shared" si="11"/>
        <v/>
      </c>
      <c r="L15" s="44" t="str">
        <f t="shared" si="12"/>
        <v/>
      </c>
      <c r="M15" s="111" t="str">
        <f t="shared" si="13"/>
        <v/>
      </c>
      <c r="N15" s="44" t="str">
        <f t="shared" si="14"/>
        <v/>
      </c>
      <c r="O15" s="44" t="str">
        <f t="shared" si="4"/>
        <v/>
      </c>
      <c r="P15" s="111" t="str">
        <f t="shared" si="15"/>
        <v/>
      </c>
      <c r="Q15" s="44" t="str">
        <f t="shared" si="16"/>
        <v/>
      </c>
      <c r="R15" s="157" t="str">
        <f t="shared" si="30"/>
        <v/>
      </c>
      <c r="S15" s="44" t="str">
        <f t="shared" si="17"/>
        <v/>
      </c>
      <c r="T15" s="140" t="str">
        <f t="shared" si="18"/>
        <v/>
      </c>
      <c r="U15" s="140" t="str">
        <f>IF(COUNT(T15)=1,IF(AA15=1,"",IF(COUNTA(C15)=1,IF(AG15&lt;1,"NA",IF(AG15&gt;=17,IF(AH15&gt;=IF($D$4="M",10,4),"NA",IF(BB15&gt;BB14,AM15,"NA")),IF(BB15&gt;BB14,AM15,"NA"))),"")),"")</f>
        <v/>
      </c>
      <c r="V15" s="24"/>
      <c r="W15" s="24"/>
      <c r="X15" s="24"/>
      <c r="Y15" s="24"/>
      <c r="Z15" s="24"/>
      <c r="AA15" s="24">
        <f t="shared" si="20"/>
        <v>0</v>
      </c>
      <c r="AB15" s="24"/>
      <c r="AC15" s="24" t="str">
        <f>IF(COUNTA(C15)=1,R15,AC14)</f>
        <v/>
      </c>
      <c r="AD15" s="24" t="str">
        <f>IF(COUNTA(C15)=1,E15,"")</f>
        <v/>
      </c>
      <c r="AE15" s="24">
        <f t="shared" si="22"/>
        <v>0</v>
      </c>
      <c r="AG15" s="24" t="e">
        <f t="shared" si="31"/>
        <v>#VALUE!</v>
      </c>
      <c r="AH15" s="24" t="e">
        <f t="shared" si="32"/>
        <v>#VALUE!</v>
      </c>
      <c r="AI15" s="24" t="e">
        <f t="shared" si="23"/>
        <v>#VALUE!</v>
      </c>
      <c r="AJ15" s="24" t="e">
        <f t="shared" si="24"/>
        <v>#VALUE!</v>
      </c>
      <c r="AL15" s="24"/>
      <c r="AM15" s="24" t="e">
        <f t="shared" si="33"/>
        <v>#VALUE!</v>
      </c>
      <c r="AO15" s="34">
        <f t="shared" si="5"/>
        <v>0</v>
      </c>
      <c r="AP15" s="24">
        <f t="shared" si="6"/>
        <v>0</v>
      </c>
      <c r="AQ15" s="24"/>
      <c r="AR15" s="112"/>
      <c r="AS15" s="112"/>
      <c r="AT15" s="59">
        <f t="shared" si="7"/>
        <v>9.0359999999999996</v>
      </c>
      <c r="AU15" s="59">
        <f t="shared" si="8"/>
        <v>-184.49199999999999</v>
      </c>
      <c r="AV15" s="59"/>
      <c r="AW15"/>
      <c r="AX15">
        <f>IF($E$4="M",IF(BA15&lt;78,BMILMS!$D$5*BA15^3+BMILMS!$E$5*BA15^2+BMILMS!$F$5*BA15+BMILMS!$G$5,IF(BA15&lt;150,BMILMS!$D$6*BA15^3+BMILMS!$E$6*BA15^2+BMILMS!$F$6*BA15+BMILMS!$G$6,BMILMS!$D$7*BA15^3+BMILMS!$E$7*BA15^2+BMILMS!$F$7*BA15+BMILMS!$G$7)),IF(BA15&lt;69,BMILMS!$D$9*BA15^3+BMILMS!$E$9*BA15^2+BMILMS!$F$9*BA15+BMILMS!$G$9,IF(BA15&lt;150,BMILMS!$D$10*BA15^3+BMILMS!$E$10*BA15^2+BMILMS!$F$10*BA15+BMILMS!$G$10,BMILMS!$D$11*BA15^3+BMILMS!$E$11*BA15^2+BMILMS!$F$11*BA15+BMILMS!$G$11)))</f>
        <v>0.79584630099999998</v>
      </c>
      <c r="AY15">
        <f>IF($E$4="M",(IF(BA15&lt;2.5,BMILMS!$D$21*BA15^3+BMILMS!$E$21*BA15^2+BMILMS!$F$21*BA15+BMILMS!$G$21,IF(BA15&lt;9.5,BMILMS!$D$22*BA15^3+BMILMS!$E$22*BA15^2+BMILMS!$F$22*BA15+BMILMS!$G$22,IF(BA15&lt;26.75,BMILMS!$D$23*BA15^3+BMILMS!$E$23*BA15^2+BMILMS!$F$23*BA15+BMILMS!$G$23,IF(BA15&lt;90,BMILMS!$D$24*BA15^3+BMILMS!$E$24*BA15^2+BMILMS!$F$24*BA15+BMILMS!$G$24,BMILMS!$D$25*BA15^3+BMILMS!$E$25*BA15^2+BMILMS!$F$25*BA15+BMILMS!$G$25))))),(IF(BA15&lt;2.5,BMILMS!$D$27*BA15^3+BMILMS!$E$27*BA15^2+BMILMS!$F$27*BA15+BMILMS!$G$27,IF(BA15&lt;9.5,BMILMS!$D$28*BA15^3+BMILMS!$E$28*BA15^2+BMILMS!$F$28*BA15+BMILMS!$G$28,IF(BA15&lt;26.75,BMILMS!$D$29*BA15^3+BMILMS!$E$29*BA15^2+BMILMS!$F$29*BA15+BMILMS!$G$29,IF(BA15&lt;90,BMILMS!$D$30*BA15^3+BMILMS!$E$30*BA15^2+BMILMS!$F$30*BA15+BMILMS!$G$30,IF(BA15&lt;150,BMILMS!$D$31*BA15^3+BMILMS!$E$31*BA15^2+BMILMS!$F$31*BA15+BMILMS!$G$31,BMILMS!$D$32*BA15^3+BMILMS!$E$32*BA15^2+BMILMS!$F$32*BA15+BMILMS!$G$32)))))))</f>
        <v>12.568967990000001</v>
      </c>
      <c r="AZ15">
        <f>IF($E$4="M",(IF(BA15&lt;90,BMILMS!$D$14*BA15^3+BMILMS!$E$14*BA15^2+BMILMS!$F$14*BA15+BMILMS!$G$14,BMILMS!$D$15*BA15^3+BMILMS!$E$15*BA15^2+BMILMS!$F$15*BA15+BMILMS!$G$15)),(IF(BA15&lt;90,BMILMS!$D$17*BA15^3+BMILMS!$E$17*BA15^2+BMILMS!$F$17*BA15+BMILMS!$G$17,BMILMS!$D$18*BA15^3+BMILMS!$E$18*BA15^2+BMILMS!$F$18*BA15+BMILMS!$G$18)))</f>
        <v>8.8969350000000003E-2</v>
      </c>
      <c r="BA15" s="24">
        <f t="shared" ref="BA15:BA57" si="34">AO15*12+AP15</f>
        <v>0</v>
      </c>
      <c r="BB15" s="24">
        <f t="shared" si="9"/>
        <v>0</v>
      </c>
      <c r="BD15">
        <f>INDEX(IF($E$4="M",IGFmale, IGFfemale), AO15+1,1)</f>
        <v>0.56299999999999994</v>
      </c>
      <c r="BE15">
        <f>INDEX(IF($E$4="M",IGFmale, IGFfemale), AO15+1,2)</f>
        <v>69</v>
      </c>
      <c r="BF15">
        <f>INDEX(IF($E$4="M",IGFmale, IGFfemale), AO15+1,3)</f>
        <v>0.51</v>
      </c>
      <c r="BH15" s="35">
        <f>IF($E$4="M",WeightSDS!P$5*$BA15^7+WeightSDS!Q$5*$BA15^6+WeightSDS!R$5*$BA15^5+WeightSDS!S$5*$BA15^4+WeightSDS!T$5*$BA15^3+WeightSDS!U$5*$BA15^2+WeightSDS!V$5*$BA15+WeightSDS!W$5,IF($BA15&lt;186,WeightSDS!P$8*$BA15^7+WeightSDS!Q$8*$BA15^6+WeightSDS!R$8*$BA15^5+WeightSDS!S$8*$BA15^4+WeightSDS!T$8*$BA15^3+WeightSDS!U$8*$BA15^2+WeightSDS!V$8*$BA15+WeightSDS!W$8,WeightSDS!$U$9+WeightSDS!$V$9*($BA15-WeightSDS!$W$9)))</f>
        <v>0.75407122999999998</v>
      </c>
      <c r="BI15" s="24">
        <f>IF($E$4="M",IF($BA15&lt;45,WeightSDS!M$23*$BA15^10+WeightSDS!N$23*$BA15^9+WeightSDS!O$23*$BA15^8+WeightSDS!P$23*$BA15^7+WeightSDS!Q$23*$BA15^6+WeightSDS!R$23*$BA15^5+WeightSDS!S$23*$BA15^4+WeightSDS!T$23*$BA15^3+WeightSDS!U$23*$BA15^2+WeightSDS!V$23*$BA15+WeightSDS!W$23,IF($BA15&lt;153,WeightSDS!M$25*$BA15^10+WeightSDS!N$25*$BA15^9+WeightSDS!O$25*$BA15^8+WeightSDS!P$25*$BA15^7+WeightSDS!Q$25*$BA15^6+WeightSDS!R$25*$BA15^5+WeightSDS!S$25*$BA15^4+WeightSDS!T$25*$BA15^3+WeightSDS!U$25*$BA15^2+WeightSDS!V$25*$BA15+WeightSDS!W$25,WeightSDS!M$27+WeightSDS!N$27/(1+EXP(WeightSDS!O$27+WeightSDS!P$27*$BA15)))),IF($BA15&lt;43.8,WeightSDS!M$29*$BA15^10+WeightSDS!N$29*$BA15^9+WeightSDS!O$29*$BA15^8+WeightSDS!P$29*$BA15^7+WeightSDS!Q$29*$BA15^6+WeightSDS!R$29*$BA15^5+WeightSDS!S$29*$BA15^4+WeightSDS!T$29*$BA15^3+WeightSDS!U$29*$BA15^2+WeightSDS!V$29*$BA15+WeightSDS!W$29-0.010431*(1-$BA15/210),IF($BA15&lt;123,WeightSDS!M$30*$BA15^10+WeightSDS!N$30*$BA15^9+WeightSDS!O$30*$BA15^8+WeightSDS!P$30*$BA15^7+WeightSDS!Q$30*$BA15^6+WeightSDS!R$30*$BA15^5+WeightSDS!S$30*$BA15^4+WeightSDS!T$30*$BA15^3+WeightSDS!U$30*$BA15^2+WeightSDS!V$30*$BA15+WeightSDS!W$30-0.010431*(1-1/$BA15),WeightSDS!M$32+WeightSDS!N$32/(1+EXP(WeightSDS!O$32+WeightSDS!P$32*$BA15))-0.010431*(1-$BA15/210))))</f>
        <v>2.9500001032655536</v>
      </c>
      <c r="BJ15" s="24">
        <f>IF($E$4="M",IF($BA15&lt;162,WeightSDS!P$12*$BA15^7+WeightSDS!Q$12*$BA15^6+WeightSDS!R$12*$BA15^5+WeightSDS!S$12*$BA15^4+WeightSDS!T$12*$BA15^3+WeightSDS!U$12*$BA15^2+WeightSDS!V$12*$BA15+WeightSDS!W$12,WeightSDS!P$14*$BA15^7+WeightSDS!Q$14*$BA15^6+WeightSDS!R$14*$BA15^5+WeightSDS!S$14*$BA15^4+WeightSDS!T$14*$BA15^3+WeightSDS!U$14*$BA15^2+WeightSDS!V$14*$BA15+WeightSDS!W$14),IF($BA15&lt;156,WeightSDS!O$17*$BA15^8+WeightSDS!P$17*$BA15^7+WeightSDS!Q$17*$BA15^6+WeightSDS!R$17*$BA15^5+WeightSDS!S$17*$BA15^4+WeightSDS!T$17*$BA15^3+WeightSDS!U$17*$BA15^2+WeightSDS!V$17*$BA15+WeightSDS!W$17,IF($BA15&lt;186,WeightSDS!$U$18+(WeightSDS!$V$18-WeightSDS!$U$18)/24*($BA15-186)+WeightSDS!$W$18*(-$BA15+186)^2-0.005,WeightSDS!$U$18+(WeightSDS!$V$18-WeightSDS!$U$18)/24*($BA15-186)-0.005)))</f>
        <v>0.14604529399999999</v>
      </c>
    </row>
    <row r="16" spans="2:62" s="4" customFormat="1" x14ac:dyDescent="0.15">
      <c r="B16" s="40"/>
      <c r="C16" s="141"/>
      <c r="D16" s="22"/>
      <c r="E16" s="110"/>
      <c r="F16" s="110"/>
      <c r="G16" s="110"/>
      <c r="H16" s="44" t="str">
        <f t="shared" si="0"/>
        <v/>
      </c>
      <c r="I16" s="111" t="str">
        <f t="shared" si="10"/>
        <v/>
      </c>
      <c r="J16" s="111" t="str">
        <f t="shared" si="2"/>
        <v/>
      </c>
      <c r="K16" s="111" t="str">
        <f t="shared" si="11"/>
        <v/>
      </c>
      <c r="L16" s="44" t="str">
        <f t="shared" si="12"/>
        <v/>
      </c>
      <c r="M16" s="111" t="str">
        <f t="shared" si="13"/>
        <v/>
      </c>
      <c r="N16" s="44" t="str">
        <f t="shared" si="14"/>
        <v/>
      </c>
      <c r="O16" s="44" t="str">
        <f t="shared" si="4"/>
        <v/>
      </c>
      <c r="P16" s="111" t="str">
        <f t="shared" si="15"/>
        <v/>
      </c>
      <c r="Q16" s="44" t="str">
        <f t="shared" si="16"/>
        <v/>
      </c>
      <c r="R16" s="157" t="str">
        <f t="shared" si="30"/>
        <v/>
      </c>
      <c r="S16" s="44" t="str">
        <f t="shared" si="17"/>
        <v/>
      </c>
      <c r="T16" s="140" t="str">
        <f t="shared" si="18"/>
        <v/>
      </c>
      <c r="U16" s="140" t="str">
        <f>IF(COUNT(T16)=1,IF(AA16=1,"",IF(COUNTA(C16)=1,IF(AG16&lt;1,"NA",IF(AG16&gt;=17,IF(AH16&gt;=IF($D$4="M",10,4),"NA",IF(BB16&gt;BB15,AM16,"NA")),IF(BB16&gt;BB15,AM16,"NA"))),"")),"")</f>
        <v/>
      </c>
      <c r="V16" s="24"/>
      <c r="W16" s="24"/>
      <c r="X16" s="24"/>
      <c r="Y16" s="24"/>
      <c r="Z16" s="24"/>
      <c r="AA16" s="24">
        <f t="shared" si="20"/>
        <v>0</v>
      </c>
      <c r="AB16" s="24"/>
      <c r="AC16" s="24" t="str">
        <f t="shared" si="27"/>
        <v/>
      </c>
      <c r="AD16" s="24" t="str">
        <f t="shared" si="21"/>
        <v/>
      </c>
      <c r="AE16" s="24">
        <f t="shared" si="22"/>
        <v>0</v>
      </c>
      <c r="AG16" s="24" t="e">
        <f t="shared" si="31"/>
        <v>#VALUE!</v>
      </c>
      <c r="AH16" s="24" t="e">
        <f t="shared" si="32"/>
        <v>#VALUE!</v>
      </c>
      <c r="AI16" s="24" t="e">
        <f t="shared" si="23"/>
        <v>#VALUE!</v>
      </c>
      <c r="AJ16" s="24" t="e">
        <f t="shared" si="24"/>
        <v>#VALUE!</v>
      </c>
      <c r="AL16" s="24"/>
      <c r="AM16" s="24" t="e">
        <f t="shared" si="33"/>
        <v>#VALUE!</v>
      </c>
      <c r="AN16" s="31"/>
      <c r="AO16" s="34">
        <f t="shared" si="5"/>
        <v>0</v>
      </c>
      <c r="AP16" s="24">
        <f t="shared" si="6"/>
        <v>0</v>
      </c>
      <c r="AQ16" s="24"/>
      <c r="AR16" s="112"/>
      <c r="AS16" s="112"/>
      <c r="AT16" s="59">
        <f t="shared" si="7"/>
        <v>9.0359999999999996</v>
      </c>
      <c r="AU16" s="59">
        <f t="shared" si="8"/>
        <v>-184.49199999999999</v>
      </c>
      <c r="AV16" s="59"/>
      <c r="AW16"/>
      <c r="AX16">
        <f>IF($E$4="M",IF(BA16&lt;78,BMILMS!$D$5*BA16^3+BMILMS!$E$5*BA16^2+BMILMS!$F$5*BA16+BMILMS!$G$5,IF(BA16&lt;150,BMILMS!$D$6*BA16^3+BMILMS!$E$6*BA16^2+BMILMS!$F$6*BA16+BMILMS!$G$6,BMILMS!$D$7*BA16^3+BMILMS!$E$7*BA16^2+BMILMS!$F$7*BA16+BMILMS!$G$7)),IF(BA16&lt;69,BMILMS!$D$9*BA16^3+BMILMS!$E$9*BA16^2+BMILMS!$F$9*BA16+BMILMS!$G$9,IF(BA16&lt;150,BMILMS!$D$10*BA16^3+BMILMS!$E$10*BA16^2+BMILMS!$F$10*BA16+BMILMS!$G$10,BMILMS!$D$11*BA16^3+BMILMS!$E$11*BA16^2+BMILMS!$F$11*BA16+BMILMS!$G$11)))</f>
        <v>0.79584630099999998</v>
      </c>
      <c r="AY16">
        <f>IF($E$4="M",(IF(BA16&lt;2.5,BMILMS!$D$21*BA16^3+BMILMS!$E$21*BA16^2+BMILMS!$F$21*BA16+BMILMS!$G$21,IF(BA16&lt;9.5,BMILMS!$D$22*BA16^3+BMILMS!$E$22*BA16^2+BMILMS!$F$22*BA16+BMILMS!$G$22,IF(BA16&lt;26.75,BMILMS!$D$23*BA16^3+BMILMS!$E$23*BA16^2+BMILMS!$F$23*BA16+BMILMS!$G$23,IF(BA16&lt;90,BMILMS!$D$24*BA16^3+BMILMS!$E$24*BA16^2+BMILMS!$F$24*BA16+BMILMS!$G$24,BMILMS!$D$25*BA16^3+BMILMS!$E$25*BA16^2+BMILMS!$F$25*BA16+BMILMS!$G$25))))),(IF(BA16&lt;2.5,BMILMS!$D$27*BA16^3+BMILMS!$E$27*BA16^2+BMILMS!$F$27*BA16+BMILMS!$G$27,IF(BA16&lt;9.5,BMILMS!$D$28*BA16^3+BMILMS!$E$28*BA16^2+BMILMS!$F$28*BA16+BMILMS!$G$28,IF(BA16&lt;26.75,BMILMS!$D$29*BA16^3+BMILMS!$E$29*BA16^2+BMILMS!$F$29*BA16+BMILMS!$G$29,IF(BA16&lt;90,BMILMS!$D$30*BA16^3+BMILMS!$E$30*BA16^2+BMILMS!$F$30*BA16+BMILMS!$G$30,IF(BA16&lt;150,BMILMS!$D$31*BA16^3+BMILMS!$E$31*BA16^2+BMILMS!$F$31*BA16+BMILMS!$G$31,BMILMS!$D$32*BA16^3+BMILMS!$E$32*BA16^2+BMILMS!$F$32*BA16+BMILMS!$G$32)))))))</f>
        <v>12.568967990000001</v>
      </c>
      <c r="AZ16">
        <f>IF($E$4="M",(IF(BA16&lt;90,BMILMS!$D$14*BA16^3+BMILMS!$E$14*BA16^2+BMILMS!$F$14*BA16+BMILMS!$G$14,BMILMS!$D$15*BA16^3+BMILMS!$E$15*BA16^2+BMILMS!$F$15*BA16+BMILMS!$G$15)),(IF(BA16&lt;90,BMILMS!$D$17*BA16^3+BMILMS!$E$17*BA16^2+BMILMS!$F$17*BA16+BMILMS!$G$17,BMILMS!$D$18*BA16^3+BMILMS!$E$18*BA16^2+BMILMS!$F$18*BA16+BMILMS!$G$18)))</f>
        <v>8.8969350000000003E-2</v>
      </c>
      <c r="BA16" s="24">
        <f t="shared" si="34"/>
        <v>0</v>
      </c>
      <c r="BB16" s="24">
        <f t="shared" si="9"/>
        <v>0</v>
      </c>
      <c r="BD16">
        <f t="shared" si="29"/>
        <v>0.56299999999999994</v>
      </c>
      <c r="BE16">
        <f t="shared" si="28"/>
        <v>69</v>
      </c>
      <c r="BF16">
        <f t="shared" si="26"/>
        <v>0.51</v>
      </c>
      <c r="BH16" s="35">
        <f>IF($E$4="M",WeightSDS!P$5*$BA16^7+WeightSDS!Q$5*$BA16^6+WeightSDS!R$5*$BA16^5+WeightSDS!S$5*$BA16^4+WeightSDS!T$5*$BA16^3+WeightSDS!U$5*$BA16^2+WeightSDS!V$5*$BA16+WeightSDS!W$5,IF($BA16&lt;186,WeightSDS!P$8*$BA16^7+WeightSDS!Q$8*$BA16^6+WeightSDS!R$8*$BA16^5+WeightSDS!S$8*$BA16^4+WeightSDS!T$8*$BA16^3+WeightSDS!U$8*$BA16^2+WeightSDS!V$8*$BA16+WeightSDS!W$8,WeightSDS!$U$9+WeightSDS!$V$9*($BA16-WeightSDS!$W$9)))</f>
        <v>0.75407122999999998</v>
      </c>
      <c r="BI16" s="24">
        <f>IF($E$4="M",IF($BA16&lt;45,WeightSDS!M$23*$BA16^10+WeightSDS!N$23*$BA16^9+WeightSDS!O$23*$BA16^8+WeightSDS!P$23*$BA16^7+WeightSDS!Q$23*$BA16^6+WeightSDS!R$23*$BA16^5+WeightSDS!S$23*$BA16^4+WeightSDS!T$23*$BA16^3+WeightSDS!U$23*$BA16^2+WeightSDS!V$23*$BA16+WeightSDS!W$23,IF($BA16&lt;153,WeightSDS!M$25*$BA16^10+WeightSDS!N$25*$BA16^9+WeightSDS!O$25*$BA16^8+WeightSDS!P$25*$BA16^7+WeightSDS!Q$25*$BA16^6+WeightSDS!R$25*$BA16^5+WeightSDS!S$25*$BA16^4+WeightSDS!T$25*$BA16^3+WeightSDS!U$25*$BA16^2+WeightSDS!V$25*$BA16+WeightSDS!W$25,WeightSDS!M$27+WeightSDS!N$27/(1+EXP(WeightSDS!O$27+WeightSDS!P$27*$BA16)))),IF($BA16&lt;43.8,WeightSDS!M$29*$BA16^10+WeightSDS!N$29*$BA16^9+WeightSDS!O$29*$BA16^8+WeightSDS!P$29*$BA16^7+WeightSDS!Q$29*$BA16^6+WeightSDS!R$29*$BA16^5+WeightSDS!S$29*$BA16^4+WeightSDS!T$29*$BA16^3+WeightSDS!U$29*$BA16^2+WeightSDS!V$29*$BA16+WeightSDS!W$29-0.010431*(1-$BA16/210),IF($BA16&lt;123,WeightSDS!M$30*$BA16^10+WeightSDS!N$30*$BA16^9+WeightSDS!O$30*$BA16^8+WeightSDS!P$30*$BA16^7+WeightSDS!Q$30*$BA16^6+WeightSDS!R$30*$BA16^5+WeightSDS!S$30*$BA16^4+WeightSDS!T$30*$BA16^3+WeightSDS!U$30*$BA16^2+WeightSDS!V$30*$BA16+WeightSDS!W$30-0.010431*(1-1/$BA16),WeightSDS!M$32+WeightSDS!N$32/(1+EXP(WeightSDS!O$32+WeightSDS!P$32*$BA16))-0.010431*(1-$BA16/210))))</f>
        <v>2.9500001032655536</v>
      </c>
      <c r="BJ16" s="24">
        <f>IF($E$4="M",IF($BA16&lt;162,WeightSDS!P$12*$BA16^7+WeightSDS!Q$12*$BA16^6+WeightSDS!R$12*$BA16^5+WeightSDS!S$12*$BA16^4+WeightSDS!T$12*$BA16^3+WeightSDS!U$12*$BA16^2+WeightSDS!V$12*$BA16+WeightSDS!W$12,WeightSDS!P$14*$BA16^7+WeightSDS!Q$14*$BA16^6+WeightSDS!R$14*$BA16^5+WeightSDS!S$14*$BA16^4+WeightSDS!T$14*$BA16^3+WeightSDS!U$14*$BA16^2+WeightSDS!V$14*$BA16+WeightSDS!W$14),IF($BA16&lt;156,WeightSDS!O$17*$BA16^8+WeightSDS!P$17*$BA16^7+WeightSDS!Q$17*$BA16^6+WeightSDS!R$17*$BA16^5+WeightSDS!S$17*$BA16^4+WeightSDS!T$17*$BA16^3+WeightSDS!U$17*$BA16^2+WeightSDS!V$17*$BA16+WeightSDS!W$17,IF($BA16&lt;186,WeightSDS!$U$18+(WeightSDS!$V$18-WeightSDS!$U$18)/24*($BA16-186)+WeightSDS!$W$18*(-$BA16+186)^2-0.005,WeightSDS!$U$18+(WeightSDS!$V$18-WeightSDS!$U$18)/24*($BA16-186)-0.005)))</f>
        <v>0.14604529399999999</v>
      </c>
    </row>
    <row r="17" spans="2:62" s="4" customFormat="1" x14ac:dyDescent="0.15">
      <c r="B17" s="40"/>
      <c r="C17" s="141"/>
      <c r="D17" s="22"/>
      <c r="E17" s="110"/>
      <c r="F17" s="110"/>
      <c r="G17" s="110"/>
      <c r="H17" s="44" t="str">
        <f t="shared" si="0"/>
        <v/>
      </c>
      <c r="I17" s="111" t="str">
        <f t="shared" si="10"/>
        <v/>
      </c>
      <c r="J17" s="111" t="str">
        <f t="shared" si="2"/>
        <v/>
      </c>
      <c r="K17" s="111" t="str">
        <f t="shared" si="11"/>
        <v/>
      </c>
      <c r="L17" s="44" t="str">
        <f t="shared" si="12"/>
        <v/>
      </c>
      <c r="M17" s="111" t="str">
        <f t="shared" si="13"/>
        <v/>
      </c>
      <c r="N17" s="44" t="str">
        <f t="shared" si="14"/>
        <v/>
      </c>
      <c r="O17" s="44" t="str">
        <f t="shared" si="4"/>
        <v/>
      </c>
      <c r="P17" s="111" t="str">
        <f t="shared" si="15"/>
        <v/>
      </c>
      <c r="Q17" s="44" t="str">
        <f t="shared" si="16"/>
        <v/>
      </c>
      <c r="R17" s="157" t="str">
        <f t="shared" si="30"/>
        <v/>
      </c>
      <c r="S17" s="44" t="str">
        <f t="shared" si="17"/>
        <v/>
      </c>
      <c r="T17" s="140" t="str">
        <f t="shared" si="18"/>
        <v/>
      </c>
      <c r="U17" s="140" t="str">
        <f t="shared" si="19"/>
        <v/>
      </c>
      <c r="V17" s="24"/>
      <c r="W17" s="24"/>
      <c r="X17" s="24"/>
      <c r="Y17" s="24"/>
      <c r="Z17" s="24"/>
      <c r="AA17" s="24">
        <f t="shared" si="20"/>
        <v>0</v>
      </c>
      <c r="AB17" s="24"/>
      <c r="AC17" s="24" t="str">
        <f t="shared" si="27"/>
        <v/>
      </c>
      <c r="AD17" s="24" t="str">
        <f t="shared" si="21"/>
        <v/>
      </c>
      <c r="AE17" s="24">
        <f t="shared" si="22"/>
        <v>0</v>
      </c>
      <c r="AG17" s="24" t="e">
        <f t="shared" si="31"/>
        <v>#VALUE!</v>
      </c>
      <c r="AH17" s="24" t="e">
        <f t="shared" si="32"/>
        <v>#VALUE!</v>
      </c>
      <c r="AI17" s="24" t="e">
        <f t="shared" si="23"/>
        <v>#VALUE!</v>
      </c>
      <c r="AJ17" s="24" t="e">
        <f t="shared" si="24"/>
        <v>#VALUE!</v>
      </c>
      <c r="AL17" s="24"/>
      <c r="AM17" s="24" t="e">
        <f t="shared" si="33"/>
        <v>#VALUE!</v>
      </c>
      <c r="AN17" s="31"/>
      <c r="AO17" s="34">
        <f t="shared" si="5"/>
        <v>0</v>
      </c>
      <c r="AP17" s="24">
        <f t="shared" si="6"/>
        <v>0</v>
      </c>
      <c r="AQ17" s="24"/>
      <c r="AR17" s="112"/>
      <c r="AS17" s="112"/>
      <c r="AT17" s="59">
        <f t="shared" si="7"/>
        <v>9.0359999999999996</v>
      </c>
      <c r="AU17" s="59">
        <f t="shared" si="8"/>
        <v>-184.49199999999999</v>
      </c>
      <c r="AV17" s="59"/>
      <c r="AW17"/>
      <c r="AX17">
        <f>IF($E$4="M",IF(BA17&lt;78,BMILMS!$D$5*BA17^3+BMILMS!$E$5*BA17^2+BMILMS!$F$5*BA17+BMILMS!$G$5,IF(BA17&lt;150,BMILMS!$D$6*BA17^3+BMILMS!$E$6*BA17^2+BMILMS!$F$6*BA17+BMILMS!$G$6,BMILMS!$D$7*BA17^3+BMILMS!$E$7*BA17^2+BMILMS!$F$7*BA17+BMILMS!$G$7)),IF(BA17&lt;69,BMILMS!$D$9*BA17^3+BMILMS!$E$9*BA17^2+BMILMS!$F$9*BA17+BMILMS!$G$9,IF(BA17&lt;150,BMILMS!$D$10*BA17^3+BMILMS!$E$10*BA17^2+BMILMS!$F$10*BA17+BMILMS!$G$10,BMILMS!$D$11*BA17^3+BMILMS!$E$11*BA17^2+BMILMS!$F$11*BA17+BMILMS!$G$11)))</f>
        <v>0.79584630099999998</v>
      </c>
      <c r="AY17">
        <f>IF($E$4="M",(IF(BA17&lt;2.5,BMILMS!$D$21*BA17^3+BMILMS!$E$21*BA17^2+BMILMS!$F$21*BA17+BMILMS!$G$21,IF(BA17&lt;9.5,BMILMS!$D$22*BA17^3+BMILMS!$E$22*BA17^2+BMILMS!$F$22*BA17+BMILMS!$G$22,IF(BA17&lt;26.75,BMILMS!$D$23*BA17^3+BMILMS!$E$23*BA17^2+BMILMS!$F$23*BA17+BMILMS!$G$23,IF(BA17&lt;90,BMILMS!$D$24*BA17^3+BMILMS!$E$24*BA17^2+BMILMS!$F$24*BA17+BMILMS!$G$24,BMILMS!$D$25*BA17^3+BMILMS!$E$25*BA17^2+BMILMS!$F$25*BA17+BMILMS!$G$25))))),(IF(BA17&lt;2.5,BMILMS!$D$27*BA17^3+BMILMS!$E$27*BA17^2+BMILMS!$F$27*BA17+BMILMS!$G$27,IF(BA17&lt;9.5,BMILMS!$D$28*BA17^3+BMILMS!$E$28*BA17^2+BMILMS!$F$28*BA17+BMILMS!$G$28,IF(BA17&lt;26.75,BMILMS!$D$29*BA17^3+BMILMS!$E$29*BA17^2+BMILMS!$F$29*BA17+BMILMS!$G$29,IF(BA17&lt;90,BMILMS!$D$30*BA17^3+BMILMS!$E$30*BA17^2+BMILMS!$F$30*BA17+BMILMS!$G$30,IF(BA17&lt;150,BMILMS!$D$31*BA17^3+BMILMS!$E$31*BA17^2+BMILMS!$F$31*BA17+BMILMS!$G$31,BMILMS!$D$32*BA17^3+BMILMS!$E$32*BA17^2+BMILMS!$F$32*BA17+BMILMS!$G$32)))))))</f>
        <v>12.568967990000001</v>
      </c>
      <c r="AZ17">
        <f>IF($E$4="M",(IF(BA17&lt;90,BMILMS!$D$14*BA17^3+BMILMS!$E$14*BA17^2+BMILMS!$F$14*BA17+BMILMS!$G$14,BMILMS!$D$15*BA17^3+BMILMS!$E$15*BA17^2+BMILMS!$F$15*BA17+BMILMS!$G$15)),(IF(BA17&lt;90,BMILMS!$D$17*BA17^3+BMILMS!$E$17*BA17^2+BMILMS!$F$17*BA17+BMILMS!$G$17,BMILMS!$D$18*BA17^3+BMILMS!$E$18*BA17^2+BMILMS!$F$18*BA17+BMILMS!$G$18)))</f>
        <v>8.8969350000000003E-2</v>
      </c>
      <c r="BA17" s="24">
        <f t="shared" si="34"/>
        <v>0</v>
      </c>
      <c r="BB17" s="24">
        <f t="shared" si="9"/>
        <v>0</v>
      </c>
      <c r="BD17">
        <f t="shared" si="29"/>
        <v>0.56299999999999994</v>
      </c>
      <c r="BE17">
        <f t="shared" si="28"/>
        <v>69</v>
      </c>
      <c r="BF17">
        <f t="shared" si="26"/>
        <v>0.51</v>
      </c>
      <c r="BH17" s="35">
        <f>IF($E$4="M",WeightSDS!P$5*$BA17^7+WeightSDS!Q$5*$BA17^6+WeightSDS!R$5*$BA17^5+WeightSDS!S$5*$BA17^4+WeightSDS!T$5*$BA17^3+WeightSDS!U$5*$BA17^2+WeightSDS!V$5*$BA17+WeightSDS!W$5,IF($BA17&lt;186,WeightSDS!P$8*$BA17^7+WeightSDS!Q$8*$BA17^6+WeightSDS!R$8*$BA17^5+WeightSDS!S$8*$BA17^4+WeightSDS!T$8*$BA17^3+WeightSDS!U$8*$BA17^2+WeightSDS!V$8*$BA17+WeightSDS!W$8,WeightSDS!$U$9+WeightSDS!$V$9*($BA17-WeightSDS!$W$9)))</f>
        <v>0.75407122999999998</v>
      </c>
      <c r="BI17" s="24">
        <f>IF($E$4="M",IF($BA17&lt;45,WeightSDS!M$23*$BA17^10+WeightSDS!N$23*$BA17^9+WeightSDS!O$23*$BA17^8+WeightSDS!P$23*$BA17^7+WeightSDS!Q$23*$BA17^6+WeightSDS!R$23*$BA17^5+WeightSDS!S$23*$BA17^4+WeightSDS!T$23*$BA17^3+WeightSDS!U$23*$BA17^2+WeightSDS!V$23*$BA17+WeightSDS!W$23,IF($BA17&lt;153,WeightSDS!M$25*$BA17^10+WeightSDS!N$25*$BA17^9+WeightSDS!O$25*$BA17^8+WeightSDS!P$25*$BA17^7+WeightSDS!Q$25*$BA17^6+WeightSDS!R$25*$BA17^5+WeightSDS!S$25*$BA17^4+WeightSDS!T$25*$BA17^3+WeightSDS!U$25*$BA17^2+WeightSDS!V$25*$BA17+WeightSDS!W$25,WeightSDS!M$27+WeightSDS!N$27/(1+EXP(WeightSDS!O$27+WeightSDS!P$27*$BA17)))),IF($BA17&lt;43.8,WeightSDS!M$29*$BA17^10+WeightSDS!N$29*$BA17^9+WeightSDS!O$29*$BA17^8+WeightSDS!P$29*$BA17^7+WeightSDS!Q$29*$BA17^6+WeightSDS!R$29*$BA17^5+WeightSDS!S$29*$BA17^4+WeightSDS!T$29*$BA17^3+WeightSDS!U$29*$BA17^2+WeightSDS!V$29*$BA17+WeightSDS!W$29-0.010431*(1-$BA17/210),IF($BA17&lt;123,WeightSDS!M$30*$BA17^10+WeightSDS!N$30*$BA17^9+WeightSDS!O$30*$BA17^8+WeightSDS!P$30*$BA17^7+WeightSDS!Q$30*$BA17^6+WeightSDS!R$30*$BA17^5+WeightSDS!S$30*$BA17^4+WeightSDS!T$30*$BA17^3+WeightSDS!U$30*$BA17^2+WeightSDS!V$30*$BA17+WeightSDS!W$30-0.010431*(1-1/$BA17),WeightSDS!M$32+WeightSDS!N$32/(1+EXP(WeightSDS!O$32+WeightSDS!P$32*$BA17))-0.010431*(1-$BA17/210))))</f>
        <v>2.9500001032655536</v>
      </c>
      <c r="BJ17" s="24">
        <f>IF($E$4="M",IF($BA17&lt;162,WeightSDS!P$12*$BA17^7+WeightSDS!Q$12*$BA17^6+WeightSDS!R$12*$BA17^5+WeightSDS!S$12*$BA17^4+WeightSDS!T$12*$BA17^3+WeightSDS!U$12*$BA17^2+WeightSDS!V$12*$BA17+WeightSDS!W$12,WeightSDS!P$14*$BA17^7+WeightSDS!Q$14*$BA17^6+WeightSDS!R$14*$BA17^5+WeightSDS!S$14*$BA17^4+WeightSDS!T$14*$BA17^3+WeightSDS!U$14*$BA17^2+WeightSDS!V$14*$BA17+WeightSDS!W$14),IF($BA17&lt;156,WeightSDS!O$17*$BA17^8+WeightSDS!P$17*$BA17^7+WeightSDS!Q$17*$BA17^6+WeightSDS!R$17*$BA17^5+WeightSDS!S$17*$BA17^4+WeightSDS!T$17*$BA17^3+WeightSDS!U$17*$BA17^2+WeightSDS!V$17*$BA17+WeightSDS!W$17,IF($BA17&lt;186,WeightSDS!$U$18+(WeightSDS!$V$18-WeightSDS!$U$18)/24*($BA17-186)+WeightSDS!$W$18*(-$BA17+186)^2-0.005,WeightSDS!$U$18+(WeightSDS!$V$18-WeightSDS!$U$18)/24*($BA17-186)-0.005)))</f>
        <v>0.14604529399999999</v>
      </c>
    </row>
    <row r="18" spans="2:62" s="4" customFormat="1" x14ac:dyDescent="0.15">
      <c r="B18" s="40"/>
      <c r="C18" s="141"/>
      <c r="D18" s="22"/>
      <c r="E18" s="110"/>
      <c r="F18" s="110"/>
      <c r="G18" s="110"/>
      <c r="H18" s="44" t="str">
        <f t="shared" si="0"/>
        <v/>
      </c>
      <c r="I18" s="111" t="str">
        <f t="shared" si="10"/>
        <v/>
      </c>
      <c r="J18" s="111" t="str">
        <f t="shared" si="2"/>
        <v/>
      </c>
      <c r="K18" s="111" t="str">
        <f t="shared" si="11"/>
        <v/>
      </c>
      <c r="L18" s="44" t="str">
        <f t="shared" si="12"/>
        <v/>
      </c>
      <c r="M18" s="111" t="str">
        <f t="shared" si="13"/>
        <v/>
      </c>
      <c r="N18" s="44" t="str">
        <f t="shared" si="14"/>
        <v/>
      </c>
      <c r="O18" s="44" t="str">
        <f t="shared" si="4"/>
        <v/>
      </c>
      <c r="P18" s="111" t="str">
        <f t="shared" si="15"/>
        <v/>
      </c>
      <c r="Q18" s="44" t="str">
        <f t="shared" si="16"/>
        <v/>
      </c>
      <c r="R18" s="157" t="str">
        <f t="shared" si="30"/>
        <v/>
      </c>
      <c r="S18" s="44" t="str">
        <f t="shared" si="17"/>
        <v/>
      </c>
      <c r="T18" s="140" t="str">
        <f t="shared" si="18"/>
        <v/>
      </c>
      <c r="U18" s="140" t="str">
        <f t="shared" si="19"/>
        <v/>
      </c>
      <c r="V18" s="24"/>
      <c r="W18" s="24"/>
      <c r="X18" s="24"/>
      <c r="Y18" s="24"/>
      <c r="Z18" s="24"/>
      <c r="AA18" s="24">
        <f t="shared" si="20"/>
        <v>0</v>
      </c>
      <c r="AB18" s="24"/>
      <c r="AC18" s="24" t="str">
        <f t="shared" si="27"/>
        <v/>
      </c>
      <c r="AD18" s="24" t="str">
        <f t="shared" si="21"/>
        <v/>
      </c>
      <c r="AE18" s="24">
        <f t="shared" si="22"/>
        <v>0</v>
      </c>
      <c r="AG18" s="24" t="e">
        <f t="shared" si="31"/>
        <v>#VALUE!</v>
      </c>
      <c r="AH18" s="24" t="e">
        <f t="shared" si="32"/>
        <v>#VALUE!</v>
      </c>
      <c r="AI18" s="24" t="e">
        <f t="shared" si="23"/>
        <v>#VALUE!</v>
      </c>
      <c r="AJ18" s="24" t="e">
        <f t="shared" si="24"/>
        <v>#VALUE!</v>
      </c>
      <c r="AL18" s="24"/>
      <c r="AM18" s="24" t="e">
        <f t="shared" si="33"/>
        <v>#VALUE!</v>
      </c>
      <c r="AN18" s="31"/>
      <c r="AO18" s="34">
        <f t="shared" si="5"/>
        <v>0</v>
      </c>
      <c r="AP18" s="24">
        <f t="shared" si="6"/>
        <v>0</v>
      </c>
      <c r="AQ18" s="24"/>
      <c r="AR18" s="112"/>
      <c r="AS18" s="112"/>
      <c r="AT18" s="59">
        <f t="shared" si="7"/>
        <v>9.0359999999999996</v>
      </c>
      <c r="AU18" s="59">
        <f t="shared" si="8"/>
        <v>-184.49199999999999</v>
      </c>
      <c r="AV18" s="59"/>
      <c r="AW18"/>
      <c r="AX18">
        <f>IF($E$4="M",IF(BA18&lt;78,BMILMS!$D$5*BA18^3+BMILMS!$E$5*BA18^2+BMILMS!$F$5*BA18+BMILMS!$G$5,IF(BA18&lt;150,BMILMS!$D$6*BA18^3+BMILMS!$E$6*BA18^2+BMILMS!$F$6*BA18+BMILMS!$G$6,BMILMS!$D$7*BA18^3+BMILMS!$E$7*BA18^2+BMILMS!$F$7*BA18+BMILMS!$G$7)),IF(BA18&lt;69,BMILMS!$D$9*BA18^3+BMILMS!$E$9*BA18^2+BMILMS!$F$9*BA18+BMILMS!$G$9,IF(BA18&lt;150,BMILMS!$D$10*BA18^3+BMILMS!$E$10*BA18^2+BMILMS!$F$10*BA18+BMILMS!$G$10,BMILMS!$D$11*BA18^3+BMILMS!$E$11*BA18^2+BMILMS!$F$11*BA18+BMILMS!$G$11)))</f>
        <v>0.79584630099999998</v>
      </c>
      <c r="AY18">
        <f>IF($E$4="M",(IF(BA18&lt;2.5,BMILMS!$D$21*BA18^3+BMILMS!$E$21*BA18^2+BMILMS!$F$21*BA18+BMILMS!$G$21,IF(BA18&lt;9.5,BMILMS!$D$22*BA18^3+BMILMS!$E$22*BA18^2+BMILMS!$F$22*BA18+BMILMS!$G$22,IF(BA18&lt;26.75,BMILMS!$D$23*BA18^3+BMILMS!$E$23*BA18^2+BMILMS!$F$23*BA18+BMILMS!$G$23,IF(BA18&lt;90,BMILMS!$D$24*BA18^3+BMILMS!$E$24*BA18^2+BMILMS!$F$24*BA18+BMILMS!$G$24,BMILMS!$D$25*BA18^3+BMILMS!$E$25*BA18^2+BMILMS!$F$25*BA18+BMILMS!$G$25))))),(IF(BA18&lt;2.5,BMILMS!$D$27*BA18^3+BMILMS!$E$27*BA18^2+BMILMS!$F$27*BA18+BMILMS!$G$27,IF(BA18&lt;9.5,BMILMS!$D$28*BA18^3+BMILMS!$E$28*BA18^2+BMILMS!$F$28*BA18+BMILMS!$G$28,IF(BA18&lt;26.75,BMILMS!$D$29*BA18^3+BMILMS!$E$29*BA18^2+BMILMS!$F$29*BA18+BMILMS!$G$29,IF(BA18&lt;90,BMILMS!$D$30*BA18^3+BMILMS!$E$30*BA18^2+BMILMS!$F$30*BA18+BMILMS!$G$30,IF(BA18&lt;150,BMILMS!$D$31*BA18^3+BMILMS!$E$31*BA18^2+BMILMS!$F$31*BA18+BMILMS!$G$31,BMILMS!$D$32*BA18^3+BMILMS!$E$32*BA18^2+BMILMS!$F$32*BA18+BMILMS!$G$32)))))))</f>
        <v>12.568967990000001</v>
      </c>
      <c r="AZ18">
        <f>IF($E$4="M",(IF(BA18&lt;90,BMILMS!$D$14*BA18^3+BMILMS!$E$14*BA18^2+BMILMS!$F$14*BA18+BMILMS!$G$14,BMILMS!$D$15*BA18^3+BMILMS!$E$15*BA18^2+BMILMS!$F$15*BA18+BMILMS!$G$15)),(IF(BA18&lt;90,BMILMS!$D$17*BA18^3+BMILMS!$E$17*BA18^2+BMILMS!$F$17*BA18+BMILMS!$G$17,BMILMS!$D$18*BA18^3+BMILMS!$E$18*BA18^2+BMILMS!$F$18*BA18+BMILMS!$G$18)))</f>
        <v>8.8969350000000003E-2</v>
      </c>
      <c r="BA18" s="24">
        <f t="shared" si="34"/>
        <v>0</v>
      </c>
      <c r="BB18" s="24">
        <f t="shared" si="9"/>
        <v>0</v>
      </c>
      <c r="BD18">
        <f t="shared" si="29"/>
        <v>0.56299999999999994</v>
      </c>
      <c r="BE18">
        <f t="shared" si="28"/>
        <v>69</v>
      </c>
      <c r="BF18">
        <f t="shared" si="26"/>
        <v>0.51</v>
      </c>
      <c r="BH18" s="35">
        <f>IF($E$4="M",WeightSDS!P$5*$BA18^7+WeightSDS!Q$5*$BA18^6+WeightSDS!R$5*$BA18^5+WeightSDS!S$5*$BA18^4+WeightSDS!T$5*$BA18^3+WeightSDS!U$5*$BA18^2+WeightSDS!V$5*$BA18+WeightSDS!W$5,IF($BA18&lt;186,WeightSDS!P$8*$BA18^7+WeightSDS!Q$8*$BA18^6+WeightSDS!R$8*$BA18^5+WeightSDS!S$8*$BA18^4+WeightSDS!T$8*$BA18^3+WeightSDS!U$8*$BA18^2+WeightSDS!V$8*$BA18+WeightSDS!W$8,WeightSDS!$U$9+WeightSDS!$V$9*($BA18-WeightSDS!$W$9)))</f>
        <v>0.75407122999999998</v>
      </c>
      <c r="BI18" s="24">
        <f>IF($E$4="M",IF($BA18&lt;45,WeightSDS!M$23*$BA18^10+WeightSDS!N$23*$BA18^9+WeightSDS!O$23*$BA18^8+WeightSDS!P$23*$BA18^7+WeightSDS!Q$23*$BA18^6+WeightSDS!R$23*$BA18^5+WeightSDS!S$23*$BA18^4+WeightSDS!T$23*$BA18^3+WeightSDS!U$23*$BA18^2+WeightSDS!V$23*$BA18+WeightSDS!W$23,IF($BA18&lt;153,WeightSDS!M$25*$BA18^10+WeightSDS!N$25*$BA18^9+WeightSDS!O$25*$BA18^8+WeightSDS!P$25*$BA18^7+WeightSDS!Q$25*$BA18^6+WeightSDS!R$25*$BA18^5+WeightSDS!S$25*$BA18^4+WeightSDS!T$25*$BA18^3+WeightSDS!U$25*$BA18^2+WeightSDS!V$25*$BA18+WeightSDS!W$25,WeightSDS!M$27+WeightSDS!N$27/(1+EXP(WeightSDS!O$27+WeightSDS!P$27*$BA18)))),IF($BA18&lt;43.8,WeightSDS!M$29*$BA18^10+WeightSDS!N$29*$BA18^9+WeightSDS!O$29*$BA18^8+WeightSDS!P$29*$BA18^7+WeightSDS!Q$29*$BA18^6+WeightSDS!R$29*$BA18^5+WeightSDS!S$29*$BA18^4+WeightSDS!T$29*$BA18^3+WeightSDS!U$29*$BA18^2+WeightSDS!V$29*$BA18+WeightSDS!W$29-0.010431*(1-$BA18/210),IF($BA18&lt;123,WeightSDS!M$30*$BA18^10+WeightSDS!N$30*$BA18^9+WeightSDS!O$30*$BA18^8+WeightSDS!P$30*$BA18^7+WeightSDS!Q$30*$BA18^6+WeightSDS!R$30*$BA18^5+WeightSDS!S$30*$BA18^4+WeightSDS!T$30*$BA18^3+WeightSDS!U$30*$BA18^2+WeightSDS!V$30*$BA18+WeightSDS!W$30-0.010431*(1-1/$BA18),WeightSDS!M$32+WeightSDS!N$32/(1+EXP(WeightSDS!O$32+WeightSDS!P$32*$BA18))-0.010431*(1-$BA18/210))))</f>
        <v>2.9500001032655536</v>
      </c>
      <c r="BJ18" s="24">
        <f>IF($E$4="M",IF($BA18&lt;162,WeightSDS!P$12*$BA18^7+WeightSDS!Q$12*$BA18^6+WeightSDS!R$12*$BA18^5+WeightSDS!S$12*$BA18^4+WeightSDS!T$12*$BA18^3+WeightSDS!U$12*$BA18^2+WeightSDS!V$12*$BA18+WeightSDS!W$12,WeightSDS!P$14*$BA18^7+WeightSDS!Q$14*$BA18^6+WeightSDS!R$14*$BA18^5+WeightSDS!S$14*$BA18^4+WeightSDS!T$14*$BA18^3+WeightSDS!U$14*$BA18^2+WeightSDS!V$14*$BA18+WeightSDS!W$14),IF($BA18&lt;156,WeightSDS!O$17*$BA18^8+WeightSDS!P$17*$BA18^7+WeightSDS!Q$17*$BA18^6+WeightSDS!R$17*$BA18^5+WeightSDS!S$17*$BA18^4+WeightSDS!T$17*$BA18^3+WeightSDS!U$17*$BA18^2+WeightSDS!V$17*$BA18+WeightSDS!W$17,IF($BA18&lt;186,WeightSDS!$U$18+(WeightSDS!$V$18-WeightSDS!$U$18)/24*($BA18-186)+WeightSDS!$W$18*(-$BA18+186)^2-0.005,WeightSDS!$U$18+(WeightSDS!$V$18-WeightSDS!$U$18)/24*($BA18-186)-0.005)))</f>
        <v>0.14604529399999999</v>
      </c>
    </row>
    <row r="19" spans="2:62" s="4" customFormat="1" x14ac:dyDescent="0.15">
      <c r="B19" s="40"/>
      <c r="C19" s="141"/>
      <c r="D19" s="22"/>
      <c r="E19" s="110"/>
      <c r="F19" s="110"/>
      <c r="G19" s="110"/>
      <c r="H19" s="44" t="str">
        <f t="shared" si="0"/>
        <v/>
      </c>
      <c r="I19" s="111" t="str">
        <f t="shared" si="10"/>
        <v/>
      </c>
      <c r="J19" s="111" t="str">
        <f t="shared" si="2"/>
        <v/>
      </c>
      <c r="K19" s="111" t="str">
        <f t="shared" si="11"/>
        <v/>
      </c>
      <c r="L19" s="44" t="str">
        <f t="shared" si="12"/>
        <v/>
      </c>
      <c r="M19" s="111" t="str">
        <f t="shared" si="13"/>
        <v/>
      </c>
      <c r="N19" s="44" t="str">
        <f t="shared" si="14"/>
        <v/>
      </c>
      <c r="O19" s="44" t="str">
        <f t="shared" si="4"/>
        <v/>
      </c>
      <c r="P19" s="111" t="str">
        <f t="shared" si="15"/>
        <v/>
      </c>
      <c r="Q19" s="44" t="str">
        <f t="shared" si="16"/>
        <v/>
      </c>
      <c r="R19" s="157" t="str">
        <f t="shared" si="30"/>
        <v/>
      </c>
      <c r="S19" s="44" t="str">
        <f t="shared" si="17"/>
        <v/>
      </c>
      <c r="T19" s="140" t="str">
        <f t="shared" ref="T19:T57" si="35">IF(AA19=1,"",IF(AE19=AE18,"",(AE19-AE18)/(AC19-AC18)))</f>
        <v/>
      </c>
      <c r="U19" s="140" t="str">
        <f t="shared" si="19"/>
        <v/>
      </c>
      <c r="V19" s="24"/>
      <c r="W19" s="24"/>
      <c r="X19" s="24"/>
      <c r="Y19" s="24"/>
      <c r="Z19" s="24"/>
      <c r="AA19" s="24">
        <f t="shared" si="20"/>
        <v>0</v>
      </c>
      <c r="AB19" s="24"/>
      <c r="AC19" s="24" t="str">
        <f t="shared" si="27"/>
        <v/>
      </c>
      <c r="AD19" s="24" t="str">
        <f t="shared" si="21"/>
        <v/>
      </c>
      <c r="AE19" s="24">
        <f t="shared" si="22"/>
        <v>0</v>
      </c>
      <c r="AG19" s="24" t="e">
        <f t="shared" si="31"/>
        <v>#VALUE!</v>
      </c>
      <c r="AH19" s="24" t="e">
        <f t="shared" si="32"/>
        <v>#VALUE!</v>
      </c>
      <c r="AI19" s="24" t="e">
        <f t="shared" si="23"/>
        <v>#VALUE!</v>
      </c>
      <c r="AJ19" s="24" t="e">
        <f t="shared" si="24"/>
        <v>#VALUE!</v>
      </c>
      <c r="AL19" s="24"/>
      <c r="AM19" s="24" t="e">
        <f t="shared" si="33"/>
        <v>#VALUE!</v>
      </c>
      <c r="AN19" s="31"/>
      <c r="AO19" s="34">
        <f t="shared" si="5"/>
        <v>0</v>
      </c>
      <c r="AP19" s="24">
        <f t="shared" si="6"/>
        <v>0</v>
      </c>
      <c r="AQ19" s="24"/>
      <c r="AR19" s="112"/>
      <c r="AS19" s="112"/>
      <c r="AT19" s="59">
        <f t="shared" si="7"/>
        <v>9.0359999999999996</v>
      </c>
      <c r="AU19" s="59">
        <f t="shared" si="8"/>
        <v>-184.49199999999999</v>
      </c>
      <c r="AV19" s="59"/>
      <c r="AW19"/>
      <c r="AX19">
        <f>IF($E$4="M",IF(BA19&lt;78,BMILMS!$D$5*BA19^3+BMILMS!$E$5*BA19^2+BMILMS!$F$5*BA19+BMILMS!$G$5,IF(BA19&lt;150,BMILMS!$D$6*BA19^3+BMILMS!$E$6*BA19^2+BMILMS!$F$6*BA19+BMILMS!$G$6,BMILMS!$D$7*BA19^3+BMILMS!$E$7*BA19^2+BMILMS!$F$7*BA19+BMILMS!$G$7)),IF(BA19&lt;69,BMILMS!$D$9*BA19^3+BMILMS!$E$9*BA19^2+BMILMS!$F$9*BA19+BMILMS!$G$9,IF(BA19&lt;150,BMILMS!$D$10*BA19^3+BMILMS!$E$10*BA19^2+BMILMS!$F$10*BA19+BMILMS!$G$10,BMILMS!$D$11*BA19^3+BMILMS!$E$11*BA19^2+BMILMS!$F$11*BA19+BMILMS!$G$11)))</f>
        <v>0.79584630099999998</v>
      </c>
      <c r="AY19">
        <f>IF($E$4="M",(IF(BA19&lt;2.5,BMILMS!$D$21*BA19^3+BMILMS!$E$21*BA19^2+BMILMS!$F$21*BA19+BMILMS!$G$21,IF(BA19&lt;9.5,BMILMS!$D$22*BA19^3+BMILMS!$E$22*BA19^2+BMILMS!$F$22*BA19+BMILMS!$G$22,IF(BA19&lt;26.75,BMILMS!$D$23*BA19^3+BMILMS!$E$23*BA19^2+BMILMS!$F$23*BA19+BMILMS!$G$23,IF(BA19&lt;90,BMILMS!$D$24*BA19^3+BMILMS!$E$24*BA19^2+BMILMS!$F$24*BA19+BMILMS!$G$24,BMILMS!$D$25*BA19^3+BMILMS!$E$25*BA19^2+BMILMS!$F$25*BA19+BMILMS!$G$25))))),(IF(BA19&lt;2.5,BMILMS!$D$27*BA19^3+BMILMS!$E$27*BA19^2+BMILMS!$F$27*BA19+BMILMS!$G$27,IF(BA19&lt;9.5,BMILMS!$D$28*BA19^3+BMILMS!$E$28*BA19^2+BMILMS!$F$28*BA19+BMILMS!$G$28,IF(BA19&lt;26.75,BMILMS!$D$29*BA19^3+BMILMS!$E$29*BA19^2+BMILMS!$F$29*BA19+BMILMS!$G$29,IF(BA19&lt;90,BMILMS!$D$30*BA19^3+BMILMS!$E$30*BA19^2+BMILMS!$F$30*BA19+BMILMS!$G$30,IF(BA19&lt;150,BMILMS!$D$31*BA19^3+BMILMS!$E$31*BA19^2+BMILMS!$F$31*BA19+BMILMS!$G$31,BMILMS!$D$32*BA19^3+BMILMS!$E$32*BA19^2+BMILMS!$F$32*BA19+BMILMS!$G$32)))))))</f>
        <v>12.568967990000001</v>
      </c>
      <c r="AZ19">
        <f>IF($E$4="M",(IF(BA19&lt;90,BMILMS!$D$14*BA19^3+BMILMS!$E$14*BA19^2+BMILMS!$F$14*BA19+BMILMS!$G$14,BMILMS!$D$15*BA19^3+BMILMS!$E$15*BA19^2+BMILMS!$F$15*BA19+BMILMS!$G$15)),(IF(BA19&lt;90,BMILMS!$D$17*BA19^3+BMILMS!$E$17*BA19^2+BMILMS!$F$17*BA19+BMILMS!$G$17,BMILMS!$D$18*BA19^3+BMILMS!$E$18*BA19^2+BMILMS!$F$18*BA19+BMILMS!$G$18)))</f>
        <v>8.8969350000000003E-2</v>
      </c>
      <c r="BA19" s="24">
        <f t="shared" si="34"/>
        <v>0</v>
      </c>
      <c r="BB19" s="24">
        <f t="shared" si="9"/>
        <v>0</v>
      </c>
      <c r="BD19">
        <f t="shared" si="29"/>
        <v>0.56299999999999994</v>
      </c>
      <c r="BE19">
        <f t="shared" si="28"/>
        <v>69</v>
      </c>
      <c r="BF19">
        <f t="shared" si="26"/>
        <v>0.51</v>
      </c>
      <c r="BH19" s="35">
        <f>IF($E$4="M",WeightSDS!P$5*$BA19^7+WeightSDS!Q$5*$BA19^6+WeightSDS!R$5*$BA19^5+WeightSDS!S$5*$BA19^4+WeightSDS!T$5*$BA19^3+WeightSDS!U$5*$BA19^2+WeightSDS!V$5*$BA19+WeightSDS!W$5,IF($BA19&lt;186,WeightSDS!P$8*$BA19^7+WeightSDS!Q$8*$BA19^6+WeightSDS!R$8*$BA19^5+WeightSDS!S$8*$BA19^4+WeightSDS!T$8*$BA19^3+WeightSDS!U$8*$BA19^2+WeightSDS!V$8*$BA19+WeightSDS!W$8,WeightSDS!$U$9+WeightSDS!$V$9*($BA19-WeightSDS!$W$9)))</f>
        <v>0.75407122999999998</v>
      </c>
      <c r="BI19" s="24">
        <f>IF($E$4="M",IF($BA19&lt;45,WeightSDS!M$23*$BA19^10+WeightSDS!N$23*$BA19^9+WeightSDS!O$23*$BA19^8+WeightSDS!P$23*$BA19^7+WeightSDS!Q$23*$BA19^6+WeightSDS!R$23*$BA19^5+WeightSDS!S$23*$BA19^4+WeightSDS!T$23*$BA19^3+WeightSDS!U$23*$BA19^2+WeightSDS!V$23*$BA19+WeightSDS!W$23,IF($BA19&lt;153,WeightSDS!M$25*$BA19^10+WeightSDS!N$25*$BA19^9+WeightSDS!O$25*$BA19^8+WeightSDS!P$25*$BA19^7+WeightSDS!Q$25*$BA19^6+WeightSDS!R$25*$BA19^5+WeightSDS!S$25*$BA19^4+WeightSDS!T$25*$BA19^3+WeightSDS!U$25*$BA19^2+WeightSDS!V$25*$BA19+WeightSDS!W$25,WeightSDS!M$27+WeightSDS!N$27/(1+EXP(WeightSDS!O$27+WeightSDS!P$27*$BA19)))),IF($BA19&lt;43.8,WeightSDS!M$29*$BA19^10+WeightSDS!N$29*$BA19^9+WeightSDS!O$29*$BA19^8+WeightSDS!P$29*$BA19^7+WeightSDS!Q$29*$BA19^6+WeightSDS!R$29*$BA19^5+WeightSDS!S$29*$BA19^4+WeightSDS!T$29*$BA19^3+WeightSDS!U$29*$BA19^2+WeightSDS!V$29*$BA19+WeightSDS!W$29-0.010431*(1-$BA19/210),IF($BA19&lt;123,WeightSDS!M$30*$BA19^10+WeightSDS!N$30*$BA19^9+WeightSDS!O$30*$BA19^8+WeightSDS!P$30*$BA19^7+WeightSDS!Q$30*$BA19^6+WeightSDS!R$30*$BA19^5+WeightSDS!S$30*$BA19^4+WeightSDS!T$30*$BA19^3+WeightSDS!U$30*$BA19^2+WeightSDS!V$30*$BA19+WeightSDS!W$30-0.010431*(1-1/$BA19),WeightSDS!M$32+WeightSDS!N$32/(1+EXP(WeightSDS!O$32+WeightSDS!P$32*$BA19))-0.010431*(1-$BA19/210))))</f>
        <v>2.9500001032655536</v>
      </c>
      <c r="BJ19" s="24">
        <f>IF($E$4="M",IF($BA19&lt;162,WeightSDS!P$12*$BA19^7+WeightSDS!Q$12*$BA19^6+WeightSDS!R$12*$BA19^5+WeightSDS!S$12*$BA19^4+WeightSDS!T$12*$BA19^3+WeightSDS!U$12*$BA19^2+WeightSDS!V$12*$BA19+WeightSDS!W$12,WeightSDS!P$14*$BA19^7+WeightSDS!Q$14*$BA19^6+WeightSDS!R$14*$BA19^5+WeightSDS!S$14*$BA19^4+WeightSDS!T$14*$BA19^3+WeightSDS!U$14*$BA19^2+WeightSDS!V$14*$BA19+WeightSDS!W$14),IF($BA19&lt;156,WeightSDS!O$17*$BA19^8+WeightSDS!P$17*$BA19^7+WeightSDS!Q$17*$BA19^6+WeightSDS!R$17*$BA19^5+WeightSDS!S$17*$BA19^4+WeightSDS!T$17*$BA19^3+WeightSDS!U$17*$BA19^2+WeightSDS!V$17*$BA19+WeightSDS!W$17,IF($BA19&lt;186,WeightSDS!$U$18+(WeightSDS!$V$18-WeightSDS!$U$18)/24*($BA19-186)+WeightSDS!$W$18*(-$BA19+186)^2-0.005,WeightSDS!$U$18+(WeightSDS!$V$18-WeightSDS!$U$18)/24*($BA19-186)-0.005)))</f>
        <v>0.14604529399999999</v>
      </c>
    </row>
    <row r="20" spans="2:62" s="4" customFormat="1" x14ac:dyDescent="0.15">
      <c r="B20" s="40"/>
      <c r="C20" s="141"/>
      <c r="D20" s="22"/>
      <c r="E20" s="110"/>
      <c r="F20" s="110"/>
      <c r="G20" s="110"/>
      <c r="H20" s="44" t="str">
        <f t="shared" si="0"/>
        <v/>
      </c>
      <c r="I20" s="111" t="str">
        <f t="shared" si="10"/>
        <v/>
      </c>
      <c r="J20" s="111" t="str">
        <f t="shared" si="2"/>
        <v/>
      </c>
      <c r="K20" s="111" t="str">
        <f t="shared" si="11"/>
        <v/>
      </c>
      <c r="L20" s="44" t="str">
        <f t="shared" si="12"/>
        <v/>
      </c>
      <c r="M20" s="111" t="str">
        <f t="shared" si="13"/>
        <v/>
      </c>
      <c r="N20" s="44" t="str">
        <f t="shared" si="14"/>
        <v/>
      </c>
      <c r="O20" s="44" t="str">
        <f t="shared" si="4"/>
        <v/>
      </c>
      <c r="P20" s="111" t="str">
        <f t="shared" si="15"/>
        <v/>
      </c>
      <c r="Q20" s="44" t="str">
        <f t="shared" si="16"/>
        <v/>
      </c>
      <c r="R20" s="157" t="str">
        <f t="shared" si="30"/>
        <v/>
      </c>
      <c r="S20" s="44" t="str">
        <f t="shared" si="17"/>
        <v/>
      </c>
      <c r="T20" s="140" t="str">
        <f t="shared" si="35"/>
        <v/>
      </c>
      <c r="U20" s="140" t="str">
        <f t="shared" si="19"/>
        <v/>
      </c>
      <c r="V20" s="24"/>
      <c r="W20" s="24"/>
      <c r="X20" s="24"/>
      <c r="Y20" s="24"/>
      <c r="Z20" s="24"/>
      <c r="AA20" s="24">
        <f t="shared" si="20"/>
        <v>0</v>
      </c>
      <c r="AB20" s="24"/>
      <c r="AC20" s="24" t="str">
        <f t="shared" si="27"/>
        <v/>
      </c>
      <c r="AD20" s="24" t="str">
        <f t="shared" si="21"/>
        <v/>
      </c>
      <c r="AE20" s="24">
        <f t="shared" si="22"/>
        <v>0</v>
      </c>
      <c r="AG20" s="24" t="e">
        <f t="shared" si="31"/>
        <v>#VALUE!</v>
      </c>
      <c r="AH20" s="24" t="e">
        <f t="shared" si="32"/>
        <v>#VALUE!</v>
      </c>
      <c r="AI20" s="24" t="e">
        <f t="shared" si="23"/>
        <v>#VALUE!</v>
      </c>
      <c r="AJ20" s="24" t="e">
        <f t="shared" si="24"/>
        <v>#VALUE!</v>
      </c>
      <c r="AL20" s="24"/>
      <c r="AM20" s="24" t="e">
        <f t="shared" si="33"/>
        <v>#VALUE!</v>
      </c>
      <c r="AN20" s="31"/>
      <c r="AO20" s="34">
        <f t="shared" si="5"/>
        <v>0</v>
      </c>
      <c r="AP20" s="24">
        <f t="shared" si="6"/>
        <v>0</v>
      </c>
      <c r="AQ20" s="24"/>
      <c r="AR20" s="112"/>
      <c r="AS20" s="112"/>
      <c r="AT20" s="59">
        <f t="shared" si="7"/>
        <v>9.0359999999999996</v>
      </c>
      <c r="AU20" s="59">
        <f t="shared" si="8"/>
        <v>-184.49199999999999</v>
      </c>
      <c r="AV20" s="59"/>
      <c r="AW20"/>
      <c r="AX20">
        <f>IF($E$4="M",IF(BA20&lt;78,BMILMS!$D$5*BA20^3+BMILMS!$E$5*BA20^2+BMILMS!$F$5*BA20+BMILMS!$G$5,IF(BA20&lt;150,BMILMS!$D$6*BA20^3+BMILMS!$E$6*BA20^2+BMILMS!$F$6*BA20+BMILMS!$G$6,BMILMS!$D$7*BA20^3+BMILMS!$E$7*BA20^2+BMILMS!$F$7*BA20+BMILMS!$G$7)),IF(BA20&lt;69,BMILMS!$D$9*BA20^3+BMILMS!$E$9*BA20^2+BMILMS!$F$9*BA20+BMILMS!$G$9,IF(BA20&lt;150,BMILMS!$D$10*BA20^3+BMILMS!$E$10*BA20^2+BMILMS!$F$10*BA20+BMILMS!$G$10,BMILMS!$D$11*BA20^3+BMILMS!$E$11*BA20^2+BMILMS!$F$11*BA20+BMILMS!$G$11)))</f>
        <v>0.79584630099999998</v>
      </c>
      <c r="AY20">
        <f>IF($E$4="M",(IF(BA20&lt;2.5,BMILMS!$D$21*BA20^3+BMILMS!$E$21*BA20^2+BMILMS!$F$21*BA20+BMILMS!$G$21,IF(BA20&lt;9.5,BMILMS!$D$22*BA20^3+BMILMS!$E$22*BA20^2+BMILMS!$F$22*BA20+BMILMS!$G$22,IF(BA20&lt;26.75,BMILMS!$D$23*BA20^3+BMILMS!$E$23*BA20^2+BMILMS!$F$23*BA20+BMILMS!$G$23,IF(BA20&lt;90,BMILMS!$D$24*BA20^3+BMILMS!$E$24*BA20^2+BMILMS!$F$24*BA20+BMILMS!$G$24,BMILMS!$D$25*BA20^3+BMILMS!$E$25*BA20^2+BMILMS!$F$25*BA20+BMILMS!$G$25))))),(IF(BA20&lt;2.5,BMILMS!$D$27*BA20^3+BMILMS!$E$27*BA20^2+BMILMS!$F$27*BA20+BMILMS!$G$27,IF(BA20&lt;9.5,BMILMS!$D$28*BA20^3+BMILMS!$E$28*BA20^2+BMILMS!$F$28*BA20+BMILMS!$G$28,IF(BA20&lt;26.75,BMILMS!$D$29*BA20^3+BMILMS!$E$29*BA20^2+BMILMS!$F$29*BA20+BMILMS!$G$29,IF(BA20&lt;90,BMILMS!$D$30*BA20^3+BMILMS!$E$30*BA20^2+BMILMS!$F$30*BA20+BMILMS!$G$30,IF(BA20&lt;150,BMILMS!$D$31*BA20^3+BMILMS!$E$31*BA20^2+BMILMS!$F$31*BA20+BMILMS!$G$31,BMILMS!$D$32*BA20^3+BMILMS!$E$32*BA20^2+BMILMS!$F$32*BA20+BMILMS!$G$32)))))))</f>
        <v>12.568967990000001</v>
      </c>
      <c r="AZ20">
        <f>IF($E$4="M",(IF(BA20&lt;90,BMILMS!$D$14*BA20^3+BMILMS!$E$14*BA20^2+BMILMS!$F$14*BA20+BMILMS!$G$14,BMILMS!$D$15*BA20^3+BMILMS!$E$15*BA20^2+BMILMS!$F$15*BA20+BMILMS!$G$15)),(IF(BA20&lt;90,BMILMS!$D$17*BA20^3+BMILMS!$E$17*BA20^2+BMILMS!$F$17*BA20+BMILMS!$G$17,BMILMS!$D$18*BA20^3+BMILMS!$E$18*BA20^2+BMILMS!$F$18*BA20+BMILMS!$G$18)))</f>
        <v>8.8969350000000003E-2</v>
      </c>
      <c r="BA20" s="24">
        <f t="shared" si="34"/>
        <v>0</v>
      </c>
      <c r="BB20" s="24">
        <f t="shared" si="9"/>
        <v>0</v>
      </c>
      <c r="BD20">
        <f t="shared" si="29"/>
        <v>0.56299999999999994</v>
      </c>
      <c r="BE20">
        <f t="shared" si="28"/>
        <v>69</v>
      </c>
      <c r="BF20">
        <f t="shared" si="26"/>
        <v>0.51</v>
      </c>
      <c r="BH20" s="35">
        <f>IF($E$4="M",WeightSDS!P$5*$BA20^7+WeightSDS!Q$5*$BA20^6+WeightSDS!R$5*$BA20^5+WeightSDS!S$5*$BA20^4+WeightSDS!T$5*$BA20^3+WeightSDS!U$5*$BA20^2+WeightSDS!V$5*$BA20+WeightSDS!W$5,IF($BA20&lt;186,WeightSDS!P$8*$BA20^7+WeightSDS!Q$8*$BA20^6+WeightSDS!R$8*$BA20^5+WeightSDS!S$8*$BA20^4+WeightSDS!T$8*$BA20^3+WeightSDS!U$8*$BA20^2+WeightSDS!V$8*$BA20+WeightSDS!W$8,WeightSDS!$U$9+WeightSDS!$V$9*($BA20-WeightSDS!$W$9)))</f>
        <v>0.75407122999999998</v>
      </c>
      <c r="BI20" s="24">
        <f>IF($E$4="M",IF($BA20&lt;45,WeightSDS!M$23*$BA20^10+WeightSDS!N$23*$BA20^9+WeightSDS!O$23*$BA20^8+WeightSDS!P$23*$BA20^7+WeightSDS!Q$23*$BA20^6+WeightSDS!R$23*$BA20^5+WeightSDS!S$23*$BA20^4+WeightSDS!T$23*$BA20^3+WeightSDS!U$23*$BA20^2+WeightSDS!V$23*$BA20+WeightSDS!W$23,IF($BA20&lt;153,WeightSDS!M$25*$BA20^10+WeightSDS!N$25*$BA20^9+WeightSDS!O$25*$BA20^8+WeightSDS!P$25*$BA20^7+WeightSDS!Q$25*$BA20^6+WeightSDS!R$25*$BA20^5+WeightSDS!S$25*$BA20^4+WeightSDS!T$25*$BA20^3+WeightSDS!U$25*$BA20^2+WeightSDS!V$25*$BA20+WeightSDS!W$25,WeightSDS!M$27+WeightSDS!N$27/(1+EXP(WeightSDS!O$27+WeightSDS!P$27*$BA20)))),IF($BA20&lt;43.8,WeightSDS!M$29*$BA20^10+WeightSDS!N$29*$BA20^9+WeightSDS!O$29*$BA20^8+WeightSDS!P$29*$BA20^7+WeightSDS!Q$29*$BA20^6+WeightSDS!R$29*$BA20^5+WeightSDS!S$29*$BA20^4+WeightSDS!T$29*$BA20^3+WeightSDS!U$29*$BA20^2+WeightSDS!V$29*$BA20+WeightSDS!W$29-0.010431*(1-$BA20/210),IF($BA20&lt;123,WeightSDS!M$30*$BA20^10+WeightSDS!N$30*$BA20^9+WeightSDS!O$30*$BA20^8+WeightSDS!P$30*$BA20^7+WeightSDS!Q$30*$BA20^6+WeightSDS!R$30*$BA20^5+WeightSDS!S$30*$BA20^4+WeightSDS!T$30*$BA20^3+WeightSDS!U$30*$BA20^2+WeightSDS!V$30*$BA20+WeightSDS!W$30-0.010431*(1-1/$BA20),WeightSDS!M$32+WeightSDS!N$32/(1+EXP(WeightSDS!O$32+WeightSDS!P$32*$BA20))-0.010431*(1-$BA20/210))))</f>
        <v>2.9500001032655536</v>
      </c>
      <c r="BJ20" s="24">
        <f>IF($E$4="M",IF($BA20&lt;162,WeightSDS!P$12*$BA20^7+WeightSDS!Q$12*$BA20^6+WeightSDS!R$12*$BA20^5+WeightSDS!S$12*$BA20^4+WeightSDS!T$12*$BA20^3+WeightSDS!U$12*$BA20^2+WeightSDS!V$12*$BA20+WeightSDS!W$12,WeightSDS!P$14*$BA20^7+WeightSDS!Q$14*$BA20^6+WeightSDS!R$14*$BA20^5+WeightSDS!S$14*$BA20^4+WeightSDS!T$14*$BA20^3+WeightSDS!U$14*$BA20^2+WeightSDS!V$14*$BA20+WeightSDS!W$14),IF($BA20&lt;156,WeightSDS!O$17*$BA20^8+WeightSDS!P$17*$BA20^7+WeightSDS!Q$17*$BA20^6+WeightSDS!R$17*$BA20^5+WeightSDS!S$17*$BA20^4+WeightSDS!T$17*$BA20^3+WeightSDS!U$17*$BA20^2+WeightSDS!V$17*$BA20+WeightSDS!W$17,IF($BA20&lt;186,WeightSDS!$U$18+(WeightSDS!$V$18-WeightSDS!$U$18)/24*($BA20-186)+WeightSDS!$W$18*(-$BA20+186)^2-0.005,WeightSDS!$U$18+(WeightSDS!$V$18-WeightSDS!$U$18)/24*($BA20-186)-0.005)))</f>
        <v>0.14604529399999999</v>
      </c>
    </row>
    <row r="21" spans="2:62" s="4" customFormat="1" x14ac:dyDescent="0.15">
      <c r="B21" s="40"/>
      <c r="C21" s="141"/>
      <c r="D21" s="22"/>
      <c r="E21" s="110"/>
      <c r="F21" s="110"/>
      <c r="G21" s="110"/>
      <c r="H21" s="44" t="str">
        <f t="shared" si="0"/>
        <v/>
      </c>
      <c r="I21" s="111" t="str">
        <f t="shared" si="10"/>
        <v/>
      </c>
      <c r="J21" s="111" t="str">
        <f t="shared" si="2"/>
        <v/>
      </c>
      <c r="K21" s="111" t="str">
        <f t="shared" si="11"/>
        <v/>
      </c>
      <c r="L21" s="44" t="str">
        <f t="shared" si="12"/>
        <v/>
      </c>
      <c r="M21" s="111" t="str">
        <f t="shared" si="13"/>
        <v/>
      </c>
      <c r="N21" s="44" t="str">
        <f t="shared" si="14"/>
        <v/>
      </c>
      <c r="O21" s="44" t="str">
        <f t="shared" si="4"/>
        <v/>
      </c>
      <c r="P21" s="111" t="str">
        <f t="shared" si="15"/>
        <v/>
      </c>
      <c r="Q21" s="44" t="str">
        <f t="shared" si="16"/>
        <v/>
      </c>
      <c r="R21" s="157" t="str">
        <f t="shared" si="30"/>
        <v/>
      </c>
      <c r="S21" s="44" t="str">
        <f t="shared" si="17"/>
        <v/>
      </c>
      <c r="T21" s="140" t="str">
        <f t="shared" si="35"/>
        <v/>
      </c>
      <c r="U21" s="140" t="str">
        <f t="shared" si="19"/>
        <v/>
      </c>
      <c r="V21" s="24"/>
      <c r="W21" s="24"/>
      <c r="X21" s="24"/>
      <c r="Y21" s="24"/>
      <c r="Z21" s="24"/>
      <c r="AA21" s="24">
        <f t="shared" si="20"/>
        <v>0</v>
      </c>
      <c r="AB21" s="24"/>
      <c r="AC21" s="24" t="str">
        <f t="shared" si="27"/>
        <v/>
      </c>
      <c r="AD21" s="24" t="str">
        <f t="shared" si="21"/>
        <v/>
      </c>
      <c r="AE21" s="24">
        <f t="shared" si="22"/>
        <v>0</v>
      </c>
      <c r="AG21" s="24" t="e">
        <f t="shared" si="31"/>
        <v>#VALUE!</v>
      </c>
      <c r="AH21" s="24" t="e">
        <f t="shared" si="32"/>
        <v>#VALUE!</v>
      </c>
      <c r="AI21" s="24" t="e">
        <f t="shared" ref="AI21:AI57" si="36">INDEX(IF(E5="M",MHVaverage,FHVaverage),AH21+1,AG21+1)</f>
        <v>#VALUE!</v>
      </c>
      <c r="AJ21" s="24" t="e">
        <f t="shared" ref="AJ21:AJ57" si="37">INDEX(IF(E5="M",MHVstd,FHVstd),AH21+1,AG21+1)</f>
        <v>#VALUE!</v>
      </c>
      <c r="AL21" s="24"/>
      <c r="AM21" s="24" t="e">
        <f t="shared" si="33"/>
        <v>#VALUE!</v>
      </c>
      <c r="AN21" s="31"/>
      <c r="AO21" s="34">
        <f t="shared" si="5"/>
        <v>0</v>
      </c>
      <c r="AP21" s="24">
        <f t="shared" si="6"/>
        <v>0</v>
      </c>
      <c r="AQ21" s="24"/>
      <c r="AR21" s="112"/>
      <c r="AS21" s="112"/>
      <c r="AT21" s="59">
        <f t="shared" si="7"/>
        <v>9.0359999999999996</v>
      </c>
      <c r="AU21" s="59">
        <f t="shared" si="8"/>
        <v>-184.49199999999999</v>
      </c>
      <c r="AV21" s="59"/>
      <c r="AW21"/>
      <c r="AX21">
        <f>IF($E$4="M",IF(BA21&lt;78,BMILMS!$D$5*BA21^3+BMILMS!$E$5*BA21^2+BMILMS!$F$5*BA21+BMILMS!$G$5,IF(BA21&lt;150,BMILMS!$D$6*BA21^3+BMILMS!$E$6*BA21^2+BMILMS!$F$6*BA21+BMILMS!$G$6,BMILMS!$D$7*BA21^3+BMILMS!$E$7*BA21^2+BMILMS!$F$7*BA21+BMILMS!$G$7)),IF(BA21&lt;69,BMILMS!$D$9*BA21^3+BMILMS!$E$9*BA21^2+BMILMS!$F$9*BA21+BMILMS!$G$9,IF(BA21&lt;150,BMILMS!$D$10*BA21^3+BMILMS!$E$10*BA21^2+BMILMS!$F$10*BA21+BMILMS!$G$10,BMILMS!$D$11*BA21^3+BMILMS!$E$11*BA21^2+BMILMS!$F$11*BA21+BMILMS!$G$11)))</f>
        <v>0.79584630099999998</v>
      </c>
      <c r="AY21">
        <f>IF($E$4="M",(IF(BA21&lt;2.5,BMILMS!$D$21*BA21^3+BMILMS!$E$21*BA21^2+BMILMS!$F$21*BA21+BMILMS!$G$21,IF(BA21&lt;9.5,BMILMS!$D$22*BA21^3+BMILMS!$E$22*BA21^2+BMILMS!$F$22*BA21+BMILMS!$G$22,IF(BA21&lt;26.75,BMILMS!$D$23*BA21^3+BMILMS!$E$23*BA21^2+BMILMS!$F$23*BA21+BMILMS!$G$23,IF(BA21&lt;90,BMILMS!$D$24*BA21^3+BMILMS!$E$24*BA21^2+BMILMS!$F$24*BA21+BMILMS!$G$24,BMILMS!$D$25*BA21^3+BMILMS!$E$25*BA21^2+BMILMS!$F$25*BA21+BMILMS!$G$25))))),(IF(BA21&lt;2.5,BMILMS!$D$27*BA21^3+BMILMS!$E$27*BA21^2+BMILMS!$F$27*BA21+BMILMS!$G$27,IF(BA21&lt;9.5,BMILMS!$D$28*BA21^3+BMILMS!$E$28*BA21^2+BMILMS!$F$28*BA21+BMILMS!$G$28,IF(BA21&lt;26.75,BMILMS!$D$29*BA21^3+BMILMS!$E$29*BA21^2+BMILMS!$F$29*BA21+BMILMS!$G$29,IF(BA21&lt;90,BMILMS!$D$30*BA21^3+BMILMS!$E$30*BA21^2+BMILMS!$F$30*BA21+BMILMS!$G$30,IF(BA21&lt;150,BMILMS!$D$31*BA21^3+BMILMS!$E$31*BA21^2+BMILMS!$F$31*BA21+BMILMS!$G$31,BMILMS!$D$32*BA21^3+BMILMS!$E$32*BA21^2+BMILMS!$F$32*BA21+BMILMS!$G$32)))))))</f>
        <v>12.568967990000001</v>
      </c>
      <c r="AZ21">
        <f>IF($E$4="M",(IF(BA21&lt;90,BMILMS!$D$14*BA21^3+BMILMS!$E$14*BA21^2+BMILMS!$F$14*BA21+BMILMS!$G$14,BMILMS!$D$15*BA21^3+BMILMS!$E$15*BA21^2+BMILMS!$F$15*BA21+BMILMS!$G$15)),(IF(BA21&lt;90,BMILMS!$D$17*BA21^3+BMILMS!$E$17*BA21^2+BMILMS!$F$17*BA21+BMILMS!$G$17,BMILMS!$D$18*BA21^3+BMILMS!$E$18*BA21^2+BMILMS!$F$18*BA21+BMILMS!$G$18)))</f>
        <v>8.8969350000000003E-2</v>
      </c>
      <c r="BA21" s="24">
        <f t="shared" si="34"/>
        <v>0</v>
      </c>
      <c r="BB21" s="24">
        <f t="shared" si="9"/>
        <v>0</v>
      </c>
      <c r="BD21">
        <f t="shared" si="29"/>
        <v>0.56299999999999994</v>
      </c>
      <c r="BE21">
        <f t="shared" si="28"/>
        <v>69</v>
      </c>
      <c r="BF21">
        <f t="shared" si="26"/>
        <v>0.51</v>
      </c>
      <c r="BH21" s="35">
        <f>IF($E$4="M",WeightSDS!P$5*$BA21^7+WeightSDS!Q$5*$BA21^6+WeightSDS!R$5*$BA21^5+WeightSDS!S$5*$BA21^4+WeightSDS!T$5*$BA21^3+WeightSDS!U$5*$BA21^2+WeightSDS!V$5*$BA21+WeightSDS!W$5,IF($BA21&lt;186,WeightSDS!P$8*$BA21^7+WeightSDS!Q$8*$BA21^6+WeightSDS!R$8*$BA21^5+WeightSDS!S$8*$BA21^4+WeightSDS!T$8*$BA21^3+WeightSDS!U$8*$BA21^2+WeightSDS!V$8*$BA21+WeightSDS!W$8,WeightSDS!$U$9+WeightSDS!$V$9*($BA21-WeightSDS!$W$9)))</f>
        <v>0.75407122999999998</v>
      </c>
      <c r="BI21" s="24">
        <f>IF($E$4="M",IF($BA21&lt;45,WeightSDS!M$23*$BA21^10+WeightSDS!N$23*$BA21^9+WeightSDS!O$23*$BA21^8+WeightSDS!P$23*$BA21^7+WeightSDS!Q$23*$BA21^6+WeightSDS!R$23*$BA21^5+WeightSDS!S$23*$BA21^4+WeightSDS!T$23*$BA21^3+WeightSDS!U$23*$BA21^2+WeightSDS!V$23*$BA21+WeightSDS!W$23,IF($BA21&lt;153,WeightSDS!M$25*$BA21^10+WeightSDS!N$25*$BA21^9+WeightSDS!O$25*$BA21^8+WeightSDS!P$25*$BA21^7+WeightSDS!Q$25*$BA21^6+WeightSDS!R$25*$BA21^5+WeightSDS!S$25*$BA21^4+WeightSDS!T$25*$BA21^3+WeightSDS!U$25*$BA21^2+WeightSDS!V$25*$BA21+WeightSDS!W$25,WeightSDS!M$27+WeightSDS!N$27/(1+EXP(WeightSDS!O$27+WeightSDS!P$27*$BA21)))),IF($BA21&lt;43.8,WeightSDS!M$29*$BA21^10+WeightSDS!N$29*$BA21^9+WeightSDS!O$29*$BA21^8+WeightSDS!P$29*$BA21^7+WeightSDS!Q$29*$BA21^6+WeightSDS!R$29*$BA21^5+WeightSDS!S$29*$BA21^4+WeightSDS!T$29*$BA21^3+WeightSDS!U$29*$BA21^2+WeightSDS!V$29*$BA21+WeightSDS!W$29-0.010431*(1-$BA21/210),IF($BA21&lt;123,WeightSDS!M$30*$BA21^10+WeightSDS!N$30*$BA21^9+WeightSDS!O$30*$BA21^8+WeightSDS!P$30*$BA21^7+WeightSDS!Q$30*$BA21^6+WeightSDS!R$30*$BA21^5+WeightSDS!S$30*$BA21^4+WeightSDS!T$30*$BA21^3+WeightSDS!U$30*$BA21^2+WeightSDS!V$30*$BA21+WeightSDS!W$30-0.010431*(1-1/$BA21),WeightSDS!M$32+WeightSDS!N$32/(1+EXP(WeightSDS!O$32+WeightSDS!P$32*$BA21))-0.010431*(1-$BA21/210))))</f>
        <v>2.9500001032655536</v>
      </c>
      <c r="BJ21" s="24">
        <f>IF($E$4="M",IF($BA21&lt;162,WeightSDS!P$12*$BA21^7+WeightSDS!Q$12*$BA21^6+WeightSDS!R$12*$BA21^5+WeightSDS!S$12*$BA21^4+WeightSDS!T$12*$BA21^3+WeightSDS!U$12*$BA21^2+WeightSDS!V$12*$BA21+WeightSDS!W$12,WeightSDS!P$14*$BA21^7+WeightSDS!Q$14*$BA21^6+WeightSDS!R$14*$BA21^5+WeightSDS!S$14*$BA21^4+WeightSDS!T$14*$BA21^3+WeightSDS!U$14*$BA21^2+WeightSDS!V$14*$BA21+WeightSDS!W$14),IF($BA21&lt;156,WeightSDS!O$17*$BA21^8+WeightSDS!P$17*$BA21^7+WeightSDS!Q$17*$BA21^6+WeightSDS!R$17*$BA21^5+WeightSDS!S$17*$BA21^4+WeightSDS!T$17*$BA21^3+WeightSDS!U$17*$BA21^2+WeightSDS!V$17*$BA21+WeightSDS!W$17,IF($BA21&lt;186,WeightSDS!$U$18+(WeightSDS!$V$18-WeightSDS!$U$18)/24*($BA21-186)+WeightSDS!$W$18*(-$BA21+186)^2-0.005,WeightSDS!$U$18+(WeightSDS!$V$18-WeightSDS!$U$18)/24*($BA21-186)-0.005)))</f>
        <v>0.14604529399999999</v>
      </c>
    </row>
    <row r="22" spans="2:62" s="4" customFormat="1" x14ac:dyDescent="0.15">
      <c r="B22" s="40"/>
      <c r="C22" s="141"/>
      <c r="D22" s="22"/>
      <c r="E22" s="110"/>
      <c r="F22" s="110"/>
      <c r="G22" s="110"/>
      <c r="H22" s="44" t="str">
        <f t="shared" si="0"/>
        <v/>
      </c>
      <c r="I22" s="111" t="str">
        <f t="shared" si="10"/>
        <v/>
      </c>
      <c r="J22" s="111" t="str">
        <f t="shared" si="2"/>
        <v/>
      </c>
      <c r="K22" s="111" t="str">
        <f t="shared" si="11"/>
        <v/>
      </c>
      <c r="L22" s="44" t="str">
        <f t="shared" si="12"/>
        <v/>
      </c>
      <c r="M22" s="111" t="str">
        <f t="shared" si="13"/>
        <v/>
      </c>
      <c r="N22" s="44" t="str">
        <f t="shared" si="14"/>
        <v/>
      </c>
      <c r="O22" s="44" t="str">
        <f t="shared" si="4"/>
        <v/>
      </c>
      <c r="P22" s="111" t="str">
        <f t="shared" si="15"/>
        <v/>
      </c>
      <c r="Q22" s="44" t="str">
        <f t="shared" si="16"/>
        <v/>
      </c>
      <c r="R22" s="157" t="str">
        <f t="shared" si="30"/>
        <v/>
      </c>
      <c r="S22" s="44" t="str">
        <f t="shared" si="17"/>
        <v/>
      </c>
      <c r="T22" s="140" t="str">
        <f t="shared" si="35"/>
        <v/>
      </c>
      <c r="U22" s="140" t="str">
        <f t="shared" si="19"/>
        <v/>
      </c>
      <c r="V22" s="24"/>
      <c r="W22" s="24"/>
      <c r="X22" s="24"/>
      <c r="Y22" s="24"/>
      <c r="Z22" s="24"/>
      <c r="AA22" s="24">
        <f t="shared" si="20"/>
        <v>0</v>
      </c>
      <c r="AB22" s="24"/>
      <c r="AC22" s="24" t="str">
        <f t="shared" si="27"/>
        <v/>
      </c>
      <c r="AD22" s="24" t="str">
        <f t="shared" si="21"/>
        <v/>
      </c>
      <c r="AE22" s="24">
        <f t="shared" si="22"/>
        <v>0</v>
      </c>
      <c r="AG22" s="24" t="e">
        <f t="shared" si="31"/>
        <v>#VALUE!</v>
      </c>
      <c r="AH22" s="24" t="e">
        <f t="shared" si="32"/>
        <v>#VALUE!</v>
      </c>
      <c r="AI22" s="24" t="e">
        <f t="shared" si="36"/>
        <v>#VALUE!</v>
      </c>
      <c r="AJ22" s="24" t="e">
        <f t="shared" si="37"/>
        <v>#VALUE!</v>
      </c>
      <c r="AL22" s="24"/>
      <c r="AM22" s="24" t="e">
        <f t="shared" si="33"/>
        <v>#VALUE!</v>
      </c>
      <c r="AN22" s="31"/>
      <c r="AO22" s="34">
        <f t="shared" si="5"/>
        <v>0</v>
      </c>
      <c r="AP22" s="24">
        <f t="shared" si="6"/>
        <v>0</v>
      </c>
      <c r="AQ22" s="24"/>
      <c r="AR22" s="112"/>
      <c r="AS22" s="112"/>
      <c r="AT22" s="59">
        <f t="shared" si="7"/>
        <v>9.0359999999999996</v>
      </c>
      <c r="AU22" s="59">
        <f t="shared" si="8"/>
        <v>-184.49199999999999</v>
      </c>
      <c r="AV22" s="59"/>
      <c r="AW22"/>
      <c r="AX22">
        <f>IF($E$4="M",IF(BA22&lt;78,BMILMS!$D$5*BA22^3+BMILMS!$E$5*BA22^2+BMILMS!$F$5*BA22+BMILMS!$G$5,IF(BA22&lt;150,BMILMS!$D$6*BA22^3+BMILMS!$E$6*BA22^2+BMILMS!$F$6*BA22+BMILMS!$G$6,BMILMS!$D$7*BA22^3+BMILMS!$E$7*BA22^2+BMILMS!$F$7*BA22+BMILMS!$G$7)),IF(BA22&lt;69,BMILMS!$D$9*BA22^3+BMILMS!$E$9*BA22^2+BMILMS!$F$9*BA22+BMILMS!$G$9,IF(BA22&lt;150,BMILMS!$D$10*BA22^3+BMILMS!$E$10*BA22^2+BMILMS!$F$10*BA22+BMILMS!$G$10,BMILMS!$D$11*BA22^3+BMILMS!$E$11*BA22^2+BMILMS!$F$11*BA22+BMILMS!$G$11)))</f>
        <v>0.79584630099999998</v>
      </c>
      <c r="AY22">
        <f>IF($E$4="M",(IF(BA22&lt;2.5,BMILMS!$D$21*BA22^3+BMILMS!$E$21*BA22^2+BMILMS!$F$21*BA22+BMILMS!$G$21,IF(BA22&lt;9.5,BMILMS!$D$22*BA22^3+BMILMS!$E$22*BA22^2+BMILMS!$F$22*BA22+BMILMS!$G$22,IF(BA22&lt;26.75,BMILMS!$D$23*BA22^3+BMILMS!$E$23*BA22^2+BMILMS!$F$23*BA22+BMILMS!$G$23,IF(BA22&lt;90,BMILMS!$D$24*BA22^3+BMILMS!$E$24*BA22^2+BMILMS!$F$24*BA22+BMILMS!$G$24,BMILMS!$D$25*BA22^3+BMILMS!$E$25*BA22^2+BMILMS!$F$25*BA22+BMILMS!$G$25))))),(IF(BA22&lt;2.5,BMILMS!$D$27*BA22^3+BMILMS!$E$27*BA22^2+BMILMS!$F$27*BA22+BMILMS!$G$27,IF(BA22&lt;9.5,BMILMS!$D$28*BA22^3+BMILMS!$E$28*BA22^2+BMILMS!$F$28*BA22+BMILMS!$G$28,IF(BA22&lt;26.75,BMILMS!$D$29*BA22^3+BMILMS!$E$29*BA22^2+BMILMS!$F$29*BA22+BMILMS!$G$29,IF(BA22&lt;90,BMILMS!$D$30*BA22^3+BMILMS!$E$30*BA22^2+BMILMS!$F$30*BA22+BMILMS!$G$30,IF(BA22&lt;150,BMILMS!$D$31*BA22^3+BMILMS!$E$31*BA22^2+BMILMS!$F$31*BA22+BMILMS!$G$31,BMILMS!$D$32*BA22^3+BMILMS!$E$32*BA22^2+BMILMS!$F$32*BA22+BMILMS!$G$32)))))))</f>
        <v>12.568967990000001</v>
      </c>
      <c r="AZ22">
        <f>IF($E$4="M",(IF(BA22&lt;90,BMILMS!$D$14*BA22^3+BMILMS!$E$14*BA22^2+BMILMS!$F$14*BA22+BMILMS!$G$14,BMILMS!$D$15*BA22^3+BMILMS!$E$15*BA22^2+BMILMS!$F$15*BA22+BMILMS!$G$15)),(IF(BA22&lt;90,BMILMS!$D$17*BA22^3+BMILMS!$E$17*BA22^2+BMILMS!$F$17*BA22+BMILMS!$G$17,BMILMS!$D$18*BA22^3+BMILMS!$E$18*BA22^2+BMILMS!$F$18*BA22+BMILMS!$G$18)))</f>
        <v>8.8969350000000003E-2</v>
      </c>
      <c r="BA22" s="24">
        <f t="shared" si="34"/>
        <v>0</v>
      </c>
      <c r="BB22" s="24">
        <f t="shared" si="9"/>
        <v>0</v>
      </c>
      <c r="BD22">
        <f t="shared" si="29"/>
        <v>0.56299999999999994</v>
      </c>
      <c r="BE22">
        <f t="shared" si="28"/>
        <v>69</v>
      </c>
      <c r="BF22">
        <f t="shared" si="26"/>
        <v>0.51</v>
      </c>
      <c r="BH22" s="35">
        <f>IF($E$4="M",WeightSDS!P$5*$BA22^7+WeightSDS!Q$5*$BA22^6+WeightSDS!R$5*$BA22^5+WeightSDS!S$5*$BA22^4+WeightSDS!T$5*$BA22^3+WeightSDS!U$5*$BA22^2+WeightSDS!V$5*$BA22+WeightSDS!W$5,IF($BA22&lt;186,WeightSDS!P$8*$BA22^7+WeightSDS!Q$8*$BA22^6+WeightSDS!R$8*$BA22^5+WeightSDS!S$8*$BA22^4+WeightSDS!T$8*$BA22^3+WeightSDS!U$8*$BA22^2+WeightSDS!V$8*$BA22+WeightSDS!W$8,WeightSDS!$U$9+WeightSDS!$V$9*($BA22-WeightSDS!$W$9)))</f>
        <v>0.75407122999999998</v>
      </c>
      <c r="BI22" s="24">
        <f>IF($E$4="M",IF($BA22&lt;45,WeightSDS!M$23*$BA22^10+WeightSDS!N$23*$BA22^9+WeightSDS!O$23*$BA22^8+WeightSDS!P$23*$BA22^7+WeightSDS!Q$23*$BA22^6+WeightSDS!R$23*$BA22^5+WeightSDS!S$23*$BA22^4+WeightSDS!T$23*$BA22^3+WeightSDS!U$23*$BA22^2+WeightSDS!V$23*$BA22+WeightSDS!W$23,IF($BA22&lt;153,WeightSDS!M$25*$BA22^10+WeightSDS!N$25*$BA22^9+WeightSDS!O$25*$BA22^8+WeightSDS!P$25*$BA22^7+WeightSDS!Q$25*$BA22^6+WeightSDS!R$25*$BA22^5+WeightSDS!S$25*$BA22^4+WeightSDS!T$25*$BA22^3+WeightSDS!U$25*$BA22^2+WeightSDS!V$25*$BA22+WeightSDS!W$25,WeightSDS!M$27+WeightSDS!N$27/(1+EXP(WeightSDS!O$27+WeightSDS!P$27*$BA22)))),IF($BA22&lt;43.8,WeightSDS!M$29*$BA22^10+WeightSDS!N$29*$BA22^9+WeightSDS!O$29*$BA22^8+WeightSDS!P$29*$BA22^7+WeightSDS!Q$29*$BA22^6+WeightSDS!R$29*$BA22^5+WeightSDS!S$29*$BA22^4+WeightSDS!T$29*$BA22^3+WeightSDS!U$29*$BA22^2+WeightSDS!V$29*$BA22+WeightSDS!W$29-0.010431*(1-$BA22/210),IF($BA22&lt;123,WeightSDS!M$30*$BA22^10+WeightSDS!N$30*$BA22^9+WeightSDS!O$30*$BA22^8+WeightSDS!P$30*$BA22^7+WeightSDS!Q$30*$BA22^6+WeightSDS!R$30*$BA22^5+WeightSDS!S$30*$BA22^4+WeightSDS!T$30*$BA22^3+WeightSDS!U$30*$BA22^2+WeightSDS!V$30*$BA22+WeightSDS!W$30-0.010431*(1-1/$BA22),WeightSDS!M$32+WeightSDS!N$32/(1+EXP(WeightSDS!O$32+WeightSDS!P$32*$BA22))-0.010431*(1-$BA22/210))))</f>
        <v>2.9500001032655536</v>
      </c>
      <c r="BJ22" s="24">
        <f>IF($E$4="M",IF($BA22&lt;162,WeightSDS!P$12*$BA22^7+WeightSDS!Q$12*$BA22^6+WeightSDS!R$12*$BA22^5+WeightSDS!S$12*$BA22^4+WeightSDS!T$12*$BA22^3+WeightSDS!U$12*$BA22^2+WeightSDS!V$12*$BA22+WeightSDS!W$12,WeightSDS!P$14*$BA22^7+WeightSDS!Q$14*$BA22^6+WeightSDS!R$14*$BA22^5+WeightSDS!S$14*$BA22^4+WeightSDS!T$14*$BA22^3+WeightSDS!U$14*$BA22^2+WeightSDS!V$14*$BA22+WeightSDS!W$14),IF($BA22&lt;156,WeightSDS!O$17*$BA22^8+WeightSDS!P$17*$BA22^7+WeightSDS!Q$17*$BA22^6+WeightSDS!R$17*$BA22^5+WeightSDS!S$17*$BA22^4+WeightSDS!T$17*$BA22^3+WeightSDS!U$17*$BA22^2+WeightSDS!V$17*$BA22+WeightSDS!W$17,IF($BA22&lt;186,WeightSDS!$U$18+(WeightSDS!$V$18-WeightSDS!$U$18)/24*($BA22-186)+WeightSDS!$W$18*(-$BA22+186)^2-0.005,WeightSDS!$U$18+(WeightSDS!$V$18-WeightSDS!$U$18)/24*($BA22-186)-0.005)))</f>
        <v>0.14604529399999999</v>
      </c>
    </row>
    <row r="23" spans="2:62" s="4" customFormat="1" x14ac:dyDescent="0.15">
      <c r="B23" s="40"/>
      <c r="C23" s="141"/>
      <c r="D23" s="22"/>
      <c r="E23" s="110"/>
      <c r="F23" s="110"/>
      <c r="G23" s="110"/>
      <c r="H23" s="44" t="str">
        <f t="shared" si="0"/>
        <v/>
      </c>
      <c r="I23" s="111" t="str">
        <f t="shared" si="10"/>
        <v/>
      </c>
      <c r="J23" s="111" t="str">
        <f t="shared" si="2"/>
        <v/>
      </c>
      <c r="K23" s="111" t="str">
        <f t="shared" si="11"/>
        <v/>
      </c>
      <c r="L23" s="44" t="str">
        <f t="shared" si="12"/>
        <v/>
      </c>
      <c r="M23" s="111" t="str">
        <f t="shared" si="13"/>
        <v/>
      </c>
      <c r="N23" s="44" t="str">
        <f t="shared" si="14"/>
        <v/>
      </c>
      <c r="O23" s="44" t="str">
        <f t="shared" si="4"/>
        <v/>
      </c>
      <c r="P23" s="111" t="str">
        <f t="shared" si="15"/>
        <v/>
      </c>
      <c r="Q23" s="44" t="str">
        <f t="shared" si="16"/>
        <v/>
      </c>
      <c r="R23" s="157" t="str">
        <f t="shared" si="30"/>
        <v/>
      </c>
      <c r="S23" s="44" t="str">
        <f t="shared" si="17"/>
        <v/>
      </c>
      <c r="T23" s="140" t="str">
        <f t="shared" si="35"/>
        <v/>
      </c>
      <c r="U23" s="140" t="str">
        <f t="shared" si="19"/>
        <v/>
      </c>
      <c r="V23" s="24"/>
      <c r="W23" s="24"/>
      <c r="X23" s="24"/>
      <c r="Y23" s="24"/>
      <c r="Z23" s="24"/>
      <c r="AA23" s="24">
        <f t="shared" si="20"/>
        <v>0</v>
      </c>
      <c r="AB23" s="24"/>
      <c r="AC23" s="24" t="str">
        <f t="shared" si="27"/>
        <v/>
      </c>
      <c r="AD23" s="24" t="str">
        <f t="shared" si="21"/>
        <v/>
      </c>
      <c r="AE23" s="24">
        <f t="shared" si="22"/>
        <v>0</v>
      </c>
      <c r="AG23" s="24" t="e">
        <f t="shared" si="31"/>
        <v>#VALUE!</v>
      </c>
      <c r="AH23" s="24" t="e">
        <f t="shared" si="32"/>
        <v>#VALUE!</v>
      </c>
      <c r="AI23" s="24" t="e">
        <f t="shared" si="36"/>
        <v>#VALUE!</v>
      </c>
      <c r="AJ23" s="24" t="e">
        <f t="shared" si="37"/>
        <v>#VALUE!</v>
      </c>
      <c r="AL23" s="24"/>
      <c r="AM23" s="24" t="e">
        <f t="shared" si="33"/>
        <v>#VALUE!</v>
      </c>
      <c r="AN23" s="31"/>
      <c r="AO23" s="34">
        <f t="shared" si="5"/>
        <v>0</v>
      </c>
      <c r="AP23" s="24">
        <f t="shared" si="6"/>
        <v>0</v>
      </c>
      <c r="AQ23" s="24"/>
      <c r="AR23" s="112"/>
      <c r="AS23" s="112"/>
      <c r="AT23" s="59">
        <f t="shared" si="7"/>
        <v>9.0359999999999996</v>
      </c>
      <c r="AU23" s="59">
        <f t="shared" si="8"/>
        <v>-184.49199999999999</v>
      </c>
      <c r="AV23" s="59"/>
      <c r="AW23"/>
      <c r="AX23">
        <f>IF($E$4="M",IF(BA23&lt;78,BMILMS!$D$5*BA23^3+BMILMS!$E$5*BA23^2+BMILMS!$F$5*BA23+BMILMS!$G$5,IF(BA23&lt;150,BMILMS!$D$6*BA23^3+BMILMS!$E$6*BA23^2+BMILMS!$F$6*BA23+BMILMS!$G$6,BMILMS!$D$7*BA23^3+BMILMS!$E$7*BA23^2+BMILMS!$F$7*BA23+BMILMS!$G$7)),IF(BA23&lt;69,BMILMS!$D$9*BA23^3+BMILMS!$E$9*BA23^2+BMILMS!$F$9*BA23+BMILMS!$G$9,IF(BA23&lt;150,BMILMS!$D$10*BA23^3+BMILMS!$E$10*BA23^2+BMILMS!$F$10*BA23+BMILMS!$G$10,BMILMS!$D$11*BA23^3+BMILMS!$E$11*BA23^2+BMILMS!$F$11*BA23+BMILMS!$G$11)))</f>
        <v>0.79584630099999998</v>
      </c>
      <c r="AY23">
        <f>IF($E$4="M",(IF(BA23&lt;2.5,BMILMS!$D$21*BA23^3+BMILMS!$E$21*BA23^2+BMILMS!$F$21*BA23+BMILMS!$G$21,IF(BA23&lt;9.5,BMILMS!$D$22*BA23^3+BMILMS!$E$22*BA23^2+BMILMS!$F$22*BA23+BMILMS!$G$22,IF(BA23&lt;26.75,BMILMS!$D$23*BA23^3+BMILMS!$E$23*BA23^2+BMILMS!$F$23*BA23+BMILMS!$G$23,IF(BA23&lt;90,BMILMS!$D$24*BA23^3+BMILMS!$E$24*BA23^2+BMILMS!$F$24*BA23+BMILMS!$G$24,BMILMS!$D$25*BA23^3+BMILMS!$E$25*BA23^2+BMILMS!$F$25*BA23+BMILMS!$G$25))))),(IF(BA23&lt;2.5,BMILMS!$D$27*BA23^3+BMILMS!$E$27*BA23^2+BMILMS!$F$27*BA23+BMILMS!$G$27,IF(BA23&lt;9.5,BMILMS!$D$28*BA23^3+BMILMS!$E$28*BA23^2+BMILMS!$F$28*BA23+BMILMS!$G$28,IF(BA23&lt;26.75,BMILMS!$D$29*BA23^3+BMILMS!$E$29*BA23^2+BMILMS!$F$29*BA23+BMILMS!$G$29,IF(BA23&lt;90,BMILMS!$D$30*BA23^3+BMILMS!$E$30*BA23^2+BMILMS!$F$30*BA23+BMILMS!$G$30,IF(BA23&lt;150,BMILMS!$D$31*BA23^3+BMILMS!$E$31*BA23^2+BMILMS!$F$31*BA23+BMILMS!$G$31,BMILMS!$D$32*BA23^3+BMILMS!$E$32*BA23^2+BMILMS!$F$32*BA23+BMILMS!$G$32)))))))</f>
        <v>12.568967990000001</v>
      </c>
      <c r="AZ23">
        <f>IF($E$4="M",(IF(BA23&lt;90,BMILMS!$D$14*BA23^3+BMILMS!$E$14*BA23^2+BMILMS!$F$14*BA23+BMILMS!$G$14,BMILMS!$D$15*BA23^3+BMILMS!$E$15*BA23^2+BMILMS!$F$15*BA23+BMILMS!$G$15)),(IF(BA23&lt;90,BMILMS!$D$17*BA23^3+BMILMS!$E$17*BA23^2+BMILMS!$F$17*BA23+BMILMS!$G$17,BMILMS!$D$18*BA23^3+BMILMS!$E$18*BA23^2+BMILMS!$F$18*BA23+BMILMS!$G$18)))</f>
        <v>8.8969350000000003E-2</v>
      </c>
      <c r="BA23" s="24">
        <f t="shared" si="34"/>
        <v>0</v>
      </c>
      <c r="BB23" s="24">
        <f t="shared" si="9"/>
        <v>0</v>
      </c>
      <c r="BD23">
        <f t="shared" si="29"/>
        <v>0.56299999999999994</v>
      </c>
      <c r="BE23">
        <f t="shared" si="28"/>
        <v>69</v>
      </c>
      <c r="BF23">
        <f t="shared" si="26"/>
        <v>0.51</v>
      </c>
      <c r="BH23" s="35">
        <f>IF($E$4="M",WeightSDS!P$5*$BA23^7+WeightSDS!Q$5*$BA23^6+WeightSDS!R$5*$BA23^5+WeightSDS!S$5*$BA23^4+WeightSDS!T$5*$BA23^3+WeightSDS!U$5*$BA23^2+WeightSDS!V$5*$BA23+WeightSDS!W$5,IF($BA23&lt;186,WeightSDS!P$8*$BA23^7+WeightSDS!Q$8*$BA23^6+WeightSDS!R$8*$BA23^5+WeightSDS!S$8*$BA23^4+WeightSDS!T$8*$BA23^3+WeightSDS!U$8*$BA23^2+WeightSDS!V$8*$BA23+WeightSDS!W$8,WeightSDS!$U$9+WeightSDS!$V$9*($BA23-WeightSDS!$W$9)))</f>
        <v>0.75407122999999998</v>
      </c>
      <c r="BI23" s="24">
        <f>IF($E$4="M",IF($BA23&lt;45,WeightSDS!M$23*$BA23^10+WeightSDS!N$23*$BA23^9+WeightSDS!O$23*$BA23^8+WeightSDS!P$23*$BA23^7+WeightSDS!Q$23*$BA23^6+WeightSDS!R$23*$BA23^5+WeightSDS!S$23*$BA23^4+WeightSDS!T$23*$BA23^3+WeightSDS!U$23*$BA23^2+WeightSDS!V$23*$BA23+WeightSDS!W$23,IF($BA23&lt;153,WeightSDS!M$25*$BA23^10+WeightSDS!N$25*$BA23^9+WeightSDS!O$25*$BA23^8+WeightSDS!P$25*$BA23^7+WeightSDS!Q$25*$BA23^6+WeightSDS!R$25*$BA23^5+WeightSDS!S$25*$BA23^4+WeightSDS!T$25*$BA23^3+WeightSDS!U$25*$BA23^2+WeightSDS!V$25*$BA23+WeightSDS!W$25,WeightSDS!M$27+WeightSDS!N$27/(1+EXP(WeightSDS!O$27+WeightSDS!P$27*$BA23)))),IF($BA23&lt;43.8,WeightSDS!M$29*$BA23^10+WeightSDS!N$29*$BA23^9+WeightSDS!O$29*$BA23^8+WeightSDS!P$29*$BA23^7+WeightSDS!Q$29*$BA23^6+WeightSDS!R$29*$BA23^5+WeightSDS!S$29*$BA23^4+WeightSDS!T$29*$BA23^3+WeightSDS!U$29*$BA23^2+WeightSDS!V$29*$BA23+WeightSDS!W$29-0.010431*(1-$BA23/210),IF($BA23&lt;123,WeightSDS!M$30*$BA23^10+WeightSDS!N$30*$BA23^9+WeightSDS!O$30*$BA23^8+WeightSDS!P$30*$BA23^7+WeightSDS!Q$30*$BA23^6+WeightSDS!R$30*$BA23^5+WeightSDS!S$30*$BA23^4+WeightSDS!T$30*$BA23^3+WeightSDS!U$30*$BA23^2+WeightSDS!V$30*$BA23+WeightSDS!W$30-0.010431*(1-1/$BA23),WeightSDS!M$32+WeightSDS!N$32/(1+EXP(WeightSDS!O$32+WeightSDS!P$32*$BA23))-0.010431*(1-$BA23/210))))</f>
        <v>2.9500001032655536</v>
      </c>
      <c r="BJ23" s="24">
        <f>IF($E$4="M",IF($BA23&lt;162,WeightSDS!P$12*$BA23^7+WeightSDS!Q$12*$BA23^6+WeightSDS!R$12*$BA23^5+WeightSDS!S$12*$BA23^4+WeightSDS!T$12*$BA23^3+WeightSDS!U$12*$BA23^2+WeightSDS!V$12*$BA23+WeightSDS!W$12,WeightSDS!P$14*$BA23^7+WeightSDS!Q$14*$BA23^6+WeightSDS!R$14*$BA23^5+WeightSDS!S$14*$BA23^4+WeightSDS!T$14*$BA23^3+WeightSDS!U$14*$BA23^2+WeightSDS!V$14*$BA23+WeightSDS!W$14),IF($BA23&lt;156,WeightSDS!O$17*$BA23^8+WeightSDS!P$17*$BA23^7+WeightSDS!Q$17*$BA23^6+WeightSDS!R$17*$BA23^5+WeightSDS!S$17*$BA23^4+WeightSDS!T$17*$BA23^3+WeightSDS!U$17*$BA23^2+WeightSDS!V$17*$BA23+WeightSDS!W$17,IF($BA23&lt;186,WeightSDS!$U$18+(WeightSDS!$V$18-WeightSDS!$U$18)/24*($BA23-186)+WeightSDS!$W$18*(-$BA23+186)^2-0.005,WeightSDS!$U$18+(WeightSDS!$V$18-WeightSDS!$U$18)/24*($BA23-186)-0.005)))</f>
        <v>0.14604529399999999</v>
      </c>
    </row>
    <row r="24" spans="2:62" s="4" customFormat="1" x14ac:dyDescent="0.15">
      <c r="B24" s="40"/>
      <c r="C24" s="141"/>
      <c r="D24" s="22"/>
      <c r="E24" s="110"/>
      <c r="F24" s="110"/>
      <c r="G24" s="110"/>
      <c r="H24" s="44" t="str">
        <f t="shared" si="0"/>
        <v/>
      </c>
      <c r="I24" s="111" t="str">
        <f t="shared" si="10"/>
        <v/>
      </c>
      <c r="J24" s="111" t="str">
        <f t="shared" si="2"/>
        <v/>
      </c>
      <c r="K24" s="111" t="str">
        <f t="shared" si="11"/>
        <v/>
      </c>
      <c r="L24" s="44" t="str">
        <f t="shared" si="12"/>
        <v/>
      </c>
      <c r="M24" s="111" t="str">
        <f t="shared" si="13"/>
        <v/>
      </c>
      <c r="N24" s="44" t="str">
        <f t="shared" si="14"/>
        <v/>
      </c>
      <c r="O24" s="44" t="str">
        <f t="shared" si="4"/>
        <v/>
      </c>
      <c r="P24" s="111" t="str">
        <f t="shared" si="15"/>
        <v/>
      </c>
      <c r="Q24" s="44" t="str">
        <f t="shared" si="16"/>
        <v/>
      </c>
      <c r="R24" s="157" t="str">
        <f t="shared" si="30"/>
        <v/>
      </c>
      <c r="S24" s="44" t="str">
        <f t="shared" si="17"/>
        <v/>
      </c>
      <c r="T24" s="140" t="str">
        <f t="shared" si="35"/>
        <v/>
      </c>
      <c r="U24" s="140" t="str">
        <f t="shared" si="19"/>
        <v/>
      </c>
      <c r="V24" s="24"/>
      <c r="W24" s="24"/>
      <c r="X24" s="24"/>
      <c r="Y24" s="24"/>
      <c r="Z24" s="24"/>
      <c r="AA24" s="24">
        <f t="shared" si="20"/>
        <v>0</v>
      </c>
      <c r="AB24" s="24"/>
      <c r="AC24" s="24" t="str">
        <f t="shared" si="27"/>
        <v/>
      </c>
      <c r="AD24" s="24" t="str">
        <f t="shared" si="21"/>
        <v/>
      </c>
      <c r="AE24" s="24">
        <f t="shared" si="22"/>
        <v>0</v>
      </c>
      <c r="AG24" s="24" t="e">
        <f t="shared" si="31"/>
        <v>#VALUE!</v>
      </c>
      <c r="AH24" s="24" t="e">
        <f t="shared" si="32"/>
        <v>#VALUE!</v>
      </c>
      <c r="AI24" s="24" t="e">
        <f t="shared" si="36"/>
        <v>#VALUE!</v>
      </c>
      <c r="AJ24" s="24" t="e">
        <f t="shared" si="37"/>
        <v>#VALUE!</v>
      </c>
      <c r="AL24" s="24"/>
      <c r="AM24" s="24" t="e">
        <f t="shared" si="33"/>
        <v>#VALUE!</v>
      </c>
      <c r="AN24" s="31"/>
      <c r="AO24" s="34">
        <f t="shared" si="5"/>
        <v>0</v>
      </c>
      <c r="AP24" s="24">
        <f t="shared" si="6"/>
        <v>0</v>
      </c>
      <c r="AQ24" s="24"/>
      <c r="AR24" s="112"/>
      <c r="AS24" s="112"/>
      <c r="AT24" s="59">
        <f t="shared" si="7"/>
        <v>9.0359999999999996</v>
      </c>
      <c r="AU24" s="59">
        <f t="shared" si="8"/>
        <v>-184.49199999999999</v>
      </c>
      <c r="AV24" s="59"/>
      <c r="AW24"/>
      <c r="AX24">
        <f>IF($E$4="M",IF(BA24&lt;78,BMILMS!$D$5*BA24^3+BMILMS!$E$5*BA24^2+BMILMS!$F$5*BA24+BMILMS!$G$5,IF(BA24&lt;150,BMILMS!$D$6*BA24^3+BMILMS!$E$6*BA24^2+BMILMS!$F$6*BA24+BMILMS!$G$6,BMILMS!$D$7*BA24^3+BMILMS!$E$7*BA24^2+BMILMS!$F$7*BA24+BMILMS!$G$7)),IF(BA24&lt;69,BMILMS!$D$9*BA24^3+BMILMS!$E$9*BA24^2+BMILMS!$F$9*BA24+BMILMS!$G$9,IF(BA24&lt;150,BMILMS!$D$10*BA24^3+BMILMS!$E$10*BA24^2+BMILMS!$F$10*BA24+BMILMS!$G$10,BMILMS!$D$11*BA24^3+BMILMS!$E$11*BA24^2+BMILMS!$F$11*BA24+BMILMS!$G$11)))</f>
        <v>0.79584630099999998</v>
      </c>
      <c r="AY24">
        <f>IF($E$4="M",(IF(BA24&lt;2.5,BMILMS!$D$21*BA24^3+BMILMS!$E$21*BA24^2+BMILMS!$F$21*BA24+BMILMS!$G$21,IF(BA24&lt;9.5,BMILMS!$D$22*BA24^3+BMILMS!$E$22*BA24^2+BMILMS!$F$22*BA24+BMILMS!$G$22,IF(BA24&lt;26.75,BMILMS!$D$23*BA24^3+BMILMS!$E$23*BA24^2+BMILMS!$F$23*BA24+BMILMS!$G$23,IF(BA24&lt;90,BMILMS!$D$24*BA24^3+BMILMS!$E$24*BA24^2+BMILMS!$F$24*BA24+BMILMS!$G$24,BMILMS!$D$25*BA24^3+BMILMS!$E$25*BA24^2+BMILMS!$F$25*BA24+BMILMS!$G$25))))),(IF(BA24&lt;2.5,BMILMS!$D$27*BA24^3+BMILMS!$E$27*BA24^2+BMILMS!$F$27*BA24+BMILMS!$G$27,IF(BA24&lt;9.5,BMILMS!$D$28*BA24^3+BMILMS!$E$28*BA24^2+BMILMS!$F$28*BA24+BMILMS!$G$28,IF(BA24&lt;26.75,BMILMS!$D$29*BA24^3+BMILMS!$E$29*BA24^2+BMILMS!$F$29*BA24+BMILMS!$G$29,IF(BA24&lt;90,BMILMS!$D$30*BA24^3+BMILMS!$E$30*BA24^2+BMILMS!$F$30*BA24+BMILMS!$G$30,IF(BA24&lt;150,BMILMS!$D$31*BA24^3+BMILMS!$E$31*BA24^2+BMILMS!$F$31*BA24+BMILMS!$G$31,BMILMS!$D$32*BA24^3+BMILMS!$E$32*BA24^2+BMILMS!$F$32*BA24+BMILMS!$G$32)))))))</f>
        <v>12.568967990000001</v>
      </c>
      <c r="AZ24">
        <f>IF($E$4="M",(IF(BA24&lt;90,BMILMS!$D$14*BA24^3+BMILMS!$E$14*BA24^2+BMILMS!$F$14*BA24+BMILMS!$G$14,BMILMS!$D$15*BA24^3+BMILMS!$E$15*BA24^2+BMILMS!$F$15*BA24+BMILMS!$G$15)),(IF(BA24&lt;90,BMILMS!$D$17*BA24^3+BMILMS!$E$17*BA24^2+BMILMS!$F$17*BA24+BMILMS!$G$17,BMILMS!$D$18*BA24^3+BMILMS!$E$18*BA24^2+BMILMS!$F$18*BA24+BMILMS!$G$18)))</f>
        <v>8.8969350000000003E-2</v>
      </c>
      <c r="BA24" s="24">
        <f t="shared" si="34"/>
        <v>0</v>
      </c>
      <c r="BB24" s="24">
        <f t="shared" si="9"/>
        <v>0</v>
      </c>
      <c r="BD24">
        <f t="shared" si="29"/>
        <v>0.56299999999999994</v>
      </c>
      <c r="BE24">
        <f t="shared" si="28"/>
        <v>69</v>
      </c>
      <c r="BF24">
        <f t="shared" si="26"/>
        <v>0.51</v>
      </c>
      <c r="BH24" s="35">
        <f>IF($E$4="M",WeightSDS!P$5*$BA24^7+WeightSDS!Q$5*$BA24^6+WeightSDS!R$5*$BA24^5+WeightSDS!S$5*$BA24^4+WeightSDS!T$5*$BA24^3+WeightSDS!U$5*$BA24^2+WeightSDS!V$5*$BA24+WeightSDS!W$5,IF($BA24&lt;186,WeightSDS!P$8*$BA24^7+WeightSDS!Q$8*$BA24^6+WeightSDS!R$8*$BA24^5+WeightSDS!S$8*$BA24^4+WeightSDS!T$8*$BA24^3+WeightSDS!U$8*$BA24^2+WeightSDS!V$8*$BA24+WeightSDS!W$8,WeightSDS!$U$9+WeightSDS!$V$9*($BA24-WeightSDS!$W$9)))</f>
        <v>0.75407122999999998</v>
      </c>
      <c r="BI24" s="24">
        <f>IF($E$4="M",IF($BA24&lt;45,WeightSDS!M$23*$BA24^10+WeightSDS!N$23*$BA24^9+WeightSDS!O$23*$BA24^8+WeightSDS!P$23*$BA24^7+WeightSDS!Q$23*$BA24^6+WeightSDS!R$23*$BA24^5+WeightSDS!S$23*$BA24^4+WeightSDS!T$23*$BA24^3+WeightSDS!U$23*$BA24^2+WeightSDS!V$23*$BA24+WeightSDS!W$23,IF($BA24&lt;153,WeightSDS!M$25*$BA24^10+WeightSDS!N$25*$BA24^9+WeightSDS!O$25*$BA24^8+WeightSDS!P$25*$BA24^7+WeightSDS!Q$25*$BA24^6+WeightSDS!R$25*$BA24^5+WeightSDS!S$25*$BA24^4+WeightSDS!T$25*$BA24^3+WeightSDS!U$25*$BA24^2+WeightSDS!V$25*$BA24+WeightSDS!W$25,WeightSDS!M$27+WeightSDS!N$27/(1+EXP(WeightSDS!O$27+WeightSDS!P$27*$BA24)))),IF($BA24&lt;43.8,WeightSDS!M$29*$BA24^10+WeightSDS!N$29*$BA24^9+WeightSDS!O$29*$BA24^8+WeightSDS!P$29*$BA24^7+WeightSDS!Q$29*$BA24^6+WeightSDS!R$29*$BA24^5+WeightSDS!S$29*$BA24^4+WeightSDS!T$29*$BA24^3+WeightSDS!U$29*$BA24^2+WeightSDS!V$29*$BA24+WeightSDS!W$29-0.010431*(1-$BA24/210),IF($BA24&lt;123,WeightSDS!M$30*$BA24^10+WeightSDS!N$30*$BA24^9+WeightSDS!O$30*$BA24^8+WeightSDS!P$30*$BA24^7+WeightSDS!Q$30*$BA24^6+WeightSDS!R$30*$BA24^5+WeightSDS!S$30*$BA24^4+WeightSDS!T$30*$BA24^3+WeightSDS!U$30*$BA24^2+WeightSDS!V$30*$BA24+WeightSDS!W$30-0.010431*(1-1/$BA24),WeightSDS!M$32+WeightSDS!N$32/(1+EXP(WeightSDS!O$32+WeightSDS!P$32*$BA24))-0.010431*(1-$BA24/210))))</f>
        <v>2.9500001032655536</v>
      </c>
      <c r="BJ24" s="24">
        <f>IF($E$4="M",IF($BA24&lt;162,WeightSDS!P$12*$BA24^7+WeightSDS!Q$12*$BA24^6+WeightSDS!R$12*$BA24^5+WeightSDS!S$12*$BA24^4+WeightSDS!T$12*$BA24^3+WeightSDS!U$12*$BA24^2+WeightSDS!V$12*$BA24+WeightSDS!W$12,WeightSDS!P$14*$BA24^7+WeightSDS!Q$14*$BA24^6+WeightSDS!R$14*$BA24^5+WeightSDS!S$14*$BA24^4+WeightSDS!T$14*$BA24^3+WeightSDS!U$14*$BA24^2+WeightSDS!V$14*$BA24+WeightSDS!W$14),IF($BA24&lt;156,WeightSDS!O$17*$BA24^8+WeightSDS!P$17*$BA24^7+WeightSDS!Q$17*$BA24^6+WeightSDS!R$17*$BA24^5+WeightSDS!S$17*$BA24^4+WeightSDS!T$17*$BA24^3+WeightSDS!U$17*$BA24^2+WeightSDS!V$17*$BA24+WeightSDS!W$17,IF($BA24&lt;186,WeightSDS!$U$18+(WeightSDS!$V$18-WeightSDS!$U$18)/24*($BA24-186)+WeightSDS!$W$18*(-$BA24+186)^2-0.005,WeightSDS!$U$18+(WeightSDS!$V$18-WeightSDS!$U$18)/24*($BA24-186)-0.005)))</f>
        <v>0.14604529399999999</v>
      </c>
    </row>
    <row r="25" spans="2:62" s="4" customFormat="1" x14ac:dyDescent="0.15">
      <c r="B25" s="40"/>
      <c r="C25" s="141"/>
      <c r="D25" s="22"/>
      <c r="E25" s="110"/>
      <c r="F25" s="110"/>
      <c r="G25" s="110"/>
      <c r="H25" s="44" t="str">
        <f t="shared" si="0"/>
        <v/>
      </c>
      <c r="I25" s="111" t="str">
        <f t="shared" si="10"/>
        <v/>
      </c>
      <c r="J25" s="111" t="str">
        <f t="shared" si="2"/>
        <v/>
      </c>
      <c r="K25" s="111" t="str">
        <f t="shared" si="11"/>
        <v/>
      </c>
      <c r="L25" s="44" t="str">
        <f t="shared" si="12"/>
        <v/>
      </c>
      <c r="M25" s="111" t="str">
        <f t="shared" si="13"/>
        <v/>
      </c>
      <c r="N25" s="44" t="str">
        <f t="shared" si="14"/>
        <v/>
      </c>
      <c r="O25" s="44" t="str">
        <f t="shared" si="4"/>
        <v/>
      </c>
      <c r="P25" s="111" t="str">
        <f t="shared" si="15"/>
        <v/>
      </c>
      <c r="Q25" s="44" t="str">
        <f t="shared" si="16"/>
        <v/>
      </c>
      <c r="R25" s="157" t="str">
        <f t="shared" si="30"/>
        <v/>
      </c>
      <c r="S25" s="44" t="str">
        <f t="shared" si="17"/>
        <v/>
      </c>
      <c r="T25" s="140" t="str">
        <f t="shared" si="35"/>
        <v/>
      </c>
      <c r="U25" s="140" t="str">
        <f t="shared" si="19"/>
        <v/>
      </c>
      <c r="V25" s="24"/>
      <c r="W25" s="24"/>
      <c r="X25" s="24"/>
      <c r="Y25" s="24"/>
      <c r="Z25" s="24"/>
      <c r="AA25" s="24">
        <f t="shared" si="20"/>
        <v>0</v>
      </c>
      <c r="AB25" s="24"/>
      <c r="AC25" s="24" t="str">
        <f t="shared" si="27"/>
        <v/>
      </c>
      <c r="AD25" s="24" t="str">
        <f t="shared" si="21"/>
        <v/>
      </c>
      <c r="AE25" s="24">
        <f t="shared" si="22"/>
        <v>0</v>
      </c>
      <c r="AG25" s="24" t="e">
        <f t="shared" si="31"/>
        <v>#VALUE!</v>
      </c>
      <c r="AH25" s="24" t="e">
        <f t="shared" si="32"/>
        <v>#VALUE!</v>
      </c>
      <c r="AI25" s="24" t="e">
        <f t="shared" si="36"/>
        <v>#VALUE!</v>
      </c>
      <c r="AJ25" s="24" t="e">
        <f t="shared" si="37"/>
        <v>#VALUE!</v>
      </c>
      <c r="AL25" s="24"/>
      <c r="AM25" s="24" t="e">
        <f t="shared" si="33"/>
        <v>#VALUE!</v>
      </c>
      <c r="AN25" s="31"/>
      <c r="AO25" s="34">
        <f t="shared" si="5"/>
        <v>0</v>
      </c>
      <c r="AP25" s="24">
        <f t="shared" si="6"/>
        <v>0</v>
      </c>
      <c r="AQ25" s="24"/>
      <c r="AR25" s="112"/>
      <c r="AS25" s="112"/>
      <c r="AT25" s="59">
        <f t="shared" si="7"/>
        <v>9.0359999999999996</v>
      </c>
      <c r="AU25" s="59">
        <f t="shared" si="8"/>
        <v>-184.49199999999999</v>
      </c>
      <c r="AV25" s="59"/>
      <c r="AW25"/>
      <c r="AX25">
        <f>IF($E$4="M",IF(BA25&lt;78,BMILMS!$D$5*BA25^3+BMILMS!$E$5*BA25^2+BMILMS!$F$5*BA25+BMILMS!$G$5,IF(BA25&lt;150,BMILMS!$D$6*BA25^3+BMILMS!$E$6*BA25^2+BMILMS!$F$6*BA25+BMILMS!$G$6,BMILMS!$D$7*BA25^3+BMILMS!$E$7*BA25^2+BMILMS!$F$7*BA25+BMILMS!$G$7)),IF(BA25&lt;69,BMILMS!$D$9*BA25^3+BMILMS!$E$9*BA25^2+BMILMS!$F$9*BA25+BMILMS!$G$9,IF(BA25&lt;150,BMILMS!$D$10*BA25^3+BMILMS!$E$10*BA25^2+BMILMS!$F$10*BA25+BMILMS!$G$10,BMILMS!$D$11*BA25^3+BMILMS!$E$11*BA25^2+BMILMS!$F$11*BA25+BMILMS!$G$11)))</f>
        <v>0.79584630099999998</v>
      </c>
      <c r="AY25">
        <f>IF($E$4="M",(IF(BA25&lt;2.5,BMILMS!$D$21*BA25^3+BMILMS!$E$21*BA25^2+BMILMS!$F$21*BA25+BMILMS!$G$21,IF(BA25&lt;9.5,BMILMS!$D$22*BA25^3+BMILMS!$E$22*BA25^2+BMILMS!$F$22*BA25+BMILMS!$G$22,IF(BA25&lt;26.75,BMILMS!$D$23*BA25^3+BMILMS!$E$23*BA25^2+BMILMS!$F$23*BA25+BMILMS!$G$23,IF(BA25&lt;90,BMILMS!$D$24*BA25^3+BMILMS!$E$24*BA25^2+BMILMS!$F$24*BA25+BMILMS!$G$24,BMILMS!$D$25*BA25^3+BMILMS!$E$25*BA25^2+BMILMS!$F$25*BA25+BMILMS!$G$25))))),(IF(BA25&lt;2.5,BMILMS!$D$27*BA25^3+BMILMS!$E$27*BA25^2+BMILMS!$F$27*BA25+BMILMS!$G$27,IF(BA25&lt;9.5,BMILMS!$D$28*BA25^3+BMILMS!$E$28*BA25^2+BMILMS!$F$28*BA25+BMILMS!$G$28,IF(BA25&lt;26.75,BMILMS!$D$29*BA25^3+BMILMS!$E$29*BA25^2+BMILMS!$F$29*BA25+BMILMS!$G$29,IF(BA25&lt;90,BMILMS!$D$30*BA25^3+BMILMS!$E$30*BA25^2+BMILMS!$F$30*BA25+BMILMS!$G$30,IF(BA25&lt;150,BMILMS!$D$31*BA25^3+BMILMS!$E$31*BA25^2+BMILMS!$F$31*BA25+BMILMS!$G$31,BMILMS!$D$32*BA25^3+BMILMS!$E$32*BA25^2+BMILMS!$F$32*BA25+BMILMS!$G$32)))))))</f>
        <v>12.568967990000001</v>
      </c>
      <c r="AZ25">
        <f>IF($E$4="M",(IF(BA25&lt;90,BMILMS!$D$14*BA25^3+BMILMS!$E$14*BA25^2+BMILMS!$F$14*BA25+BMILMS!$G$14,BMILMS!$D$15*BA25^3+BMILMS!$E$15*BA25^2+BMILMS!$F$15*BA25+BMILMS!$G$15)),(IF(BA25&lt;90,BMILMS!$D$17*BA25^3+BMILMS!$E$17*BA25^2+BMILMS!$F$17*BA25+BMILMS!$G$17,BMILMS!$D$18*BA25^3+BMILMS!$E$18*BA25^2+BMILMS!$F$18*BA25+BMILMS!$G$18)))</f>
        <v>8.8969350000000003E-2</v>
      </c>
      <c r="BA25" s="24">
        <f t="shared" si="34"/>
        <v>0</v>
      </c>
      <c r="BB25" s="24">
        <f t="shared" si="9"/>
        <v>0</v>
      </c>
      <c r="BD25">
        <f t="shared" si="29"/>
        <v>0.56299999999999994</v>
      </c>
      <c r="BE25">
        <f t="shared" si="28"/>
        <v>69</v>
      </c>
      <c r="BF25">
        <f t="shared" si="26"/>
        <v>0.51</v>
      </c>
      <c r="BH25" s="35">
        <f>IF($E$4="M",WeightSDS!P$5*$BA25^7+WeightSDS!Q$5*$BA25^6+WeightSDS!R$5*$BA25^5+WeightSDS!S$5*$BA25^4+WeightSDS!T$5*$BA25^3+WeightSDS!U$5*$BA25^2+WeightSDS!V$5*$BA25+WeightSDS!W$5,IF($BA25&lt;186,WeightSDS!P$8*$BA25^7+WeightSDS!Q$8*$BA25^6+WeightSDS!R$8*$BA25^5+WeightSDS!S$8*$BA25^4+WeightSDS!T$8*$BA25^3+WeightSDS!U$8*$BA25^2+WeightSDS!V$8*$BA25+WeightSDS!W$8,WeightSDS!$U$9+WeightSDS!$V$9*($BA25-WeightSDS!$W$9)))</f>
        <v>0.75407122999999998</v>
      </c>
      <c r="BI25" s="24">
        <f>IF($E$4="M",IF($BA25&lt;45,WeightSDS!M$23*$BA25^10+WeightSDS!N$23*$BA25^9+WeightSDS!O$23*$BA25^8+WeightSDS!P$23*$BA25^7+WeightSDS!Q$23*$BA25^6+WeightSDS!R$23*$BA25^5+WeightSDS!S$23*$BA25^4+WeightSDS!T$23*$BA25^3+WeightSDS!U$23*$BA25^2+WeightSDS!V$23*$BA25+WeightSDS!W$23,IF($BA25&lt;153,WeightSDS!M$25*$BA25^10+WeightSDS!N$25*$BA25^9+WeightSDS!O$25*$BA25^8+WeightSDS!P$25*$BA25^7+WeightSDS!Q$25*$BA25^6+WeightSDS!R$25*$BA25^5+WeightSDS!S$25*$BA25^4+WeightSDS!T$25*$BA25^3+WeightSDS!U$25*$BA25^2+WeightSDS!V$25*$BA25+WeightSDS!W$25,WeightSDS!M$27+WeightSDS!N$27/(1+EXP(WeightSDS!O$27+WeightSDS!P$27*$BA25)))),IF($BA25&lt;43.8,WeightSDS!M$29*$BA25^10+WeightSDS!N$29*$BA25^9+WeightSDS!O$29*$BA25^8+WeightSDS!P$29*$BA25^7+WeightSDS!Q$29*$BA25^6+WeightSDS!R$29*$BA25^5+WeightSDS!S$29*$BA25^4+WeightSDS!T$29*$BA25^3+WeightSDS!U$29*$BA25^2+WeightSDS!V$29*$BA25+WeightSDS!W$29-0.010431*(1-$BA25/210),IF($BA25&lt;123,WeightSDS!M$30*$BA25^10+WeightSDS!N$30*$BA25^9+WeightSDS!O$30*$BA25^8+WeightSDS!P$30*$BA25^7+WeightSDS!Q$30*$BA25^6+WeightSDS!R$30*$BA25^5+WeightSDS!S$30*$BA25^4+WeightSDS!T$30*$BA25^3+WeightSDS!U$30*$BA25^2+WeightSDS!V$30*$BA25+WeightSDS!W$30-0.010431*(1-1/$BA25),WeightSDS!M$32+WeightSDS!N$32/(1+EXP(WeightSDS!O$32+WeightSDS!P$32*$BA25))-0.010431*(1-$BA25/210))))</f>
        <v>2.9500001032655536</v>
      </c>
      <c r="BJ25" s="24">
        <f>IF($E$4="M",IF($BA25&lt;162,WeightSDS!P$12*$BA25^7+WeightSDS!Q$12*$BA25^6+WeightSDS!R$12*$BA25^5+WeightSDS!S$12*$BA25^4+WeightSDS!T$12*$BA25^3+WeightSDS!U$12*$BA25^2+WeightSDS!V$12*$BA25+WeightSDS!W$12,WeightSDS!P$14*$BA25^7+WeightSDS!Q$14*$BA25^6+WeightSDS!R$14*$BA25^5+WeightSDS!S$14*$BA25^4+WeightSDS!T$14*$BA25^3+WeightSDS!U$14*$BA25^2+WeightSDS!V$14*$BA25+WeightSDS!W$14),IF($BA25&lt;156,WeightSDS!O$17*$BA25^8+WeightSDS!P$17*$BA25^7+WeightSDS!Q$17*$BA25^6+WeightSDS!R$17*$BA25^5+WeightSDS!S$17*$BA25^4+WeightSDS!T$17*$BA25^3+WeightSDS!U$17*$BA25^2+WeightSDS!V$17*$BA25+WeightSDS!W$17,IF($BA25&lt;186,WeightSDS!$U$18+(WeightSDS!$V$18-WeightSDS!$U$18)/24*($BA25-186)+WeightSDS!$W$18*(-$BA25+186)^2-0.005,WeightSDS!$U$18+(WeightSDS!$V$18-WeightSDS!$U$18)/24*($BA25-186)-0.005)))</f>
        <v>0.14604529399999999</v>
      </c>
    </row>
    <row r="26" spans="2:62" s="4" customFormat="1" x14ac:dyDescent="0.15">
      <c r="B26" s="40"/>
      <c r="C26" s="141"/>
      <c r="D26" s="22"/>
      <c r="E26" s="110"/>
      <c r="F26" s="110"/>
      <c r="G26" s="110"/>
      <c r="H26" s="44" t="str">
        <f t="shared" si="0"/>
        <v/>
      </c>
      <c r="I26" s="111" t="str">
        <f t="shared" si="10"/>
        <v/>
      </c>
      <c r="J26" s="111" t="str">
        <f t="shared" si="2"/>
        <v/>
      </c>
      <c r="K26" s="111" t="str">
        <f t="shared" si="11"/>
        <v/>
      </c>
      <c r="L26" s="44" t="str">
        <f t="shared" si="12"/>
        <v/>
      </c>
      <c r="M26" s="111" t="str">
        <f t="shared" si="13"/>
        <v/>
      </c>
      <c r="N26" s="44" t="str">
        <f t="shared" si="14"/>
        <v/>
      </c>
      <c r="O26" s="44" t="str">
        <f t="shared" si="4"/>
        <v/>
      </c>
      <c r="P26" s="111" t="str">
        <f t="shared" si="15"/>
        <v/>
      </c>
      <c r="Q26" s="44" t="str">
        <f t="shared" si="16"/>
        <v/>
      </c>
      <c r="R26" s="157" t="str">
        <f t="shared" si="30"/>
        <v/>
      </c>
      <c r="S26" s="44" t="str">
        <f t="shared" si="17"/>
        <v/>
      </c>
      <c r="T26" s="140" t="str">
        <f t="shared" si="35"/>
        <v/>
      </c>
      <c r="U26" s="140" t="str">
        <f t="shared" si="19"/>
        <v/>
      </c>
      <c r="V26" s="24"/>
      <c r="W26" s="24"/>
      <c r="X26" s="24"/>
      <c r="Y26" s="24"/>
      <c r="Z26" s="24"/>
      <c r="AA26" s="24">
        <f t="shared" si="20"/>
        <v>0</v>
      </c>
      <c r="AB26" s="24"/>
      <c r="AC26" s="24" t="str">
        <f t="shared" si="27"/>
        <v/>
      </c>
      <c r="AD26" s="24" t="str">
        <f t="shared" si="21"/>
        <v/>
      </c>
      <c r="AE26" s="24">
        <f t="shared" si="22"/>
        <v>0</v>
      </c>
      <c r="AG26" s="24" t="e">
        <f t="shared" si="31"/>
        <v>#VALUE!</v>
      </c>
      <c r="AH26" s="24" t="e">
        <f t="shared" si="32"/>
        <v>#VALUE!</v>
      </c>
      <c r="AI26" s="24" t="e">
        <f t="shared" si="36"/>
        <v>#VALUE!</v>
      </c>
      <c r="AJ26" s="24" t="e">
        <f t="shared" si="37"/>
        <v>#VALUE!</v>
      </c>
      <c r="AL26" s="24"/>
      <c r="AM26" s="24" t="e">
        <f t="shared" si="33"/>
        <v>#VALUE!</v>
      </c>
      <c r="AN26" s="31"/>
      <c r="AO26" s="34">
        <f t="shared" si="5"/>
        <v>0</v>
      </c>
      <c r="AP26" s="24">
        <f t="shared" si="6"/>
        <v>0</v>
      </c>
      <c r="AQ26" s="24"/>
      <c r="AR26" s="112"/>
      <c r="AS26" s="112"/>
      <c r="AT26" s="59">
        <f t="shared" si="7"/>
        <v>9.0359999999999996</v>
      </c>
      <c r="AU26" s="59">
        <f t="shared" si="8"/>
        <v>-184.49199999999999</v>
      </c>
      <c r="AV26" s="59"/>
      <c r="AW26"/>
      <c r="AX26">
        <f>IF($E$4="M",IF(BA26&lt;78,BMILMS!$D$5*BA26^3+BMILMS!$E$5*BA26^2+BMILMS!$F$5*BA26+BMILMS!$G$5,IF(BA26&lt;150,BMILMS!$D$6*BA26^3+BMILMS!$E$6*BA26^2+BMILMS!$F$6*BA26+BMILMS!$G$6,BMILMS!$D$7*BA26^3+BMILMS!$E$7*BA26^2+BMILMS!$F$7*BA26+BMILMS!$G$7)),IF(BA26&lt;69,BMILMS!$D$9*BA26^3+BMILMS!$E$9*BA26^2+BMILMS!$F$9*BA26+BMILMS!$G$9,IF(BA26&lt;150,BMILMS!$D$10*BA26^3+BMILMS!$E$10*BA26^2+BMILMS!$F$10*BA26+BMILMS!$G$10,BMILMS!$D$11*BA26^3+BMILMS!$E$11*BA26^2+BMILMS!$F$11*BA26+BMILMS!$G$11)))</f>
        <v>0.79584630099999998</v>
      </c>
      <c r="AY26">
        <f>IF($E$4="M",(IF(BA26&lt;2.5,BMILMS!$D$21*BA26^3+BMILMS!$E$21*BA26^2+BMILMS!$F$21*BA26+BMILMS!$G$21,IF(BA26&lt;9.5,BMILMS!$D$22*BA26^3+BMILMS!$E$22*BA26^2+BMILMS!$F$22*BA26+BMILMS!$G$22,IF(BA26&lt;26.75,BMILMS!$D$23*BA26^3+BMILMS!$E$23*BA26^2+BMILMS!$F$23*BA26+BMILMS!$G$23,IF(BA26&lt;90,BMILMS!$D$24*BA26^3+BMILMS!$E$24*BA26^2+BMILMS!$F$24*BA26+BMILMS!$G$24,BMILMS!$D$25*BA26^3+BMILMS!$E$25*BA26^2+BMILMS!$F$25*BA26+BMILMS!$G$25))))),(IF(BA26&lt;2.5,BMILMS!$D$27*BA26^3+BMILMS!$E$27*BA26^2+BMILMS!$F$27*BA26+BMILMS!$G$27,IF(BA26&lt;9.5,BMILMS!$D$28*BA26^3+BMILMS!$E$28*BA26^2+BMILMS!$F$28*BA26+BMILMS!$G$28,IF(BA26&lt;26.75,BMILMS!$D$29*BA26^3+BMILMS!$E$29*BA26^2+BMILMS!$F$29*BA26+BMILMS!$G$29,IF(BA26&lt;90,BMILMS!$D$30*BA26^3+BMILMS!$E$30*BA26^2+BMILMS!$F$30*BA26+BMILMS!$G$30,IF(BA26&lt;150,BMILMS!$D$31*BA26^3+BMILMS!$E$31*BA26^2+BMILMS!$F$31*BA26+BMILMS!$G$31,BMILMS!$D$32*BA26^3+BMILMS!$E$32*BA26^2+BMILMS!$F$32*BA26+BMILMS!$G$32)))))))</f>
        <v>12.568967990000001</v>
      </c>
      <c r="AZ26">
        <f>IF($E$4="M",(IF(BA26&lt;90,BMILMS!$D$14*BA26^3+BMILMS!$E$14*BA26^2+BMILMS!$F$14*BA26+BMILMS!$G$14,BMILMS!$D$15*BA26^3+BMILMS!$E$15*BA26^2+BMILMS!$F$15*BA26+BMILMS!$G$15)),(IF(BA26&lt;90,BMILMS!$D$17*BA26^3+BMILMS!$E$17*BA26^2+BMILMS!$F$17*BA26+BMILMS!$G$17,BMILMS!$D$18*BA26^3+BMILMS!$E$18*BA26^2+BMILMS!$F$18*BA26+BMILMS!$G$18)))</f>
        <v>8.8969350000000003E-2</v>
      </c>
      <c r="BA26" s="24">
        <f t="shared" si="34"/>
        <v>0</v>
      </c>
      <c r="BB26" s="24">
        <f t="shared" si="9"/>
        <v>0</v>
      </c>
      <c r="BD26">
        <f t="shared" si="29"/>
        <v>0.56299999999999994</v>
      </c>
      <c r="BE26">
        <f t="shared" si="28"/>
        <v>69</v>
      </c>
      <c r="BF26">
        <f t="shared" si="26"/>
        <v>0.51</v>
      </c>
      <c r="BH26" s="35">
        <f>IF($E$4="M",WeightSDS!P$5*$BA26^7+WeightSDS!Q$5*$BA26^6+WeightSDS!R$5*$BA26^5+WeightSDS!S$5*$BA26^4+WeightSDS!T$5*$BA26^3+WeightSDS!U$5*$BA26^2+WeightSDS!V$5*$BA26+WeightSDS!W$5,IF($BA26&lt;186,WeightSDS!P$8*$BA26^7+WeightSDS!Q$8*$BA26^6+WeightSDS!R$8*$BA26^5+WeightSDS!S$8*$BA26^4+WeightSDS!T$8*$BA26^3+WeightSDS!U$8*$BA26^2+WeightSDS!V$8*$BA26+WeightSDS!W$8,WeightSDS!$U$9+WeightSDS!$V$9*($BA26-WeightSDS!$W$9)))</f>
        <v>0.75407122999999998</v>
      </c>
      <c r="BI26" s="24">
        <f>IF($E$4="M",IF($BA26&lt;45,WeightSDS!M$23*$BA26^10+WeightSDS!N$23*$BA26^9+WeightSDS!O$23*$BA26^8+WeightSDS!P$23*$BA26^7+WeightSDS!Q$23*$BA26^6+WeightSDS!R$23*$BA26^5+WeightSDS!S$23*$BA26^4+WeightSDS!T$23*$BA26^3+WeightSDS!U$23*$BA26^2+WeightSDS!V$23*$BA26+WeightSDS!W$23,IF($BA26&lt;153,WeightSDS!M$25*$BA26^10+WeightSDS!N$25*$BA26^9+WeightSDS!O$25*$BA26^8+WeightSDS!P$25*$BA26^7+WeightSDS!Q$25*$BA26^6+WeightSDS!R$25*$BA26^5+WeightSDS!S$25*$BA26^4+WeightSDS!T$25*$BA26^3+WeightSDS!U$25*$BA26^2+WeightSDS!V$25*$BA26+WeightSDS!W$25,WeightSDS!M$27+WeightSDS!N$27/(1+EXP(WeightSDS!O$27+WeightSDS!P$27*$BA26)))),IF($BA26&lt;43.8,WeightSDS!M$29*$BA26^10+WeightSDS!N$29*$BA26^9+WeightSDS!O$29*$BA26^8+WeightSDS!P$29*$BA26^7+WeightSDS!Q$29*$BA26^6+WeightSDS!R$29*$BA26^5+WeightSDS!S$29*$BA26^4+WeightSDS!T$29*$BA26^3+WeightSDS!U$29*$BA26^2+WeightSDS!V$29*$BA26+WeightSDS!W$29-0.010431*(1-$BA26/210),IF($BA26&lt;123,WeightSDS!M$30*$BA26^10+WeightSDS!N$30*$BA26^9+WeightSDS!O$30*$BA26^8+WeightSDS!P$30*$BA26^7+WeightSDS!Q$30*$BA26^6+WeightSDS!R$30*$BA26^5+WeightSDS!S$30*$BA26^4+WeightSDS!T$30*$BA26^3+WeightSDS!U$30*$BA26^2+WeightSDS!V$30*$BA26+WeightSDS!W$30-0.010431*(1-1/$BA26),WeightSDS!M$32+WeightSDS!N$32/(1+EXP(WeightSDS!O$32+WeightSDS!P$32*$BA26))-0.010431*(1-$BA26/210))))</f>
        <v>2.9500001032655536</v>
      </c>
      <c r="BJ26" s="24">
        <f>IF($E$4="M",IF($BA26&lt;162,WeightSDS!P$12*$BA26^7+WeightSDS!Q$12*$BA26^6+WeightSDS!R$12*$BA26^5+WeightSDS!S$12*$BA26^4+WeightSDS!T$12*$BA26^3+WeightSDS!U$12*$BA26^2+WeightSDS!V$12*$BA26+WeightSDS!W$12,WeightSDS!P$14*$BA26^7+WeightSDS!Q$14*$BA26^6+WeightSDS!R$14*$BA26^5+WeightSDS!S$14*$BA26^4+WeightSDS!T$14*$BA26^3+WeightSDS!U$14*$BA26^2+WeightSDS!V$14*$BA26+WeightSDS!W$14),IF($BA26&lt;156,WeightSDS!O$17*$BA26^8+WeightSDS!P$17*$BA26^7+WeightSDS!Q$17*$BA26^6+WeightSDS!R$17*$BA26^5+WeightSDS!S$17*$BA26^4+WeightSDS!T$17*$BA26^3+WeightSDS!U$17*$BA26^2+WeightSDS!V$17*$BA26+WeightSDS!W$17,IF($BA26&lt;186,WeightSDS!$U$18+(WeightSDS!$V$18-WeightSDS!$U$18)/24*($BA26-186)+WeightSDS!$W$18*(-$BA26+186)^2-0.005,WeightSDS!$U$18+(WeightSDS!$V$18-WeightSDS!$U$18)/24*($BA26-186)-0.005)))</f>
        <v>0.14604529399999999</v>
      </c>
    </row>
    <row r="27" spans="2:62" s="4" customFormat="1" x14ac:dyDescent="0.15">
      <c r="B27" s="40"/>
      <c r="C27" s="141"/>
      <c r="D27" s="22"/>
      <c r="E27" s="110"/>
      <c r="F27" s="110"/>
      <c r="G27" s="110"/>
      <c r="H27" s="44" t="str">
        <f t="shared" si="0"/>
        <v/>
      </c>
      <c r="I27" s="111" t="str">
        <f t="shared" si="10"/>
        <v/>
      </c>
      <c r="J27" s="111" t="str">
        <f t="shared" si="2"/>
        <v/>
      </c>
      <c r="K27" s="111" t="str">
        <f t="shared" si="11"/>
        <v/>
      </c>
      <c r="L27" s="44" t="str">
        <f t="shared" si="12"/>
        <v/>
      </c>
      <c r="M27" s="111" t="str">
        <f t="shared" si="13"/>
        <v/>
      </c>
      <c r="N27" s="44" t="str">
        <f t="shared" si="14"/>
        <v/>
      </c>
      <c r="O27" s="44" t="str">
        <f t="shared" si="4"/>
        <v/>
      </c>
      <c r="P27" s="111" t="str">
        <f t="shared" si="15"/>
        <v/>
      </c>
      <c r="Q27" s="44" t="str">
        <f t="shared" si="16"/>
        <v/>
      </c>
      <c r="R27" s="157" t="str">
        <f t="shared" si="30"/>
        <v/>
      </c>
      <c r="S27" s="44" t="str">
        <f t="shared" si="17"/>
        <v/>
      </c>
      <c r="T27" s="140" t="str">
        <f t="shared" si="35"/>
        <v/>
      </c>
      <c r="U27" s="140" t="str">
        <f t="shared" si="19"/>
        <v/>
      </c>
      <c r="V27" s="24"/>
      <c r="W27" s="24"/>
      <c r="X27" s="24"/>
      <c r="Y27" s="24"/>
      <c r="Z27" s="24"/>
      <c r="AA27" s="24">
        <f t="shared" si="20"/>
        <v>0</v>
      </c>
      <c r="AB27" s="24"/>
      <c r="AC27" s="24" t="str">
        <f t="shared" si="27"/>
        <v/>
      </c>
      <c r="AD27" s="24" t="str">
        <f t="shared" si="21"/>
        <v/>
      </c>
      <c r="AE27" s="24">
        <f t="shared" si="22"/>
        <v>0</v>
      </c>
      <c r="AG27" s="24" t="e">
        <f t="shared" si="31"/>
        <v>#VALUE!</v>
      </c>
      <c r="AH27" s="24" t="e">
        <f t="shared" si="32"/>
        <v>#VALUE!</v>
      </c>
      <c r="AI27" s="24" t="e">
        <f t="shared" si="36"/>
        <v>#VALUE!</v>
      </c>
      <c r="AJ27" s="24" t="e">
        <f t="shared" si="37"/>
        <v>#VALUE!</v>
      </c>
      <c r="AL27" s="24"/>
      <c r="AM27" s="24" t="e">
        <f t="shared" si="33"/>
        <v>#VALUE!</v>
      </c>
      <c r="AN27" s="31"/>
      <c r="AO27" s="34">
        <f t="shared" si="5"/>
        <v>0</v>
      </c>
      <c r="AP27" s="24">
        <f t="shared" si="6"/>
        <v>0</v>
      </c>
      <c r="AQ27" s="24"/>
      <c r="AR27" s="112"/>
      <c r="AS27" s="112"/>
      <c r="AT27" s="59">
        <f t="shared" si="7"/>
        <v>9.0359999999999996</v>
      </c>
      <c r="AU27" s="59">
        <f t="shared" si="8"/>
        <v>-184.49199999999999</v>
      </c>
      <c r="AV27" s="59"/>
      <c r="AW27"/>
      <c r="AX27">
        <f>IF($E$4="M",IF(BA27&lt;78,BMILMS!$D$5*BA27^3+BMILMS!$E$5*BA27^2+BMILMS!$F$5*BA27+BMILMS!$G$5,IF(BA27&lt;150,BMILMS!$D$6*BA27^3+BMILMS!$E$6*BA27^2+BMILMS!$F$6*BA27+BMILMS!$G$6,BMILMS!$D$7*BA27^3+BMILMS!$E$7*BA27^2+BMILMS!$F$7*BA27+BMILMS!$G$7)),IF(BA27&lt;69,BMILMS!$D$9*BA27^3+BMILMS!$E$9*BA27^2+BMILMS!$F$9*BA27+BMILMS!$G$9,IF(BA27&lt;150,BMILMS!$D$10*BA27^3+BMILMS!$E$10*BA27^2+BMILMS!$F$10*BA27+BMILMS!$G$10,BMILMS!$D$11*BA27^3+BMILMS!$E$11*BA27^2+BMILMS!$F$11*BA27+BMILMS!$G$11)))</f>
        <v>0.79584630099999998</v>
      </c>
      <c r="AY27">
        <f>IF($E$4="M",(IF(BA27&lt;2.5,BMILMS!$D$21*BA27^3+BMILMS!$E$21*BA27^2+BMILMS!$F$21*BA27+BMILMS!$G$21,IF(BA27&lt;9.5,BMILMS!$D$22*BA27^3+BMILMS!$E$22*BA27^2+BMILMS!$F$22*BA27+BMILMS!$G$22,IF(BA27&lt;26.75,BMILMS!$D$23*BA27^3+BMILMS!$E$23*BA27^2+BMILMS!$F$23*BA27+BMILMS!$G$23,IF(BA27&lt;90,BMILMS!$D$24*BA27^3+BMILMS!$E$24*BA27^2+BMILMS!$F$24*BA27+BMILMS!$G$24,BMILMS!$D$25*BA27^3+BMILMS!$E$25*BA27^2+BMILMS!$F$25*BA27+BMILMS!$G$25))))),(IF(BA27&lt;2.5,BMILMS!$D$27*BA27^3+BMILMS!$E$27*BA27^2+BMILMS!$F$27*BA27+BMILMS!$G$27,IF(BA27&lt;9.5,BMILMS!$D$28*BA27^3+BMILMS!$E$28*BA27^2+BMILMS!$F$28*BA27+BMILMS!$G$28,IF(BA27&lt;26.75,BMILMS!$D$29*BA27^3+BMILMS!$E$29*BA27^2+BMILMS!$F$29*BA27+BMILMS!$G$29,IF(BA27&lt;90,BMILMS!$D$30*BA27^3+BMILMS!$E$30*BA27^2+BMILMS!$F$30*BA27+BMILMS!$G$30,IF(BA27&lt;150,BMILMS!$D$31*BA27^3+BMILMS!$E$31*BA27^2+BMILMS!$F$31*BA27+BMILMS!$G$31,BMILMS!$D$32*BA27^3+BMILMS!$E$32*BA27^2+BMILMS!$F$32*BA27+BMILMS!$G$32)))))))</f>
        <v>12.568967990000001</v>
      </c>
      <c r="AZ27">
        <f>IF($E$4="M",(IF(BA27&lt;90,BMILMS!$D$14*BA27^3+BMILMS!$E$14*BA27^2+BMILMS!$F$14*BA27+BMILMS!$G$14,BMILMS!$D$15*BA27^3+BMILMS!$E$15*BA27^2+BMILMS!$F$15*BA27+BMILMS!$G$15)),(IF(BA27&lt;90,BMILMS!$D$17*BA27^3+BMILMS!$E$17*BA27^2+BMILMS!$F$17*BA27+BMILMS!$G$17,BMILMS!$D$18*BA27^3+BMILMS!$E$18*BA27^2+BMILMS!$F$18*BA27+BMILMS!$G$18)))</f>
        <v>8.8969350000000003E-2</v>
      </c>
      <c r="BA27" s="24">
        <f t="shared" si="34"/>
        <v>0</v>
      </c>
      <c r="BB27" s="24">
        <f t="shared" si="9"/>
        <v>0</v>
      </c>
      <c r="BD27">
        <f t="shared" si="29"/>
        <v>0.56299999999999994</v>
      </c>
      <c r="BE27">
        <f t="shared" si="28"/>
        <v>69</v>
      </c>
      <c r="BF27">
        <f t="shared" si="26"/>
        <v>0.51</v>
      </c>
      <c r="BH27" s="35">
        <f>IF($E$4="M",WeightSDS!P$5*$BA27^7+WeightSDS!Q$5*$BA27^6+WeightSDS!R$5*$BA27^5+WeightSDS!S$5*$BA27^4+WeightSDS!T$5*$BA27^3+WeightSDS!U$5*$BA27^2+WeightSDS!V$5*$BA27+WeightSDS!W$5,IF($BA27&lt;186,WeightSDS!P$8*$BA27^7+WeightSDS!Q$8*$BA27^6+WeightSDS!R$8*$BA27^5+WeightSDS!S$8*$BA27^4+WeightSDS!T$8*$BA27^3+WeightSDS!U$8*$BA27^2+WeightSDS!V$8*$BA27+WeightSDS!W$8,WeightSDS!$U$9+WeightSDS!$V$9*($BA27-WeightSDS!$W$9)))</f>
        <v>0.75407122999999998</v>
      </c>
      <c r="BI27" s="24">
        <f>IF($E$4="M",IF($BA27&lt;45,WeightSDS!M$23*$BA27^10+WeightSDS!N$23*$BA27^9+WeightSDS!O$23*$BA27^8+WeightSDS!P$23*$BA27^7+WeightSDS!Q$23*$BA27^6+WeightSDS!R$23*$BA27^5+WeightSDS!S$23*$BA27^4+WeightSDS!T$23*$BA27^3+WeightSDS!U$23*$BA27^2+WeightSDS!V$23*$BA27+WeightSDS!W$23,IF($BA27&lt;153,WeightSDS!M$25*$BA27^10+WeightSDS!N$25*$BA27^9+WeightSDS!O$25*$BA27^8+WeightSDS!P$25*$BA27^7+WeightSDS!Q$25*$BA27^6+WeightSDS!R$25*$BA27^5+WeightSDS!S$25*$BA27^4+WeightSDS!T$25*$BA27^3+WeightSDS!U$25*$BA27^2+WeightSDS!V$25*$BA27+WeightSDS!W$25,WeightSDS!M$27+WeightSDS!N$27/(1+EXP(WeightSDS!O$27+WeightSDS!P$27*$BA27)))),IF($BA27&lt;43.8,WeightSDS!M$29*$BA27^10+WeightSDS!N$29*$BA27^9+WeightSDS!O$29*$BA27^8+WeightSDS!P$29*$BA27^7+WeightSDS!Q$29*$BA27^6+WeightSDS!R$29*$BA27^5+WeightSDS!S$29*$BA27^4+WeightSDS!T$29*$BA27^3+WeightSDS!U$29*$BA27^2+WeightSDS!V$29*$BA27+WeightSDS!W$29-0.010431*(1-$BA27/210),IF($BA27&lt;123,WeightSDS!M$30*$BA27^10+WeightSDS!N$30*$BA27^9+WeightSDS!O$30*$BA27^8+WeightSDS!P$30*$BA27^7+WeightSDS!Q$30*$BA27^6+WeightSDS!R$30*$BA27^5+WeightSDS!S$30*$BA27^4+WeightSDS!T$30*$BA27^3+WeightSDS!U$30*$BA27^2+WeightSDS!V$30*$BA27+WeightSDS!W$30-0.010431*(1-1/$BA27),WeightSDS!M$32+WeightSDS!N$32/(1+EXP(WeightSDS!O$32+WeightSDS!P$32*$BA27))-0.010431*(1-$BA27/210))))</f>
        <v>2.9500001032655536</v>
      </c>
      <c r="BJ27" s="24">
        <f>IF($E$4="M",IF($BA27&lt;162,WeightSDS!P$12*$BA27^7+WeightSDS!Q$12*$BA27^6+WeightSDS!R$12*$BA27^5+WeightSDS!S$12*$BA27^4+WeightSDS!T$12*$BA27^3+WeightSDS!U$12*$BA27^2+WeightSDS!V$12*$BA27+WeightSDS!W$12,WeightSDS!P$14*$BA27^7+WeightSDS!Q$14*$BA27^6+WeightSDS!R$14*$BA27^5+WeightSDS!S$14*$BA27^4+WeightSDS!T$14*$BA27^3+WeightSDS!U$14*$BA27^2+WeightSDS!V$14*$BA27+WeightSDS!W$14),IF($BA27&lt;156,WeightSDS!O$17*$BA27^8+WeightSDS!P$17*$BA27^7+WeightSDS!Q$17*$BA27^6+WeightSDS!R$17*$BA27^5+WeightSDS!S$17*$BA27^4+WeightSDS!T$17*$BA27^3+WeightSDS!U$17*$BA27^2+WeightSDS!V$17*$BA27+WeightSDS!W$17,IF($BA27&lt;186,WeightSDS!$U$18+(WeightSDS!$V$18-WeightSDS!$U$18)/24*($BA27-186)+WeightSDS!$W$18*(-$BA27+186)^2-0.005,WeightSDS!$U$18+(WeightSDS!$V$18-WeightSDS!$U$18)/24*($BA27-186)-0.005)))</f>
        <v>0.14604529399999999</v>
      </c>
    </row>
    <row r="28" spans="2:62" s="4" customFormat="1" x14ac:dyDescent="0.15">
      <c r="B28" s="40"/>
      <c r="C28" s="141"/>
      <c r="D28" s="22"/>
      <c r="E28" s="110"/>
      <c r="F28" s="110"/>
      <c r="G28" s="110"/>
      <c r="H28" s="44" t="str">
        <f t="shared" si="0"/>
        <v/>
      </c>
      <c r="I28" s="111" t="str">
        <f t="shared" si="10"/>
        <v/>
      </c>
      <c r="J28" s="111" t="str">
        <f t="shared" si="2"/>
        <v/>
      </c>
      <c r="K28" s="111" t="str">
        <f t="shared" si="11"/>
        <v/>
      </c>
      <c r="L28" s="44" t="str">
        <f t="shared" si="12"/>
        <v/>
      </c>
      <c r="M28" s="111" t="str">
        <f t="shared" si="13"/>
        <v/>
      </c>
      <c r="N28" s="44" t="str">
        <f t="shared" si="14"/>
        <v/>
      </c>
      <c r="O28" s="44" t="str">
        <f t="shared" si="4"/>
        <v/>
      </c>
      <c r="P28" s="111" t="str">
        <f t="shared" si="15"/>
        <v/>
      </c>
      <c r="Q28" s="44" t="str">
        <f t="shared" si="16"/>
        <v/>
      </c>
      <c r="R28" s="157" t="str">
        <f t="shared" si="30"/>
        <v/>
      </c>
      <c r="S28" s="44" t="str">
        <f t="shared" si="17"/>
        <v/>
      </c>
      <c r="T28" s="140" t="str">
        <f t="shared" si="35"/>
        <v/>
      </c>
      <c r="U28" s="140" t="str">
        <f t="shared" si="19"/>
        <v/>
      </c>
      <c r="V28" s="24"/>
      <c r="W28" s="24"/>
      <c r="X28" s="24"/>
      <c r="Y28" s="24"/>
      <c r="Z28" s="24"/>
      <c r="AA28" s="24">
        <f t="shared" si="20"/>
        <v>0</v>
      </c>
      <c r="AB28" s="24"/>
      <c r="AC28" s="24" t="str">
        <f t="shared" si="27"/>
        <v/>
      </c>
      <c r="AD28" s="24" t="str">
        <f t="shared" si="21"/>
        <v/>
      </c>
      <c r="AE28" s="24">
        <f t="shared" si="22"/>
        <v>0</v>
      </c>
      <c r="AG28" s="24" t="e">
        <f t="shared" si="31"/>
        <v>#VALUE!</v>
      </c>
      <c r="AH28" s="24" t="e">
        <f t="shared" si="32"/>
        <v>#VALUE!</v>
      </c>
      <c r="AI28" s="24" t="e">
        <f t="shared" si="36"/>
        <v>#VALUE!</v>
      </c>
      <c r="AJ28" s="24" t="e">
        <f t="shared" si="37"/>
        <v>#VALUE!</v>
      </c>
      <c r="AL28" s="24"/>
      <c r="AM28" s="24" t="e">
        <f t="shared" si="33"/>
        <v>#VALUE!</v>
      </c>
      <c r="AN28" s="31"/>
      <c r="AO28" s="34">
        <f t="shared" si="5"/>
        <v>0</v>
      </c>
      <c r="AP28" s="24">
        <f t="shared" si="6"/>
        <v>0</v>
      </c>
      <c r="AQ28" s="24"/>
      <c r="AR28" s="112"/>
      <c r="AS28" s="112"/>
      <c r="AT28" s="59">
        <f t="shared" si="7"/>
        <v>9.0359999999999996</v>
      </c>
      <c r="AU28" s="59">
        <f t="shared" si="8"/>
        <v>-184.49199999999999</v>
      </c>
      <c r="AV28" s="59"/>
      <c r="AW28"/>
      <c r="AX28">
        <f>IF($E$4="M",IF(BA28&lt;78,BMILMS!$D$5*BA28^3+BMILMS!$E$5*BA28^2+BMILMS!$F$5*BA28+BMILMS!$G$5,IF(BA28&lt;150,BMILMS!$D$6*BA28^3+BMILMS!$E$6*BA28^2+BMILMS!$F$6*BA28+BMILMS!$G$6,BMILMS!$D$7*BA28^3+BMILMS!$E$7*BA28^2+BMILMS!$F$7*BA28+BMILMS!$G$7)),IF(BA28&lt;69,BMILMS!$D$9*BA28^3+BMILMS!$E$9*BA28^2+BMILMS!$F$9*BA28+BMILMS!$G$9,IF(BA28&lt;150,BMILMS!$D$10*BA28^3+BMILMS!$E$10*BA28^2+BMILMS!$F$10*BA28+BMILMS!$G$10,BMILMS!$D$11*BA28^3+BMILMS!$E$11*BA28^2+BMILMS!$F$11*BA28+BMILMS!$G$11)))</f>
        <v>0.79584630099999998</v>
      </c>
      <c r="AY28">
        <f>IF($E$4="M",(IF(BA28&lt;2.5,BMILMS!$D$21*BA28^3+BMILMS!$E$21*BA28^2+BMILMS!$F$21*BA28+BMILMS!$G$21,IF(BA28&lt;9.5,BMILMS!$D$22*BA28^3+BMILMS!$E$22*BA28^2+BMILMS!$F$22*BA28+BMILMS!$G$22,IF(BA28&lt;26.75,BMILMS!$D$23*BA28^3+BMILMS!$E$23*BA28^2+BMILMS!$F$23*BA28+BMILMS!$G$23,IF(BA28&lt;90,BMILMS!$D$24*BA28^3+BMILMS!$E$24*BA28^2+BMILMS!$F$24*BA28+BMILMS!$G$24,BMILMS!$D$25*BA28^3+BMILMS!$E$25*BA28^2+BMILMS!$F$25*BA28+BMILMS!$G$25))))),(IF(BA28&lt;2.5,BMILMS!$D$27*BA28^3+BMILMS!$E$27*BA28^2+BMILMS!$F$27*BA28+BMILMS!$G$27,IF(BA28&lt;9.5,BMILMS!$D$28*BA28^3+BMILMS!$E$28*BA28^2+BMILMS!$F$28*BA28+BMILMS!$G$28,IF(BA28&lt;26.75,BMILMS!$D$29*BA28^3+BMILMS!$E$29*BA28^2+BMILMS!$F$29*BA28+BMILMS!$G$29,IF(BA28&lt;90,BMILMS!$D$30*BA28^3+BMILMS!$E$30*BA28^2+BMILMS!$F$30*BA28+BMILMS!$G$30,IF(BA28&lt;150,BMILMS!$D$31*BA28^3+BMILMS!$E$31*BA28^2+BMILMS!$F$31*BA28+BMILMS!$G$31,BMILMS!$D$32*BA28^3+BMILMS!$E$32*BA28^2+BMILMS!$F$32*BA28+BMILMS!$G$32)))))))</f>
        <v>12.568967990000001</v>
      </c>
      <c r="AZ28">
        <f>IF($E$4="M",(IF(BA28&lt;90,BMILMS!$D$14*BA28^3+BMILMS!$E$14*BA28^2+BMILMS!$F$14*BA28+BMILMS!$G$14,BMILMS!$D$15*BA28^3+BMILMS!$E$15*BA28^2+BMILMS!$F$15*BA28+BMILMS!$G$15)),(IF(BA28&lt;90,BMILMS!$D$17*BA28^3+BMILMS!$E$17*BA28^2+BMILMS!$F$17*BA28+BMILMS!$G$17,BMILMS!$D$18*BA28^3+BMILMS!$E$18*BA28^2+BMILMS!$F$18*BA28+BMILMS!$G$18)))</f>
        <v>8.8969350000000003E-2</v>
      </c>
      <c r="BA28" s="24">
        <f t="shared" si="34"/>
        <v>0</v>
      </c>
      <c r="BB28" s="24">
        <f t="shared" si="9"/>
        <v>0</v>
      </c>
      <c r="BD28">
        <f t="shared" si="29"/>
        <v>0.56299999999999994</v>
      </c>
      <c r="BE28">
        <f t="shared" si="28"/>
        <v>69</v>
      </c>
      <c r="BF28">
        <f t="shared" si="26"/>
        <v>0.51</v>
      </c>
      <c r="BH28" s="35">
        <f>IF($E$4="M",WeightSDS!P$5*$BA28^7+WeightSDS!Q$5*$BA28^6+WeightSDS!R$5*$BA28^5+WeightSDS!S$5*$BA28^4+WeightSDS!T$5*$BA28^3+WeightSDS!U$5*$BA28^2+WeightSDS!V$5*$BA28+WeightSDS!W$5,IF($BA28&lt;186,WeightSDS!P$8*$BA28^7+WeightSDS!Q$8*$BA28^6+WeightSDS!R$8*$BA28^5+WeightSDS!S$8*$BA28^4+WeightSDS!T$8*$BA28^3+WeightSDS!U$8*$BA28^2+WeightSDS!V$8*$BA28+WeightSDS!W$8,WeightSDS!$U$9+WeightSDS!$V$9*($BA28-WeightSDS!$W$9)))</f>
        <v>0.75407122999999998</v>
      </c>
      <c r="BI28" s="24">
        <f>IF($E$4="M",IF($BA28&lt;45,WeightSDS!M$23*$BA28^10+WeightSDS!N$23*$BA28^9+WeightSDS!O$23*$BA28^8+WeightSDS!P$23*$BA28^7+WeightSDS!Q$23*$BA28^6+WeightSDS!R$23*$BA28^5+WeightSDS!S$23*$BA28^4+WeightSDS!T$23*$BA28^3+WeightSDS!U$23*$BA28^2+WeightSDS!V$23*$BA28+WeightSDS!W$23,IF($BA28&lt;153,WeightSDS!M$25*$BA28^10+WeightSDS!N$25*$BA28^9+WeightSDS!O$25*$BA28^8+WeightSDS!P$25*$BA28^7+WeightSDS!Q$25*$BA28^6+WeightSDS!R$25*$BA28^5+WeightSDS!S$25*$BA28^4+WeightSDS!T$25*$BA28^3+WeightSDS!U$25*$BA28^2+WeightSDS!V$25*$BA28+WeightSDS!W$25,WeightSDS!M$27+WeightSDS!N$27/(1+EXP(WeightSDS!O$27+WeightSDS!P$27*$BA28)))),IF($BA28&lt;43.8,WeightSDS!M$29*$BA28^10+WeightSDS!N$29*$BA28^9+WeightSDS!O$29*$BA28^8+WeightSDS!P$29*$BA28^7+WeightSDS!Q$29*$BA28^6+WeightSDS!R$29*$BA28^5+WeightSDS!S$29*$BA28^4+WeightSDS!T$29*$BA28^3+WeightSDS!U$29*$BA28^2+WeightSDS!V$29*$BA28+WeightSDS!W$29-0.010431*(1-$BA28/210),IF($BA28&lt;123,WeightSDS!M$30*$BA28^10+WeightSDS!N$30*$BA28^9+WeightSDS!O$30*$BA28^8+WeightSDS!P$30*$BA28^7+WeightSDS!Q$30*$BA28^6+WeightSDS!R$30*$BA28^5+WeightSDS!S$30*$BA28^4+WeightSDS!T$30*$BA28^3+WeightSDS!U$30*$BA28^2+WeightSDS!V$30*$BA28+WeightSDS!W$30-0.010431*(1-1/$BA28),WeightSDS!M$32+WeightSDS!N$32/(1+EXP(WeightSDS!O$32+WeightSDS!P$32*$BA28))-0.010431*(1-$BA28/210))))</f>
        <v>2.9500001032655536</v>
      </c>
      <c r="BJ28" s="24">
        <f>IF($E$4="M",IF($BA28&lt;162,WeightSDS!P$12*$BA28^7+WeightSDS!Q$12*$BA28^6+WeightSDS!R$12*$BA28^5+WeightSDS!S$12*$BA28^4+WeightSDS!T$12*$BA28^3+WeightSDS!U$12*$BA28^2+WeightSDS!V$12*$BA28+WeightSDS!W$12,WeightSDS!P$14*$BA28^7+WeightSDS!Q$14*$BA28^6+WeightSDS!R$14*$BA28^5+WeightSDS!S$14*$BA28^4+WeightSDS!T$14*$BA28^3+WeightSDS!U$14*$BA28^2+WeightSDS!V$14*$BA28+WeightSDS!W$14),IF($BA28&lt;156,WeightSDS!O$17*$BA28^8+WeightSDS!P$17*$BA28^7+WeightSDS!Q$17*$BA28^6+WeightSDS!R$17*$BA28^5+WeightSDS!S$17*$BA28^4+WeightSDS!T$17*$BA28^3+WeightSDS!U$17*$BA28^2+WeightSDS!V$17*$BA28+WeightSDS!W$17,IF($BA28&lt;186,WeightSDS!$U$18+(WeightSDS!$V$18-WeightSDS!$U$18)/24*($BA28-186)+WeightSDS!$W$18*(-$BA28+186)^2-0.005,WeightSDS!$U$18+(WeightSDS!$V$18-WeightSDS!$U$18)/24*($BA28-186)-0.005)))</f>
        <v>0.14604529399999999</v>
      </c>
    </row>
    <row r="29" spans="2:62" s="4" customFormat="1" x14ac:dyDescent="0.15">
      <c r="B29" s="40"/>
      <c r="C29" s="141"/>
      <c r="D29" s="22"/>
      <c r="E29" s="110"/>
      <c r="F29" s="110"/>
      <c r="G29" s="110"/>
      <c r="H29" s="44" t="str">
        <f t="shared" si="0"/>
        <v/>
      </c>
      <c r="I29" s="111" t="str">
        <f t="shared" si="10"/>
        <v/>
      </c>
      <c r="J29" s="111" t="str">
        <f t="shared" si="2"/>
        <v/>
      </c>
      <c r="K29" s="111" t="str">
        <f t="shared" si="11"/>
        <v/>
      </c>
      <c r="L29" s="44" t="str">
        <f t="shared" si="12"/>
        <v/>
      </c>
      <c r="M29" s="111" t="str">
        <f t="shared" si="13"/>
        <v/>
      </c>
      <c r="N29" s="44" t="str">
        <f t="shared" si="14"/>
        <v/>
      </c>
      <c r="O29" s="44" t="str">
        <f t="shared" si="4"/>
        <v/>
      </c>
      <c r="P29" s="111" t="str">
        <f t="shared" si="15"/>
        <v/>
      </c>
      <c r="Q29" s="44" t="str">
        <f t="shared" si="16"/>
        <v/>
      </c>
      <c r="R29" s="157" t="str">
        <f t="shared" si="30"/>
        <v/>
      </c>
      <c r="S29" s="44" t="str">
        <f t="shared" si="17"/>
        <v/>
      </c>
      <c r="T29" s="140" t="str">
        <f t="shared" si="35"/>
        <v/>
      </c>
      <c r="U29" s="140" t="str">
        <f t="shared" si="19"/>
        <v/>
      </c>
      <c r="V29" s="24"/>
      <c r="W29" s="24"/>
      <c r="X29" s="24"/>
      <c r="Y29" s="24"/>
      <c r="Z29" s="24"/>
      <c r="AA29" s="24">
        <f t="shared" si="20"/>
        <v>0</v>
      </c>
      <c r="AB29" s="24"/>
      <c r="AC29" s="24" t="str">
        <f t="shared" si="27"/>
        <v/>
      </c>
      <c r="AD29" s="24" t="str">
        <f t="shared" si="21"/>
        <v/>
      </c>
      <c r="AE29" s="24">
        <f t="shared" si="22"/>
        <v>0</v>
      </c>
      <c r="AG29" s="24" t="e">
        <f t="shared" si="31"/>
        <v>#VALUE!</v>
      </c>
      <c r="AH29" s="24" t="e">
        <f t="shared" si="32"/>
        <v>#VALUE!</v>
      </c>
      <c r="AI29" s="24" t="e">
        <f t="shared" si="36"/>
        <v>#VALUE!</v>
      </c>
      <c r="AJ29" s="24" t="e">
        <f t="shared" si="37"/>
        <v>#VALUE!</v>
      </c>
      <c r="AL29" s="24"/>
      <c r="AM29" s="24" t="e">
        <f t="shared" si="33"/>
        <v>#VALUE!</v>
      </c>
      <c r="AN29" s="31"/>
      <c r="AO29" s="34">
        <f t="shared" si="5"/>
        <v>0</v>
      </c>
      <c r="AP29" s="24">
        <f t="shared" si="6"/>
        <v>0</v>
      </c>
      <c r="AQ29" s="24"/>
      <c r="AR29" s="112"/>
      <c r="AS29" s="112"/>
      <c r="AT29" s="59">
        <f t="shared" si="7"/>
        <v>9.0359999999999996</v>
      </c>
      <c r="AU29" s="59">
        <f t="shared" si="8"/>
        <v>-184.49199999999999</v>
      </c>
      <c r="AV29" s="59"/>
      <c r="AW29"/>
      <c r="AX29">
        <f>IF($E$4="M",IF(BA29&lt;78,BMILMS!$D$5*BA29^3+BMILMS!$E$5*BA29^2+BMILMS!$F$5*BA29+BMILMS!$G$5,IF(BA29&lt;150,BMILMS!$D$6*BA29^3+BMILMS!$E$6*BA29^2+BMILMS!$F$6*BA29+BMILMS!$G$6,BMILMS!$D$7*BA29^3+BMILMS!$E$7*BA29^2+BMILMS!$F$7*BA29+BMILMS!$G$7)),IF(BA29&lt;69,BMILMS!$D$9*BA29^3+BMILMS!$E$9*BA29^2+BMILMS!$F$9*BA29+BMILMS!$G$9,IF(BA29&lt;150,BMILMS!$D$10*BA29^3+BMILMS!$E$10*BA29^2+BMILMS!$F$10*BA29+BMILMS!$G$10,BMILMS!$D$11*BA29^3+BMILMS!$E$11*BA29^2+BMILMS!$F$11*BA29+BMILMS!$G$11)))</f>
        <v>0.79584630099999998</v>
      </c>
      <c r="AY29">
        <f>IF($E$4="M",(IF(BA29&lt;2.5,BMILMS!$D$21*BA29^3+BMILMS!$E$21*BA29^2+BMILMS!$F$21*BA29+BMILMS!$G$21,IF(BA29&lt;9.5,BMILMS!$D$22*BA29^3+BMILMS!$E$22*BA29^2+BMILMS!$F$22*BA29+BMILMS!$G$22,IF(BA29&lt;26.75,BMILMS!$D$23*BA29^3+BMILMS!$E$23*BA29^2+BMILMS!$F$23*BA29+BMILMS!$G$23,IF(BA29&lt;90,BMILMS!$D$24*BA29^3+BMILMS!$E$24*BA29^2+BMILMS!$F$24*BA29+BMILMS!$G$24,BMILMS!$D$25*BA29^3+BMILMS!$E$25*BA29^2+BMILMS!$F$25*BA29+BMILMS!$G$25))))),(IF(BA29&lt;2.5,BMILMS!$D$27*BA29^3+BMILMS!$E$27*BA29^2+BMILMS!$F$27*BA29+BMILMS!$G$27,IF(BA29&lt;9.5,BMILMS!$D$28*BA29^3+BMILMS!$E$28*BA29^2+BMILMS!$F$28*BA29+BMILMS!$G$28,IF(BA29&lt;26.75,BMILMS!$D$29*BA29^3+BMILMS!$E$29*BA29^2+BMILMS!$F$29*BA29+BMILMS!$G$29,IF(BA29&lt;90,BMILMS!$D$30*BA29^3+BMILMS!$E$30*BA29^2+BMILMS!$F$30*BA29+BMILMS!$G$30,IF(BA29&lt;150,BMILMS!$D$31*BA29^3+BMILMS!$E$31*BA29^2+BMILMS!$F$31*BA29+BMILMS!$G$31,BMILMS!$D$32*BA29^3+BMILMS!$E$32*BA29^2+BMILMS!$F$32*BA29+BMILMS!$G$32)))))))</f>
        <v>12.568967990000001</v>
      </c>
      <c r="AZ29">
        <f>IF($E$4="M",(IF(BA29&lt;90,BMILMS!$D$14*BA29^3+BMILMS!$E$14*BA29^2+BMILMS!$F$14*BA29+BMILMS!$G$14,BMILMS!$D$15*BA29^3+BMILMS!$E$15*BA29^2+BMILMS!$F$15*BA29+BMILMS!$G$15)),(IF(BA29&lt;90,BMILMS!$D$17*BA29^3+BMILMS!$E$17*BA29^2+BMILMS!$F$17*BA29+BMILMS!$G$17,BMILMS!$D$18*BA29^3+BMILMS!$E$18*BA29^2+BMILMS!$F$18*BA29+BMILMS!$G$18)))</f>
        <v>8.8969350000000003E-2</v>
      </c>
      <c r="BA29" s="24">
        <f t="shared" si="34"/>
        <v>0</v>
      </c>
      <c r="BB29" s="24">
        <f t="shared" si="9"/>
        <v>0</v>
      </c>
      <c r="BD29">
        <f t="shared" si="29"/>
        <v>0.56299999999999994</v>
      </c>
      <c r="BE29">
        <f t="shared" si="28"/>
        <v>69</v>
      </c>
      <c r="BF29">
        <f t="shared" si="26"/>
        <v>0.51</v>
      </c>
      <c r="BH29" s="35">
        <f>IF($E$4="M",WeightSDS!P$5*$BA29^7+WeightSDS!Q$5*$BA29^6+WeightSDS!R$5*$BA29^5+WeightSDS!S$5*$BA29^4+WeightSDS!T$5*$BA29^3+WeightSDS!U$5*$BA29^2+WeightSDS!V$5*$BA29+WeightSDS!W$5,IF($BA29&lt;186,WeightSDS!P$8*$BA29^7+WeightSDS!Q$8*$BA29^6+WeightSDS!R$8*$BA29^5+WeightSDS!S$8*$BA29^4+WeightSDS!T$8*$BA29^3+WeightSDS!U$8*$BA29^2+WeightSDS!V$8*$BA29+WeightSDS!W$8,WeightSDS!$U$9+WeightSDS!$V$9*($BA29-WeightSDS!$W$9)))</f>
        <v>0.75407122999999998</v>
      </c>
      <c r="BI29" s="24">
        <f>IF($E$4="M",IF($BA29&lt;45,WeightSDS!M$23*$BA29^10+WeightSDS!N$23*$BA29^9+WeightSDS!O$23*$BA29^8+WeightSDS!P$23*$BA29^7+WeightSDS!Q$23*$BA29^6+WeightSDS!R$23*$BA29^5+WeightSDS!S$23*$BA29^4+WeightSDS!T$23*$BA29^3+WeightSDS!U$23*$BA29^2+WeightSDS!V$23*$BA29+WeightSDS!W$23,IF($BA29&lt;153,WeightSDS!M$25*$BA29^10+WeightSDS!N$25*$BA29^9+WeightSDS!O$25*$BA29^8+WeightSDS!P$25*$BA29^7+WeightSDS!Q$25*$BA29^6+WeightSDS!R$25*$BA29^5+WeightSDS!S$25*$BA29^4+WeightSDS!T$25*$BA29^3+WeightSDS!U$25*$BA29^2+WeightSDS!V$25*$BA29+WeightSDS!W$25,WeightSDS!M$27+WeightSDS!N$27/(1+EXP(WeightSDS!O$27+WeightSDS!P$27*$BA29)))),IF($BA29&lt;43.8,WeightSDS!M$29*$BA29^10+WeightSDS!N$29*$BA29^9+WeightSDS!O$29*$BA29^8+WeightSDS!P$29*$BA29^7+WeightSDS!Q$29*$BA29^6+WeightSDS!R$29*$BA29^5+WeightSDS!S$29*$BA29^4+WeightSDS!T$29*$BA29^3+WeightSDS!U$29*$BA29^2+WeightSDS!V$29*$BA29+WeightSDS!W$29-0.010431*(1-$BA29/210),IF($BA29&lt;123,WeightSDS!M$30*$BA29^10+WeightSDS!N$30*$BA29^9+WeightSDS!O$30*$BA29^8+WeightSDS!P$30*$BA29^7+WeightSDS!Q$30*$BA29^6+WeightSDS!R$30*$BA29^5+WeightSDS!S$30*$BA29^4+WeightSDS!T$30*$BA29^3+WeightSDS!U$30*$BA29^2+WeightSDS!V$30*$BA29+WeightSDS!W$30-0.010431*(1-1/$BA29),WeightSDS!M$32+WeightSDS!N$32/(1+EXP(WeightSDS!O$32+WeightSDS!P$32*$BA29))-0.010431*(1-$BA29/210))))</f>
        <v>2.9500001032655536</v>
      </c>
      <c r="BJ29" s="24">
        <f>IF($E$4="M",IF($BA29&lt;162,WeightSDS!P$12*$BA29^7+WeightSDS!Q$12*$BA29^6+WeightSDS!R$12*$BA29^5+WeightSDS!S$12*$BA29^4+WeightSDS!T$12*$BA29^3+WeightSDS!U$12*$BA29^2+WeightSDS!V$12*$BA29+WeightSDS!W$12,WeightSDS!P$14*$BA29^7+WeightSDS!Q$14*$BA29^6+WeightSDS!R$14*$BA29^5+WeightSDS!S$14*$BA29^4+WeightSDS!T$14*$BA29^3+WeightSDS!U$14*$BA29^2+WeightSDS!V$14*$BA29+WeightSDS!W$14),IF($BA29&lt;156,WeightSDS!O$17*$BA29^8+WeightSDS!P$17*$BA29^7+WeightSDS!Q$17*$BA29^6+WeightSDS!R$17*$BA29^5+WeightSDS!S$17*$BA29^4+WeightSDS!T$17*$BA29^3+WeightSDS!U$17*$BA29^2+WeightSDS!V$17*$BA29+WeightSDS!W$17,IF($BA29&lt;186,WeightSDS!$U$18+(WeightSDS!$V$18-WeightSDS!$U$18)/24*($BA29-186)+WeightSDS!$W$18*(-$BA29+186)^2-0.005,WeightSDS!$U$18+(WeightSDS!$V$18-WeightSDS!$U$18)/24*($BA29-186)-0.005)))</f>
        <v>0.14604529399999999</v>
      </c>
    </row>
    <row r="30" spans="2:62" s="4" customFormat="1" x14ac:dyDescent="0.15">
      <c r="B30" s="40"/>
      <c r="C30" s="141"/>
      <c r="D30" s="22"/>
      <c r="E30" s="110"/>
      <c r="F30" s="110"/>
      <c r="G30" s="110"/>
      <c r="H30" s="44" t="str">
        <f t="shared" si="0"/>
        <v/>
      </c>
      <c r="I30" s="111" t="str">
        <f t="shared" si="10"/>
        <v/>
      </c>
      <c r="J30" s="111" t="str">
        <f t="shared" si="2"/>
        <v/>
      </c>
      <c r="K30" s="111" t="str">
        <f t="shared" si="11"/>
        <v/>
      </c>
      <c r="L30" s="44" t="str">
        <f t="shared" si="12"/>
        <v/>
      </c>
      <c r="M30" s="111" t="str">
        <f t="shared" si="13"/>
        <v/>
      </c>
      <c r="N30" s="44" t="str">
        <f t="shared" si="14"/>
        <v/>
      </c>
      <c r="O30" s="44" t="str">
        <f t="shared" si="4"/>
        <v/>
      </c>
      <c r="P30" s="111" t="str">
        <f t="shared" si="15"/>
        <v/>
      </c>
      <c r="Q30" s="44" t="str">
        <f t="shared" si="16"/>
        <v/>
      </c>
      <c r="R30" s="157" t="str">
        <f t="shared" si="30"/>
        <v/>
      </c>
      <c r="S30" s="44" t="str">
        <f t="shared" si="17"/>
        <v/>
      </c>
      <c r="T30" s="140" t="str">
        <f t="shared" si="35"/>
        <v/>
      </c>
      <c r="U30" s="140" t="str">
        <f t="shared" si="19"/>
        <v/>
      </c>
      <c r="V30" s="24"/>
      <c r="W30" s="24"/>
      <c r="X30" s="24"/>
      <c r="Y30" s="24"/>
      <c r="Z30" s="24"/>
      <c r="AA30" s="24">
        <f t="shared" si="20"/>
        <v>0</v>
      </c>
      <c r="AB30" s="24"/>
      <c r="AC30" s="24" t="str">
        <f t="shared" si="27"/>
        <v/>
      </c>
      <c r="AD30" s="24" t="str">
        <f t="shared" si="21"/>
        <v/>
      </c>
      <c r="AE30" s="24">
        <f t="shared" si="22"/>
        <v>0</v>
      </c>
      <c r="AG30" s="24" t="e">
        <f t="shared" si="31"/>
        <v>#VALUE!</v>
      </c>
      <c r="AH30" s="24" t="e">
        <f t="shared" si="32"/>
        <v>#VALUE!</v>
      </c>
      <c r="AI30" s="24" t="e">
        <f t="shared" si="36"/>
        <v>#VALUE!</v>
      </c>
      <c r="AJ30" s="24" t="e">
        <f t="shared" si="37"/>
        <v>#VALUE!</v>
      </c>
      <c r="AL30" s="24"/>
      <c r="AM30" s="24" t="e">
        <f t="shared" si="33"/>
        <v>#VALUE!</v>
      </c>
      <c r="AN30" s="31"/>
      <c r="AO30" s="34">
        <f t="shared" si="5"/>
        <v>0</v>
      </c>
      <c r="AP30" s="24">
        <f t="shared" si="6"/>
        <v>0</v>
      </c>
      <c r="AQ30" s="24"/>
      <c r="AR30" s="112"/>
      <c r="AS30" s="112"/>
      <c r="AT30" s="59">
        <f t="shared" si="7"/>
        <v>9.0359999999999996</v>
      </c>
      <c r="AU30" s="59">
        <f t="shared" si="8"/>
        <v>-184.49199999999999</v>
      </c>
      <c r="AV30" s="59"/>
      <c r="AW30"/>
      <c r="AX30">
        <f>IF($E$4="M",IF(BA30&lt;78,BMILMS!$D$5*BA30^3+BMILMS!$E$5*BA30^2+BMILMS!$F$5*BA30+BMILMS!$G$5,IF(BA30&lt;150,BMILMS!$D$6*BA30^3+BMILMS!$E$6*BA30^2+BMILMS!$F$6*BA30+BMILMS!$G$6,BMILMS!$D$7*BA30^3+BMILMS!$E$7*BA30^2+BMILMS!$F$7*BA30+BMILMS!$G$7)),IF(BA30&lt;69,BMILMS!$D$9*BA30^3+BMILMS!$E$9*BA30^2+BMILMS!$F$9*BA30+BMILMS!$G$9,IF(BA30&lt;150,BMILMS!$D$10*BA30^3+BMILMS!$E$10*BA30^2+BMILMS!$F$10*BA30+BMILMS!$G$10,BMILMS!$D$11*BA30^3+BMILMS!$E$11*BA30^2+BMILMS!$F$11*BA30+BMILMS!$G$11)))</f>
        <v>0.79584630099999998</v>
      </c>
      <c r="AY30">
        <f>IF($E$4="M",(IF(BA30&lt;2.5,BMILMS!$D$21*BA30^3+BMILMS!$E$21*BA30^2+BMILMS!$F$21*BA30+BMILMS!$G$21,IF(BA30&lt;9.5,BMILMS!$D$22*BA30^3+BMILMS!$E$22*BA30^2+BMILMS!$F$22*BA30+BMILMS!$G$22,IF(BA30&lt;26.75,BMILMS!$D$23*BA30^3+BMILMS!$E$23*BA30^2+BMILMS!$F$23*BA30+BMILMS!$G$23,IF(BA30&lt;90,BMILMS!$D$24*BA30^3+BMILMS!$E$24*BA30^2+BMILMS!$F$24*BA30+BMILMS!$G$24,BMILMS!$D$25*BA30^3+BMILMS!$E$25*BA30^2+BMILMS!$F$25*BA30+BMILMS!$G$25))))),(IF(BA30&lt;2.5,BMILMS!$D$27*BA30^3+BMILMS!$E$27*BA30^2+BMILMS!$F$27*BA30+BMILMS!$G$27,IF(BA30&lt;9.5,BMILMS!$D$28*BA30^3+BMILMS!$E$28*BA30^2+BMILMS!$F$28*BA30+BMILMS!$G$28,IF(BA30&lt;26.75,BMILMS!$D$29*BA30^3+BMILMS!$E$29*BA30^2+BMILMS!$F$29*BA30+BMILMS!$G$29,IF(BA30&lt;90,BMILMS!$D$30*BA30^3+BMILMS!$E$30*BA30^2+BMILMS!$F$30*BA30+BMILMS!$G$30,IF(BA30&lt;150,BMILMS!$D$31*BA30^3+BMILMS!$E$31*BA30^2+BMILMS!$F$31*BA30+BMILMS!$G$31,BMILMS!$D$32*BA30^3+BMILMS!$E$32*BA30^2+BMILMS!$F$32*BA30+BMILMS!$G$32)))))))</f>
        <v>12.568967990000001</v>
      </c>
      <c r="AZ30">
        <f>IF($E$4="M",(IF(BA30&lt;90,BMILMS!$D$14*BA30^3+BMILMS!$E$14*BA30^2+BMILMS!$F$14*BA30+BMILMS!$G$14,BMILMS!$D$15*BA30^3+BMILMS!$E$15*BA30^2+BMILMS!$F$15*BA30+BMILMS!$G$15)),(IF(BA30&lt;90,BMILMS!$D$17*BA30^3+BMILMS!$E$17*BA30^2+BMILMS!$F$17*BA30+BMILMS!$G$17,BMILMS!$D$18*BA30^3+BMILMS!$E$18*BA30^2+BMILMS!$F$18*BA30+BMILMS!$G$18)))</f>
        <v>8.8969350000000003E-2</v>
      </c>
      <c r="BA30" s="24">
        <f t="shared" si="34"/>
        <v>0</v>
      </c>
      <c r="BB30" s="24">
        <f t="shared" si="9"/>
        <v>0</v>
      </c>
      <c r="BD30">
        <f t="shared" si="29"/>
        <v>0.56299999999999994</v>
      </c>
      <c r="BE30">
        <f t="shared" si="28"/>
        <v>69</v>
      </c>
      <c r="BF30">
        <f t="shared" si="26"/>
        <v>0.51</v>
      </c>
      <c r="BH30" s="35">
        <f>IF($E$4="M",WeightSDS!P$5*$BA30^7+WeightSDS!Q$5*$BA30^6+WeightSDS!R$5*$BA30^5+WeightSDS!S$5*$BA30^4+WeightSDS!T$5*$BA30^3+WeightSDS!U$5*$BA30^2+WeightSDS!V$5*$BA30+WeightSDS!W$5,IF($BA30&lt;186,WeightSDS!P$8*$BA30^7+WeightSDS!Q$8*$BA30^6+WeightSDS!R$8*$BA30^5+WeightSDS!S$8*$BA30^4+WeightSDS!T$8*$BA30^3+WeightSDS!U$8*$BA30^2+WeightSDS!V$8*$BA30+WeightSDS!W$8,WeightSDS!$U$9+WeightSDS!$V$9*($BA30-WeightSDS!$W$9)))</f>
        <v>0.75407122999999998</v>
      </c>
      <c r="BI30" s="24">
        <f>IF($E$4="M",IF($BA30&lt;45,WeightSDS!M$23*$BA30^10+WeightSDS!N$23*$BA30^9+WeightSDS!O$23*$BA30^8+WeightSDS!P$23*$BA30^7+WeightSDS!Q$23*$BA30^6+WeightSDS!R$23*$BA30^5+WeightSDS!S$23*$BA30^4+WeightSDS!T$23*$BA30^3+WeightSDS!U$23*$BA30^2+WeightSDS!V$23*$BA30+WeightSDS!W$23,IF($BA30&lt;153,WeightSDS!M$25*$BA30^10+WeightSDS!N$25*$BA30^9+WeightSDS!O$25*$BA30^8+WeightSDS!P$25*$BA30^7+WeightSDS!Q$25*$BA30^6+WeightSDS!R$25*$BA30^5+WeightSDS!S$25*$BA30^4+WeightSDS!T$25*$BA30^3+WeightSDS!U$25*$BA30^2+WeightSDS!V$25*$BA30+WeightSDS!W$25,WeightSDS!M$27+WeightSDS!N$27/(1+EXP(WeightSDS!O$27+WeightSDS!P$27*$BA30)))),IF($BA30&lt;43.8,WeightSDS!M$29*$BA30^10+WeightSDS!N$29*$BA30^9+WeightSDS!O$29*$BA30^8+WeightSDS!P$29*$BA30^7+WeightSDS!Q$29*$BA30^6+WeightSDS!R$29*$BA30^5+WeightSDS!S$29*$BA30^4+WeightSDS!T$29*$BA30^3+WeightSDS!U$29*$BA30^2+WeightSDS!V$29*$BA30+WeightSDS!W$29-0.010431*(1-$BA30/210),IF($BA30&lt;123,WeightSDS!M$30*$BA30^10+WeightSDS!N$30*$BA30^9+WeightSDS!O$30*$BA30^8+WeightSDS!P$30*$BA30^7+WeightSDS!Q$30*$BA30^6+WeightSDS!R$30*$BA30^5+WeightSDS!S$30*$BA30^4+WeightSDS!T$30*$BA30^3+WeightSDS!U$30*$BA30^2+WeightSDS!V$30*$BA30+WeightSDS!W$30-0.010431*(1-1/$BA30),WeightSDS!M$32+WeightSDS!N$32/(1+EXP(WeightSDS!O$32+WeightSDS!P$32*$BA30))-0.010431*(1-$BA30/210))))</f>
        <v>2.9500001032655536</v>
      </c>
      <c r="BJ30" s="24">
        <f>IF($E$4="M",IF($BA30&lt;162,WeightSDS!P$12*$BA30^7+WeightSDS!Q$12*$BA30^6+WeightSDS!R$12*$BA30^5+WeightSDS!S$12*$BA30^4+WeightSDS!T$12*$BA30^3+WeightSDS!U$12*$BA30^2+WeightSDS!V$12*$BA30+WeightSDS!W$12,WeightSDS!P$14*$BA30^7+WeightSDS!Q$14*$BA30^6+WeightSDS!R$14*$BA30^5+WeightSDS!S$14*$BA30^4+WeightSDS!T$14*$BA30^3+WeightSDS!U$14*$BA30^2+WeightSDS!V$14*$BA30+WeightSDS!W$14),IF($BA30&lt;156,WeightSDS!O$17*$BA30^8+WeightSDS!P$17*$BA30^7+WeightSDS!Q$17*$BA30^6+WeightSDS!R$17*$BA30^5+WeightSDS!S$17*$BA30^4+WeightSDS!T$17*$BA30^3+WeightSDS!U$17*$BA30^2+WeightSDS!V$17*$BA30+WeightSDS!W$17,IF($BA30&lt;186,WeightSDS!$U$18+(WeightSDS!$V$18-WeightSDS!$U$18)/24*($BA30-186)+WeightSDS!$W$18*(-$BA30+186)^2-0.005,WeightSDS!$U$18+(WeightSDS!$V$18-WeightSDS!$U$18)/24*($BA30-186)-0.005)))</f>
        <v>0.14604529399999999</v>
      </c>
    </row>
    <row r="31" spans="2:62" s="4" customFormat="1" x14ac:dyDescent="0.15">
      <c r="B31" s="40"/>
      <c r="C31" s="141"/>
      <c r="D31" s="22"/>
      <c r="E31" s="110"/>
      <c r="F31" s="110"/>
      <c r="G31" s="110"/>
      <c r="H31" s="44" t="str">
        <f t="shared" si="0"/>
        <v/>
      </c>
      <c r="I31" s="111" t="str">
        <f t="shared" si="10"/>
        <v/>
      </c>
      <c r="J31" s="111" t="str">
        <f t="shared" si="2"/>
        <v/>
      </c>
      <c r="K31" s="111" t="str">
        <f t="shared" si="11"/>
        <v/>
      </c>
      <c r="L31" s="44" t="str">
        <f t="shared" si="12"/>
        <v/>
      </c>
      <c r="M31" s="111" t="str">
        <f t="shared" si="13"/>
        <v/>
      </c>
      <c r="N31" s="44" t="str">
        <f t="shared" si="14"/>
        <v/>
      </c>
      <c r="O31" s="44" t="str">
        <f t="shared" si="4"/>
        <v/>
      </c>
      <c r="P31" s="111" t="str">
        <f t="shared" si="15"/>
        <v/>
      </c>
      <c r="Q31" s="44" t="str">
        <f t="shared" si="16"/>
        <v/>
      </c>
      <c r="R31" s="157" t="str">
        <f t="shared" si="30"/>
        <v/>
      </c>
      <c r="S31" s="44" t="str">
        <f t="shared" si="17"/>
        <v/>
      </c>
      <c r="T31" s="140" t="str">
        <f t="shared" si="35"/>
        <v/>
      </c>
      <c r="U31" s="140" t="str">
        <f t="shared" si="19"/>
        <v/>
      </c>
      <c r="V31" s="24"/>
      <c r="W31" s="24"/>
      <c r="X31" s="24"/>
      <c r="Y31" s="24"/>
      <c r="Z31" s="24"/>
      <c r="AA31" s="24">
        <f t="shared" si="20"/>
        <v>0</v>
      </c>
      <c r="AB31" s="24"/>
      <c r="AC31" s="24" t="str">
        <f t="shared" si="27"/>
        <v/>
      </c>
      <c r="AD31" s="24" t="str">
        <f t="shared" si="21"/>
        <v/>
      </c>
      <c r="AE31" s="24">
        <f t="shared" si="22"/>
        <v>0</v>
      </c>
      <c r="AG31" s="24" t="e">
        <f t="shared" si="31"/>
        <v>#VALUE!</v>
      </c>
      <c r="AH31" s="24" t="e">
        <f t="shared" si="32"/>
        <v>#VALUE!</v>
      </c>
      <c r="AI31" s="24" t="e">
        <f t="shared" si="36"/>
        <v>#VALUE!</v>
      </c>
      <c r="AJ31" s="24" t="e">
        <f t="shared" si="37"/>
        <v>#VALUE!</v>
      </c>
      <c r="AL31" s="24"/>
      <c r="AM31" s="24" t="e">
        <f t="shared" si="33"/>
        <v>#VALUE!</v>
      </c>
      <c r="AN31" s="31"/>
      <c r="AO31" s="34">
        <f t="shared" si="5"/>
        <v>0</v>
      </c>
      <c r="AP31" s="24">
        <f t="shared" si="6"/>
        <v>0</v>
      </c>
      <c r="AQ31" s="24"/>
      <c r="AR31" s="112"/>
      <c r="AS31" s="112"/>
      <c r="AT31" s="59">
        <f t="shared" si="7"/>
        <v>9.0359999999999996</v>
      </c>
      <c r="AU31" s="59">
        <f t="shared" si="8"/>
        <v>-184.49199999999999</v>
      </c>
      <c r="AV31" s="59"/>
      <c r="AW31"/>
      <c r="AX31">
        <f>IF($E$4="M",IF(BA31&lt;78,BMILMS!$D$5*BA31^3+BMILMS!$E$5*BA31^2+BMILMS!$F$5*BA31+BMILMS!$G$5,IF(BA31&lt;150,BMILMS!$D$6*BA31^3+BMILMS!$E$6*BA31^2+BMILMS!$F$6*BA31+BMILMS!$G$6,BMILMS!$D$7*BA31^3+BMILMS!$E$7*BA31^2+BMILMS!$F$7*BA31+BMILMS!$G$7)),IF(BA31&lt;69,BMILMS!$D$9*BA31^3+BMILMS!$E$9*BA31^2+BMILMS!$F$9*BA31+BMILMS!$G$9,IF(BA31&lt;150,BMILMS!$D$10*BA31^3+BMILMS!$E$10*BA31^2+BMILMS!$F$10*BA31+BMILMS!$G$10,BMILMS!$D$11*BA31^3+BMILMS!$E$11*BA31^2+BMILMS!$F$11*BA31+BMILMS!$G$11)))</f>
        <v>0.79584630099999998</v>
      </c>
      <c r="AY31">
        <f>IF($E$4="M",(IF(BA31&lt;2.5,BMILMS!$D$21*BA31^3+BMILMS!$E$21*BA31^2+BMILMS!$F$21*BA31+BMILMS!$G$21,IF(BA31&lt;9.5,BMILMS!$D$22*BA31^3+BMILMS!$E$22*BA31^2+BMILMS!$F$22*BA31+BMILMS!$G$22,IF(BA31&lt;26.75,BMILMS!$D$23*BA31^3+BMILMS!$E$23*BA31^2+BMILMS!$F$23*BA31+BMILMS!$G$23,IF(BA31&lt;90,BMILMS!$D$24*BA31^3+BMILMS!$E$24*BA31^2+BMILMS!$F$24*BA31+BMILMS!$G$24,BMILMS!$D$25*BA31^3+BMILMS!$E$25*BA31^2+BMILMS!$F$25*BA31+BMILMS!$G$25))))),(IF(BA31&lt;2.5,BMILMS!$D$27*BA31^3+BMILMS!$E$27*BA31^2+BMILMS!$F$27*BA31+BMILMS!$G$27,IF(BA31&lt;9.5,BMILMS!$D$28*BA31^3+BMILMS!$E$28*BA31^2+BMILMS!$F$28*BA31+BMILMS!$G$28,IF(BA31&lt;26.75,BMILMS!$D$29*BA31^3+BMILMS!$E$29*BA31^2+BMILMS!$F$29*BA31+BMILMS!$G$29,IF(BA31&lt;90,BMILMS!$D$30*BA31^3+BMILMS!$E$30*BA31^2+BMILMS!$F$30*BA31+BMILMS!$G$30,IF(BA31&lt;150,BMILMS!$D$31*BA31^3+BMILMS!$E$31*BA31^2+BMILMS!$F$31*BA31+BMILMS!$G$31,BMILMS!$D$32*BA31^3+BMILMS!$E$32*BA31^2+BMILMS!$F$32*BA31+BMILMS!$G$32)))))))</f>
        <v>12.568967990000001</v>
      </c>
      <c r="AZ31">
        <f>IF($E$4="M",(IF(BA31&lt;90,BMILMS!$D$14*BA31^3+BMILMS!$E$14*BA31^2+BMILMS!$F$14*BA31+BMILMS!$G$14,BMILMS!$D$15*BA31^3+BMILMS!$E$15*BA31^2+BMILMS!$F$15*BA31+BMILMS!$G$15)),(IF(BA31&lt;90,BMILMS!$D$17*BA31^3+BMILMS!$E$17*BA31^2+BMILMS!$F$17*BA31+BMILMS!$G$17,BMILMS!$D$18*BA31^3+BMILMS!$E$18*BA31^2+BMILMS!$F$18*BA31+BMILMS!$G$18)))</f>
        <v>8.8969350000000003E-2</v>
      </c>
      <c r="BA31" s="24">
        <f t="shared" si="34"/>
        <v>0</v>
      </c>
      <c r="BB31" s="24">
        <f t="shared" si="9"/>
        <v>0</v>
      </c>
      <c r="BD31">
        <f t="shared" si="29"/>
        <v>0.56299999999999994</v>
      </c>
      <c r="BE31">
        <f t="shared" si="28"/>
        <v>69</v>
      </c>
      <c r="BF31">
        <f t="shared" si="26"/>
        <v>0.51</v>
      </c>
      <c r="BH31" s="35">
        <f>IF($E$4="M",WeightSDS!P$5*$BA31^7+WeightSDS!Q$5*$BA31^6+WeightSDS!R$5*$BA31^5+WeightSDS!S$5*$BA31^4+WeightSDS!T$5*$BA31^3+WeightSDS!U$5*$BA31^2+WeightSDS!V$5*$BA31+WeightSDS!W$5,IF($BA31&lt;186,WeightSDS!P$8*$BA31^7+WeightSDS!Q$8*$BA31^6+WeightSDS!R$8*$BA31^5+WeightSDS!S$8*$BA31^4+WeightSDS!T$8*$BA31^3+WeightSDS!U$8*$BA31^2+WeightSDS!V$8*$BA31+WeightSDS!W$8,WeightSDS!$U$9+WeightSDS!$V$9*($BA31-WeightSDS!$W$9)))</f>
        <v>0.75407122999999998</v>
      </c>
      <c r="BI31" s="24">
        <f>IF($E$4="M",IF($BA31&lt;45,WeightSDS!M$23*$BA31^10+WeightSDS!N$23*$BA31^9+WeightSDS!O$23*$BA31^8+WeightSDS!P$23*$BA31^7+WeightSDS!Q$23*$BA31^6+WeightSDS!R$23*$BA31^5+WeightSDS!S$23*$BA31^4+WeightSDS!T$23*$BA31^3+WeightSDS!U$23*$BA31^2+WeightSDS!V$23*$BA31+WeightSDS!W$23,IF($BA31&lt;153,WeightSDS!M$25*$BA31^10+WeightSDS!N$25*$BA31^9+WeightSDS!O$25*$BA31^8+WeightSDS!P$25*$BA31^7+WeightSDS!Q$25*$BA31^6+WeightSDS!R$25*$BA31^5+WeightSDS!S$25*$BA31^4+WeightSDS!T$25*$BA31^3+WeightSDS!U$25*$BA31^2+WeightSDS!V$25*$BA31+WeightSDS!W$25,WeightSDS!M$27+WeightSDS!N$27/(1+EXP(WeightSDS!O$27+WeightSDS!P$27*$BA31)))),IF($BA31&lt;43.8,WeightSDS!M$29*$BA31^10+WeightSDS!N$29*$BA31^9+WeightSDS!O$29*$BA31^8+WeightSDS!P$29*$BA31^7+WeightSDS!Q$29*$BA31^6+WeightSDS!R$29*$BA31^5+WeightSDS!S$29*$BA31^4+WeightSDS!T$29*$BA31^3+WeightSDS!U$29*$BA31^2+WeightSDS!V$29*$BA31+WeightSDS!W$29-0.010431*(1-$BA31/210),IF($BA31&lt;123,WeightSDS!M$30*$BA31^10+WeightSDS!N$30*$BA31^9+WeightSDS!O$30*$BA31^8+WeightSDS!P$30*$BA31^7+WeightSDS!Q$30*$BA31^6+WeightSDS!R$30*$BA31^5+WeightSDS!S$30*$BA31^4+WeightSDS!T$30*$BA31^3+WeightSDS!U$30*$BA31^2+WeightSDS!V$30*$BA31+WeightSDS!W$30-0.010431*(1-1/$BA31),WeightSDS!M$32+WeightSDS!N$32/(1+EXP(WeightSDS!O$32+WeightSDS!P$32*$BA31))-0.010431*(1-$BA31/210))))</f>
        <v>2.9500001032655536</v>
      </c>
      <c r="BJ31" s="24">
        <f>IF($E$4="M",IF($BA31&lt;162,WeightSDS!P$12*$BA31^7+WeightSDS!Q$12*$BA31^6+WeightSDS!R$12*$BA31^5+WeightSDS!S$12*$BA31^4+WeightSDS!T$12*$BA31^3+WeightSDS!U$12*$BA31^2+WeightSDS!V$12*$BA31+WeightSDS!W$12,WeightSDS!P$14*$BA31^7+WeightSDS!Q$14*$BA31^6+WeightSDS!R$14*$BA31^5+WeightSDS!S$14*$BA31^4+WeightSDS!T$14*$BA31^3+WeightSDS!U$14*$BA31^2+WeightSDS!V$14*$BA31+WeightSDS!W$14),IF($BA31&lt;156,WeightSDS!O$17*$BA31^8+WeightSDS!P$17*$BA31^7+WeightSDS!Q$17*$BA31^6+WeightSDS!R$17*$BA31^5+WeightSDS!S$17*$BA31^4+WeightSDS!T$17*$BA31^3+WeightSDS!U$17*$BA31^2+WeightSDS!V$17*$BA31+WeightSDS!W$17,IF($BA31&lt;186,WeightSDS!$U$18+(WeightSDS!$V$18-WeightSDS!$U$18)/24*($BA31-186)+WeightSDS!$W$18*(-$BA31+186)^2-0.005,WeightSDS!$U$18+(WeightSDS!$V$18-WeightSDS!$U$18)/24*($BA31-186)-0.005)))</f>
        <v>0.14604529399999999</v>
      </c>
    </row>
    <row r="32" spans="2:62" s="4" customFormat="1" x14ac:dyDescent="0.15">
      <c r="B32" s="40"/>
      <c r="C32" s="141"/>
      <c r="D32" s="22"/>
      <c r="E32" s="110"/>
      <c r="F32" s="110"/>
      <c r="G32" s="110"/>
      <c r="H32" s="44" t="str">
        <f t="shared" si="0"/>
        <v/>
      </c>
      <c r="I32" s="111" t="str">
        <f t="shared" si="10"/>
        <v/>
      </c>
      <c r="J32" s="111" t="str">
        <f t="shared" si="2"/>
        <v/>
      </c>
      <c r="K32" s="111" t="str">
        <f t="shared" si="11"/>
        <v/>
      </c>
      <c r="L32" s="44" t="str">
        <f t="shared" si="12"/>
        <v/>
      </c>
      <c r="M32" s="111" t="str">
        <f t="shared" si="13"/>
        <v/>
      </c>
      <c r="N32" s="44" t="str">
        <f t="shared" si="14"/>
        <v/>
      </c>
      <c r="O32" s="44" t="str">
        <f t="shared" si="4"/>
        <v/>
      </c>
      <c r="P32" s="111" t="str">
        <f t="shared" si="15"/>
        <v/>
      </c>
      <c r="Q32" s="44" t="str">
        <f t="shared" si="16"/>
        <v/>
      </c>
      <c r="R32" s="157" t="str">
        <f t="shared" si="30"/>
        <v/>
      </c>
      <c r="S32" s="44" t="str">
        <f t="shared" si="17"/>
        <v/>
      </c>
      <c r="T32" s="140" t="str">
        <f t="shared" si="35"/>
        <v/>
      </c>
      <c r="U32" s="140" t="str">
        <f t="shared" si="19"/>
        <v/>
      </c>
      <c r="V32" s="24"/>
      <c r="W32" s="24"/>
      <c r="X32" s="24"/>
      <c r="Y32" s="24"/>
      <c r="Z32" s="24"/>
      <c r="AA32" s="24">
        <f t="shared" si="20"/>
        <v>0</v>
      </c>
      <c r="AB32" s="24"/>
      <c r="AC32" s="24" t="str">
        <f t="shared" si="27"/>
        <v/>
      </c>
      <c r="AD32" s="24" t="str">
        <f t="shared" si="21"/>
        <v/>
      </c>
      <c r="AE32" s="24">
        <f t="shared" si="22"/>
        <v>0</v>
      </c>
      <c r="AG32" s="24" t="e">
        <f t="shared" si="31"/>
        <v>#VALUE!</v>
      </c>
      <c r="AH32" s="24" t="e">
        <f t="shared" si="32"/>
        <v>#VALUE!</v>
      </c>
      <c r="AI32" s="24" t="e">
        <f t="shared" si="36"/>
        <v>#VALUE!</v>
      </c>
      <c r="AJ32" s="24" t="e">
        <f t="shared" si="37"/>
        <v>#VALUE!</v>
      </c>
      <c r="AL32" s="24"/>
      <c r="AM32" s="24" t="e">
        <f t="shared" si="33"/>
        <v>#VALUE!</v>
      </c>
      <c r="AN32" s="31"/>
      <c r="AO32" s="34">
        <f t="shared" si="5"/>
        <v>0</v>
      </c>
      <c r="AP32" s="24">
        <f t="shared" si="6"/>
        <v>0</v>
      </c>
      <c r="AQ32" s="24"/>
      <c r="AR32" s="112"/>
      <c r="AS32" s="112"/>
      <c r="AT32" s="59">
        <f t="shared" si="7"/>
        <v>9.0359999999999996</v>
      </c>
      <c r="AU32" s="59">
        <f t="shared" si="8"/>
        <v>-184.49199999999999</v>
      </c>
      <c r="AV32" s="59"/>
      <c r="AW32"/>
      <c r="AX32">
        <f>IF($E$4="M",IF(BA32&lt;78,BMILMS!$D$5*BA32^3+BMILMS!$E$5*BA32^2+BMILMS!$F$5*BA32+BMILMS!$G$5,IF(BA32&lt;150,BMILMS!$D$6*BA32^3+BMILMS!$E$6*BA32^2+BMILMS!$F$6*BA32+BMILMS!$G$6,BMILMS!$D$7*BA32^3+BMILMS!$E$7*BA32^2+BMILMS!$F$7*BA32+BMILMS!$G$7)),IF(BA32&lt;69,BMILMS!$D$9*BA32^3+BMILMS!$E$9*BA32^2+BMILMS!$F$9*BA32+BMILMS!$G$9,IF(BA32&lt;150,BMILMS!$D$10*BA32^3+BMILMS!$E$10*BA32^2+BMILMS!$F$10*BA32+BMILMS!$G$10,BMILMS!$D$11*BA32^3+BMILMS!$E$11*BA32^2+BMILMS!$F$11*BA32+BMILMS!$G$11)))</f>
        <v>0.79584630099999998</v>
      </c>
      <c r="AY32">
        <f>IF($E$4="M",(IF(BA32&lt;2.5,BMILMS!$D$21*BA32^3+BMILMS!$E$21*BA32^2+BMILMS!$F$21*BA32+BMILMS!$G$21,IF(BA32&lt;9.5,BMILMS!$D$22*BA32^3+BMILMS!$E$22*BA32^2+BMILMS!$F$22*BA32+BMILMS!$G$22,IF(BA32&lt;26.75,BMILMS!$D$23*BA32^3+BMILMS!$E$23*BA32^2+BMILMS!$F$23*BA32+BMILMS!$G$23,IF(BA32&lt;90,BMILMS!$D$24*BA32^3+BMILMS!$E$24*BA32^2+BMILMS!$F$24*BA32+BMILMS!$G$24,BMILMS!$D$25*BA32^3+BMILMS!$E$25*BA32^2+BMILMS!$F$25*BA32+BMILMS!$G$25))))),(IF(BA32&lt;2.5,BMILMS!$D$27*BA32^3+BMILMS!$E$27*BA32^2+BMILMS!$F$27*BA32+BMILMS!$G$27,IF(BA32&lt;9.5,BMILMS!$D$28*BA32^3+BMILMS!$E$28*BA32^2+BMILMS!$F$28*BA32+BMILMS!$G$28,IF(BA32&lt;26.75,BMILMS!$D$29*BA32^3+BMILMS!$E$29*BA32^2+BMILMS!$F$29*BA32+BMILMS!$G$29,IF(BA32&lt;90,BMILMS!$D$30*BA32^3+BMILMS!$E$30*BA32^2+BMILMS!$F$30*BA32+BMILMS!$G$30,IF(BA32&lt;150,BMILMS!$D$31*BA32^3+BMILMS!$E$31*BA32^2+BMILMS!$F$31*BA32+BMILMS!$G$31,BMILMS!$D$32*BA32^3+BMILMS!$E$32*BA32^2+BMILMS!$F$32*BA32+BMILMS!$G$32)))))))</f>
        <v>12.568967990000001</v>
      </c>
      <c r="AZ32">
        <f>IF($E$4="M",(IF(BA32&lt;90,BMILMS!$D$14*BA32^3+BMILMS!$E$14*BA32^2+BMILMS!$F$14*BA32+BMILMS!$G$14,BMILMS!$D$15*BA32^3+BMILMS!$E$15*BA32^2+BMILMS!$F$15*BA32+BMILMS!$G$15)),(IF(BA32&lt;90,BMILMS!$D$17*BA32^3+BMILMS!$E$17*BA32^2+BMILMS!$F$17*BA32+BMILMS!$G$17,BMILMS!$D$18*BA32^3+BMILMS!$E$18*BA32^2+BMILMS!$F$18*BA32+BMILMS!$G$18)))</f>
        <v>8.8969350000000003E-2</v>
      </c>
      <c r="BA32" s="24">
        <f t="shared" si="34"/>
        <v>0</v>
      </c>
      <c r="BB32" s="24">
        <f t="shared" si="9"/>
        <v>0</v>
      </c>
      <c r="BD32">
        <f t="shared" si="29"/>
        <v>0.56299999999999994</v>
      </c>
      <c r="BE32">
        <f t="shared" si="28"/>
        <v>69</v>
      </c>
      <c r="BF32">
        <f t="shared" si="26"/>
        <v>0.51</v>
      </c>
      <c r="BH32" s="35">
        <f>IF($E$4="M",WeightSDS!P$5*$BA32^7+WeightSDS!Q$5*$BA32^6+WeightSDS!R$5*$BA32^5+WeightSDS!S$5*$BA32^4+WeightSDS!T$5*$BA32^3+WeightSDS!U$5*$BA32^2+WeightSDS!V$5*$BA32+WeightSDS!W$5,IF($BA32&lt;186,WeightSDS!P$8*$BA32^7+WeightSDS!Q$8*$BA32^6+WeightSDS!R$8*$BA32^5+WeightSDS!S$8*$BA32^4+WeightSDS!T$8*$BA32^3+WeightSDS!U$8*$BA32^2+WeightSDS!V$8*$BA32+WeightSDS!W$8,WeightSDS!$U$9+WeightSDS!$V$9*($BA32-WeightSDS!$W$9)))</f>
        <v>0.75407122999999998</v>
      </c>
      <c r="BI32" s="24">
        <f>IF($E$4="M",IF($BA32&lt;45,WeightSDS!M$23*$BA32^10+WeightSDS!N$23*$BA32^9+WeightSDS!O$23*$BA32^8+WeightSDS!P$23*$BA32^7+WeightSDS!Q$23*$BA32^6+WeightSDS!R$23*$BA32^5+WeightSDS!S$23*$BA32^4+WeightSDS!T$23*$BA32^3+WeightSDS!U$23*$BA32^2+WeightSDS!V$23*$BA32+WeightSDS!W$23,IF($BA32&lt;153,WeightSDS!M$25*$BA32^10+WeightSDS!N$25*$BA32^9+WeightSDS!O$25*$BA32^8+WeightSDS!P$25*$BA32^7+WeightSDS!Q$25*$BA32^6+WeightSDS!R$25*$BA32^5+WeightSDS!S$25*$BA32^4+WeightSDS!T$25*$BA32^3+WeightSDS!U$25*$BA32^2+WeightSDS!V$25*$BA32+WeightSDS!W$25,WeightSDS!M$27+WeightSDS!N$27/(1+EXP(WeightSDS!O$27+WeightSDS!P$27*$BA32)))),IF($BA32&lt;43.8,WeightSDS!M$29*$BA32^10+WeightSDS!N$29*$BA32^9+WeightSDS!O$29*$BA32^8+WeightSDS!P$29*$BA32^7+WeightSDS!Q$29*$BA32^6+WeightSDS!R$29*$BA32^5+WeightSDS!S$29*$BA32^4+WeightSDS!T$29*$BA32^3+WeightSDS!U$29*$BA32^2+WeightSDS!V$29*$BA32+WeightSDS!W$29-0.010431*(1-$BA32/210),IF($BA32&lt;123,WeightSDS!M$30*$BA32^10+WeightSDS!N$30*$BA32^9+WeightSDS!O$30*$BA32^8+WeightSDS!P$30*$BA32^7+WeightSDS!Q$30*$BA32^6+WeightSDS!R$30*$BA32^5+WeightSDS!S$30*$BA32^4+WeightSDS!T$30*$BA32^3+WeightSDS!U$30*$BA32^2+WeightSDS!V$30*$BA32+WeightSDS!W$30-0.010431*(1-1/$BA32),WeightSDS!M$32+WeightSDS!N$32/(1+EXP(WeightSDS!O$32+WeightSDS!P$32*$BA32))-0.010431*(1-$BA32/210))))</f>
        <v>2.9500001032655536</v>
      </c>
      <c r="BJ32" s="24">
        <f>IF($E$4="M",IF($BA32&lt;162,WeightSDS!P$12*$BA32^7+WeightSDS!Q$12*$BA32^6+WeightSDS!R$12*$BA32^5+WeightSDS!S$12*$BA32^4+WeightSDS!T$12*$BA32^3+WeightSDS!U$12*$BA32^2+WeightSDS!V$12*$BA32+WeightSDS!W$12,WeightSDS!P$14*$BA32^7+WeightSDS!Q$14*$BA32^6+WeightSDS!R$14*$BA32^5+WeightSDS!S$14*$BA32^4+WeightSDS!T$14*$BA32^3+WeightSDS!U$14*$BA32^2+WeightSDS!V$14*$BA32+WeightSDS!W$14),IF($BA32&lt;156,WeightSDS!O$17*$BA32^8+WeightSDS!P$17*$BA32^7+WeightSDS!Q$17*$BA32^6+WeightSDS!R$17*$BA32^5+WeightSDS!S$17*$BA32^4+WeightSDS!T$17*$BA32^3+WeightSDS!U$17*$BA32^2+WeightSDS!V$17*$BA32+WeightSDS!W$17,IF($BA32&lt;186,WeightSDS!$U$18+(WeightSDS!$V$18-WeightSDS!$U$18)/24*($BA32-186)+WeightSDS!$W$18*(-$BA32+186)^2-0.005,WeightSDS!$U$18+(WeightSDS!$V$18-WeightSDS!$U$18)/24*($BA32-186)-0.005)))</f>
        <v>0.14604529399999999</v>
      </c>
    </row>
    <row r="33" spans="2:62" s="4" customFormat="1" x14ac:dyDescent="0.15">
      <c r="B33" s="40"/>
      <c r="C33" s="141"/>
      <c r="D33" s="22"/>
      <c r="E33" s="110"/>
      <c r="F33" s="110"/>
      <c r="G33" s="110"/>
      <c r="H33" s="44" t="str">
        <f t="shared" si="0"/>
        <v/>
      </c>
      <c r="I33" s="111" t="str">
        <f t="shared" si="10"/>
        <v/>
      </c>
      <c r="J33" s="111" t="str">
        <f t="shared" si="2"/>
        <v/>
      </c>
      <c r="K33" s="111" t="str">
        <f t="shared" si="11"/>
        <v/>
      </c>
      <c r="L33" s="44" t="str">
        <f t="shared" si="12"/>
        <v/>
      </c>
      <c r="M33" s="111" t="str">
        <f t="shared" si="13"/>
        <v/>
      </c>
      <c r="N33" s="44" t="str">
        <f t="shared" si="14"/>
        <v/>
      </c>
      <c r="O33" s="44" t="str">
        <f t="shared" si="4"/>
        <v/>
      </c>
      <c r="P33" s="111" t="str">
        <f t="shared" si="15"/>
        <v/>
      </c>
      <c r="Q33" s="44" t="str">
        <f t="shared" si="16"/>
        <v/>
      </c>
      <c r="R33" s="157" t="str">
        <f t="shared" si="30"/>
        <v/>
      </c>
      <c r="S33" s="44" t="str">
        <f t="shared" si="17"/>
        <v/>
      </c>
      <c r="T33" s="140" t="str">
        <f t="shared" si="35"/>
        <v/>
      </c>
      <c r="U33" s="140" t="str">
        <f t="shared" si="19"/>
        <v/>
      </c>
      <c r="V33" s="24"/>
      <c r="W33" s="24"/>
      <c r="X33" s="24"/>
      <c r="Y33" s="24"/>
      <c r="Z33" s="24"/>
      <c r="AA33" s="24">
        <f t="shared" si="20"/>
        <v>0</v>
      </c>
      <c r="AB33" s="24"/>
      <c r="AC33" s="24" t="str">
        <f t="shared" si="27"/>
        <v/>
      </c>
      <c r="AD33" s="24" t="str">
        <f t="shared" si="21"/>
        <v/>
      </c>
      <c r="AE33" s="24">
        <f t="shared" si="22"/>
        <v>0</v>
      </c>
      <c r="AG33" s="24" t="e">
        <f t="shared" si="31"/>
        <v>#VALUE!</v>
      </c>
      <c r="AH33" s="24" t="e">
        <f t="shared" si="32"/>
        <v>#VALUE!</v>
      </c>
      <c r="AI33" s="24" t="e">
        <f t="shared" si="36"/>
        <v>#VALUE!</v>
      </c>
      <c r="AJ33" s="24" t="e">
        <f t="shared" si="37"/>
        <v>#VALUE!</v>
      </c>
      <c r="AL33" s="24"/>
      <c r="AM33" s="24" t="e">
        <f t="shared" si="33"/>
        <v>#VALUE!</v>
      </c>
      <c r="AN33" s="31"/>
      <c r="AO33" s="34">
        <f t="shared" si="5"/>
        <v>0</v>
      </c>
      <c r="AP33" s="24">
        <f t="shared" si="6"/>
        <v>0</v>
      </c>
      <c r="AQ33" s="24"/>
      <c r="AR33" s="112"/>
      <c r="AS33" s="112"/>
      <c r="AT33" s="59">
        <f t="shared" si="7"/>
        <v>9.0359999999999996</v>
      </c>
      <c r="AU33" s="59">
        <f t="shared" si="8"/>
        <v>-184.49199999999999</v>
      </c>
      <c r="AV33" s="59"/>
      <c r="AW33"/>
      <c r="AX33">
        <f>IF($E$4="M",IF(BA33&lt;78,BMILMS!$D$5*BA33^3+BMILMS!$E$5*BA33^2+BMILMS!$F$5*BA33+BMILMS!$G$5,IF(BA33&lt;150,BMILMS!$D$6*BA33^3+BMILMS!$E$6*BA33^2+BMILMS!$F$6*BA33+BMILMS!$G$6,BMILMS!$D$7*BA33^3+BMILMS!$E$7*BA33^2+BMILMS!$F$7*BA33+BMILMS!$G$7)),IF(BA33&lt;69,BMILMS!$D$9*BA33^3+BMILMS!$E$9*BA33^2+BMILMS!$F$9*BA33+BMILMS!$G$9,IF(BA33&lt;150,BMILMS!$D$10*BA33^3+BMILMS!$E$10*BA33^2+BMILMS!$F$10*BA33+BMILMS!$G$10,BMILMS!$D$11*BA33^3+BMILMS!$E$11*BA33^2+BMILMS!$F$11*BA33+BMILMS!$G$11)))</f>
        <v>0.79584630099999998</v>
      </c>
      <c r="AY33">
        <f>IF($E$4="M",(IF(BA33&lt;2.5,BMILMS!$D$21*BA33^3+BMILMS!$E$21*BA33^2+BMILMS!$F$21*BA33+BMILMS!$G$21,IF(BA33&lt;9.5,BMILMS!$D$22*BA33^3+BMILMS!$E$22*BA33^2+BMILMS!$F$22*BA33+BMILMS!$G$22,IF(BA33&lt;26.75,BMILMS!$D$23*BA33^3+BMILMS!$E$23*BA33^2+BMILMS!$F$23*BA33+BMILMS!$G$23,IF(BA33&lt;90,BMILMS!$D$24*BA33^3+BMILMS!$E$24*BA33^2+BMILMS!$F$24*BA33+BMILMS!$G$24,BMILMS!$D$25*BA33^3+BMILMS!$E$25*BA33^2+BMILMS!$F$25*BA33+BMILMS!$G$25))))),(IF(BA33&lt;2.5,BMILMS!$D$27*BA33^3+BMILMS!$E$27*BA33^2+BMILMS!$F$27*BA33+BMILMS!$G$27,IF(BA33&lt;9.5,BMILMS!$D$28*BA33^3+BMILMS!$E$28*BA33^2+BMILMS!$F$28*BA33+BMILMS!$G$28,IF(BA33&lt;26.75,BMILMS!$D$29*BA33^3+BMILMS!$E$29*BA33^2+BMILMS!$F$29*BA33+BMILMS!$G$29,IF(BA33&lt;90,BMILMS!$D$30*BA33^3+BMILMS!$E$30*BA33^2+BMILMS!$F$30*BA33+BMILMS!$G$30,IF(BA33&lt;150,BMILMS!$D$31*BA33^3+BMILMS!$E$31*BA33^2+BMILMS!$F$31*BA33+BMILMS!$G$31,BMILMS!$D$32*BA33^3+BMILMS!$E$32*BA33^2+BMILMS!$F$32*BA33+BMILMS!$G$32)))))))</f>
        <v>12.568967990000001</v>
      </c>
      <c r="AZ33">
        <f>IF($E$4="M",(IF(BA33&lt;90,BMILMS!$D$14*BA33^3+BMILMS!$E$14*BA33^2+BMILMS!$F$14*BA33+BMILMS!$G$14,BMILMS!$D$15*BA33^3+BMILMS!$E$15*BA33^2+BMILMS!$F$15*BA33+BMILMS!$G$15)),(IF(BA33&lt;90,BMILMS!$D$17*BA33^3+BMILMS!$E$17*BA33^2+BMILMS!$F$17*BA33+BMILMS!$G$17,BMILMS!$D$18*BA33^3+BMILMS!$E$18*BA33^2+BMILMS!$F$18*BA33+BMILMS!$G$18)))</f>
        <v>8.8969350000000003E-2</v>
      </c>
      <c r="BA33" s="24">
        <f t="shared" si="34"/>
        <v>0</v>
      </c>
      <c r="BB33" s="24">
        <f t="shared" si="9"/>
        <v>0</v>
      </c>
      <c r="BD33">
        <f t="shared" si="29"/>
        <v>0.56299999999999994</v>
      </c>
      <c r="BE33">
        <f t="shared" si="28"/>
        <v>69</v>
      </c>
      <c r="BF33">
        <f t="shared" si="26"/>
        <v>0.51</v>
      </c>
      <c r="BH33" s="35">
        <f>IF($E$4="M",WeightSDS!P$5*$BA33^7+WeightSDS!Q$5*$BA33^6+WeightSDS!R$5*$BA33^5+WeightSDS!S$5*$BA33^4+WeightSDS!T$5*$BA33^3+WeightSDS!U$5*$BA33^2+WeightSDS!V$5*$BA33+WeightSDS!W$5,IF($BA33&lt;186,WeightSDS!P$8*$BA33^7+WeightSDS!Q$8*$BA33^6+WeightSDS!R$8*$BA33^5+WeightSDS!S$8*$BA33^4+WeightSDS!T$8*$BA33^3+WeightSDS!U$8*$BA33^2+WeightSDS!V$8*$BA33+WeightSDS!W$8,WeightSDS!$U$9+WeightSDS!$V$9*($BA33-WeightSDS!$W$9)))</f>
        <v>0.75407122999999998</v>
      </c>
      <c r="BI33" s="24">
        <f>IF($E$4="M",IF($BA33&lt;45,WeightSDS!M$23*$BA33^10+WeightSDS!N$23*$BA33^9+WeightSDS!O$23*$BA33^8+WeightSDS!P$23*$BA33^7+WeightSDS!Q$23*$BA33^6+WeightSDS!R$23*$BA33^5+WeightSDS!S$23*$BA33^4+WeightSDS!T$23*$BA33^3+WeightSDS!U$23*$BA33^2+WeightSDS!V$23*$BA33+WeightSDS!W$23,IF($BA33&lt;153,WeightSDS!M$25*$BA33^10+WeightSDS!N$25*$BA33^9+WeightSDS!O$25*$BA33^8+WeightSDS!P$25*$BA33^7+WeightSDS!Q$25*$BA33^6+WeightSDS!R$25*$BA33^5+WeightSDS!S$25*$BA33^4+WeightSDS!T$25*$BA33^3+WeightSDS!U$25*$BA33^2+WeightSDS!V$25*$BA33+WeightSDS!W$25,WeightSDS!M$27+WeightSDS!N$27/(1+EXP(WeightSDS!O$27+WeightSDS!P$27*$BA33)))),IF($BA33&lt;43.8,WeightSDS!M$29*$BA33^10+WeightSDS!N$29*$BA33^9+WeightSDS!O$29*$BA33^8+WeightSDS!P$29*$BA33^7+WeightSDS!Q$29*$BA33^6+WeightSDS!R$29*$BA33^5+WeightSDS!S$29*$BA33^4+WeightSDS!T$29*$BA33^3+WeightSDS!U$29*$BA33^2+WeightSDS!V$29*$BA33+WeightSDS!W$29-0.010431*(1-$BA33/210),IF($BA33&lt;123,WeightSDS!M$30*$BA33^10+WeightSDS!N$30*$BA33^9+WeightSDS!O$30*$BA33^8+WeightSDS!P$30*$BA33^7+WeightSDS!Q$30*$BA33^6+WeightSDS!R$30*$BA33^5+WeightSDS!S$30*$BA33^4+WeightSDS!T$30*$BA33^3+WeightSDS!U$30*$BA33^2+WeightSDS!V$30*$BA33+WeightSDS!W$30-0.010431*(1-1/$BA33),WeightSDS!M$32+WeightSDS!N$32/(1+EXP(WeightSDS!O$32+WeightSDS!P$32*$BA33))-0.010431*(1-$BA33/210))))</f>
        <v>2.9500001032655536</v>
      </c>
      <c r="BJ33" s="24">
        <f>IF($E$4="M",IF($BA33&lt;162,WeightSDS!P$12*$BA33^7+WeightSDS!Q$12*$BA33^6+WeightSDS!R$12*$BA33^5+WeightSDS!S$12*$BA33^4+WeightSDS!T$12*$BA33^3+WeightSDS!U$12*$BA33^2+WeightSDS!V$12*$BA33+WeightSDS!W$12,WeightSDS!P$14*$BA33^7+WeightSDS!Q$14*$BA33^6+WeightSDS!R$14*$BA33^5+WeightSDS!S$14*$BA33^4+WeightSDS!T$14*$BA33^3+WeightSDS!U$14*$BA33^2+WeightSDS!V$14*$BA33+WeightSDS!W$14),IF($BA33&lt;156,WeightSDS!O$17*$BA33^8+WeightSDS!P$17*$BA33^7+WeightSDS!Q$17*$BA33^6+WeightSDS!R$17*$BA33^5+WeightSDS!S$17*$BA33^4+WeightSDS!T$17*$BA33^3+WeightSDS!U$17*$BA33^2+WeightSDS!V$17*$BA33+WeightSDS!W$17,IF($BA33&lt;186,WeightSDS!$U$18+(WeightSDS!$V$18-WeightSDS!$U$18)/24*($BA33-186)+WeightSDS!$W$18*(-$BA33+186)^2-0.005,WeightSDS!$U$18+(WeightSDS!$V$18-WeightSDS!$U$18)/24*($BA33-186)-0.005)))</f>
        <v>0.14604529399999999</v>
      </c>
    </row>
    <row r="34" spans="2:62" s="4" customFormat="1" x14ac:dyDescent="0.15">
      <c r="B34" s="40"/>
      <c r="C34" s="141"/>
      <c r="D34" s="22"/>
      <c r="E34" s="110"/>
      <c r="F34" s="110"/>
      <c r="G34" s="110"/>
      <c r="H34" s="44" t="str">
        <f t="shared" si="0"/>
        <v/>
      </c>
      <c r="I34" s="111" t="str">
        <f t="shared" si="10"/>
        <v/>
      </c>
      <c r="J34" s="111" t="str">
        <f t="shared" si="2"/>
        <v/>
      </c>
      <c r="K34" s="111" t="str">
        <f t="shared" si="11"/>
        <v/>
      </c>
      <c r="L34" s="44" t="str">
        <f t="shared" si="12"/>
        <v/>
      </c>
      <c r="M34" s="111" t="str">
        <f t="shared" si="13"/>
        <v/>
      </c>
      <c r="N34" s="44" t="str">
        <f t="shared" si="14"/>
        <v/>
      </c>
      <c r="O34" s="44" t="str">
        <f t="shared" si="4"/>
        <v/>
      </c>
      <c r="P34" s="111" t="str">
        <f t="shared" si="15"/>
        <v/>
      </c>
      <c r="Q34" s="44" t="str">
        <f t="shared" si="16"/>
        <v/>
      </c>
      <c r="R34" s="157" t="str">
        <f t="shared" si="30"/>
        <v/>
      </c>
      <c r="S34" s="44" t="str">
        <f t="shared" si="17"/>
        <v/>
      </c>
      <c r="T34" s="140" t="str">
        <f t="shared" si="35"/>
        <v/>
      </c>
      <c r="U34" s="140" t="str">
        <f t="shared" si="19"/>
        <v/>
      </c>
      <c r="V34" s="24"/>
      <c r="W34" s="24"/>
      <c r="X34" s="24"/>
      <c r="Y34" s="24"/>
      <c r="Z34" s="24"/>
      <c r="AA34" s="24">
        <f t="shared" si="20"/>
        <v>0</v>
      </c>
      <c r="AB34" s="24"/>
      <c r="AC34" s="24" t="str">
        <f t="shared" si="27"/>
        <v/>
      </c>
      <c r="AD34" s="24" t="str">
        <f t="shared" si="21"/>
        <v/>
      </c>
      <c r="AE34" s="24">
        <f t="shared" si="22"/>
        <v>0</v>
      </c>
      <c r="AG34" s="24" t="e">
        <f t="shared" ref="AG34:AG57" si="38">ROUNDDOWN(AC33+(AC34-AC33)/2,0)</f>
        <v>#VALUE!</v>
      </c>
      <c r="AH34" s="24" t="e">
        <f t="shared" ref="AH34:AH57" si="39">ROUNDDOWN((AC33+(AC34-AC33)/2-AG34)*12,0)</f>
        <v>#VALUE!</v>
      </c>
      <c r="AI34" s="24" t="e">
        <f t="shared" si="36"/>
        <v>#VALUE!</v>
      </c>
      <c r="AJ34" s="24" t="e">
        <f t="shared" si="37"/>
        <v>#VALUE!</v>
      </c>
      <c r="AL34" s="24"/>
      <c r="AM34" s="24" t="e">
        <f t="shared" si="33"/>
        <v>#VALUE!</v>
      </c>
      <c r="AN34" s="31"/>
      <c r="AO34" s="34">
        <f t="shared" si="5"/>
        <v>0</v>
      </c>
      <c r="AP34" s="24">
        <f t="shared" si="6"/>
        <v>0</v>
      </c>
      <c r="AQ34" s="24"/>
      <c r="AR34" s="112"/>
      <c r="AS34" s="112"/>
      <c r="AT34" s="59">
        <f t="shared" si="7"/>
        <v>9.0359999999999996</v>
      </c>
      <c r="AU34" s="59">
        <f t="shared" si="8"/>
        <v>-184.49199999999999</v>
      </c>
      <c r="AV34" s="59"/>
      <c r="AW34"/>
      <c r="AX34">
        <f>IF($E$4="M",IF(BA34&lt;78,BMILMS!$D$5*BA34^3+BMILMS!$E$5*BA34^2+BMILMS!$F$5*BA34+BMILMS!$G$5,IF(BA34&lt;150,BMILMS!$D$6*BA34^3+BMILMS!$E$6*BA34^2+BMILMS!$F$6*BA34+BMILMS!$G$6,BMILMS!$D$7*BA34^3+BMILMS!$E$7*BA34^2+BMILMS!$F$7*BA34+BMILMS!$G$7)),IF(BA34&lt;69,BMILMS!$D$9*BA34^3+BMILMS!$E$9*BA34^2+BMILMS!$F$9*BA34+BMILMS!$G$9,IF(BA34&lt;150,BMILMS!$D$10*BA34^3+BMILMS!$E$10*BA34^2+BMILMS!$F$10*BA34+BMILMS!$G$10,BMILMS!$D$11*BA34^3+BMILMS!$E$11*BA34^2+BMILMS!$F$11*BA34+BMILMS!$G$11)))</f>
        <v>0.79584630099999998</v>
      </c>
      <c r="AY34">
        <f>IF($E$4="M",(IF(BA34&lt;2.5,BMILMS!$D$21*BA34^3+BMILMS!$E$21*BA34^2+BMILMS!$F$21*BA34+BMILMS!$G$21,IF(BA34&lt;9.5,BMILMS!$D$22*BA34^3+BMILMS!$E$22*BA34^2+BMILMS!$F$22*BA34+BMILMS!$G$22,IF(BA34&lt;26.75,BMILMS!$D$23*BA34^3+BMILMS!$E$23*BA34^2+BMILMS!$F$23*BA34+BMILMS!$G$23,IF(BA34&lt;90,BMILMS!$D$24*BA34^3+BMILMS!$E$24*BA34^2+BMILMS!$F$24*BA34+BMILMS!$G$24,BMILMS!$D$25*BA34^3+BMILMS!$E$25*BA34^2+BMILMS!$F$25*BA34+BMILMS!$G$25))))),(IF(BA34&lt;2.5,BMILMS!$D$27*BA34^3+BMILMS!$E$27*BA34^2+BMILMS!$F$27*BA34+BMILMS!$G$27,IF(BA34&lt;9.5,BMILMS!$D$28*BA34^3+BMILMS!$E$28*BA34^2+BMILMS!$F$28*BA34+BMILMS!$G$28,IF(BA34&lt;26.75,BMILMS!$D$29*BA34^3+BMILMS!$E$29*BA34^2+BMILMS!$F$29*BA34+BMILMS!$G$29,IF(BA34&lt;90,BMILMS!$D$30*BA34^3+BMILMS!$E$30*BA34^2+BMILMS!$F$30*BA34+BMILMS!$G$30,IF(BA34&lt;150,BMILMS!$D$31*BA34^3+BMILMS!$E$31*BA34^2+BMILMS!$F$31*BA34+BMILMS!$G$31,BMILMS!$D$32*BA34^3+BMILMS!$E$32*BA34^2+BMILMS!$F$32*BA34+BMILMS!$G$32)))))))</f>
        <v>12.568967990000001</v>
      </c>
      <c r="AZ34">
        <f>IF($E$4="M",(IF(BA34&lt;90,BMILMS!$D$14*BA34^3+BMILMS!$E$14*BA34^2+BMILMS!$F$14*BA34+BMILMS!$G$14,BMILMS!$D$15*BA34^3+BMILMS!$E$15*BA34^2+BMILMS!$F$15*BA34+BMILMS!$G$15)),(IF(BA34&lt;90,BMILMS!$D$17*BA34^3+BMILMS!$E$17*BA34^2+BMILMS!$F$17*BA34+BMILMS!$G$17,BMILMS!$D$18*BA34^3+BMILMS!$E$18*BA34^2+BMILMS!$F$18*BA34+BMILMS!$G$18)))</f>
        <v>8.8969350000000003E-2</v>
      </c>
      <c r="BA34" s="24">
        <f t="shared" si="34"/>
        <v>0</v>
      </c>
      <c r="BB34" s="24">
        <f t="shared" si="9"/>
        <v>0</v>
      </c>
      <c r="BD34">
        <f t="shared" ref="BD34:BD57" si="40">INDEX(IF($E$4="M",IGFmale, IGFfemale), AO34+1,1)</f>
        <v>0.56299999999999994</v>
      </c>
      <c r="BE34">
        <f t="shared" ref="BE34:BE57" si="41">INDEX(IF($E$4="M",IGFmale, IGFfemale), AO34+1,2)</f>
        <v>69</v>
      </c>
      <c r="BF34">
        <f t="shared" ref="BF34:BF57" si="42">INDEX(IF($E$4="M",IGFmale, IGFfemale), AO34+1,3)</f>
        <v>0.51</v>
      </c>
      <c r="BH34" s="35">
        <f>IF($E$4="M",WeightSDS!P$5*$BA34^7+WeightSDS!Q$5*$BA34^6+WeightSDS!R$5*$BA34^5+WeightSDS!S$5*$BA34^4+WeightSDS!T$5*$BA34^3+WeightSDS!U$5*$BA34^2+WeightSDS!V$5*$BA34+WeightSDS!W$5,IF($BA34&lt;186,WeightSDS!P$8*$BA34^7+WeightSDS!Q$8*$BA34^6+WeightSDS!R$8*$BA34^5+WeightSDS!S$8*$BA34^4+WeightSDS!T$8*$BA34^3+WeightSDS!U$8*$BA34^2+WeightSDS!V$8*$BA34+WeightSDS!W$8,WeightSDS!$U$9+WeightSDS!$V$9*($BA34-WeightSDS!$W$9)))</f>
        <v>0.75407122999999998</v>
      </c>
      <c r="BI34" s="24">
        <f>IF($E$4="M",IF($BA34&lt;45,WeightSDS!M$23*$BA34^10+WeightSDS!N$23*$BA34^9+WeightSDS!O$23*$BA34^8+WeightSDS!P$23*$BA34^7+WeightSDS!Q$23*$BA34^6+WeightSDS!R$23*$BA34^5+WeightSDS!S$23*$BA34^4+WeightSDS!T$23*$BA34^3+WeightSDS!U$23*$BA34^2+WeightSDS!V$23*$BA34+WeightSDS!W$23,IF($BA34&lt;153,WeightSDS!M$25*$BA34^10+WeightSDS!N$25*$BA34^9+WeightSDS!O$25*$BA34^8+WeightSDS!P$25*$BA34^7+WeightSDS!Q$25*$BA34^6+WeightSDS!R$25*$BA34^5+WeightSDS!S$25*$BA34^4+WeightSDS!T$25*$BA34^3+WeightSDS!U$25*$BA34^2+WeightSDS!V$25*$BA34+WeightSDS!W$25,WeightSDS!M$27+WeightSDS!N$27/(1+EXP(WeightSDS!O$27+WeightSDS!P$27*$BA34)))),IF($BA34&lt;43.8,WeightSDS!M$29*$BA34^10+WeightSDS!N$29*$BA34^9+WeightSDS!O$29*$BA34^8+WeightSDS!P$29*$BA34^7+WeightSDS!Q$29*$BA34^6+WeightSDS!R$29*$BA34^5+WeightSDS!S$29*$BA34^4+WeightSDS!T$29*$BA34^3+WeightSDS!U$29*$BA34^2+WeightSDS!V$29*$BA34+WeightSDS!W$29-0.010431*(1-$BA34/210),IF($BA34&lt;123,WeightSDS!M$30*$BA34^10+WeightSDS!N$30*$BA34^9+WeightSDS!O$30*$BA34^8+WeightSDS!P$30*$BA34^7+WeightSDS!Q$30*$BA34^6+WeightSDS!R$30*$BA34^5+WeightSDS!S$30*$BA34^4+WeightSDS!T$30*$BA34^3+WeightSDS!U$30*$BA34^2+WeightSDS!V$30*$BA34+WeightSDS!W$30-0.010431*(1-1/$BA34),WeightSDS!M$32+WeightSDS!N$32/(1+EXP(WeightSDS!O$32+WeightSDS!P$32*$BA34))-0.010431*(1-$BA34/210))))</f>
        <v>2.9500001032655536</v>
      </c>
      <c r="BJ34" s="24">
        <f>IF($E$4="M",IF($BA34&lt;162,WeightSDS!P$12*$BA34^7+WeightSDS!Q$12*$BA34^6+WeightSDS!R$12*$BA34^5+WeightSDS!S$12*$BA34^4+WeightSDS!T$12*$BA34^3+WeightSDS!U$12*$BA34^2+WeightSDS!V$12*$BA34+WeightSDS!W$12,WeightSDS!P$14*$BA34^7+WeightSDS!Q$14*$BA34^6+WeightSDS!R$14*$BA34^5+WeightSDS!S$14*$BA34^4+WeightSDS!T$14*$BA34^3+WeightSDS!U$14*$BA34^2+WeightSDS!V$14*$BA34+WeightSDS!W$14),IF($BA34&lt;156,WeightSDS!O$17*$BA34^8+WeightSDS!P$17*$BA34^7+WeightSDS!Q$17*$BA34^6+WeightSDS!R$17*$BA34^5+WeightSDS!S$17*$BA34^4+WeightSDS!T$17*$BA34^3+WeightSDS!U$17*$BA34^2+WeightSDS!V$17*$BA34+WeightSDS!W$17,IF($BA34&lt;186,WeightSDS!$U$18+(WeightSDS!$V$18-WeightSDS!$U$18)/24*($BA34-186)+WeightSDS!$W$18*(-$BA34+186)^2-0.005,WeightSDS!$U$18+(WeightSDS!$V$18-WeightSDS!$U$18)/24*($BA34-186)-0.005)))</f>
        <v>0.14604529399999999</v>
      </c>
    </row>
    <row r="35" spans="2:62" s="4" customFormat="1" x14ac:dyDescent="0.15">
      <c r="B35" s="40"/>
      <c r="C35" s="141"/>
      <c r="D35" s="22"/>
      <c r="E35" s="110"/>
      <c r="F35" s="110"/>
      <c r="G35" s="110"/>
      <c r="H35" s="44" t="str">
        <f t="shared" si="0"/>
        <v/>
      </c>
      <c r="I35" s="111" t="str">
        <f t="shared" si="10"/>
        <v/>
      </c>
      <c r="J35" s="111" t="str">
        <f t="shared" si="2"/>
        <v/>
      </c>
      <c r="K35" s="111" t="str">
        <f t="shared" si="11"/>
        <v/>
      </c>
      <c r="L35" s="44" t="str">
        <f t="shared" si="12"/>
        <v/>
      </c>
      <c r="M35" s="111" t="str">
        <f t="shared" si="13"/>
        <v/>
      </c>
      <c r="N35" s="44" t="str">
        <f t="shared" si="14"/>
        <v/>
      </c>
      <c r="O35" s="44" t="str">
        <f t="shared" si="4"/>
        <v/>
      </c>
      <c r="P35" s="111" t="str">
        <f t="shared" si="15"/>
        <v/>
      </c>
      <c r="Q35" s="44" t="str">
        <f t="shared" si="16"/>
        <v/>
      </c>
      <c r="R35" s="157" t="str">
        <f t="shared" si="30"/>
        <v/>
      </c>
      <c r="S35" s="44" t="str">
        <f t="shared" si="17"/>
        <v/>
      </c>
      <c r="T35" s="140" t="str">
        <f t="shared" si="35"/>
        <v/>
      </c>
      <c r="U35" s="140" t="str">
        <f t="shared" si="19"/>
        <v/>
      </c>
      <c r="V35" s="24"/>
      <c r="W35" s="24"/>
      <c r="X35" s="24"/>
      <c r="Y35" s="24"/>
      <c r="Z35" s="24"/>
      <c r="AA35" s="24">
        <f t="shared" si="20"/>
        <v>0</v>
      </c>
      <c r="AB35" s="24"/>
      <c r="AC35" s="24" t="str">
        <f t="shared" si="27"/>
        <v/>
      </c>
      <c r="AD35" s="24" t="str">
        <f t="shared" si="21"/>
        <v/>
      </c>
      <c r="AE35" s="24">
        <f t="shared" si="22"/>
        <v>0</v>
      </c>
      <c r="AG35" s="24" t="e">
        <f t="shared" si="38"/>
        <v>#VALUE!</v>
      </c>
      <c r="AH35" s="24" t="e">
        <f t="shared" si="39"/>
        <v>#VALUE!</v>
      </c>
      <c r="AI35" s="24" t="e">
        <f t="shared" si="36"/>
        <v>#VALUE!</v>
      </c>
      <c r="AJ35" s="24" t="e">
        <f t="shared" si="37"/>
        <v>#VALUE!</v>
      </c>
      <c r="AL35" s="24"/>
      <c r="AM35" s="24" t="e">
        <f t="shared" si="33"/>
        <v>#VALUE!</v>
      </c>
      <c r="AN35" s="31"/>
      <c r="AO35" s="34">
        <f t="shared" si="5"/>
        <v>0</v>
      </c>
      <c r="AP35" s="24">
        <f t="shared" si="6"/>
        <v>0</v>
      </c>
      <c r="AQ35" s="24"/>
      <c r="AR35" s="112"/>
      <c r="AS35" s="112"/>
      <c r="AT35" s="59">
        <f t="shared" si="7"/>
        <v>9.0359999999999996</v>
      </c>
      <c r="AU35" s="59">
        <f t="shared" si="8"/>
        <v>-184.49199999999999</v>
      </c>
      <c r="AV35" s="59"/>
      <c r="AW35"/>
      <c r="AX35">
        <f>IF($E$4="M",IF(BA35&lt;78,BMILMS!$D$5*BA35^3+BMILMS!$E$5*BA35^2+BMILMS!$F$5*BA35+BMILMS!$G$5,IF(BA35&lt;150,BMILMS!$D$6*BA35^3+BMILMS!$E$6*BA35^2+BMILMS!$F$6*BA35+BMILMS!$G$6,BMILMS!$D$7*BA35^3+BMILMS!$E$7*BA35^2+BMILMS!$F$7*BA35+BMILMS!$G$7)),IF(BA35&lt;69,BMILMS!$D$9*BA35^3+BMILMS!$E$9*BA35^2+BMILMS!$F$9*BA35+BMILMS!$G$9,IF(BA35&lt;150,BMILMS!$D$10*BA35^3+BMILMS!$E$10*BA35^2+BMILMS!$F$10*BA35+BMILMS!$G$10,BMILMS!$D$11*BA35^3+BMILMS!$E$11*BA35^2+BMILMS!$F$11*BA35+BMILMS!$G$11)))</f>
        <v>0.79584630099999998</v>
      </c>
      <c r="AY35">
        <f>IF($E$4="M",(IF(BA35&lt;2.5,BMILMS!$D$21*BA35^3+BMILMS!$E$21*BA35^2+BMILMS!$F$21*BA35+BMILMS!$G$21,IF(BA35&lt;9.5,BMILMS!$D$22*BA35^3+BMILMS!$E$22*BA35^2+BMILMS!$F$22*BA35+BMILMS!$G$22,IF(BA35&lt;26.75,BMILMS!$D$23*BA35^3+BMILMS!$E$23*BA35^2+BMILMS!$F$23*BA35+BMILMS!$G$23,IF(BA35&lt;90,BMILMS!$D$24*BA35^3+BMILMS!$E$24*BA35^2+BMILMS!$F$24*BA35+BMILMS!$G$24,BMILMS!$D$25*BA35^3+BMILMS!$E$25*BA35^2+BMILMS!$F$25*BA35+BMILMS!$G$25))))),(IF(BA35&lt;2.5,BMILMS!$D$27*BA35^3+BMILMS!$E$27*BA35^2+BMILMS!$F$27*BA35+BMILMS!$G$27,IF(BA35&lt;9.5,BMILMS!$D$28*BA35^3+BMILMS!$E$28*BA35^2+BMILMS!$F$28*BA35+BMILMS!$G$28,IF(BA35&lt;26.75,BMILMS!$D$29*BA35^3+BMILMS!$E$29*BA35^2+BMILMS!$F$29*BA35+BMILMS!$G$29,IF(BA35&lt;90,BMILMS!$D$30*BA35^3+BMILMS!$E$30*BA35^2+BMILMS!$F$30*BA35+BMILMS!$G$30,IF(BA35&lt;150,BMILMS!$D$31*BA35^3+BMILMS!$E$31*BA35^2+BMILMS!$F$31*BA35+BMILMS!$G$31,BMILMS!$D$32*BA35^3+BMILMS!$E$32*BA35^2+BMILMS!$F$32*BA35+BMILMS!$G$32)))))))</f>
        <v>12.568967990000001</v>
      </c>
      <c r="AZ35">
        <f>IF($E$4="M",(IF(BA35&lt;90,BMILMS!$D$14*BA35^3+BMILMS!$E$14*BA35^2+BMILMS!$F$14*BA35+BMILMS!$G$14,BMILMS!$D$15*BA35^3+BMILMS!$E$15*BA35^2+BMILMS!$F$15*BA35+BMILMS!$G$15)),(IF(BA35&lt;90,BMILMS!$D$17*BA35^3+BMILMS!$E$17*BA35^2+BMILMS!$F$17*BA35+BMILMS!$G$17,BMILMS!$D$18*BA35^3+BMILMS!$E$18*BA35^2+BMILMS!$F$18*BA35+BMILMS!$G$18)))</f>
        <v>8.8969350000000003E-2</v>
      </c>
      <c r="BA35" s="24">
        <f t="shared" si="34"/>
        <v>0</v>
      </c>
      <c r="BB35" s="24">
        <f t="shared" si="9"/>
        <v>0</v>
      </c>
      <c r="BD35">
        <f t="shared" si="40"/>
        <v>0.56299999999999994</v>
      </c>
      <c r="BE35">
        <f t="shared" si="41"/>
        <v>69</v>
      </c>
      <c r="BF35">
        <f t="shared" si="42"/>
        <v>0.51</v>
      </c>
      <c r="BH35" s="35">
        <f>IF($E$4="M",WeightSDS!P$5*$BA35^7+WeightSDS!Q$5*$BA35^6+WeightSDS!R$5*$BA35^5+WeightSDS!S$5*$BA35^4+WeightSDS!T$5*$BA35^3+WeightSDS!U$5*$BA35^2+WeightSDS!V$5*$BA35+WeightSDS!W$5,IF($BA35&lt;186,WeightSDS!P$8*$BA35^7+WeightSDS!Q$8*$BA35^6+WeightSDS!R$8*$BA35^5+WeightSDS!S$8*$BA35^4+WeightSDS!T$8*$BA35^3+WeightSDS!U$8*$BA35^2+WeightSDS!V$8*$BA35+WeightSDS!W$8,WeightSDS!$U$9+WeightSDS!$V$9*($BA35-WeightSDS!$W$9)))</f>
        <v>0.75407122999999998</v>
      </c>
      <c r="BI35" s="24">
        <f>IF($E$4="M",IF($BA35&lt;45,WeightSDS!M$23*$BA35^10+WeightSDS!N$23*$BA35^9+WeightSDS!O$23*$BA35^8+WeightSDS!P$23*$BA35^7+WeightSDS!Q$23*$BA35^6+WeightSDS!R$23*$BA35^5+WeightSDS!S$23*$BA35^4+WeightSDS!T$23*$BA35^3+WeightSDS!U$23*$BA35^2+WeightSDS!V$23*$BA35+WeightSDS!W$23,IF($BA35&lt;153,WeightSDS!M$25*$BA35^10+WeightSDS!N$25*$BA35^9+WeightSDS!O$25*$BA35^8+WeightSDS!P$25*$BA35^7+WeightSDS!Q$25*$BA35^6+WeightSDS!R$25*$BA35^5+WeightSDS!S$25*$BA35^4+WeightSDS!T$25*$BA35^3+WeightSDS!U$25*$BA35^2+WeightSDS!V$25*$BA35+WeightSDS!W$25,WeightSDS!M$27+WeightSDS!N$27/(1+EXP(WeightSDS!O$27+WeightSDS!P$27*$BA35)))),IF($BA35&lt;43.8,WeightSDS!M$29*$BA35^10+WeightSDS!N$29*$BA35^9+WeightSDS!O$29*$BA35^8+WeightSDS!P$29*$BA35^7+WeightSDS!Q$29*$BA35^6+WeightSDS!R$29*$BA35^5+WeightSDS!S$29*$BA35^4+WeightSDS!T$29*$BA35^3+WeightSDS!U$29*$BA35^2+WeightSDS!V$29*$BA35+WeightSDS!W$29-0.010431*(1-$BA35/210),IF($BA35&lt;123,WeightSDS!M$30*$BA35^10+WeightSDS!N$30*$BA35^9+WeightSDS!O$30*$BA35^8+WeightSDS!P$30*$BA35^7+WeightSDS!Q$30*$BA35^6+WeightSDS!R$30*$BA35^5+WeightSDS!S$30*$BA35^4+WeightSDS!T$30*$BA35^3+WeightSDS!U$30*$BA35^2+WeightSDS!V$30*$BA35+WeightSDS!W$30-0.010431*(1-1/$BA35),WeightSDS!M$32+WeightSDS!N$32/(1+EXP(WeightSDS!O$32+WeightSDS!P$32*$BA35))-0.010431*(1-$BA35/210))))</f>
        <v>2.9500001032655536</v>
      </c>
      <c r="BJ35" s="24">
        <f>IF($E$4="M",IF($BA35&lt;162,WeightSDS!P$12*$BA35^7+WeightSDS!Q$12*$BA35^6+WeightSDS!R$12*$BA35^5+WeightSDS!S$12*$BA35^4+WeightSDS!T$12*$BA35^3+WeightSDS!U$12*$BA35^2+WeightSDS!V$12*$BA35+WeightSDS!W$12,WeightSDS!P$14*$BA35^7+WeightSDS!Q$14*$BA35^6+WeightSDS!R$14*$BA35^5+WeightSDS!S$14*$BA35^4+WeightSDS!T$14*$BA35^3+WeightSDS!U$14*$BA35^2+WeightSDS!V$14*$BA35+WeightSDS!W$14),IF($BA35&lt;156,WeightSDS!O$17*$BA35^8+WeightSDS!P$17*$BA35^7+WeightSDS!Q$17*$BA35^6+WeightSDS!R$17*$BA35^5+WeightSDS!S$17*$BA35^4+WeightSDS!T$17*$BA35^3+WeightSDS!U$17*$BA35^2+WeightSDS!V$17*$BA35+WeightSDS!W$17,IF($BA35&lt;186,WeightSDS!$U$18+(WeightSDS!$V$18-WeightSDS!$U$18)/24*($BA35-186)+WeightSDS!$W$18*(-$BA35+186)^2-0.005,WeightSDS!$U$18+(WeightSDS!$V$18-WeightSDS!$U$18)/24*($BA35-186)-0.005)))</f>
        <v>0.14604529399999999</v>
      </c>
    </row>
    <row r="36" spans="2:62" s="4" customFormat="1" x14ac:dyDescent="0.15">
      <c r="B36" s="40"/>
      <c r="C36" s="141"/>
      <c r="D36" s="22"/>
      <c r="E36" s="110"/>
      <c r="F36" s="110"/>
      <c r="G36" s="110"/>
      <c r="H36" s="44" t="str">
        <f t="shared" si="0"/>
        <v/>
      </c>
      <c r="I36" s="111" t="str">
        <f t="shared" si="10"/>
        <v/>
      </c>
      <c r="J36" s="111" t="str">
        <f t="shared" si="2"/>
        <v/>
      </c>
      <c r="K36" s="111" t="str">
        <f t="shared" si="11"/>
        <v/>
      </c>
      <c r="L36" s="44" t="str">
        <f t="shared" si="12"/>
        <v/>
      </c>
      <c r="M36" s="111" t="str">
        <f t="shared" si="13"/>
        <v/>
      </c>
      <c r="N36" s="44" t="str">
        <f t="shared" si="14"/>
        <v/>
      </c>
      <c r="O36" s="44" t="str">
        <f t="shared" si="4"/>
        <v/>
      </c>
      <c r="P36" s="111" t="str">
        <f t="shared" si="15"/>
        <v/>
      </c>
      <c r="Q36" s="44" t="str">
        <f t="shared" si="16"/>
        <v/>
      </c>
      <c r="R36" s="157" t="str">
        <f t="shared" si="30"/>
        <v/>
      </c>
      <c r="S36" s="44" t="str">
        <f t="shared" si="17"/>
        <v/>
      </c>
      <c r="T36" s="140" t="str">
        <f t="shared" si="35"/>
        <v/>
      </c>
      <c r="U36" s="140" t="str">
        <f t="shared" si="19"/>
        <v/>
      </c>
      <c r="V36" s="24"/>
      <c r="W36" s="24"/>
      <c r="X36" s="24"/>
      <c r="Y36" s="24"/>
      <c r="Z36" s="24"/>
      <c r="AA36" s="24">
        <f t="shared" si="20"/>
        <v>0</v>
      </c>
      <c r="AB36" s="24"/>
      <c r="AC36" s="24" t="str">
        <f t="shared" si="27"/>
        <v/>
      </c>
      <c r="AD36" s="24" t="str">
        <f t="shared" si="21"/>
        <v/>
      </c>
      <c r="AE36" s="24">
        <f t="shared" si="22"/>
        <v>0</v>
      </c>
      <c r="AG36" s="24" t="e">
        <f t="shared" si="38"/>
        <v>#VALUE!</v>
      </c>
      <c r="AH36" s="24" t="e">
        <f t="shared" si="39"/>
        <v>#VALUE!</v>
      </c>
      <c r="AI36" s="24" t="e">
        <f t="shared" si="36"/>
        <v>#VALUE!</v>
      </c>
      <c r="AJ36" s="24" t="e">
        <f t="shared" si="37"/>
        <v>#VALUE!</v>
      </c>
      <c r="AL36" s="24"/>
      <c r="AM36" s="24" t="e">
        <f t="shared" si="33"/>
        <v>#VALUE!</v>
      </c>
      <c r="AN36" s="31"/>
      <c r="AO36" s="34">
        <f t="shared" si="5"/>
        <v>0</v>
      </c>
      <c r="AP36" s="24">
        <f t="shared" si="6"/>
        <v>0</v>
      </c>
      <c r="AQ36" s="24"/>
      <c r="AR36" s="112"/>
      <c r="AS36" s="112"/>
      <c r="AT36" s="59">
        <f t="shared" si="7"/>
        <v>9.0359999999999996</v>
      </c>
      <c r="AU36" s="59">
        <f t="shared" si="8"/>
        <v>-184.49199999999999</v>
      </c>
      <c r="AV36" s="59"/>
      <c r="AW36"/>
      <c r="AX36">
        <f>IF($E$4="M",IF(BA36&lt;78,BMILMS!$D$5*BA36^3+BMILMS!$E$5*BA36^2+BMILMS!$F$5*BA36+BMILMS!$G$5,IF(BA36&lt;150,BMILMS!$D$6*BA36^3+BMILMS!$E$6*BA36^2+BMILMS!$F$6*BA36+BMILMS!$G$6,BMILMS!$D$7*BA36^3+BMILMS!$E$7*BA36^2+BMILMS!$F$7*BA36+BMILMS!$G$7)),IF(BA36&lt;69,BMILMS!$D$9*BA36^3+BMILMS!$E$9*BA36^2+BMILMS!$F$9*BA36+BMILMS!$G$9,IF(BA36&lt;150,BMILMS!$D$10*BA36^3+BMILMS!$E$10*BA36^2+BMILMS!$F$10*BA36+BMILMS!$G$10,BMILMS!$D$11*BA36^3+BMILMS!$E$11*BA36^2+BMILMS!$F$11*BA36+BMILMS!$G$11)))</f>
        <v>0.79584630099999998</v>
      </c>
      <c r="AY36">
        <f>IF($E$4="M",(IF(BA36&lt;2.5,BMILMS!$D$21*BA36^3+BMILMS!$E$21*BA36^2+BMILMS!$F$21*BA36+BMILMS!$G$21,IF(BA36&lt;9.5,BMILMS!$D$22*BA36^3+BMILMS!$E$22*BA36^2+BMILMS!$F$22*BA36+BMILMS!$G$22,IF(BA36&lt;26.75,BMILMS!$D$23*BA36^3+BMILMS!$E$23*BA36^2+BMILMS!$F$23*BA36+BMILMS!$G$23,IF(BA36&lt;90,BMILMS!$D$24*BA36^3+BMILMS!$E$24*BA36^2+BMILMS!$F$24*BA36+BMILMS!$G$24,BMILMS!$D$25*BA36^3+BMILMS!$E$25*BA36^2+BMILMS!$F$25*BA36+BMILMS!$G$25))))),(IF(BA36&lt;2.5,BMILMS!$D$27*BA36^3+BMILMS!$E$27*BA36^2+BMILMS!$F$27*BA36+BMILMS!$G$27,IF(BA36&lt;9.5,BMILMS!$D$28*BA36^3+BMILMS!$E$28*BA36^2+BMILMS!$F$28*BA36+BMILMS!$G$28,IF(BA36&lt;26.75,BMILMS!$D$29*BA36^3+BMILMS!$E$29*BA36^2+BMILMS!$F$29*BA36+BMILMS!$G$29,IF(BA36&lt;90,BMILMS!$D$30*BA36^3+BMILMS!$E$30*BA36^2+BMILMS!$F$30*BA36+BMILMS!$G$30,IF(BA36&lt;150,BMILMS!$D$31*BA36^3+BMILMS!$E$31*BA36^2+BMILMS!$F$31*BA36+BMILMS!$G$31,BMILMS!$D$32*BA36^3+BMILMS!$E$32*BA36^2+BMILMS!$F$32*BA36+BMILMS!$G$32)))))))</f>
        <v>12.568967990000001</v>
      </c>
      <c r="AZ36">
        <f>IF($E$4="M",(IF(BA36&lt;90,BMILMS!$D$14*BA36^3+BMILMS!$E$14*BA36^2+BMILMS!$F$14*BA36+BMILMS!$G$14,BMILMS!$D$15*BA36^3+BMILMS!$E$15*BA36^2+BMILMS!$F$15*BA36+BMILMS!$G$15)),(IF(BA36&lt;90,BMILMS!$D$17*BA36^3+BMILMS!$E$17*BA36^2+BMILMS!$F$17*BA36+BMILMS!$G$17,BMILMS!$D$18*BA36^3+BMILMS!$E$18*BA36^2+BMILMS!$F$18*BA36+BMILMS!$G$18)))</f>
        <v>8.8969350000000003E-2</v>
      </c>
      <c r="BA36" s="24">
        <f t="shared" si="34"/>
        <v>0</v>
      </c>
      <c r="BB36" s="24">
        <f t="shared" si="9"/>
        <v>0</v>
      </c>
      <c r="BD36">
        <f t="shared" si="40"/>
        <v>0.56299999999999994</v>
      </c>
      <c r="BE36">
        <f t="shared" si="41"/>
        <v>69</v>
      </c>
      <c r="BF36">
        <f t="shared" si="42"/>
        <v>0.51</v>
      </c>
      <c r="BH36" s="35">
        <f>IF($E$4="M",WeightSDS!P$5*$BA36^7+WeightSDS!Q$5*$BA36^6+WeightSDS!R$5*$BA36^5+WeightSDS!S$5*$BA36^4+WeightSDS!T$5*$BA36^3+WeightSDS!U$5*$BA36^2+WeightSDS!V$5*$BA36+WeightSDS!W$5,IF($BA36&lt;186,WeightSDS!P$8*$BA36^7+WeightSDS!Q$8*$BA36^6+WeightSDS!R$8*$BA36^5+WeightSDS!S$8*$BA36^4+WeightSDS!T$8*$BA36^3+WeightSDS!U$8*$BA36^2+WeightSDS!V$8*$BA36+WeightSDS!W$8,WeightSDS!$U$9+WeightSDS!$V$9*($BA36-WeightSDS!$W$9)))</f>
        <v>0.75407122999999998</v>
      </c>
      <c r="BI36" s="24">
        <f>IF($E$4="M",IF($BA36&lt;45,WeightSDS!M$23*$BA36^10+WeightSDS!N$23*$BA36^9+WeightSDS!O$23*$BA36^8+WeightSDS!P$23*$BA36^7+WeightSDS!Q$23*$BA36^6+WeightSDS!R$23*$BA36^5+WeightSDS!S$23*$BA36^4+WeightSDS!T$23*$BA36^3+WeightSDS!U$23*$BA36^2+WeightSDS!V$23*$BA36+WeightSDS!W$23,IF($BA36&lt;153,WeightSDS!M$25*$BA36^10+WeightSDS!N$25*$BA36^9+WeightSDS!O$25*$BA36^8+WeightSDS!P$25*$BA36^7+WeightSDS!Q$25*$BA36^6+WeightSDS!R$25*$BA36^5+WeightSDS!S$25*$BA36^4+WeightSDS!T$25*$BA36^3+WeightSDS!U$25*$BA36^2+WeightSDS!V$25*$BA36+WeightSDS!W$25,WeightSDS!M$27+WeightSDS!N$27/(1+EXP(WeightSDS!O$27+WeightSDS!P$27*$BA36)))),IF($BA36&lt;43.8,WeightSDS!M$29*$BA36^10+WeightSDS!N$29*$BA36^9+WeightSDS!O$29*$BA36^8+WeightSDS!P$29*$BA36^7+WeightSDS!Q$29*$BA36^6+WeightSDS!R$29*$BA36^5+WeightSDS!S$29*$BA36^4+WeightSDS!T$29*$BA36^3+WeightSDS!U$29*$BA36^2+WeightSDS!V$29*$BA36+WeightSDS!W$29-0.010431*(1-$BA36/210),IF($BA36&lt;123,WeightSDS!M$30*$BA36^10+WeightSDS!N$30*$BA36^9+WeightSDS!O$30*$BA36^8+WeightSDS!P$30*$BA36^7+WeightSDS!Q$30*$BA36^6+WeightSDS!R$30*$BA36^5+WeightSDS!S$30*$BA36^4+WeightSDS!T$30*$BA36^3+WeightSDS!U$30*$BA36^2+WeightSDS!V$30*$BA36+WeightSDS!W$30-0.010431*(1-1/$BA36),WeightSDS!M$32+WeightSDS!N$32/(1+EXP(WeightSDS!O$32+WeightSDS!P$32*$BA36))-0.010431*(1-$BA36/210))))</f>
        <v>2.9500001032655536</v>
      </c>
      <c r="BJ36" s="24">
        <f>IF($E$4="M",IF($BA36&lt;162,WeightSDS!P$12*$BA36^7+WeightSDS!Q$12*$BA36^6+WeightSDS!R$12*$BA36^5+WeightSDS!S$12*$BA36^4+WeightSDS!T$12*$BA36^3+WeightSDS!U$12*$BA36^2+WeightSDS!V$12*$BA36+WeightSDS!W$12,WeightSDS!P$14*$BA36^7+WeightSDS!Q$14*$BA36^6+WeightSDS!R$14*$BA36^5+WeightSDS!S$14*$BA36^4+WeightSDS!T$14*$BA36^3+WeightSDS!U$14*$BA36^2+WeightSDS!V$14*$BA36+WeightSDS!W$14),IF($BA36&lt;156,WeightSDS!O$17*$BA36^8+WeightSDS!P$17*$BA36^7+WeightSDS!Q$17*$BA36^6+WeightSDS!R$17*$BA36^5+WeightSDS!S$17*$BA36^4+WeightSDS!T$17*$BA36^3+WeightSDS!U$17*$BA36^2+WeightSDS!V$17*$BA36+WeightSDS!W$17,IF($BA36&lt;186,WeightSDS!$U$18+(WeightSDS!$V$18-WeightSDS!$U$18)/24*($BA36-186)+WeightSDS!$W$18*(-$BA36+186)^2-0.005,WeightSDS!$U$18+(WeightSDS!$V$18-WeightSDS!$U$18)/24*($BA36-186)-0.005)))</f>
        <v>0.14604529399999999</v>
      </c>
    </row>
    <row r="37" spans="2:62" s="4" customFormat="1" x14ac:dyDescent="0.15">
      <c r="B37" s="40"/>
      <c r="C37" s="141"/>
      <c r="D37" s="22"/>
      <c r="E37" s="110"/>
      <c r="F37" s="110"/>
      <c r="G37" s="110"/>
      <c r="H37" s="44" t="str">
        <f t="shared" si="0"/>
        <v/>
      </c>
      <c r="I37" s="111" t="str">
        <f t="shared" si="10"/>
        <v/>
      </c>
      <c r="J37" s="111" t="str">
        <f t="shared" si="2"/>
        <v/>
      </c>
      <c r="K37" s="111" t="str">
        <f t="shared" si="11"/>
        <v/>
      </c>
      <c r="L37" s="44" t="str">
        <f t="shared" si="12"/>
        <v/>
      </c>
      <c r="M37" s="111" t="str">
        <f t="shared" si="13"/>
        <v/>
      </c>
      <c r="N37" s="44" t="str">
        <f t="shared" si="14"/>
        <v/>
      </c>
      <c r="O37" s="44" t="str">
        <f t="shared" si="4"/>
        <v/>
      </c>
      <c r="P37" s="111" t="str">
        <f t="shared" si="15"/>
        <v/>
      </c>
      <c r="Q37" s="44" t="str">
        <f t="shared" si="16"/>
        <v/>
      </c>
      <c r="R37" s="157" t="str">
        <f t="shared" si="30"/>
        <v/>
      </c>
      <c r="S37" s="44" t="str">
        <f t="shared" si="17"/>
        <v/>
      </c>
      <c r="T37" s="140" t="str">
        <f t="shared" si="35"/>
        <v/>
      </c>
      <c r="U37" s="140" t="str">
        <f t="shared" si="19"/>
        <v/>
      </c>
      <c r="V37" s="24"/>
      <c r="W37" s="24"/>
      <c r="X37" s="24"/>
      <c r="Y37" s="24"/>
      <c r="Z37" s="24"/>
      <c r="AA37" s="24">
        <f t="shared" si="20"/>
        <v>0</v>
      </c>
      <c r="AB37" s="24"/>
      <c r="AC37" s="24" t="str">
        <f t="shared" si="27"/>
        <v/>
      </c>
      <c r="AD37" s="24" t="str">
        <f t="shared" si="21"/>
        <v/>
      </c>
      <c r="AE37" s="24">
        <f t="shared" si="22"/>
        <v>0</v>
      </c>
      <c r="AG37" s="24" t="e">
        <f t="shared" si="38"/>
        <v>#VALUE!</v>
      </c>
      <c r="AH37" s="24" t="e">
        <f t="shared" si="39"/>
        <v>#VALUE!</v>
      </c>
      <c r="AI37" s="24" t="e">
        <f t="shared" si="36"/>
        <v>#VALUE!</v>
      </c>
      <c r="AJ37" s="24" t="e">
        <f t="shared" si="37"/>
        <v>#VALUE!</v>
      </c>
      <c r="AL37" s="24"/>
      <c r="AM37" s="24" t="e">
        <f t="shared" si="33"/>
        <v>#VALUE!</v>
      </c>
      <c r="AN37" s="31"/>
      <c r="AO37" s="34">
        <f t="shared" si="5"/>
        <v>0</v>
      </c>
      <c r="AP37" s="24">
        <f t="shared" si="6"/>
        <v>0</v>
      </c>
      <c r="AQ37" s="24"/>
      <c r="AR37" s="112"/>
      <c r="AS37" s="112"/>
      <c r="AT37" s="59">
        <f t="shared" si="7"/>
        <v>9.0359999999999996</v>
      </c>
      <c r="AU37" s="59">
        <f t="shared" si="8"/>
        <v>-184.49199999999999</v>
      </c>
      <c r="AV37" s="59"/>
      <c r="AW37"/>
      <c r="AX37">
        <f>IF($E$4="M",IF(BA37&lt;78,BMILMS!$D$5*BA37^3+BMILMS!$E$5*BA37^2+BMILMS!$F$5*BA37+BMILMS!$G$5,IF(BA37&lt;150,BMILMS!$D$6*BA37^3+BMILMS!$E$6*BA37^2+BMILMS!$F$6*BA37+BMILMS!$G$6,BMILMS!$D$7*BA37^3+BMILMS!$E$7*BA37^2+BMILMS!$F$7*BA37+BMILMS!$G$7)),IF(BA37&lt;69,BMILMS!$D$9*BA37^3+BMILMS!$E$9*BA37^2+BMILMS!$F$9*BA37+BMILMS!$G$9,IF(BA37&lt;150,BMILMS!$D$10*BA37^3+BMILMS!$E$10*BA37^2+BMILMS!$F$10*BA37+BMILMS!$G$10,BMILMS!$D$11*BA37^3+BMILMS!$E$11*BA37^2+BMILMS!$F$11*BA37+BMILMS!$G$11)))</f>
        <v>0.79584630099999998</v>
      </c>
      <c r="AY37">
        <f>IF($E$4="M",(IF(BA37&lt;2.5,BMILMS!$D$21*BA37^3+BMILMS!$E$21*BA37^2+BMILMS!$F$21*BA37+BMILMS!$G$21,IF(BA37&lt;9.5,BMILMS!$D$22*BA37^3+BMILMS!$E$22*BA37^2+BMILMS!$F$22*BA37+BMILMS!$G$22,IF(BA37&lt;26.75,BMILMS!$D$23*BA37^3+BMILMS!$E$23*BA37^2+BMILMS!$F$23*BA37+BMILMS!$G$23,IF(BA37&lt;90,BMILMS!$D$24*BA37^3+BMILMS!$E$24*BA37^2+BMILMS!$F$24*BA37+BMILMS!$G$24,BMILMS!$D$25*BA37^3+BMILMS!$E$25*BA37^2+BMILMS!$F$25*BA37+BMILMS!$G$25))))),(IF(BA37&lt;2.5,BMILMS!$D$27*BA37^3+BMILMS!$E$27*BA37^2+BMILMS!$F$27*BA37+BMILMS!$G$27,IF(BA37&lt;9.5,BMILMS!$D$28*BA37^3+BMILMS!$E$28*BA37^2+BMILMS!$F$28*BA37+BMILMS!$G$28,IF(BA37&lt;26.75,BMILMS!$D$29*BA37^3+BMILMS!$E$29*BA37^2+BMILMS!$F$29*BA37+BMILMS!$G$29,IF(BA37&lt;90,BMILMS!$D$30*BA37^3+BMILMS!$E$30*BA37^2+BMILMS!$F$30*BA37+BMILMS!$G$30,IF(BA37&lt;150,BMILMS!$D$31*BA37^3+BMILMS!$E$31*BA37^2+BMILMS!$F$31*BA37+BMILMS!$G$31,BMILMS!$D$32*BA37^3+BMILMS!$E$32*BA37^2+BMILMS!$F$32*BA37+BMILMS!$G$32)))))))</f>
        <v>12.568967990000001</v>
      </c>
      <c r="AZ37">
        <f>IF($E$4="M",(IF(BA37&lt;90,BMILMS!$D$14*BA37^3+BMILMS!$E$14*BA37^2+BMILMS!$F$14*BA37+BMILMS!$G$14,BMILMS!$D$15*BA37^3+BMILMS!$E$15*BA37^2+BMILMS!$F$15*BA37+BMILMS!$G$15)),(IF(BA37&lt;90,BMILMS!$D$17*BA37^3+BMILMS!$E$17*BA37^2+BMILMS!$F$17*BA37+BMILMS!$G$17,BMILMS!$D$18*BA37^3+BMILMS!$E$18*BA37^2+BMILMS!$F$18*BA37+BMILMS!$G$18)))</f>
        <v>8.8969350000000003E-2</v>
      </c>
      <c r="BA37" s="24">
        <f t="shared" si="34"/>
        <v>0</v>
      </c>
      <c r="BB37" s="24">
        <f t="shared" si="9"/>
        <v>0</v>
      </c>
      <c r="BD37">
        <f t="shared" si="40"/>
        <v>0.56299999999999994</v>
      </c>
      <c r="BE37">
        <f t="shared" si="41"/>
        <v>69</v>
      </c>
      <c r="BF37">
        <f t="shared" si="42"/>
        <v>0.51</v>
      </c>
      <c r="BH37" s="35">
        <f>IF($E$4="M",WeightSDS!P$5*$BA37^7+WeightSDS!Q$5*$BA37^6+WeightSDS!R$5*$BA37^5+WeightSDS!S$5*$BA37^4+WeightSDS!T$5*$BA37^3+WeightSDS!U$5*$BA37^2+WeightSDS!V$5*$BA37+WeightSDS!W$5,IF($BA37&lt;186,WeightSDS!P$8*$BA37^7+WeightSDS!Q$8*$BA37^6+WeightSDS!R$8*$BA37^5+WeightSDS!S$8*$BA37^4+WeightSDS!T$8*$BA37^3+WeightSDS!U$8*$BA37^2+WeightSDS!V$8*$BA37+WeightSDS!W$8,WeightSDS!$U$9+WeightSDS!$V$9*($BA37-WeightSDS!$W$9)))</f>
        <v>0.75407122999999998</v>
      </c>
      <c r="BI37" s="24">
        <f>IF($E$4="M",IF($BA37&lt;45,WeightSDS!M$23*$BA37^10+WeightSDS!N$23*$BA37^9+WeightSDS!O$23*$BA37^8+WeightSDS!P$23*$BA37^7+WeightSDS!Q$23*$BA37^6+WeightSDS!R$23*$BA37^5+WeightSDS!S$23*$BA37^4+WeightSDS!T$23*$BA37^3+WeightSDS!U$23*$BA37^2+WeightSDS!V$23*$BA37+WeightSDS!W$23,IF($BA37&lt;153,WeightSDS!M$25*$BA37^10+WeightSDS!N$25*$BA37^9+WeightSDS!O$25*$BA37^8+WeightSDS!P$25*$BA37^7+WeightSDS!Q$25*$BA37^6+WeightSDS!R$25*$BA37^5+WeightSDS!S$25*$BA37^4+WeightSDS!T$25*$BA37^3+WeightSDS!U$25*$BA37^2+WeightSDS!V$25*$BA37+WeightSDS!W$25,WeightSDS!M$27+WeightSDS!N$27/(1+EXP(WeightSDS!O$27+WeightSDS!P$27*$BA37)))),IF($BA37&lt;43.8,WeightSDS!M$29*$BA37^10+WeightSDS!N$29*$BA37^9+WeightSDS!O$29*$BA37^8+WeightSDS!P$29*$BA37^7+WeightSDS!Q$29*$BA37^6+WeightSDS!R$29*$BA37^5+WeightSDS!S$29*$BA37^4+WeightSDS!T$29*$BA37^3+WeightSDS!U$29*$BA37^2+WeightSDS!V$29*$BA37+WeightSDS!W$29-0.010431*(1-$BA37/210),IF($BA37&lt;123,WeightSDS!M$30*$BA37^10+WeightSDS!N$30*$BA37^9+WeightSDS!O$30*$BA37^8+WeightSDS!P$30*$BA37^7+WeightSDS!Q$30*$BA37^6+WeightSDS!R$30*$BA37^5+WeightSDS!S$30*$BA37^4+WeightSDS!T$30*$BA37^3+WeightSDS!U$30*$BA37^2+WeightSDS!V$30*$BA37+WeightSDS!W$30-0.010431*(1-1/$BA37),WeightSDS!M$32+WeightSDS!N$32/(1+EXP(WeightSDS!O$32+WeightSDS!P$32*$BA37))-0.010431*(1-$BA37/210))))</f>
        <v>2.9500001032655536</v>
      </c>
      <c r="BJ37" s="24">
        <f>IF($E$4="M",IF($BA37&lt;162,WeightSDS!P$12*$BA37^7+WeightSDS!Q$12*$BA37^6+WeightSDS!R$12*$BA37^5+WeightSDS!S$12*$BA37^4+WeightSDS!T$12*$BA37^3+WeightSDS!U$12*$BA37^2+WeightSDS!V$12*$BA37+WeightSDS!W$12,WeightSDS!P$14*$BA37^7+WeightSDS!Q$14*$BA37^6+WeightSDS!R$14*$BA37^5+WeightSDS!S$14*$BA37^4+WeightSDS!T$14*$BA37^3+WeightSDS!U$14*$BA37^2+WeightSDS!V$14*$BA37+WeightSDS!W$14),IF($BA37&lt;156,WeightSDS!O$17*$BA37^8+WeightSDS!P$17*$BA37^7+WeightSDS!Q$17*$BA37^6+WeightSDS!R$17*$BA37^5+WeightSDS!S$17*$BA37^4+WeightSDS!T$17*$BA37^3+WeightSDS!U$17*$BA37^2+WeightSDS!V$17*$BA37+WeightSDS!W$17,IF($BA37&lt;186,WeightSDS!$U$18+(WeightSDS!$V$18-WeightSDS!$U$18)/24*($BA37-186)+WeightSDS!$W$18*(-$BA37+186)^2-0.005,WeightSDS!$U$18+(WeightSDS!$V$18-WeightSDS!$U$18)/24*($BA37-186)-0.005)))</f>
        <v>0.14604529399999999</v>
      </c>
    </row>
    <row r="38" spans="2:62" s="4" customFormat="1" x14ac:dyDescent="0.15">
      <c r="B38" s="40"/>
      <c r="C38" s="141"/>
      <c r="D38" s="22"/>
      <c r="E38" s="110"/>
      <c r="F38" s="110"/>
      <c r="G38" s="110"/>
      <c r="H38" s="44" t="str">
        <f t="shared" si="0"/>
        <v/>
      </c>
      <c r="I38" s="111" t="str">
        <f t="shared" si="10"/>
        <v/>
      </c>
      <c r="J38" s="111" t="str">
        <f t="shared" si="2"/>
        <v/>
      </c>
      <c r="K38" s="111" t="str">
        <f t="shared" si="11"/>
        <v/>
      </c>
      <c r="L38" s="44" t="str">
        <f t="shared" si="12"/>
        <v/>
      </c>
      <c r="M38" s="111" t="str">
        <f t="shared" si="13"/>
        <v/>
      </c>
      <c r="N38" s="44" t="str">
        <f t="shared" si="14"/>
        <v/>
      </c>
      <c r="O38" s="44" t="str">
        <f t="shared" si="4"/>
        <v/>
      </c>
      <c r="P38" s="111" t="str">
        <f t="shared" si="15"/>
        <v/>
      </c>
      <c r="Q38" s="44" t="str">
        <f t="shared" si="16"/>
        <v/>
      </c>
      <c r="R38" s="157" t="str">
        <f t="shared" si="30"/>
        <v/>
      </c>
      <c r="S38" s="44" t="str">
        <f t="shared" si="17"/>
        <v/>
      </c>
      <c r="T38" s="140" t="str">
        <f t="shared" si="35"/>
        <v/>
      </c>
      <c r="U38" s="140" t="str">
        <f t="shared" si="19"/>
        <v/>
      </c>
      <c r="V38" s="24"/>
      <c r="W38" s="24"/>
      <c r="X38" s="24"/>
      <c r="Y38" s="24"/>
      <c r="Z38" s="24"/>
      <c r="AA38" s="24">
        <f t="shared" si="20"/>
        <v>0</v>
      </c>
      <c r="AB38" s="24"/>
      <c r="AC38" s="24" t="str">
        <f t="shared" si="27"/>
        <v/>
      </c>
      <c r="AD38" s="24" t="str">
        <f t="shared" si="21"/>
        <v/>
      </c>
      <c r="AE38" s="24">
        <f t="shared" si="22"/>
        <v>0</v>
      </c>
      <c r="AG38" s="24" t="e">
        <f t="shared" si="38"/>
        <v>#VALUE!</v>
      </c>
      <c r="AH38" s="24" t="e">
        <f t="shared" si="39"/>
        <v>#VALUE!</v>
      </c>
      <c r="AI38" s="24" t="e">
        <f t="shared" si="36"/>
        <v>#VALUE!</v>
      </c>
      <c r="AJ38" s="24" t="e">
        <f t="shared" si="37"/>
        <v>#VALUE!</v>
      </c>
      <c r="AL38" s="24"/>
      <c r="AM38" s="24" t="e">
        <f t="shared" si="33"/>
        <v>#VALUE!</v>
      </c>
      <c r="AN38" s="31"/>
      <c r="AO38" s="34">
        <f t="shared" si="5"/>
        <v>0</v>
      </c>
      <c r="AP38" s="24">
        <f t="shared" si="6"/>
        <v>0</v>
      </c>
      <c r="AQ38" s="24"/>
      <c r="AR38" s="112"/>
      <c r="AS38" s="112"/>
      <c r="AT38" s="59">
        <f t="shared" si="7"/>
        <v>9.0359999999999996</v>
      </c>
      <c r="AU38" s="59">
        <f t="shared" si="8"/>
        <v>-184.49199999999999</v>
      </c>
      <c r="AV38" s="59"/>
      <c r="AW38"/>
      <c r="AX38">
        <f>IF($E$4="M",IF(BA38&lt;78,BMILMS!$D$5*BA38^3+BMILMS!$E$5*BA38^2+BMILMS!$F$5*BA38+BMILMS!$G$5,IF(BA38&lt;150,BMILMS!$D$6*BA38^3+BMILMS!$E$6*BA38^2+BMILMS!$F$6*BA38+BMILMS!$G$6,BMILMS!$D$7*BA38^3+BMILMS!$E$7*BA38^2+BMILMS!$F$7*BA38+BMILMS!$G$7)),IF(BA38&lt;69,BMILMS!$D$9*BA38^3+BMILMS!$E$9*BA38^2+BMILMS!$F$9*BA38+BMILMS!$G$9,IF(BA38&lt;150,BMILMS!$D$10*BA38^3+BMILMS!$E$10*BA38^2+BMILMS!$F$10*BA38+BMILMS!$G$10,BMILMS!$D$11*BA38^3+BMILMS!$E$11*BA38^2+BMILMS!$F$11*BA38+BMILMS!$G$11)))</f>
        <v>0.79584630099999998</v>
      </c>
      <c r="AY38">
        <f>IF($E$4="M",(IF(BA38&lt;2.5,BMILMS!$D$21*BA38^3+BMILMS!$E$21*BA38^2+BMILMS!$F$21*BA38+BMILMS!$G$21,IF(BA38&lt;9.5,BMILMS!$D$22*BA38^3+BMILMS!$E$22*BA38^2+BMILMS!$F$22*BA38+BMILMS!$G$22,IF(BA38&lt;26.75,BMILMS!$D$23*BA38^3+BMILMS!$E$23*BA38^2+BMILMS!$F$23*BA38+BMILMS!$G$23,IF(BA38&lt;90,BMILMS!$D$24*BA38^3+BMILMS!$E$24*BA38^2+BMILMS!$F$24*BA38+BMILMS!$G$24,BMILMS!$D$25*BA38^3+BMILMS!$E$25*BA38^2+BMILMS!$F$25*BA38+BMILMS!$G$25))))),(IF(BA38&lt;2.5,BMILMS!$D$27*BA38^3+BMILMS!$E$27*BA38^2+BMILMS!$F$27*BA38+BMILMS!$G$27,IF(BA38&lt;9.5,BMILMS!$D$28*BA38^3+BMILMS!$E$28*BA38^2+BMILMS!$F$28*BA38+BMILMS!$G$28,IF(BA38&lt;26.75,BMILMS!$D$29*BA38^3+BMILMS!$E$29*BA38^2+BMILMS!$F$29*BA38+BMILMS!$G$29,IF(BA38&lt;90,BMILMS!$D$30*BA38^3+BMILMS!$E$30*BA38^2+BMILMS!$F$30*BA38+BMILMS!$G$30,IF(BA38&lt;150,BMILMS!$D$31*BA38^3+BMILMS!$E$31*BA38^2+BMILMS!$F$31*BA38+BMILMS!$G$31,BMILMS!$D$32*BA38^3+BMILMS!$E$32*BA38^2+BMILMS!$F$32*BA38+BMILMS!$G$32)))))))</f>
        <v>12.568967990000001</v>
      </c>
      <c r="AZ38">
        <f>IF($E$4="M",(IF(BA38&lt;90,BMILMS!$D$14*BA38^3+BMILMS!$E$14*BA38^2+BMILMS!$F$14*BA38+BMILMS!$G$14,BMILMS!$D$15*BA38^3+BMILMS!$E$15*BA38^2+BMILMS!$F$15*BA38+BMILMS!$G$15)),(IF(BA38&lt;90,BMILMS!$D$17*BA38^3+BMILMS!$E$17*BA38^2+BMILMS!$F$17*BA38+BMILMS!$G$17,BMILMS!$D$18*BA38^3+BMILMS!$E$18*BA38^2+BMILMS!$F$18*BA38+BMILMS!$G$18)))</f>
        <v>8.8969350000000003E-2</v>
      </c>
      <c r="BA38" s="24">
        <f t="shared" si="34"/>
        <v>0</v>
      </c>
      <c r="BB38" s="24">
        <f t="shared" si="9"/>
        <v>0</v>
      </c>
      <c r="BD38">
        <f t="shared" si="40"/>
        <v>0.56299999999999994</v>
      </c>
      <c r="BE38">
        <f t="shared" si="41"/>
        <v>69</v>
      </c>
      <c r="BF38">
        <f t="shared" si="42"/>
        <v>0.51</v>
      </c>
      <c r="BH38" s="35">
        <f>IF($E$4="M",WeightSDS!P$5*$BA38^7+WeightSDS!Q$5*$BA38^6+WeightSDS!R$5*$BA38^5+WeightSDS!S$5*$BA38^4+WeightSDS!T$5*$BA38^3+WeightSDS!U$5*$BA38^2+WeightSDS!V$5*$BA38+WeightSDS!W$5,IF($BA38&lt;186,WeightSDS!P$8*$BA38^7+WeightSDS!Q$8*$BA38^6+WeightSDS!R$8*$BA38^5+WeightSDS!S$8*$BA38^4+WeightSDS!T$8*$BA38^3+WeightSDS!U$8*$BA38^2+WeightSDS!V$8*$BA38+WeightSDS!W$8,WeightSDS!$U$9+WeightSDS!$V$9*($BA38-WeightSDS!$W$9)))</f>
        <v>0.75407122999999998</v>
      </c>
      <c r="BI38" s="24">
        <f>IF($E$4="M",IF($BA38&lt;45,WeightSDS!M$23*$BA38^10+WeightSDS!N$23*$BA38^9+WeightSDS!O$23*$BA38^8+WeightSDS!P$23*$BA38^7+WeightSDS!Q$23*$BA38^6+WeightSDS!R$23*$BA38^5+WeightSDS!S$23*$BA38^4+WeightSDS!T$23*$BA38^3+WeightSDS!U$23*$BA38^2+WeightSDS!V$23*$BA38+WeightSDS!W$23,IF($BA38&lt;153,WeightSDS!M$25*$BA38^10+WeightSDS!N$25*$BA38^9+WeightSDS!O$25*$BA38^8+WeightSDS!P$25*$BA38^7+WeightSDS!Q$25*$BA38^6+WeightSDS!R$25*$BA38^5+WeightSDS!S$25*$BA38^4+WeightSDS!T$25*$BA38^3+WeightSDS!U$25*$BA38^2+WeightSDS!V$25*$BA38+WeightSDS!W$25,WeightSDS!M$27+WeightSDS!N$27/(1+EXP(WeightSDS!O$27+WeightSDS!P$27*$BA38)))),IF($BA38&lt;43.8,WeightSDS!M$29*$BA38^10+WeightSDS!N$29*$BA38^9+WeightSDS!O$29*$BA38^8+WeightSDS!P$29*$BA38^7+WeightSDS!Q$29*$BA38^6+WeightSDS!R$29*$BA38^5+WeightSDS!S$29*$BA38^4+WeightSDS!T$29*$BA38^3+WeightSDS!U$29*$BA38^2+WeightSDS!V$29*$BA38+WeightSDS!W$29-0.010431*(1-$BA38/210),IF($BA38&lt;123,WeightSDS!M$30*$BA38^10+WeightSDS!N$30*$BA38^9+WeightSDS!O$30*$BA38^8+WeightSDS!P$30*$BA38^7+WeightSDS!Q$30*$BA38^6+WeightSDS!R$30*$BA38^5+WeightSDS!S$30*$BA38^4+WeightSDS!T$30*$BA38^3+WeightSDS!U$30*$BA38^2+WeightSDS!V$30*$BA38+WeightSDS!W$30-0.010431*(1-1/$BA38),WeightSDS!M$32+WeightSDS!N$32/(1+EXP(WeightSDS!O$32+WeightSDS!P$32*$BA38))-0.010431*(1-$BA38/210))))</f>
        <v>2.9500001032655536</v>
      </c>
      <c r="BJ38" s="24">
        <f>IF($E$4="M",IF($BA38&lt;162,WeightSDS!P$12*$BA38^7+WeightSDS!Q$12*$BA38^6+WeightSDS!R$12*$BA38^5+WeightSDS!S$12*$BA38^4+WeightSDS!T$12*$BA38^3+WeightSDS!U$12*$BA38^2+WeightSDS!V$12*$BA38+WeightSDS!W$12,WeightSDS!P$14*$BA38^7+WeightSDS!Q$14*$BA38^6+WeightSDS!R$14*$BA38^5+WeightSDS!S$14*$BA38^4+WeightSDS!T$14*$BA38^3+WeightSDS!U$14*$BA38^2+WeightSDS!V$14*$BA38+WeightSDS!W$14),IF($BA38&lt;156,WeightSDS!O$17*$BA38^8+WeightSDS!P$17*$BA38^7+WeightSDS!Q$17*$BA38^6+WeightSDS!R$17*$BA38^5+WeightSDS!S$17*$BA38^4+WeightSDS!T$17*$BA38^3+WeightSDS!U$17*$BA38^2+WeightSDS!V$17*$BA38+WeightSDS!W$17,IF($BA38&lt;186,WeightSDS!$U$18+(WeightSDS!$V$18-WeightSDS!$U$18)/24*($BA38-186)+WeightSDS!$W$18*(-$BA38+186)^2-0.005,WeightSDS!$U$18+(WeightSDS!$V$18-WeightSDS!$U$18)/24*($BA38-186)-0.005)))</f>
        <v>0.14604529399999999</v>
      </c>
    </row>
    <row r="39" spans="2:62" s="4" customFormat="1" x14ac:dyDescent="0.15">
      <c r="B39" s="40"/>
      <c r="C39" s="141"/>
      <c r="D39" s="22"/>
      <c r="E39" s="110"/>
      <c r="F39" s="110"/>
      <c r="G39" s="110"/>
      <c r="H39" s="44" t="str">
        <f t="shared" si="0"/>
        <v/>
      </c>
      <c r="I39" s="111" t="str">
        <f t="shared" si="10"/>
        <v/>
      </c>
      <c r="J39" s="111" t="str">
        <f t="shared" si="2"/>
        <v/>
      </c>
      <c r="K39" s="111" t="str">
        <f t="shared" si="11"/>
        <v/>
      </c>
      <c r="L39" s="44" t="str">
        <f t="shared" si="12"/>
        <v/>
      </c>
      <c r="M39" s="111" t="str">
        <f t="shared" si="13"/>
        <v/>
      </c>
      <c r="N39" s="44" t="str">
        <f t="shared" si="14"/>
        <v/>
      </c>
      <c r="O39" s="44" t="str">
        <f t="shared" si="4"/>
        <v/>
      </c>
      <c r="P39" s="111" t="str">
        <f t="shared" si="15"/>
        <v/>
      </c>
      <c r="Q39" s="44" t="str">
        <f t="shared" si="16"/>
        <v/>
      </c>
      <c r="R39" s="157" t="str">
        <f t="shared" si="30"/>
        <v/>
      </c>
      <c r="S39" s="44" t="str">
        <f t="shared" si="17"/>
        <v/>
      </c>
      <c r="T39" s="140" t="str">
        <f t="shared" si="35"/>
        <v/>
      </c>
      <c r="U39" s="140" t="str">
        <f t="shared" si="19"/>
        <v/>
      </c>
      <c r="V39" s="24"/>
      <c r="W39" s="24"/>
      <c r="X39" s="24"/>
      <c r="Y39" s="24"/>
      <c r="Z39" s="24"/>
      <c r="AA39" s="24">
        <f t="shared" si="20"/>
        <v>0</v>
      </c>
      <c r="AB39" s="24"/>
      <c r="AC39" s="24" t="str">
        <f t="shared" si="27"/>
        <v/>
      </c>
      <c r="AD39" s="24" t="str">
        <f t="shared" si="21"/>
        <v/>
      </c>
      <c r="AE39" s="24">
        <f t="shared" si="22"/>
        <v>0</v>
      </c>
      <c r="AG39" s="24" t="e">
        <f t="shared" si="38"/>
        <v>#VALUE!</v>
      </c>
      <c r="AH39" s="24" t="e">
        <f t="shared" si="39"/>
        <v>#VALUE!</v>
      </c>
      <c r="AI39" s="24" t="e">
        <f t="shared" si="36"/>
        <v>#VALUE!</v>
      </c>
      <c r="AJ39" s="24" t="e">
        <f t="shared" si="37"/>
        <v>#VALUE!</v>
      </c>
      <c r="AL39" s="24"/>
      <c r="AM39" s="24" t="e">
        <f t="shared" si="33"/>
        <v>#VALUE!</v>
      </c>
      <c r="AN39" s="31"/>
      <c r="AO39" s="34">
        <f t="shared" si="5"/>
        <v>0</v>
      </c>
      <c r="AP39" s="24">
        <f t="shared" si="6"/>
        <v>0</v>
      </c>
      <c r="AQ39" s="24"/>
      <c r="AR39" s="112"/>
      <c r="AS39" s="112"/>
      <c r="AT39" s="59">
        <f t="shared" si="7"/>
        <v>9.0359999999999996</v>
      </c>
      <c r="AU39" s="59">
        <f t="shared" si="8"/>
        <v>-184.49199999999999</v>
      </c>
      <c r="AV39" s="59"/>
      <c r="AW39"/>
      <c r="AX39">
        <f>IF($E$4="M",IF(BA39&lt;78,BMILMS!$D$5*BA39^3+BMILMS!$E$5*BA39^2+BMILMS!$F$5*BA39+BMILMS!$G$5,IF(BA39&lt;150,BMILMS!$D$6*BA39^3+BMILMS!$E$6*BA39^2+BMILMS!$F$6*BA39+BMILMS!$G$6,BMILMS!$D$7*BA39^3+BMILMS!$E$7*BA39^2+BMILMS!$F$7*BA39+BMILMS!$G$7)),IF(BA39&lt;69,BMILMS!$D$9*BA39^3+BMILMS!$E$9*BA39^2+BMILMS!$F$9*BA39+BMILMS!$G$9,IF(BA39&lt;150,BMILMS!$D$10*BA39^3+BMILMS!$E$10*BA39^2+BMILMS!$F$10*BA39+BMILMS!$G$10,BMILMS!$D$11*BA39^3+BMILMS!$E$11*BA39^2+BMILMS!$F$11*BA39+BMILMS!$G$11)))</f>
        <v>0.79584630099999998</v>
      </c>
      <c r="AY39">
        <f>IF($E$4="M",(IF(BA39&lt;2.5,BMILMS!$D$21*BA39^3+BMILMS!$E$21*BA39^2+BMILMS!$F$21*BA39+BMILMS!$G$21,IF(BA39&lt;9.5,BMILMS!$D$22*BA39^3+BMILMS!$E$22*BA39^2+BMILMS!$F$22*BA39+BMILMS!$G$22,IF(BA39&lt;26.75,BMILMS!$D$23*BA39^3+BMILMS!$E$23*BA39^2+BMILMS!$F$23*BA39+BMILMS!$G$23,IF(BA39&lt;90,BMILMS!$D$24*BA39^3+BMILMS!$E$24*BA39^2+BMILMS!$F$24*BA39+BMILMS!$G$24,BMILMS!$D$25*BA39^3+BMILMS!$E$25*BA39^2+BMILMS!$F$25*BA39+BMILMS!$G$25))))),(IF(BA39&lt;2.5,BMILMS!$D$27*BA39^3+BMILMS!$E$27*BA39^2+BMILMS!$F$27*BA39+BMILMS!$G$27,IF(BA39&lt;9.5,BMILMS!$D$28*BA39^3+BMILMS!$E$28*BA39^2+BMILMS!$F$28*BA39+BMILMS!$G$28,IF(BA39&lt;26.75,BMILMS!$D$29*BA39^3+BMILMS!$E$29*BA39^2+BMILMS!$F$29*BA39+BMILMS!$G$29,IF(BA39&lt;90,BMILMS!$D$30*BA39^3+BMILMS!$E$30*BA39^2+BMILMS!$F$30*BA39+BMILMS!$G$30,IF(BA39&lt;150,BMILMS!$D$31*BA39^3+BMILMS!$E$31*BA39^2+BMILMS!$F$31*BA39+BMILMS!$G$31,BMILMS!$D$32*BA39^3+BMILMS!$E$32*BA39^2+BMILMS!$F$32*BA39+BMILMS!$G$32)))))))</f>
        <v>12.568967990000001</v>
      </c>
      <c r="AZ39">
        <f>IF($E$4="M",(IF(BA39&lt;90,BMILMS!$D$14*BA39^3+BMILMS!$E$14*BA39^2+BMILMS!$F$14*BA39+BMILMS!$G$14,BMILMS!$D$15*BA39^3+BMILMS!$E$15*BA39^2+BMILMS!$F$15*BA39+BMILMS!$G$15)),(IF(BA39&lt;90,BMILMS!$D$17*BA39^3+BMILMS!$E$17*BA39^2+BMILMS!$F$17*BA39+BMILMS!$G$17,BMILMS!$D$18*BA39^3+BMILMS!$E$18*BA39^2+BMILMS!$F$18*BA39+BMILMS!$G$18)))</f>
        <v>8.8969350000000003E-2</v>
      </c>
      <c r="BA39" s="24">
        <f t="shared" si="34"/>
        <v>0</v>
      </c>
      <c r="BB39" s="24">
        <f t="shared" si="9"/>
        <v>0</v>
      </c>
      <c r="BD39">
        <f t="shared" si="40"/>
        <v>0.56299999999999994</v>
      </c>
      <c r="BE39">
        <f t="shared" si="41"/>
        <v>69</v>
      </c>
      <c r="BF39">
        <f t="shared" si="42"/>
        <v>0.51</v>
      </c>
      <c r="BH39" s="35">
        <f>IF($E$4="M",WeightSDS!P$5*$BA39^7+WeightSDS!Q$5*$BA39^6+WeightSDS!R$5*$BA39^5+WeightSDS!S$5*$BA39^4+WeightSDS!T$5*$BA39^3+WeightSDS!U$5*$BA39^2+WeightSDS!V$5*$BA39+WeightSDS!W$5,IF($BA39&lt;186,WeightSDS!P$8*$BA39^7+WeightSDS!Q$8*$BA39^6+WeightSDS!R$8*$BA39^5+WeightSDS!S$8*$BA39^4+WeightSDS!T$8*$BA39^3+WeightSDS!U$8*$BA39^2+WeightSDS!V$8*$BA39+WeightSDS!W$8,WeightSDS!$U$9+WeightSDS!$V$9*($BA39-WeightSDS!$W$9)))</f>
        <v>0.75407122999999998</v>
      </c>
      <c r="BI39" s="24">
        <f>IF($E$4="M",IF($BA39&lt;45,WeightSDS!M$23*$BA39^10+WeightSDS!N$23*$BA39^9+WeightSDS!O$23*$BA39^8+WeightSDS!P$23*$BA39^7+WeightSDS!Q$23*$BA39^6+WeightSDS!R$23*$BA39^5+WeightSDS!S$23*$BA39^4+WeightSDS!T$23*$BA39^3+WeightSDS!U$23*$BA39^2+WeightSDS!V$23*$BA39+WeightSDS!W$23,IF($BA39&lt;153,WeightSDS!M$25*$BA39^10+WeightSDS!N$25*$BA39^9+WeightSDS!O$25*$BA39^8+WeightSDS!P$25*$BA39^7+WeightSDS!Q$25*$BA39^6+WeightSDS!R$25*$BA39^5+WeightSDS!S$25*$BA39^4+WeightSDS!T$25*$BA39^3+WeightSDS!U$25*$BA39^2+WeightSDS!V$25*$BA39+WeightSDS!W$25,WeightSDS!M$27+WeightSDS!N$27/(1+EXP(WeightSDS!O$27+WeightSDS!P$27*$BA39)))),IF($BA39&lt;43.8,WeightSDS!M$29*$BA39^10+WeightSDS!N$29*$BA39^9+WeightSDS!O$29*$BA39^8+WeightSDS!P$29*$BA39^7+WeightSDS!Q$29*$BA39^6+WeightSDS!R$29*$BA39^5+WeightSDS!S$29*$BA39^4+WeightSDS!T$29*$BA39^3+WeightSDS!U$29*$BA39^2+WeightSDS!V$29*$BA39+WeightSDS!W$29-0.010431*(1-$BA39/210),IF($BA39&lt;123,WeightSDS!M$30*$BA39^10+WeightSDS!N$30*$BA39^9+WeightSDS!O$30*$BA39^8+WeightSDS!P$30*$BA39^7+WeightSDS!Q$30*$BA39^6+WeightSDS!R$30*$BA39^5+WeightSDS!S$30*$BA39^4+WeightSDS!T$30*$BA39^3+WeightSDS!U$30*$BA39^2+WeightSDS!V$30*$BA39+WeightSDS!W$30-0.010431*(1-1/$BA39),WeightSDS!M$32+WeightSDS!N$32/(1+EXP(WeightSDS!O$32+WeightSDS!P$32*$BA39))-0.010431*(1-$BA39/210))))</f>
        <v>2.9500001032655536</v>
      </c>
      <c r="BJ39" s="24">
        <f>IF($E$4="M",IF($BA39&lt;162,WeightSDS!P$12*$BA39^7+WeightSDS!Q$12*$BA39^6+WeightSDS!R$12*$BA39^5+WeightSDS!S$12*$BA39^4+WeightSDS!T$12*$BA39^3+WeightSDS!U$12*$BA39^2+WeightSDS!V$12*$BA39+WeightSDS!W$12,WeightSDS!P$14*$BA39^7+WeightSDS!Q$14*$BA39^6+WeightSDS!R$14*$BA39^5+WeightSDS!S$14*$BA39^4+WeightSDS!T$14*$BA39^3+WeightSDS!U$14*$BA39^2+WeightSDS!V$14*$BA39+WeightSDS!W$14),IF($BA39&lt;156,WeightSDS!O$17*$BA39^8+WeightSDS!P$17*$BA39^7+WeightSDS!Q$17*$BA39^6+WeightSDS!R$17*$BA39^5+WeightSDS!S$17*$BA39^4+WeightSDS!T$17*$BA39^3+WeightSDS!U$17*$BA39^2+WeightSDS!V$17*$BA39+WeightSDS!W$17,IF($BA39&lt;186,WeightSDS!$U$18+(WeightSDS!$V$18-WeightSDS!$U$18)/24*($BA39-186)+WeightSDS!$W$18*(-$BA39+186)^2-0.005,WeightSDS!$U$18+(WeightSDS!$V$18-WeightSDS!$U$18)/24*($BA39-186)-0.005)))</f>
        <v>0.14604529399999999</v>
      </c>
    </row>
    <row r="40" spans="2:62" s="4" customFormat="1" x14ac:dyDescent="0.15">
      <c r="B40" s="40"/>
      <c r="C40" s="141"/>
      <c r="D40" s="22"/>
      <c r="E40" s="110"/>
      <c r="F40" s="110"/>
      <c r="G40" s="110"/>
      <c r="H40" s="44" t="str">
        <f t="shared" ref="H40:H57" si="43">IF(COUNTA($E$4,$D$4,D40,E40)=4,IF(AO40+AP40/12&gt;17.583,"*",(E40-(INDEX(IF($E$4="F",Hfemalemean,Hmalemean),AP40+1,INT(R40)+1)))/(INDEX(IF($E$4="F",Hfemalesd,Hmalesd),AP40+1,INT(R40)+1))),"")</f>
        <v/>
      </c>
      <c r="I40" s="111" t="str">
        <f t="shared" si="10"/>
        <v/>
      </c>
      <c r="J40" s="111" t="str">
        <f t="shared" ref="J40:J57" si="44">IF(COUNTA($E$4,$D$4,D40,E40,F40)&lt;5,"",IF(R40&lt;6,"*",IF(AO40+AP40/12&gt;=17.583,"*",(F40-E40*INDEX(IF($E$4="F",muratafemale,muratamale),INT(R40)-4,1)-INDEX(IF($E$4="F",muratafemale,muratamale),INT(R40)-4,2))/(E40*INDEX(IF($E$4="F",muratafemale,muratamale),INT(R40)-4,1)+INDEX(IF($E$4="F",muratafemale,muratamale),INT(R40)-4,2))*100)))</f>
        <v/>
      </c>
      <c r="K40" s="111" t="str">
        <f t="shared" si="11"/>
        <v/>
      </c>
      <c r="L40" s="44" t="str">
        <f t="shared" si="12"/>
        <v/>
      </c>
      <c r="M40" s="111" t="str">
        <f t="shared" si="13"/>
        <v/>
      </c>
      <c r="N40" s="44" t="str">
        <f t="shared" si="14"/>
        <v/>
      </c>
      <c r="O40" s="44" t="str">
        <f t="shared" ref="O40:O57" si="45">IF(COUNTA($E$4,$D$4,D40,E40,F40)=5,IF(AO40+AP40/12&gt;17.583,"*",((F40/BI40)^(BH40)-1)/BH40/BJ40),"")</f>
        <v/>
      </c>
      <c r="P40" s="111" t="str">
        <f t="shared" si="15"/>
        <v/>
      </c>
      <c r="Q40" s="44" t="str">
        <f t="shared" si="16"/>
        <v/>
      </c>
      <c r="R40" s="157" t="str">
        <f t="shared" ref="R40:R57" si="46">IF(COUNT($D$4,D40)=2,DATEDIF($D$4,D40,"Y")+(D40-(DATE(YEAR($D$4)+DATEDIF($D$4,D40,"Y"),MONTH($D$4),DAY($D$4))))/(365+IF(MOD(YEAR((DATE(YEAR(D40)-1,MONTH($D$4),DAY($D$4)))),4)=0,IF((DATE(YEAR(D40)-1,MONTH($D$4),DAY($D$4)))&gt;DATE(YEAR((DATE(YEAR(D40)-1,MONTH($D$4),DAY($D$4)))),2,29),0,1),0)+IF(MOD(YEAR(D40),4)=0,IF(D40&gt;DATE(YEAR(D40),2,29),1,0),0)),"")</f>
        <v/>
      </c>
      <c r="S40" s="44" t="str">
        <f t="shared" si="17"/>
        <v/>
      </c>
      <c r="T40" s="140" t="str">
        <f t="shared" si="35"/>
        <v/>
      </c>
      <c r="U40" s="140" t="str">
        <f t="shared" ref="U40:U57" si="47">IF(COUNT(T40)=1,IF(AA40=1,"",IF(COUNTA(C40)=1,IF(AG40&lt;1,"NA",IF(AG40&gt;=17,IF(AH40&gt;=IF($D$4="M",10,4),"NA",IF(BB40&gt;BB39,AM40,"NA")),IF(BB40&gt;BB39,AM40,"NA"))),"")),"")</f>
        <v/>
      </c>
      <c r="V40" s="24"/>
      <c r="W40" s="24"/>
      <c r="X40" s="24"/>
      <c r="Y40" s="24"/>
      <c r="Z40" s="24"/>
      <c r="AA40" s="24">
        <f t="shared" ref="AA40:AA57" si="48">COUNTA(C40)+AA39</f>
        <v>0</v>
      </c>
      <c r="AB40" s="24"/>
      <c r="AC40" s="24" t="str">
        <f t="shared" si="27"/>
        <v/>
      </c>
      <c r="AD40" s="24" t="str">
        <f t="shared" ref="AD40:AD57" si="49">IF(COUNTA(C40)=1,E40,"")</f>
        <v/>
      </c>
      <c r="AE40" s="24">
        <f t="shared" ref="AE40:AE57" si="50">IF(COUNTA(C40)=1,E40,AE39)</f>
        <v>0</v>
      </c>
      <c r="AG40" s="24" t="e">
        <f t="shared" si="38"/>
        <v>#VALUE!</v>
      </c>
      <c r="AH40" s="24" t="e">
        <f t="shared" si="39"/>
        <v>#VALUE!</v>
      </c>
      <c r="AI40" s="24" t="e">
        <f t="shared" si="36"/>
        <v>#VALUE!</v>
      </c>
      <c r="AJ40" s="24" t="e">
        <f t="shared" si="37"/>
        <v>#VALUE!</v>
      </c>
      <c r="AL40" s="24"/>
      <c r="AM40" s="24" t="e">
        <f t="shared" si="33"/>
        <v>#VALUE!</v>
      </c>
      <c r="AN40" s="31"/>
      <c r="AO40" s="34">
        <f t="shared" ref="AO40:AO57" si="51">DATEDIF($D$4,D40,"Y")</f>
        <v>0</v>
      </c>
      <c r="AP40" s="24">
        <f t="shared" ref="AP40:AP57" si="52">DATEDIF($D$4,D40,"YM")</f>
        <v>0</v>
      </c>
      <c r="AQ40" s="24"/>
      <c r="AR40" s="112"/>
      <c r="AS40" s="112"/>
      <c r="AT40" s="59">
        <f t="shared" ref="AT40:AT57" si="53">IF($E$4="M",2.06*10^-3*E40^2-0.1166*E40+6.5273,2.49*10^-3*E40^2-0.1858*E40+9.036)</f>
        <v>9.0359999999999996</v>
      </c>
      <c r="AU40" s="59">
        <f t="shared" ref="AU40:AU57" si="54">((E40/100)^3*INDEX(itoOI,IF($E$4="M",0,3)+IF(E40&lt;140,1,IF(E40&lt;=149,2,3)),1)+(E40/100)^2*INDEX(itoOI,IF($E$4="M",0,3)+IF(E40&lt;140,1,IF(E40&lt;=149,2,3)),2)+(E40/100)*INDEX(itoOI,IF($E$4="M",0,3)+IF(E40&lt;140,1,IF(E40&lt;=149,2,3)),3)+INDEX(itoOI,IF($E$4="M",0,3)+IF(E40&lt;140,1,IF(E40&lt;=149,2,3)),4))</f>
        <v>-184.49199999999999</v>
      </c>
      <c r="AV40" s="59"/>
      <c r="AW40"/>
      <c r="AX40">
        <f>IF($E$4="M",IF(BA40&lt;78,BMILMS!$D$5*BA40^3+BMILMS!$E$5*BA40^2+BMILMS!$F$5*BA40+BMILMS!$G$5,IF(BA40&lt;150,BMILMS!$D$6*BA40^3+BMILMS!$E$6*BA40^2+BMILMS!$F$6*BA40+BMILMS!$G$6,BMILMS!$D$7*BA40^3+BMILMS!$E$7*BA40^2+BMILMS!$F$7*BA40+BMILMS!$G$7)),IF(BA40&lt;69,BMILMS!$D$9*BA40^3+BMILMS!$E$9*BA40^2+BMILMS!$F$9*BA40+BMILMS!$G$9,IF(BA40&lt;150,BMILMS!$D$10*BA40^3+BMILMS!$E$10*BA40^2+BMILMS!$F$10*BA40+BMILMS!$G$10,BMILMS!$D$11*BA40^3+BMILMS!$E$11*BA40^2+BMILMS!$F$11*BA40+BMILMS!$G$11)))</f>
        <v>0.79584630099999998</v>
      </c>
      <c r="AY40">
        <f>IF($E$4="M",(IF(BA40&lt;2.5,BMILMS!$D$21*BA40^3+BMILMS!$E$21*BA40^2+BMILMS!$F$21*BA40+BMILMS!$G$21,IF(BA40&lt;9.5,BMILMS!$D$22*BA40^3+BMILMS!$E$22*BA40^2+BMILMS!$F$22*BA40+BMILMS!$G$22,IF(BA40&lt;26.75,BMILMS!$D$23*BA40^3+BMILMS!$E$23*BA40^2+BMILMS!$F$23*BA40+BMILMS!$G$23,IF(BA40&lt;90,BMILMS!$D$24*BA40^3+BMILMS!$E$24*BA40^2+BMILMS!$F$24*BA40+BMILMS!$G$24,BMILMS!$D$25*BA40^3+BMILMS!$E$25*BA40^2+BMILMS!$F$25*BA40+BMILMS!$G$25))))),(IF(BA40&lt;2.5,BMILMS!$D$27*BA40^3+BMILMS!$E$27*BA40^2+BMILMS!$F$27*BA40+BMILMS!$G$27,IF(BA40&lt;9.5,BMILMS!$D$28*BA40^3+BMILMS!$E$28*BA40^2+BMILMS!$F$28*BA40+BMILMS!$G$28,IF(BA40&lt;26.75,BMILMS!$D$29*BA40^3+BMILMS!$E$29*BA40^2+BMILMS!$F$29*BA40+BMILMS!$G$29,IF(BA40&lt;90,BMILMS!$D$30*BA40^3+BMILMS!$E$30*BA40^2+BMILMS!$F$30*BA40+BMILMS!$G$30,IF(BA40&lt;150,BMILMS!$D$31*BA40^3+BMILMS!$E$31*BA40^2+BMILMS!$F$31*BA40+BMILMS!$G$31,BMILMS!$D$32*BA40^3+BMILMS!$E$32*BA40^2+BMILMS!$F$32*BA40+BMILMS!$G$32)))))))</f>
        <v>12.568967990000001</v>
      </c>
      <c r="AZ40">
        <f>IF($E$4="M",(IF(BA40&lt;90,BMILMS!$D$14*BA40^3+BMILMS!$E$14*BA40^2+BMILMS!$F$14*BA40+BMILMS!$G$14,BMILMS!$D$15*BA40^3+BMILMS!$E$15*BA40^2+BMILMS!$F$15*BA40+BMILMS!$G$15)),(IF(BA40&lt;90,BMILMS!$D$17*BA40^3+BMILMS!$E$17*BA40^2+BMILMS!$F$17*BA40+BMILMS!$G$17,BMILMS!$D$18*BA40^3+BMILMS!$E$18*BA40^2+BMILMS!$F$18*BA40+BMILMS!$G$18)))</f>
        <v>8.8969350000000003E-2</v>
      </c>
      <c r="BA40" s="24">
        <f t="shared" si="34"/>
        <v>0</v>
      </c>
      <c r="BB40" s="24">
        <f t="shared" ref="BB40:BB57" si="55">IF(COUNTA(C40)=1,BA40,BB39)</f>
        <v>0</v>
      </c>
      <c r="BD40">
        <f t="shared" si="40"/>
        <v>0.56299999999999994</v>
      </c>
      <c r="BE40">
        <f t="shared" si="41"/>
        <v>69</v>
      </c>
      <c r="BF40">
        <f t="shared" si="42"/>
        <v>0.51</v>
      </c>
      <c r="BH40" s="35">
        <f>IF($E$4="M",WeightSDS!P$5*$BA40^7+WeightSDS!Q$5*$BA40^6+WeightSDS!R$5*$BA40^5+WeightSDS!S$5*$BA40^4+WeightSDS!T$5*$BA40^3+WeightSDS!U$5*$BA40^2+WeightSDS!V$5*$BA40+WeightSDS!W$5,IF($BA40&lt;186,WeightSDS!P$8*$BA40^7+WeightSDS!Q$8*$BA40^6+WeightSDS!R$8*$BA40^5+WeightSDS!S$8*$BA40^4+WeightSDS!T$8*$BA40^3+WeightSDS!U$8*$BA40^2+WeightSDS!V$8*$BA40+WeightSDS!W$8,WeightSDS!$U$9+WeightSDS!$V$9*($BA40-WeightSDS!$W$9)))</f>
        <v>0.75407122999999998</v>
      </c>
      <c r="BI40" s="24">
        <f>IF($E$4="M",IF($BA40&lt;45,WeightSDS!M$23*$BA40^10+WeightSDS!N$23*$BA40^9+WeightSDS!O$23*$BA40^8+WeightSDS!P$23*$BA40^7+WeightSDS!Q$23*$BA40^6+WeightSDS!R$23*$BA40^5+WeightSDS!S$23*$BA40^4+WeightSDS!T$23*$BA40^3+WeightSDS!U$23*$BA40^2+WeightSDS!V$23*$BA40+WeightSDS!W$23,IF($BA40&lt;153,WeightSDS!M$25*$BA40^10+WeightSDS!N$25*$BA40^9+WeightSDS!O$25*$BA40^8+WeightSDS!P$25*$BA40^7+WeightSDS!Q$25*$BA40^6+WeightSDS!R$25*$BA40^5+WeightSDS!S$25*$BA40^4+WeightSDS!T$25*$BA40^3+WeightSDS!U$25*$BA40^2+WeightSDS!V$25*$BA40+WeightSDS!W$25,WeightSDS!M$27+WeightSDS!N$27/(1+EXP(WeightSDS!O$27+WeightSDS!P$27*$BA40)))),IF($BA40&lt;43.8,WeightSDS!M$29*$BA40^10+WeightSDS!N$29*$BA40^9+WeightSDS!O$29*$BA40^8+WeightSDS!P$29*$BA40^7+WeightSDS!Q$29*$BA40^6+WeightSDS!R$29*$BA40^5+WeightSDS!S$29*$BA40^4+WeightSDS!T$29*$BA40^3+WeightSDS!U$29*$BA40^2+WeightSDS!V$29*$BA40+WeightSDS!W$29-0.010431*(1-$BA40/210),IF($BA40&lt;123,WeightSDS!M$30*$BA40^10+WeightSDS!N$30*$BA40^9+WeightSDS!O$30*$BA40^8+WeightSDS!P$30*$BA40^7+WeightSDS!Q$30*$BA40^6+WeightSDS!R$30*$BA40^5+WeightSDS!S$30*$BA40^4+WeightSDS!T$30*$BA40^3+WeightSDS!U$30*$BA40^2+WeightSDS!V$30*$BA40+WeightSDS!W$30-0.010431*(1-1/$BA40),WeightSDS!M$32+WeightSDS!N$32/(1+EXP(WeightSDS!O$32+WeightSDS!P$32*$BA40))-0.010431*(1-$BA40/210))))</f>
        <v>2.9500001032655536</v>
      </c>
      <c r="BJ40" s="24">
        <f>IF($E$4="M",IF($BA40&lt;162,WeightSDS!P$12*$BA40^7+WeightSDS!Q$12*$BA40^6+WeightSDS!R$12*$BA40^5+WeightSDS!S$12*$BA40^4+WeightSDS!T$12*$BA40^3+WeightSDS!U$12*$BA40^2+WeightSDS!V$12*$BA40+WeightSDS!W$12,WeightSDS!P$14*$BA40^7+WeightSDS!Q$14*$BA40^6+WeightSDS!R$14*$BA40^5+WeightSDS!S$14*$BA40^4+WeightSDS!T$14*$BA40^3+WeightSDS!U$14*$BA40^2+WeightSDS!V$14*$BA40+WeightSDS!W$14),IF($BA40&lt;156,WeightSDS!O$17*$BA40^8+WeightSDS!P$17*$BA40^7+WeightSDS!Q$17*$BA40^6+WeightSDS!R$17*$BA40^5+WeightSDS!S$17*$BA40^4+WeightSDS!T$17*$BA40^3+WeightSDS!U$17*$BA40^2+WeightSDS!V$17*$BA40+WeightSDS!W$17,IF($BA40&lt;186,WeightSDS!$U$18+(WeightSDS!$V$18-WeightSDS!$U$18)/24*($BA40-186)+WeightSDS!$W$18*(-$BA40+186)^2-0.005,WeightSDS!$U$18+(WeightSDS!$V$18-WeightSDS!$U$18)/24*($BA40-186)-0.005)))</f>
        <v>0.14604529399999999</v>
      </c>
    </row>
    <row r="41" spans="2:62" s="4" customFormat="1" x14ac:dyDescent="0.15">
      <c r="B41" s="40"/>
      <c r="C41" s="141"/>
      <c r="D41" s="22"/>
      <c r="E41" s="110"/>
      <c r="F41" s="110"/>
      <c r="G41" s="110"/>
      <c r="H41" s="44" t="str">
        <f t="shared" si="43"/>
        <v/>
      </c>
      <c r="I41" s="111" t="str">
        <f t="shared" si="10"/>
        <v/>
      </c>
      <c r="J41" s="111" t="str">
        <f t="shared" si="44"/>
        <v/>
      </c>
      <c r="K41" s="111" t="str">
        <f t="shared" si="11"/>
        <v/>
      </c>
      <c r="L41" s="44" t="str">
        <f t="shared" si="12"/>
        <v/>
      </c>
      <c r="M41" s="111" t="str">
        <f t="shared" si="13"/>
        <v/>
      </c>
      <c r="N41" s="44" t="str">
        <f t="shared" si="14"/>
        <v/>
      </c>
      <c r="O41" s="44" t="str">
        <f t="shared" si="45"/>
        <v/>
      </c>
      <c r="P41" s="111" t="str">
        <f t="shared" si="15"/>
        <v/>
      </c>
      <c r="Q41" s="44" t="str">
        <f t="shared" si="16"/>
        <v/>
      </c>
      <c r="R41" s="157" t="str">
        <f t="shared" si="46"/>
        <v/>
      </c>
      <c r="S41" s="44" t="str">
        <f t="shared" si="17"/>
        <v/>
      </c>
      <c r="T41" s="140" t="str">
        <f t="shared" si="35"/>
        <v/>
      </c>
      <c r="U41" s="140" t="str">
        <f t="shared" si="47"/>
        <v/>
      </c>
      <c r="V41" s="24"/>
      <c r="W41" s="24"/>
      <c r="X41" s="24"/>
      <c r="Y41" s="24"/>
      <c r="Z41" s="24"/>
      <c r="AA41" s="24">
        <f t="shared" si="48"/>
        <v>0</v>
      </c>
      <c r="AB41" s="24"/>
      <c r="AC41" s="24" t="str">
        <f t="shared" si="27"/>
        <v/>
      </c>
      <c r="AD41" s="24" t="str">
        <f t="shared" si="49"/>
        <v/>
      </c>
      <c r="AE41" s="24">
        <f t="shared" si="50"/>
        <v>0</v>
      </c>
      <c r="AG41" s="24" t="e">
        <f t="shared" si="38"/>
        <v>#VALUE!</v>
      </c>
      <c r="AH41" s="24" t="e">
        <f t="shared" si="39"/>
        <v>#VALUE!</v>
      </c>
      <c r="AI41" s="24" t="e">
        <f t="shared" si="36"/>
        <v>#VALUE!</v>
      </c>
      <c r="AJ41" s="24" t="e">
        <f t="shared" si="37"/>
        <v>#VALUE!</v>
      </c>
      <c r="AL41" s="24"/>
      <c r="AM41" s="24" t="e">
        <f t="shared" si="33"/>
        <v>#VALUE!</v>
      </c>
      <c r="AN41" s="31"/>
      <c r="AO41" s="34">
        <f t="shared" si="51"/>
        <v>0</v>
      </c>
      <c r="AP41" s="24">
        <f t="shared" si="52"/>
        <v>0</v>
      </c>
      <c r="AQ41" s="24"/>
      <c r="AR41" s="112"/>
      <c r="AS41" s="112"/>
      <c r="AT41" s="59">
        <f t="shared" si="53"/>
        <v>9.0359999999999996</v>
      </c>
      <c r="AU41" s="59">
        <f t="shared" si="54"/>
        <v>-184.49199999999999</v>
      </c>
      <c r="AV41" s="59"/>
      <c r="AW41"/>
      <c r="AX41">
        <f>IF($E$4="M",IF(BA41&lt;78,BMILMS!$D$5*BA41^3+BMILMS!$E$5*BA41^2+BMILMS!$F$5*BA41+BMILMS!$G$5,IF(BA41&lt;150,BMILMS!$D$6*BA41^3+BMILMS!$E$6*BA41^2+BMILMS!$F$6*BA41+BMILMS!$G$6,BMILMS!$D$7*BA41^3+BMILMS!$E$7*BA41^2+BMILMS!$F$7*BA41+BMILMS!$G$7)),IF(BA41&lt;69,BMILMS!$D$9*BA41^3+BMILMS!$E$9*BA41^2+BMILMS!$F$9*BA41+BMILMS!$G$9,IF(BA41&lt;150,BMILMS!$D$10*BA41^3+BMILMS!$E$10*BA41^2+BMILMS!$F$10*BA41+BMILMS!$G$10,BMILMS!$D$11*BA41^3+BMILMS!$E$11*BA41^2+BMILMS!$F$11*BA41+BMILMS!$G$11)))</f>
        <v>0.79584630099999998</v>
      </c>
      <c r="AY41">
        <f>IF($E$4="M",(IF(BA41&lt;2.5,BMILMS!$D$21*BA41^3+BMILMS!$E$21*BA41^2+BMILMS!$F$21*BA41+BMILMS!$G$21,IF(BA41&lt;9.5,BMILMS!$D$22*BA41^3+BMILMS!$E$22*BA41^2+BMILMS!$F$22*BA41+BMILMS!$G$22,IF(BA41&lt;26.75,BMILMS!$D$23*BA41^3+BMILMS!$E$23*BA41^2+BMILMS!$F$23*BA41+BMILMS!$G$23,IF(BA41&lt;90,BMILMS!$D$24*BA41^3+BMILMS!$E$24*BA41^2+BMILMS!$F$24*BA41+BMILMS!$G$24,BMILMS!$D$25*BA41^3+BMILMS!$E$25*BA41^2+BMILMS!$F$25*BA41+BMILMS!$G$25))))),(IF(BA41&lt;2.5,BMILMS!$D$27*BA41^3+BMILMS!$E$27*BA41^2+BMILMS!$F$27*BA41+BMILMS!$G$27,IF(BA41&lt;9.5,BMILMS!$D$28*BA41^3+BMILMS!$E$28*BA41^2+BMILMS!$F$28*BA41+BMILMS!$G$28,IF(BA41&lt;26.75,BMILMS!$D$29*BA41^3+BMILMS!$E$29*BA41^2+BMILMS!$F$29*BA41+BMILMS!$G$29,IF(BA41&lt;90,BMILMS!$D$30*BA41^3+BMILMS!$E$30*BA41^2+BMILMS!$F$30*BA41+BMILMS!$G$30,IF(BA41&lt;150,BMILMS!$D$31*BA41^3+BMILMS!$E$31*BA41^2+BMILMS!$F$31*BA41+BMILMS!$G$31,BMILMS!$D$32*BA41^3+BMILMS!$E$32*BA41^2+BMILMS!$F$32*BA41+BMILMS!$G$32)))))))</f>
        <v>12.568967990000001</v>
      </c>
      <c r="AZ41">
        <f>IF($E$4="M",(IF(BA41&lt;90,BMILMS!$D$14*BA41^3+BMILMS!$E$14*BA41^2+BMILMS!$F$14*BA41+BMILMS!$G$14,BMILMS!$D$15*BA41^3+BMILMS!$E$15*BA41^2+BMILMS!$F$15*BA41+BMILMS!$G$15)),(IF(BA41&lt;90,BMILMS!$D$17*BA41^3+BMILMS!$E$17*BA41^2+BMILMS!$F$17*BA41+BMILMS!$G$17,BMILMS!$D$18*BA41^3+BMILMS!$E$18*BA41^2+BMILMS!$F$18*BA41+BMILMS!$G$18)))</f>
        <v>8.8969350000000003E-2</v>
      </c>
      <c r="BA41" s="24">
        <f t="shared" si="34"/>
        <v>0</v>
      </c>
      <c r="BB41" s="24">
        <f t="shared" si="55"/>
        <v>0</v>
      </c>
      <c r="BD41">
        <f t="shared" si="40"/>
        <v>0.56299999999999994</v>
      </c>
      <c r="BE41">
        <f t="shared" si="41"/>
        <v>69</v>
      </c>
      <c r="BF41">
        <f t="shared" si="42"/>
        <v>0.51</v>
      </c>
      <c r="BH41" s="35">
        <f>IF($E$4="M",WeightSDS!P$5*$BA41^7+WeightSDS!Q$5*$BA41^6+WeightSDS!R$5*$BA41^5+WeightSDS!S$5*$BA41^4+WeightSDS!T$5*$BA41^3+WeightSDS!U$5*$BA41^2+WeightSDS!V$5*$BA41+WeightSDS!W$5,IF($BA41&lt;186,WeightSDS!P$8*$BA41^7+WeightSDS!Q$8*$BA41^6+WeightSDS!R$8*$BA41^5+WeightSDS!S$8*$BA41^4+WeightSDS!T$8*$BA41^3+WeightSDS!U$8*$BA41^2+WeightSDS!V$8*$BA41+WeightSDS!W$8,WeightSDS!$U$9+WeightSDS!$V$9*($BA41-WeightSDS!$W$9)))</f>
        <v>0.75407122999999998</v>
      </c>
      <c r="BI41" s="24">
        <f>IF($E$4="M",IF($BA41&lt;45,WeightSDS!M$23*$BA41^10+WeightSDS!N$23*$BA41^9+WeightSDS!O$23*$BA41^8+WeightSDS!P$23*$BA41^7+WeightSDS!Q$23*$BA41^6+WeightSDS!R$23*$BA41^5+WeightSDS!S$23*$BA41^4+WeightSDS!T$23*$BA41^3+WeightSDS!U$23*$BA41^2+WeightSDS!V$23*$BA41+WeightSDS!W$23,IF($BA41&lt;153,WeightSDS!M$25*$BA41^10+WeightSDS!N$25*$BA41^9+WeightSDS!O$25*$BA41^8+WeightSDS!P$25*$BA41^7+WeightSDS!Q$25*$BA41^6+WeightSDS!R$25*$BA41^5+WeightSDS!S$25*$BA41^4+WeightSDS!T$25*$BA41^3+WeightSDS!U$25*$BA41^2+WeightSDS!V$25*$BA41+WeightSDS!W$25,WeightSDS!M$27+WeightSDS!N$27/(1+EXP(WeightSDS!O$27+WeightSDS!P$27*$BA41)))),IF($BA41&lt;43.8,WeightSDS!M$29*$BA41^10+WeightSDS!N$29*$BA41^9+WeightSDS!O$29*$BA41^8+WeightSDS!P$29*$BA41^7+WeightSDS!Q$29*$BA41^6+WeightSDS!R$29*$BA41^5+WeightSDS!S$29*$BA41^4+WeightSDS!T$29*$BA41^3+WeightSDS!U$29*$BA41^2+WeightSDS!V$29*$BA41+WeightSDS!W$29-0.010431*(1-$BA41/210),IF($BA41&lt;123,WeightSDS!M$30*$BA41^10+WeightSDS!N$30*$BA41^9+WeightSDS!O$30*$BA41^8+WeightSDS!P$30*$BA41^7+WeightSDS!Q$30*$BA41^6+WeightSDS!R$30*$BA41^5+WeightSDS!S$30*$BA41^4+WeightSDS!T$30*$BA41^3+WeightSDS!U$30*$BA41^2+WeightSDS!V$30*$BA41+WeightSDS!W$30-0.010431*(1-1/$BA41),WeightSDS!M$32+WeightSDS!N$32/(1+EXP(WeightSDS!O$32+WeightSDS!P$32*$BA41))-0.010431*(1-$BA41/210))))</f>
        <v>2.9500001032655536</v>
      </c>
      <c r="BJ41" s="24">
        <f>IF($E$4="M",IF($BA41&lt;162,WeightSDS!P$12*$BA41^7+WeightSDS!Q$12*$BA41^6+WeightSDS!R$12*$BA41^5+WeightSDS!S$12*$BA41^4+WeightSDS!T$12*$BA41^3+WeightSDS!U$12*$BA41^2+WeightSDS!V$12*$BA41+WeightSDS!W$12,WeightSDS!P$14*$BA41^7+WeightSDS!Q$14*$BA41^6+WeightSDS!R$14*$BA41^5+WeightSDS!S$14*$BA41^4+WeightSDS!T$14*$BA41^3+WeightSDS!U$14*$BA41^2+WeightSDS!V$14*$BA41+WeightSDS!W$14),IF($BA41&lt;156,WeightSDS!O$17*$BA41^8+WeightSDS!P$17*$BA41^7+WeightSDS!Q$17*$BA41^6+WeightSDS!R$17*$BA41^5+WeightSDS!S$17*$BA41^4+WeightSDS!T$17*$BA41^3+WeightSDS!U$17*$BA41^2+WeightSDS!V$17*$BA41+WeightSDS!W$17,IF($BA41&lt;186,WeightSDS!$U$18+(WeightSDS!$V$18-WeightSDS!$U$18)/24*($BA41-186)+WeightSDS!$W$18*(-$BA41+186)^2-0.005,WeightSDS!$U$18+(WeightSDS!$V$18-WeightSDS!$U$18)/24*($BA41-186)-0.005)))</f>
        <v>0.14604529399999999</v>
      </c>
    </row>
    <row r="42" spans="2:62" s="4" customFormat="1" x14ac:dyDescent="0.15">
      <c r="B42" s="40"/>
      <c r="C42" s="141"/>
      <c r="D42" s="22"/>
      <c r="E42" s="110"/>
      <c r="F42" s="110"/>
      <c r="G42" s="110"/>
      <c r="H42" s="44" t="str">
        <f t="shared" si="43"/>
        <v/>
      </c>
      <c r="I42" s="111" t="str">
        <f t="shared" si="10"/>
        <v/>
      </c>
      <c r="J42" s="111" t="str">
        <f t="shared" si="44"/>
        <v/>
      </c>
      <c r="K42" s="111" t="str">
        <f t="shared" si="11"/>
        <v/>
      </c>
      <c r="L42" s="44" t="str">
        <f t="shared" si="12"/>
        <v/>
      </c>
      <c r="M42" s="111" t="str">
        <f t="shared" si="13"/>
        <v/>
      </c>
      <c r="N42" s="44" t="str">
        <f t="shared" si="14"/>
        <v/>
      </c>
      <c r="O42" s="44" t="str">
        <f t="shared" si="45"/>
        <v/>
      </c>
      <c r="P42" s="111" t="str">
        <f t="shared" si="15"/>
        <v/>
      </c>
      <c r="Q42" s="44" t="str">
        <f t="shared" si="16"/>
        <v/>
      </c>
      <c r="R42" s="157" t="str">
        <f t="shared" si="46"/>
        <v/>
      </c>
      <c r="S42" s="44" t="str">
        <f t="shared" si="17"/>
        <v/>
      </c>
      <c r="T42" s="140" t="str">
        <f t="shared" si="35"/>
        <v/>
      </c>
      <c r="U42" s="140" t="str">
        <f t="shared" si="47"/>
        <v/>
      </c>
      <c r="V42" s="24"/>
      <c r="W42" s="24"/>
      <c r="X42" s="24"/>
      <c r="Y42" s="24"/>
      <c r="Z42" s="24"/>
      <c r="AA42" s="24">
        <f t="shared" si="48"/>
        <v>0</v>
      </c>
      <c r="AB42" s="24"/>
      <c r="AC42" s="24" t="str">
        <f t="shared" si="27"/>
        <v/>
      </c>
      <c r="AD42" s="24" t="str">
        <f t="shared" si="49"/>
        <v/>
      </c>
      <c r="AE42" s="24">
        <f t="shared" si="50"/>
        <v>0</v>
      </c>
      <c r="AG42" s="24" t="e">
        <f t="shared" si="38"/>
        <v>#VALUE!</v>
      </c>
      <c r="AH42" s="24" t="e">
        <f t="shared" si="39"/>
        <v>#VALUE!</v>
      </c>
      <c r="AI42" s="24" t="e">
        <f t="shared" si="36"/>
        <v>#VALUE!</v>
      </c>
      <c r="AJ42" s="24" t="e">
        <f t="shared" si="37"/>
        <v>#VALUE!</v>
      </c>
      <c r="AL42" s="24"/>
      <c r="AM42" s="24" t="e">
        <f t="shared" si="33"/>
        <v>#VALUE!</v>
      </c>
      <c r="AN42" s="31"/>
      <c r="AO42" s="34">
        <f t="shared" si="51"/>
        <v>0</v>
      </c>
      <c r="AP42" s="24">
        <f t="shared" si="52"/>
        <v>0</v>
      </c>
      <c r="AQ42" s="24"/>
      <c r="AR42" s="112"/>
      <c r="AS42" s="112"/>
      <c r="AT42" s="59">
        <f t="shared" si="53"/>
        <v>9.0359999999999996</v>
      </c>
      <c r="AU42" s="59">
        <f t="shared" si="54"/>
        <v>-184.49199999999999</v>
      </c>
      <c r="AV42" s="59"/>
      <c r="AW42"/>
      <c r="AX42">
        <f>IF($E$4="M",IF(BA42&lt;78,BMILMS!$D$5*BA42^3+BMILMS!$E$5*BA42^2+BMILMS!$F$5*BA42+BMILMS!$G$5,IF(BA42&lt;150,BMILMS!$D$6*BA42^3+BMILMS!$E$6*BA42^2+BMILMS!$F$6*BA42+BMILMS!$G$6,BMILMS!$D$7*BA42^3+BMILMS!$E$7*BA42^2+BMILMS!$F$7*BA42+BMILMS!$G$7)),IF(BA42&lt;69,BMILMS!$D$9*BA42^3+BMILMS!$E$9*BA42^2+BMILMS!$F$9*BA42+BMILMS!$G$9,IF(BA42&lt;150,BMILMS!$D$10*BA42^3+BMILMS!$E$10*BA42^2+BMILMS!$F$10*BA42+BMILMS!$G$10,BMILMS!$D$11*BA42^3+BMILMS!$E$11*BA42^2+BMILMS!$F$11*BA42+BMILMS!$G$11)))</f>
        <v>0.79584630099999998</v>
      </c>
      <c r="AY42">
        <f>IF($E$4="M",(IF(BA42&lt;2.5,BMILMS!$D$21*BA42^3+BMILMS!$E$21*BA42^2+BMILMS!$F$21*BA42+BMILMS!$G$21,IF(BA42&lt;9.5,BMILMS!$D$22*BA42^3+BMILMS!$E$22*BA42^2+BMILMS!$F$22*BA42+BMILMS!$G$22,IF(BA42&lt;26.75,BMILMS!$D$23*BA42^3+BMILMS!$E$23*BA42^2+BMILMS!$F$23*BA42+BMILMS!$G$23,IF(BA42&lt;90,BMILMS!$D$24*BA42^3+BMILMS!$E$24*BA42^2+BMILMS!$F$24*BA42+BMILMS!$G$24,BMILMS!$D$25*BA42^3+BMILMS!$E$25*BA42^2+BMILMS!$F$25*BA42+BMILMS!$G$25))))),(IF(BA42&lt;2.5,BMILMS!$D$27*BA42^3+BMILMS!$E$27*BA42^2+BMILMS!$F$27*BA42+BMILMS!$G$27,IF(BA42&lt;9.5,BMILMS!$D$28*BA42^3+BMILMS!$E$28*BA42^2+BMILMS!$F$28*BA42+BMILMS!$G$28,IF(BA42&lt;26.75,BMILMS!$D$29*BA42^3+BMILMS!$E$29*BA42^2+BMILMS!$F$29*BA42+BMILMS!$G$29,IF(BA42&lt;90,BMILMS!$D$30*BA42^3+BMILMS!$E$30*BA42^2+BMILMS!$F$30*BA42+BMILMS!$G$30,IF(BA42&lt;150,BMILMS!$D$31*BA42^3+BMILMS!$E$31*BA42^2+BMILMS!$F$31*BA42+BMILMS!$G$31,BMILMS!$D$32*BA42^3+BMILMS!$E$32*BA42^2+BMILMS!$F$32*BA42+BMILMS!$G$32)))))))</f>
        <v>12.568967990000001</v>
      </c>
      <c r="AZ42">
        <f>IF($E$4="M",(IF(BA42&lt;90,BMILMS!$D$14*BA42^3+BMILMS!$E$14*BA42^2+BMILMS!$F$14*BA42+BMILMS!$G$14,BMILMS!$D$15*BA42^3+BMILMS!$E$15*BA42^2+BMILMS!$F$15*BA42+BMILMS!$G$15)),(IF(BA42&lt;90,BMILMS!$D$17*BA42^3+BMILMS!$E$17*BA42^2+BMILMS!$F$17*BA42+BMILMS!$G$17,BMILMS!$D$18*BA42^3+BMILMS!$E$18*BA42^2+BMILMS!$F$18*BA42+BMILMS!$G$18)))</f>
        <v>8.8969350000000003E-2</v>
      </c>
      <c r="BA42" s="24">
        <f t="shared" si="34"/>
        <v>0</v>
      </c>
      <c r="BB42" s="24">
        <f t="shared" si="55"/>
        <v>0</v>
      </c>
      <c r="BD42">
        <f t="shared" si="40"/>
        <v>0.56299999999999994</v>
      </c>
      <c r="BE42">
        <f t="shared" si="41"/>
        <v>69</v>
      </c>
      <c r="BF42">
        <f t="shared" si="42"/>
        <v>0.51</v>
      </c>
      <c r="BH42" s="35">
        <f>IF($E$4="M",WeightSDS!P$5*$BA42^7+WeightSDS!Q$5*$BA42^6+WeightSDS!R$5*$BA42^5+WeightSDS!S$5*$BA42^4+WeightSDS!T$5*$BA42^3+WeightSDS!U$5*$BA42^2+WeightSDS!V$5*$BA42+WeightSDS!W$5,IF($BA42&lt;186,WeightSDS!P$8*$BA42^7+WeightSDS!Q$8*$BA42^6+WeightSDS!R$8*$BA42^5+WeightSDS!S$8*$BA42^4+WeightSDS!T$8*$BA42^3+WeightSDS!U$8*$BA42^2+WeightSDS!V$8*$BA42+WeightSDS!W$8,WeightSDS!$U$9+WeightSDS!$V$9*($BA42-WeightSDS!$W$9)))</f>
        <v>0.75407122999999998</v>
      </c>
      <c r="BI42" s="24">
        <f>IF($E$4="M",IF($BA42&lt;45,WeightSDS!M$23*$BA42^10+WeightSDS!N$23*$BA42^9+WeightSDS!O$23*$BA42^8+WeightSDS!P$23*$BA42^7+WeightSDS!Q$23*$BA42^6+WeightSDS!R$23*$BA42^5+WeightSDS!S$23*$BA42^4+WeightSDS!T$23*$BA42^3+WeightSDS!U$23*$BA42^2+WeightSDS!V$23*$BA42+WeightSDS!W$23,IF($BA42&lt;153,WeightSDS!M$25*$BA42^10+WeightSDS!N$25*$BA42^9+WeightSDS!O$25*$BA42^8+WeightSDS!P$25*$BA42^7+WeightSDS!Q$25*$BA42^6+WeightSDS!R$25*$BA42^5+WeightSDS!S$25*$BA42^4+WeightSDS!T$25*$BA42^3+WeightSDS!U$25*$BA42^2+WeightSDS!V$25*$BA42+WeightSDS!W$25,WeightSDS!M$27+WeightSDS!N$27/(1+EXP(WeightSDS!O$27+WeightSDS!P$27*$BA42)))),IF($BA42&lt;43.8,WeightSDS!M$29*$BA42^10+WeightSDS!N$29*$BA42^9+WeightSDS!O$29*$BA42^8+WeightSDS!P$29*$BA42^7+WeightSDS!Q$29*$BA42^6+WeightSDS!R$29*$BA42^5+WeightSDS!S$29*$BA42^4+WeightSDS!T$29*$BA42^3+WeightSDS!U$29*$BA42^2+WeightSDS!V$29*$BA42+WeightSDS!W$29-0.010431*(1-$BA42/210),IF($BA42&lt;123,WeightSDS!M$30*$BA42^10+WeightSDS!N$30*$BA42^9+WeightSDS!O$30*$BA42^8+WeightSDS!P$30*$BA42^7+WeightSDS!Q$30*$BA42^6+WeightSDS!R$30*$BA42^5+WeightSDS!S$30*$BA42^4+WeightSDS!T$30*$BA42^3+WeightSDS!U$30*$BA42^2+WeightSDS!V$30*$BA42+WeightSDS!W$30-0.010431*(1-1/$BA42),WeightSDS!M$32+WeightSDS!N$32/(1+EXP(WeightSDS!O$32+WeightSDS!P$32*$BA42))-0.010431*(1-$BA42/210))))</f>
        <v>2.9500001032655536</v>
      </c>
      <c r="BJ42" s="24">
        <f>IF($E$4="M",IF($BA42&lt;162,WeightSDS!P$12*$BA42^7+WeightSDS!Q$12*$BA42^6+WeightSDS!R$12*$BA42^5+WeightSDS!S$12*$BA42^4+WeightSDS!T$12*$BA42^3+WeightSDS!U$12*$BA42^2+WeightSDS!V$12*$BA42+WeightSDS!W$12,WeightSDS!P$14*$BA42^7+WeightSDS!Q$14*$BA42^6+WeightSDS!R$14*$BA42^5+WeightSDS!S$14*$BA42^4+WeightSDS!T$14*$BA42^3+WeightSDS!U$14*$BA42^2+WeightSDS!V$14*$BA42+WeightSDS!W$14),IF($BA42&lt;156,WeightSDS!O$17*$BA42^8+WeightSDS!P$17*$BA42^7+WeightSDS!Q$17*$BA42^6+WeightSDS!R$17*$BA42^5+WeightSDS!S$17*$BA42^4+WeightSDS!T$17*$BA42^3+WeightSDS!U$17*$BA42^2+WeightSDS!V$17*$BA42+WeightSDS!W$17,IF($BA42&lt;186,WeightSDS!$U$18+(WeightSDS!$V$18-WeightSDS!$U$18)/24*($BA42-186)+WeightSDS!$W$18*(-$BA42+186)^2-0.005,WeightSDS!$U$18+(WeightSDS!$V$18-WeightSDS!$U$18)/24*($BA42-186)-0.005)))</f>
        <v>0.14604529399999999</v>
      </c>
    </row>
    <row r="43" spans="2:62" s="4" customFormat="1" x14ac:dyDescent="0.15">
      <c r="B43" s="40"/>
      <c r="C43" s="141"/>
      <c r="D43" s="22"/>
      <c r="E43" s="110"/>
      <c r="F43" s="110"/>
      <c r="G43" s="110"/>
      <c r="H43" s="44" t="str">
        <f t="shared" si="43"/>
        <v/>
      </c>
      <c r="I43" s="111" t="str">
        <f t="shared" si="10"/>
        <v/>
      </c>
      <c r="J43" s="111" t="str">
        <f t="shared" si="44"/>
        <v/>
      </c>
      <c r="K43" s="111" t="str">
        <f t="shared" si="11"/>
        <v/>
      </c>
      <c r="L43" s="44" t="str">
        <f t="shared" si="12"/>
        <v/>
      </c>
      <c r="M43" s="111" t="str">
        <f t="shared" si="13"/>
        <v/>
      </c>
      <c r="N43" s="44" t="str">
        <f t="shared" si="14"/>
        <v/>
      </c>
      <c r="O43" s="44" t="str">
        <f t="shared" si="45"/>
        <v/>
      </c>
      <c r="P43" s="111" t="str">
        <f t="shared" si="15"/>
        <v/>
      </c>
      <c r="Q43" s="44" t="str">
        <f t="shared" si="16"/>
        <v/>
      </c>
      <c r="R43" s="157" t="str">
        <f t="shared" si="46"/>
        <v/>
      </c>
      <c r="S43" s="44" t="str">
        <f t="shared" si="17"/>
        <v/>
      </c>
      <c r="T43" s="140" t="str">
        <f t="shared" si="35"/>
        <v/>
      </c>
      <c r="U43" s="140" t="str">
        <f t="shared" si="47"/>
        <v/>
      </c>
      <c r="V43" s="24"/>
      <c r="W43" s="24"/>
      <c r="X43" s="24"/>
      <c r="Y43" s="24"/>
      <c r="Z43" s="24"/>
      <c r="AA43" s="24">
        <f t="shared" si="48"/>
        <v>0</v>
      </c>
      <c r="AB43" s="24"/>
      <c r="AC43" s="24" t="str">
        <f t="shared" si="27"/>
        <v/>
      </c>
      <c r="AD43" s="24" t="str">
        <f t="shared" si="49"/>
        <v/>
      </c>
      <c r="AE43" s="24">
        <f t="shared" si="50"/>
        <v>0</v>
      </c>
      <c r="AG43" s="24" t="e">
        <f t="shared" si="38"/>
        <v>#VALUE!</v>
      </c>
      <c r="AH43" s="24" t="e">
        <f t="shared" si="39"/>
        <v>#VALUE!</v>
      </c>
      <c r="AI43" s="24" t="e">
        <f t="shared" si="36"/>
        <v>#VALUE!</v>
      </c>
      <c r="AJ43" s="24" t="e">
        <f t="shared" si="37"/>
        <v>#VALUE!</v>
      </c>
      <c r="AL43" s="24"/>
      <c r="AM43" s="24" t="e">
        <f t="shared" si="33"/>
        <v>#VALUE!</v>
      </c>
      <c r="AN43" s="31"/>
      <c r="AO43" s="34">
        <f t="shared" si="51"/>
        <v>0</v>
      </c>
      <c r="AP43" s="24">
        <f t="shared" si="52"/>
        <v>0</v>
      </c>
      <c r="AQ43" s="24"/>
      <c r="AR43" s="112"/>
      <c r="AS43" s="112"/>
      <c r="AT43" s="59">
        <f t="shared" si="53"/>
        <v>9.0359999999999996</v>
      </c>
      <c r="AU43" s="59">
        <f t="shared" si="54"/>
        <v>-184.49199999999999</v>
      </c>
      <c r="AV43" s="59"/>
      <c r="AW43"/>
      <c r="AX43">
        <f>IF($E$4="M",IF(BA43&lt;78,BMILMS!$D$5*BA43^3+BMILMS!$E$5*BA43^2+BMILMS!$F$5*BA43+BMILMS!$G$5,IF(BA43&lt;150,BMILMS!$D$6*BA43^3+BMILMS!$E$6*BA43^2+BMILMS!$F$6*BA43+BMILMS!$G$6,BMILMS!$D$7*BA43^3+BMILMS!$E$7*BA43^2+BMILMS!$F$7*BA43+BMILMS!$G$7)),IF(BA43&lt;69,BMILMS!$D$9*BA43^3+BMILMS!$E$9*BA43^2+BMILMS!$F$9*BA43+BMILMS!$G$9,IF(BA43&lt;150,BMILMS!$D$10*BA43^3+BMILMS!$E$10*BA43^2+BMILMS!$F$10*BA43+BMILMS!$G$10,BMILMS!$D$11*BA43^3+BMILMS!$E$11*BA43^2+BMILMS!$F$11*BA43+BMILMS!$G$11)))</f>
        <v>0.79584630099999998</v>
      </c>
      <c r="AY43">
        <f>IF($E$4="M",(IF(BA43&lt;2.5,BMILMS!$D$21*BA43^3+BMILMS!$E$21*BA43^2+BMILMS!$F$21*BA43+BMILMS!$G$21,IF(BA43&lt;9.5,BMILMS!$D$22*BA43^3+BMILMS!$E$22*BA43^2+BMILMS!$F$22*BA43+BMILMS!$G$22,IF(BA43&lt;26.75,BMILMS!$D$23*BA43^3+BMILMS!$E$23*BA43^2+BMILMS!$F$23*BA43+BMILMS!$G$23,IF(BA43&lt;90,BMILMS!$D$24*BA43^3+BMILMS!$E$24*BA43^2+BMILMS!$F$24*BA43+BMILMS!$G$24,BMILMS!$D$25*BA43^3+BMILMS!$E$25*BA43^2+BMILMS!$F$25*BA43+BMILMS!$G$25))))),(IF(BA43&lt;2.5,BMILMS!$D$27*BA43^3+BMILMS!$E$27*BA43^2+BMILMS!$F$27*BA43+BMILMS!$G$27,IF(BA43&lt;9.5,BMILMS!$D$28*BA43^3+BMILMS!$E$28*BA43^2+BMILMS!$F$28*BA43+BMILMS!$G$28,IF(BA43&lt;26.75,BMILMS!$D$29*BA43^3+BMILMS!$E$29*BA43^2+BMILMS!$F$29*BA43+BMILMS!$G$29,IF(BA43&lt;90,BMILMS!$D$30*BA43^3+BMILMS!$E$30*BA43^2+BMILMS!$F$30*BA43+BMILMS!$G$30,IF(BA43&lt;150,BMILMS!$D$31*BA43^3+BMILMS!$E$31*BA43^2+BMILMS!$F$31*BA43+BMILMS!$G$31,BMILMS!$D$32*BA43^3+BMILMS!$E$32*BA43^2+BMILMS!$F$32*BA43+BMILMS!$G$32)))))))</f>
        <v>12.568967990000001</v>
      </c>
      <c r="AZ43">
        <f>IF($E$4="M",(IF(BA43&lt;90,BMILMS!$D$14*BA43^3+BMILMS!$E$14*BA43^2+BMILMS!$F$14*BA43+BMILMS!$G$14,BMILMS!$D$15*BA43^3+BMILMS!$E$15*BA43^2+BMILMS!$F$15*BA43+BMILMS!$G$15)),(IF(BA43&lt;90,BMILMS!$D$17*BA43^3+BMILMS!$E$17*BA43^2+BMILMS!$F$17*BA43+BMILMS!$G$17,BMILMS!$D$18*BA43^3+BMILMS!$E$18*BA43^2+BMILMS!$F$18*BA43+BMILMS!$G$18)))</f>
        <v>8.8969350000000003E-2</v>
      </c>
      <c r="BA43" s="24">
        <f t="shared" si="34"/>
        <v>0</v>
      </c>
      <c r="BB43" s="24">
        <f t="shared" si="55"/>
        <v>0</v>
      </c>
      <c r="BD43">
        <f t="shared" si="40"/>
        <v>0.56299999999999994</v>
      </c>
      <c r="BE43">
        <f t="shared" si="41"/>
        <v>69</v>
      </c>
      <c r="BF43">
        <f t="shared" si="42"/>
        <v>0.51</v>
      </c>
      <c r="BH43" s="35">
        <f>IF($E$4="M",WeightSDS!P$5*$BA43^7+WeightSDS!Q$5*$BA43^6+WeightSDS!R$5*$BA43^5+WeightSDS!S$5*$BA43^4+WeightSDS!T$5*$BA43^3+WeightSDS!U$5*$BA43^2+WeightSDS!V$5*$BA43+WeightSDS!W$5,IF($BA43&lt;186,WeightSDS!P$8*$BA43^7+WeightSDS!Q$8*$BA43^6+WeightSDS!R$8*$BA43^5+WeightSDS!S$8*$BA43^4+WeightSDS!T$8*$BA43^3+WeightSDS!U$8*$BA43^2+WeightSDS!V$8*$BA43+WeightSDS!W$8,WeightSDS!$U$9+WeightSDS!$V$9*($BA43-WeightSDS!$W$9)))</f>
        <v>0.75407122999999998</v>
      </c>
      <c r="BI43" s="24">
        <f>IF($E$4="M",IF($BA43&lt;45,WeightSDS!M$23*$BA43^10+WeightSDS!N$23*$BA43^9+WeightSDS!O$23*$BA43^8+WeightSDS!P$23*$BA43^7+WeightSDS!Q$23*$BA43^6+WeightSDS!R$23*$BA43^5+WeightSDS!S$23*$BA43^4+WeightSDS!T$23*$BA43^3+WeightSDS!U$23*$BA43^2+WeightSDS!V$23*$BA43+WeightSDS!W$23,IF($BA43&lt;153,WeightSDS!M$25*$BA43^10+WeightSDS!N$25*$BA43^9+WeightSDS!O$25*$BA43^8+WeightSDS!P$25*$BA43^7+WeightSDS!Q$25*$BA43^6+WeightSDS!R$25*$BA43^5+WeightSDS!S$25*$BA43^4+WeightSDS!T$25*$BA43^3+WeightSDS!U$25*$BA43^2+WeightSDS!V$25*$BA43+WeightSDS!W$25,WeightSDS!M$27+WeightSDS!N$27/(1+EXP(WeightSDS!O$27+WeightSDS!P$27*$BA43)))),IF($BA43&lt;43.8,WeightSDS!M$29*$BA43^10+WeightSDS!N$29*$BA43^9+WeightSDS!O$29*$BA43^8+WeightSDS!P$29*$BA43^7+WeightSDS!Q$29*$BA43^6+WeightSDS!R$29*$BA43^5+WeightSDS!S$29*$BA43^4+WeightSDS!T$29*$BA43^3+WeightSDS!U$29*$BA43^2+WeightSDS!V$29*$BA43+WeightSDS!W$29-0.010431*(1-$BA43/210),IF($BA43&lt;123,WeightSDS!M$30*$BA43^10+WeightSDS!N$30*$BA43^9+WeightSDS!O$30*$BA43^8+WeightSDS!P$30*$BA43^7+WeightSDS!Q$30*$BA43^6+WeightSDS!R$30*$BA43^5+WeightSDS!S$30*$BA43^4+WeightSDS!T$30*$BA43^3+WeightSDS!U$30*$BA43^2+WeightSDS!V$30*$BA43+WeightSDS!W$30-0.010431*(1-1/$BA43),WeightSDS!M$32+WeightSDS!N$32/(1+EXP(WeightSDS!O$32+WeightSDS!P$32*$BA43))-0.010431*(1-$BA43/210))))</f>
        <v>2.9500001032655536</v>
      </c>
      <c r="BJ43" s="24">
        <f>IF($E$4="M",IF($BA43&lt;162,WeightSDS!P$12*$BA43^7+WeightSDS!Q$12*$BA43^6+WeightSDS!R$12*$BA43^5+WeightSDS!S$12*$BA43^4+WeightSDS!T$12*$BA43^3+WeightSDS!U$12*$BA43^2+WeightSDS!V$12*$BA43+WeightSDS!W$12,WeightSDS!P$14*$BA43^7+WeightSDS!Q$14*$BA43^6+WeightSDS!R$14*$BA43^5+WeightSDS!S$14*$BA43^4+WeightSDS!T$14*$BA43^3+WeightSDS!U$14*$BA43^2+WeightSDS!V$14*$BA43+WeightSDS!W$14),IF($BA43&lt;156,WeightSDS!O$17*$BA43^8+WeightSDS!P$17*$BA43^7+WeightSDS!Q$17*$BA43^6+WeightSDS!R$17*$BA43^5+WeightSDS!S$17*$BA43^4+WeightSDS!T$17*$BA43^3+WeightSDS!U$17*$BA43^2+WeightSDS!V$17*$BA43+WeightSDS!W$17,IF($BA43&lt;186,WeightSDS!$U$18+(WeightSDS!$V$18-WeightSDS!$U$18)/24*($BA43-186)+WeightSDS!$W$18*(-$BA43+186)^2-0.005,WeightSDS!$U$18+(WeightSDS!$V$18-WeightSDS!$U$18)/24*($BA43-186)-0.005)))</f>
        <v>0.14604529399999999</v>
      </c>
    </row>
    <row r="44" spans="2:62" s="4" customFormat="1" x14ac:dyDescent="0.15">
      <c r="B44" s="40"/>
      <c r="C44" s="141"/>
      <c r="D44" s="22"/>
      <c r="E44" s="110"/>
      <c r="F44" s="110"/>
      <c r="G44" s="110"/>
      <c r="H44" s="44" t="str">
        <f t="shared" si="43"/>
        <v/>
      </c>
      <c r="I44" s="111" t="str">
        <f t="shared" si="10"/>
        <v/>
      </c>
      <c r="J44" s="111" t="str">
        <f t="shared" si="44"/>
        <v/>
      </c>
      <c r="K44" s="111" t="str">
        <f t="shared" si="11"/>
        <v/>
      </c>
      <c r="L44" s="44" t="str">
        <f t="shared" si="12"/>
        <v/>
      </c>
      <c r="M44" s="111" t="str">
        <f t="shared" si="13"/>
        <v/>
      </c>
      <c r="N44" s="44" t="str">
        <f t="shared" si="14"/>
        <v/>
      </c>
      <c r="O44" s="44" t="str">
        <f t="shared" si="45"/>
        <v/>
      </c>
      <c r="P44" s="111" t="str">
        <f t="shared" si="15"/>
        <v/>
      </c>
      <c r="Q44" s="44" t="str">
        <f t="shared" si="16"/>
        <v/>
      </c>
      <c r="R44" s="157" t="str">
        <f t="shared" si="46"/>
        <v/>
      </c>
      <c r="S44" s="44" t="str">
        <f t="shared" si="17"/>
        <v/>
      </c>
      <c r="T44" s="140" t="str">
        <f t="shared" si="35"/>
        <v/>
      </c>
      <c r="U44" s="140" t="str">
        <f t="shared" si="47"/>
        <v/>
      </c>
      <c r="V44" s="24"/>
      <c r="W44" s="24"/>
      <c r="X44" s="24"/>
      <c r="Y44" s="24"/>
      <c r="Z44" s="24"/>
      <c r="AA44" s="24">
        <f t="shared" si="48"/>
        <v>0</v>
      </c>
      <c r="AB44" s="24"/>
      <c r="AC44" s="24" t="str">
        <f t="shared" si="27"/>
        <v/>
      </c>
      <c r="AD44" s="24" t="str">
        <f t="shared" si="49"/>
        <v/>
      </c>
      <c r="AE44" s="24">
        <f t="shared" si="50"/>
        <v>0</v>
      </c>
      <c r="AG44" s="24" t="e">
        <f t="shared" si="38"/>
        <v>#VALUE!</v>
      </c>
      <c r="AH44" s="24" t="e">
        <f t="shared" si="39"/>
        <v>#VALUE!</v>
      </c>
      <c r="AI44" s="24" t="e">
        <f t="shared" si="36"/>
        <v>#VALUE!</v>
      </c>
      <c r="AJ44" s="24" t="e">
        <f t="shared" si="37"/>
        <v>#VALUE!</v>
      </c>
      <c r="AL44" s="24"/>
      <c r="AM44" s="24" t="e">
        <f t="shared" si="33"/>
        <v>#VALUE!</v>
      </c>
      <c r="AN44" s="31"/>
      <c r="AO44" s="34">
        <f t="shared" si="51"/>
        <v>0</v>
      </c>
      <c r="AP44" s="24">
        <f t="shared" si="52"/>
        <v>0</v>
      </c>
      <c r="AQ44" s="24"/>
      <c r="AR44" s="112"/>
      <c r="AS44" s="112"/>
      <c r="AT44" s="59">
        <f t="shared" si="53"/>
        <v>9.0359999999999996</v>
      </c>
      <c r="AU44" s="59">
        <f t="shared" si="54"/>
        <v>-184.49199999999999</v>
      </c>
      <c r="AV44" s="59"/>
      <c r="AW44"/>
      <c r="AX44">
        <f>IF($E$4="M",IF(BA44&lt;78,BMILMS!$D$5*BA44^3+BMILMS!$E$5*BA44^2+BMILMS!$F$5*BA44+BMILMS!$G$5,IF(BA44&lt;150,BMILMS!$D$6*BA44^3+BMILMS!$E$6*BA44^2+BMILMS!$F$6*BA44+BMILMS!$G$6,BMILMS!$D$7*BA44^3+BMILMS!$E$7*BA44^2+BMILMS!$F$7*BA44+BMILMS!$G$7)),IF(BA44&lt;69,BMILMS!$D$9*BA44^3+BMILMS!$E$9*BA44^2+BMILMS!$F$9*BA44+BMILMS!$G$9,IF(BA44&lt;150,BMILMS!$D$10*BA44^3+BMILMS!$E$10*BA44^2+BMILMS!$F$10*BA44+BMILMS!$G$10,BMILMS!$D$11*BA44^3+BMILMS!$E$11*BA44^2+BMILMS!$F$11*BA44+BMILMS!$G$11)))</f>
        <v>0.79584630099999998</v>
      </c>
      <c r="AY44">
        <f>IF($E$4="M",(IF(BA44&lt;2.5,BMILMS!$D$21*BA44^3+BMILMS!$E$21*BA44^2+BMILMS!$F$21*BA44+BMILMS!$G$21,IF(BA44&lt;9.5,BMILMS!$D$22*BA44^3+BMILMS!$E$22*BA44^2+BMILMS!$F$22*BA44+BMILMS!$G$22,IF(BA44&lt;26.75,BMILMS!$D$23*BA44^3+BMILMS!$E$23*BA44^2+BMILMS!$F$23*BA44+BMILMS!$G$23,IF(BA44&lt;90,BMILMS!$D$24*BA44^3+BMILMS!$E$24*BA44^2+BMILMS!$F$24*BA44+BMILMS!$G$24,BMILMS!$D$25*BA44^3+BMILMS!$E$25*BA44^2+BMILMS!$F$25*BA44+BMILMS!$G$25))))),(IF(BA44&lt;2.5,BMILMS!$D$27*BA44^3+BMILMS!$E$27*BA44^2+BMILMS!$F$27*BA44+BMILMS!$G$27,IF(BA44&lt;9.5,BMILMS!$D$28*BA44^3+BMILMS!$E$28*BA44^2+BMILMS!$F$28*BA44+BMILMS!$G$28,IF(BA44&lt;26.75,BMILMS!$D$29*BA44^3+BMILMS!$E$29*BA44^2+BMILMS!$F$29*BA44+BMILMS!$G$29,IF(BA44&lt;90,BMILMS!$D$30*BA44^3+BMILMS!$E$30*BA44^2+BMILMS!$F$30*BA44+BMILMS!$G$30,IF(BA44&lt;150,BMILMS!$D$31*BA44^3+BMILMS!$E$31*BA44^2+BMILMS!$F$31*BA44+BMILMS!$G$31,BMILMS!$D$32*BA44^3+BMILMS!$E$32*BA44^2+BMILMS!$F$32*BA44+BMILMS!$G$32)))))))</f>
        <v>12.568967990000001</v>
      </c>
      <c r="AZ44">
        <f>IF($E$4="M",(IF(BA44&lt;90,BMILMS!$D$14*BA44^3+BMILMS!$E$14*BA44^2+BMILMS!$F$14*BA44+BMILMS!$G$14,BMILMS!$D$15*BA44^3+BMILMS!$E$15*BA44^2+BMILMS!$F$15*BA44+BMILMS!$G$15)),(IF(BA44&lt;90,BMILMS!$D$17*BA44^3+BMILMS!$E$17*BA44^2+BMILMS!$F$17*BA44+BMILMS!$G$17,BMILMS!$D$18*BA44^3+BMILMS!$E$18*BA44^2+BMILMS!$F$18*BA44+BMILMS!$G$18)))</f>
        <v>8.8969350000000003E-2</v>
      </c>
      <c r="BA44" s="24">
        <f t="shared" si="34"/>
        <v>0</v>
      </c>
      <c r="BB44" s="24">
        <f t="shared" si="55"/>
        <v>0</v>
      </c>
      <c r="BD44">
        <f t="shared" si="40"/>
        <v>0.56299999999999994</v>
      </c>
      <c r="BE44">
        <f t="shared" si="41"/>
        <v>69</v>
      </c>
      <c r="BF44">
        <f t="shared" si="42"/>
        <v>0.51</v>
      </c>
      <c r="BH44" s="35">
        <f>IF($E$4="M",WeightSDS!P$5*$BA44^7+WeightSDS!Q$5*$BA44^6+WeightSDS!R$5*$BA44^5+WeightSDS!S$5*$BA44^4+WeightSDS!T$5*$BA44^3+WeightSDS!U$5*$BA44^2+WeightSDS!V$5*$BA44+WeightSDS!W$5,IF($BA44&lt;186,WeightSDS!P$8*$BA44^7+WeightSDS!Q$8*$BA44^6+WeightSDS!R$8*$BA44^5+WeightSDS!S$8*$BA44^4+WeightSDS!T$8*$BA44^3+WeightSDS!U$8*$BA44^2+WeightSDS!V$8*$BA44+WeightSDS!W$8,WeightSDS!$U$9+WeightSDS!$V$9*($BA44-WeightSDS!$W$9)))</f>
        <v>0.75407122999999998</v>
      </c>
      <c r="BI44" s="24">
        <f>IF($E$4="M",IF($BA44&lt;45,WeightSDS!M$23*$BA44^10+WeightSDS!N$23*$BA44^9+WeightSDS!O$23*$BA44^8+WeightSDS!P$23*$BA44^7+WeightSDS!Q$23*$BA44^6+WeightSDS!R$23*$BA44^5+WeightSDS!S$23*$BA44^4+WeightSDS!T$23*$BA44^3+WeightSDS!U$23*$BA44^2+WeightSDS!V$23*$BA44+WeightSDS!W$23,IF($BA44&lt;153,WeightSDS!M$25*$BA44^10+WeightSDS!N$25*$BA44^9+WeightSDS!O$25*$BA44^8+WeightSDS!P$25*$BA44^7+WeightSDS!Q$25*$BA44^6+WeightSDS!R$25*$BA44^5+WeightSDS!S$25*$BA44^4+WeightSDS!T$25*$BA44^3+WeightSDS!U$25*$BA44^2+WeightSDS!V$25*$BA44+WeightSDS!W$25,WeightSDS!M$27+WeightSDS!N$27/(1+EXP(WeightSDS!O$27+WeightSDS!P$27*$BA44)))),IF($BA44&lt;43.8,WeightSDS!M$29*$BA44^10+WeightSDS!N$29*$BA44^9+WeightSDS!O$29*$BA44^8+WeightSDS!P$29*$BA44^7+WeightSDS!Q$29*$BA44^6+WeightSDS!R$29*$BA44^5+WeightSDS!S$29*$BA44^4+WeightSDS!T$29*$BA44^3+WeightSDS!U$29*$BA44^2+WeightSDS!V$29*$BA44+WeightSDS!W$29-0.010431*(1-$BA44/210),IF($BA44&lt;123,WeightSDS!M$30*$BA44^10+WeightSDS!N$30*$BA44^9+WeightSDS!O$30*$BA44^8+WeightSDS!P$30*$BA44^7+WeightSDS!Q$30*$BA44^6+WeightSDS!R$30*$BA44^5+WeightSDS!S$30*$BA44^4+WeightSDS!T$30*$BA44^3+WeightSDS!U$30*$BA44^2+WeightSDS!V$30*$BA44+WeightSDS!W$30-0.010431*(1-1/$BA44),WeightSDS!M$32+WeightSDS!N$32/(1+EXP(WeightSDS!O$32+WeightSDS!P$32*$BA44))-0.010431*(1-$BA44/210))))</f>
        <v>2.9500001032655536</v>
      </c>
      <c r="BJ44" s="24">
        <f>IF($E$4="M",IF($BA44&lt;162,WeightSDS!P$12*$BA44^7+WeightSDS!Q$12*$BA44^6+WeightSDS!R$12*$BA44^5+WeightSDS!S$12*$BA44^4+WeightSDS!T$12*$BA44^3+WeightSDS!U$12*$BA44^2+WeightSDS!V$12*$BA44+WeightSDS!W$12,WeightSDS!P$14*$BA44^7+WeightSDS!Q$14*$BA44^6+WeightSDS!R$14*$BA44^5+WeightSDS!S$14*$BA44^4+WeightSDS!T$14*$BA44^3+WeightSDS!U$14*$BA44^2+WeightSDS!V$14*$BA44+WeightSDS!W$14),IF($BA44&lt;156,WeightSDS!O$17*$BA44^8+WeightSDS!P$17*$BA44^7+WeightSDS!Q$17*$BA44^6+WeightSDS!R$17*$BA44^5+WeightSDS!S$17*$BA44^4+WeightSDS!T$17*$BA44^3+WeightSDS!U$17*$BA44^2+WeightSDS!V$17*$BA44+WeightSDS!W$17,IF($BA44&lt;186,WeightSDS!$U$18+(WeightSDS!$V$18-WeightSDS!$U$18)/24*($BA44-186)+WeightSDS!$W$18*(-$BA44+186)^2-0.005,WeightSDS!$U$18+(WeightSDS!$V$18-WeightSDS!$U$18)/24*($BA44-186)-0.005)))</f>
        <v>0.14604529399999999</v>
      </c>
    </row>
    <row r="45" spans="2:62" s="4" customFormat="1" x14ac:dyDescent="0.15">
      <c r="B45" s="40"/>
      <c r="C45" s="141"/>
      <c r="D45" s="22"/>
      <c r="E45" s="110"/>
      <c r="F45" s="110"/>
      <c r="G45" s="110"/>
      <c r="H45" s="44" t="str">
        <f t="shared" si="43"/>
        <v/>
      </c>
      <c r="I45" s="111" t="str">
        <f t="shared" si="10"/>
        <v/>
      </c>
      <c r="J45" s="111" t="str">
        <f t="shared" si="44"/>
        <v/>
      </c>
      <c r="K45" s="111" t="str">
        <f t="shared" si="11"/>
        <v/>
      </c>
      <c r="L45" s="44" t="str">
        <f t="shared" si="12"/>
        <v/>
      </c>
      <c r="M45" s="111" t="str">
        <f t="shared" si="13"/>
        <v/>
      </c>
      <c r="N45" s="44" t="str">
        <f t="shared" si="14"/>
        <v/>
      </c>
      <c r="O45" s="44" t="str">
        <f t="shared" si="45"/>
        <v/>
      </c>
      <c r="P45" s="111" t="str">
        <f t="shared" si="15"/>
        <v/>
      </c>
      <c r="Q45" s="44" t="str">
        <f t="shared" si="16"/>
        <v/>
      </c>
      <c r="R45" s="157" t="str">
        <f t="shared" si="46"/>
        <v/>
      </c>
      <c r="S45" s="44" t="str">
        <f t="shared" si="17"/>
        <v/>
      </c>
      <c r="T45" s="140" t="str">
        <f t="shared" si="35"/>
        <v/>
      </c>
      <c r="U45" s="140" t="str">
        <f t="shared" si="47"/>
        <v/>
      </c>
      <c r="V45" s="24"/>
      <c r="W45" s="24"/>
      <c r="X45" s="24"/>
      <c r="Y45" s="24"/>
      <c r="Z45" s="24"/>
      <c r="AA45" s="24">
        <f t="shared" si="48"/>
        <v>0</v>
      </c>
      <c r="AB45" s="24"/>
      <c r="AC45" s="24" t="str">
        <f t="shared" si="27"/>
        <v/>
      </c>
      <c r="AD45" s="24" t="str">
        <f t="shared" si="49"/>
        <v/>
      </c>
      <c r="AE45" s="24">
        <f t="shared" si="50"/>
        <v>0</v>
      </c>
      <c r="AG45" s="24" t="e">
        <f t="shared" si="38"/>
        <v>#VALUE!</v>
      </c>
      <c r="AH45" s="24" t="e">
        <f t="shared" si="39"/>
        <v>#VALUE!</v>
      </c>
      <c r="AI45" s="24" t="e">
        <f t="shared" si="36"/>
        <v>#VALUE!</v>
      </c>
      <c r="AJ45" s="24" t="e">
        <f t="shared" si="37"/>
        <v>#VALUE!</v>
      </c>
      <c r="AL45" s="24"/>
      <c r="AM45" s="24" t="e">
        <f t="shared" si="33"/>
        <v>#VALUE!</v>
      </c>
      <c r="AN45" s="31"/>
      <c r="AO45" s="34">
        <f t="shared" si="51"/>
        <v>0</v>
      </c>
      <c r="AP45" s="24">
        <f t="shared" si="52"/>
        <v>0</v>
      </c>
      <c r="AQ45" s="24"/>
      <c r="AR45" s="112"/>
      <c r="AS45" s="112"/>
      <c r="AT45" s="59">
        <f t="shared" si="53"/>
        <v>9.0359999999999996</v>
      </c>
      <c r="AU45" s="59">
        <f t="shared" si="54"/>
        <v>-184.49199999999999</v>
      </c>
      <c r="AV45" s="59"/>
      <c r="AW45"/>
      <c r="AX45">
        <f>IF($E$4="M",IF(BA45&lt;78,BMILMS!$D$5*BA45^3+BMILMS!$E$5*BA45^2+BMILMS!$F$5*BA45+BMILMS!$G$5,IF(BA45&lt;150,BMILMS!$D$6*BA45^3+BMILMS!$E$6*BA45^2+BMILMS!$F$6*BA45+BMILMS!$G$6,BMILMS!$D$7*BA45^3+BMILMS!$E$7*BA45^2+BMILMS!$F$7*BA45+BMILMS!$G$7)),IF(BA45&lt;69,BMILMS!$D$9*BA45^3+BMILMS!$E$9*BA45^2+BMILMS!$F$9*BA45+BMILMS!$G$9,IF(BA45&lt;150,BMILMS!$D$10*BA45^3+BMILMS!$E$10*BA45^2+BMILMS!$F$10*BA45+BMILMS!$G$10,BMILMS!$D$11*BA45^3+BMILMS!$E$11*BA45^2+BMILMS!$F$11*BA45+BMILMS!$G$11)))</f>
        <v>0.79584630099999998</v>
      </c>
      <c r="AY45">
        <f>IF($E$4="M",(IF(BA45&lt;2.5,BMILMS!$D$21*BA45^3+BMILMS!$E$21*BA45^2+BMILMS!$F$21*BA45+BMILMS!$G$21,IF(BA45&lt;9.5,BMILMS!$D$22*BA45^3+BMILMS!$E$22*BA45^2+BMILMS!$F$22*BA45+BMILMS!$G$22,IF(BA45&lt;26.75,BMILMS!$D$23*BA45^3+BMILMS!$E$23*BA45^2+BMILMS!$F$23*BA45+BMILMS!$G$23,IF(BA45&lt;90,BMILMS!$D$24*BA45^3+BMILMS!$E$24*BA45^2+BMILMS!$F$24*BA45+BMILMS!$G$24,BMILMS!$D$25*BA45^3+BMILMS!$E$25*BA45^2+BMILMS!$F$25*BA45+BMILMS!$G$25))))),(IF(BA45&lt;2.5,BMILMS!$D$27*BA45^3+BMILMS!$E$27*BA45^2+BMILMS!$F$27*BA45+BMILMS!$G$27,IF(BA45&lt;9.5,BMILMS!$D$28*BA45^3+BMILMS!$E$28*BA45^2+BMILMS!$F$28*BA45+BMILMS!$G$28,IF(BA45&lt;26.75,BMILMS!$D$29*BA45^3+BMILMS!$E$29*BA45^2+BMILMS!$F$29*BA45+BMILMS!$G$29,IF(BA45&lt;90,BMILMS!$D$30*BA45^3+BMILMS!$E$30*BA45^2+BMILMS!$F$30*BA45+BMILMS!$G$30,IF(BA45&lt;150,BMILMS!$D$31*BA45^3+BMILMS!$E$31*BA45^2+BMILMS!$F$31*BA45+BMILMS!$G$31,BMILMS!$D$32*BA45^3+BMILMS!$E$32*BA45^2+BMILMS!$F$32*BA45+BMILMS!$G$32)))))))</f>
        <v>12.568967990000001</v>
      </c>
      <c r="AZ45">
        <f>IF($E$4="M",(IF(BA45&lt;90,BMILMS!$D$14*BA45^3+BMILMS!$E$14*BA45^2+BMILMS!$F$14*BA45+BMILMS!$G$14,BMILMS!$D$15*BA45^3+BMILMS!$E$15*BA45^2+BMILMS!$F$15*BA45+BMILMS!$G$15)),(IF(BA45&lt;90,BMILMS!$D$17*BA45^3+BMILMS!$E$17*BA45^2+BMILMS!$F$17*BA45+BMILMS!$G$17,BMILMS!$D$18*BA45^3+BMILMS!$E$18*BA45^2+BMILMS!$F$18*BA45+BMILMS!$G$18)))</f>
        <v>8.8969350000000003E-2</v>
      </c>
      <c r="BA45" s="24">
        <f t="shared" si="34"/>
        <v>0</v>
      </c>
      <c r="BB45" s="24">
        <f t="shared" si="55"/>
        <v>0</v>
      </c>
      <c r="BD45">
        <f t="shared" si="40"/>
        <v>0.56299999999999994</v>
      </c>
      <c r="BE45">
        <f t="shared" si="41"/>
        <v>69</v>
      </c>
      <c r="BF45">
        <f t="shared" si="42"/>
        <v>0.51</v>
      </c>
      <c r="BH45" s="35">
        <f>IF($E$4="M",WeightSDS!P$5*$BA45^7+WeightSDS!Q$5*$BA45^6+WeightSDS!R$5*$BA45^5+WeightSDS!S$5*$BA45^4+WeightSDS!T$5*$BA45^3+WeightSDS!U$5*$BA45^2+WeightSDS!V$5*$BA45+WeightSDS!W$5,IF($BA45&lt;186,WeightSDS!P$8*$BA45^7+WeightSDS!Q$8*$BA45^6+WeightSDS!R$8*$BA45^5+WeightSDS!S$8*$BA45^4+WeightSDS!T$8*$BA45^3+WeightSDS!U$8*$BA45^2+WeightSDS!V$8*$BA45+WeightSDS!W$8,WeightSDS!$U$9+WeightSDS!$V$9*($BA45-WeightSDS!$W$9)))</f>
        <v>0.75407122999999998</v>
      </c>
      <c r="BI45" s="24">
        <f>IF($E$4="M",IF($BA45&lt;45,WeightSDS!M$23*$BA45^10+WeightSDS!N$23*$BA45^9+WeightSDS!O$23*$BA45^8+WeightSDS!P$23*$BA45^7+WeightSDS!Q$23*$BA45^6+WeightSDS!R$23*$BA45^5+WeightSDS!S$23*$BA45^4+WeightSDS!T$23*$BA45^3+WeightSDS!U$23*$BA45^2+WeightSDS!V$23*$BA45+WeightSDS!W$23,IF($BA45&lt;153,WeightSDS!M$25*$BA45^10+WeightSDS!N$25*$BA45^9+WeightSDS!O$25*$BA45^8+WeightSDS!P$25*$BA45^7+WeightSDS!Q$25*$BA45^6+WeightSDS!R$25*$BA45^5+WeightSDS!S$25*$BA45^4+WeightSDS!T$25*$BA45^3+WeightSDS!U$25*$BA45^2+WeightSDS!V$25*$BA45+WeightSDS!W$25,WeightSDS!M$27+WeightSDS!N$27/(1+EXP(WeightSDS!O$27+WeightSDS!P$27*$BA45)))),IF($BA45&lt;43.8,WeightSDS!M$29*$BA45^10+WeightSDS!N$29*$BA45^9+WeightSDS!O$29*$BA45^8+WeightSDS!P$29*$BA45^7+WeightSDS!Q$29*$BA45^6+WeightSDS!R$29*$BA45^5+WeightSDS!S$29*$BA45^4+WeightSDS!T$29*$BA45^3+WeightSDS!U$29*$BA45^2+WeightSDS!V$29*$BA45+WeightSDS!W$29-0.010431*(1-$BA45/210),IF($BA45&lt;123,WeightSDS!M$30*$BA45^10+WeightSDS!N$30*$BA45^9+WeightSDS!O$30*$BA45^8+WeightSDS!P$30*$BA45^7+WeightSDS!Q$30*$BA45^6+WeightSDS!R$30*$BA45^5+WeightSDS!S$30*$BA45^4+WeightSDS!T$30*$BA45^3+WeightSDS!U$30*$BA45^2+WeightSDS!V$30*$BA45+WeightSDS!W$30-0.010431*(1-1/$BA45),WeightSDS!M$32+WeightSDS!N$32/(1+EXP(WeightSDS!O$32+WeightSDS!P$32*$BA45))-0.010431*(1-$BA45/210))))</f>
        <v>2.9500001032655536</v>
      </c>
      <c r="BJ45" s="24">
        <f>IF($E$4="M",IF($BA45&lt;162,WeightSDS!P$12*$BA45^7+WeightSDS!Q$12*$BA45^6+WeightSDS!R$12*$BA45^5+WeightSDS!S$12*$BA45^4+WeightSDS!T$12*$BA45^3+WeightSDS!U$12*$BA45^2+WeightSDS!V$12*$BA45+WeightSDS!W$12,WeightSDS!P$14*$BA45^7+WeightSDS!Q$14*$BA45^6+WeightSDS!R$14*$BA45^5+WeightSDS!S$14*$BA45^4+WeightSDS!T$14*$BA45^3+WeightSDS!U$14*$BA45^2+WeightSDS!V$14*$BA45+WeightSDS!W$14),IF($BA45&lt;156,WeightSDS!O$17*$BA45^8+WeightSDS!P$17*$BA45^7+WeightSDS!Q$17*$BA45^6+WeightSDS!R$17*$BA45^5+WeightSDS!S$17*$BA45^4+WeightSDS!T$17*$BA45^3+WeightSDS!U$17*$BA45^2+WeightSDS!V$17*$BA45+WeightSDS!W$17,IF($BA45&lt;186,WeightSDS!$U$18+(WeightSDS!$V$18-WeightSDS!$U$18)/24*($BA45-186)+WeightSDS!$W$18*(-$BA45+186)^2-0.005,WeightSDS!$U$18+(WeightSDS!$V$18-WeightSDS!$U$18)/24*($BA45-186)-0.005)))</f>
        <v>0.14604529399999999</v>
      </c>
    </row>
    <row r="46" spans="2:62" s="4" customFormat="1" x14ac:dyDescent="0.15">
      <c r="B46" s="40"/>
      <c r="C46" s="141"/>
      <c r="D46" s="22"/>
      <c r="E46" s="110"/>
      <c r="F46" s="110"/>
      <c r="G46" s="110"/>
      <c r="H46" s="44" t="str">
        <f t="shared" si="43"/>
        <v/>
      </c>
      <c r="I46" s="111" t="str">
        <f t="shared" si="10"/>
        <v/>
      </c>
      <c r="J46" s="111" t="str">
        <f t="shared" si="44"/>
        <v/>
      </c>
      <c r="K46" s="111" t="str">
        <f t="shared" si="11"/>
        <v/>
      </c>
      <c r="L46" s="44" t="str">
        <f t="shared" si="12"/>
        <v/>
      </c>
      <c r="M46" s="111" t="str">
        <f t="shared" si="13"/>
        <v/>
      </c>
      <c r="N46" s="44" t="str">
        <f t="shared" si="14"/>
        <v/>
      </c>
      <c r="O46" s="44" t="str">
        <f t="shared" si="45"/>
        <v/>
      </c>
      <c r="P46" s="111" t="str">
        <f t="shared" si="15"/>
        <v/>
      </c>
      <c r="Q46" s="44" t="str">
        <f t="shared" si="16"/>
        <v/>
      </c>
      <c r="R46" s="157" t="str">
        <f t="shared" si="46"/>
        <v/>
      </c>
      <c r="S46" s="44" t="str">
        <f t="shared" si="17"/>
        <v/>
      </c>
      <c r="T46" s="140" t="str">
        <f t="shared" si="35"/>
        <v/>
      </c>
      <c r="U46" s="140" t="str">
        <f t="shared" si="47"/>
        <v/>
      </c>
      <c r="V46" s="24"/>
      <c r="W46" s="24"/>
      <c r="X46" s="24"/>
      <c r="Y46" s="24"/>
      <c r="Z46" s="24"/>
      <c r="AA46" s="24">
        <f t="shared" si="48"/>
        <v>0</v>
      </c>
      <c r="AB46" s="24"/>
      <c r="AC46" s="24" t="str">
        <f t="shared" si="27"/>
        <v/>
      </c>
      <c r="AD46" s="24" t="str">
        <f t="shared" si="49"/>
        <v/>
      </c>
      <c r="AE46" s="24">
        <f t="shared" si="50"/>
        <v>0</v>
      </c>
      <c r="AG46" s="24" t="e">
        <f t="shared" si="38"/>
        <v>#VALUE!</v>
      </c>
      <c r="AH46" s="24" t="e">
        <f t="shared" si="39"/>
        <v>#VALUE!</v>
      </c>
      <c r="AI46" s="24" t="e">
        <f t="shared" si="36"/>
        <v>#VALUE!</v>
      </c>
      <c r="AJ46" s="24" t="e">
        <f t="shared" si="37"/>
        <v>#VALUE!</v>
      </c>
      <c r="AL46" s="24"/>
      <c r="AM46" s="24" t="e">
        <f t="shared" si="33"/>
        <v>#VALUE!</v>
      </c>
      <c r="AN46" s="31"/>
      <c r="AO46" s="34">
        <f t="shared" si="51"/>
        <v>0</v>
      </c>
      <c r="AP46" s="24">
        <f t="shared" si="52"/>
        <v>0</v>
      </c>
      <c r="AQ46" s="24"/>
      <c r="AR46" s="112"/>
      <c r="AS46" s="112"/>
      <c r="AT46" s="59">
        <f t="shared" si="53"/>
        <v>9.0359999999999996</v>
      </c>
      <c r="AU46" s="59">
        <f t="shared" si="54"/>
        <v>-184.49199999999999</v>
      </c>
      <c r="AV46" s="59"/>
      <c r="AW46"/>
      <c r="AX46">
        <f>IF($E$4="M",IF(BA46&lt;78,BMILMS!$D$5*BA46^3+BMILMS!$E$5*BA46^2+BMILMS!$F$5*BA46+BMILMS!$G$5,IF(BA46&lt;150,BMILMS!$D$6*BA46^3+BMILMS!$E$6*BA46^2+BMILMS!$F$6*BA46+BMILMS!$G$6,BMILMS!$D$7*BA46^3+BMILMS!$E$7*BA46^2+BMILMS!$F$7*BA46+BMILMS!$G$7)),IF(BA46&lt;69,BMILMS!$D$9*BA46^3+BMILMS!$E$9*BA46^2+BMILMS!$F$9*BA46+BMILMS!$G$9,IF(BA46&lt;150,BMILMS!$D$10*BA46^3+BMILMS!$E$10*BA46^2+BMILMS!$F$10*BA46+BMILMS!$G$10,BMILMS!$D$11*BA46^3+BMILMS!$E$11*BA46^2+BMILMS!$F$11*BA46+BMILMS!$G$11)))</f>
        <v>0.79584630099999998</v>
      </c>
      <c r="AY46">
        <f>IF($E$4="M",(IF(BA46&lt;2.5,BMILMS!$D$21*BA46^3+BMILMS!$E$21*BA46^2+BMILMS!$F$21*BA46+BMILMS!$G$21,IF(BA46&lt;9.5,BMILMS!$D$22*BA46^3+BMILMS!$E$22*BA46^2+BMILMS!$F$22*BA46+BMILMS!$G$22,IF(BA46&lt;26.75,BMILMS!$D$23*BA46^3+BMILMS!$E$23*BA46^2+BMILMS!$F$23*BA46+BMILMS!$G$23,IF(BA46&lt;90,BMILMS!$D$24*BA46^3+BMILMS!$E$24*BA46^2+BMILMS!$F$24*BA46+BMILMS!$G$24,BMILMS!$D$25*BA46^3+BMILMS!$E$25*BA46^2+BMILMS!$F$25*BA46+BMILMS!$G$25))))),(IF(BA46&lt;2.5,BMILMS!$D$27*BA46^3+BMILMS!$E$27*BA46^2+BMILMS!$F$27*BA46+BMILMS!$G$27,IF(BA46&lt;9.5,BMILMS!$D$28*BA46^3+BMILMS!$E$28*BA46^2+BMILMS!$F$28*BA46+BMILMS!$G$28,IF(BA46&lt;26.75,BMILMS!$D$29*BA46^3+BMILMS!$E$29*BA46^2+BMILMS!$F$29*BA46+BMILMS!$G$29,IF(BA46&lt;90,BMILMS!$D$30*BA46^3+BMILMS!$E$30*BA46^2+BMILMS!$F$30*BA46+BMILMS!$G$30,IF(BA46&lt;150,BMILMS!$D$31*BA46^3+BMILMS!$E$31*BA46^2+BMILMS!$F$31*BA46+BMILMS!$G$31,BMILMS!$D$32*BA46^3+BMILMS!$E$32*BA46^2+BMILMS!$F$32*BA46+BMILMS!$G$32)))))))</f>
        <v>12.568967990000001</v>
      </c>
      <c r="AZ46">
        <f>IF($E$4="M",(IF(BA46&lt;90,BMILMS!$D$14*BA46^3+BMILMS!$E$14*BA46^2+BMILMS!$F$14*BA46+BMILMS!$G$14,BMILMS!$D$15*BA46^3+BMILMS!$E$15*BA46^2+BMILMS!$F$15*BA46+BMILMS!$G$15)),(IF(BA46&lt;90,BMILMS!$D$17*BA46^3+BMILMS!$E$17*BA46^2+BMILMS!$F$17*BA46+BMILMS!$G$17,BMILMS!$D$18*BA46^3+BMILMS!$E$18*BA46^2+BMILMS!$F$18*BA46+BMILMS!$G$18)))</f>
        <v>8.8969350000000003E-2</v>
      </c>
      <c r="BA46" s="24">
        <f t="shared" si="34"/>
        <v>0</v>
      </c>
      <c r="BB46" s="24">
        <f t="shared" si="55"/>
        <v>0</v>
      </c>
      <c r="BD46">
        <f t="shared" si="40"/>
        <v>0.56299999999999994</v>
      </c>
      <c r="BE46">
        <f t="shared" si="41"/>
        <v>69</v>
      </c>
      <c r="BF46">
        <f t="shared" si="42"/>
        <v>0.51</v>
      </c>
      <c r="BH46" s="35">
        <f>IF($E$4="M",WeightSDS!P$5*$BA46^7+WeightSDS!Q$5*$BA46^6+WeightSDS!R$5*$BA46^5+WeightSDS!S$5*$BA46^4+WeightSDS!T$5*$BA46^3+WeightSDS!U$5*$BA46^2+WeightSDS!V$5*$BA46+WeightSDS!W$5,IF($BA46&lt;186,WeightSDS!P$8*$BA46^7+WeightSDS!Q$8*$BA46^6+WeightSDS!R$8*$BA46^5+WeightSDS!S$8*$BA46^4+WeightSDS!T$8*$BA46^3+WeightSDS!U$8*$BA46^2+WeightSDS!V$8*$BA46+WeightSDS!W$8,WeightSDS!$U$9+WeightSDS!$V$9*($BA46-WeightSDS!$W$9)))</f>
        <v>0.75407122999999998</v>
      </c>
      <c r="BI46" s="24">
        <f>IF($E$4="M",IF($BA46&lt;45,WeightSDS!M$23*$BA46^10+WeightSDS!N$23*$BA46^9+WeightSDS!O$23*$BA46^8+WeightSDS!P$23*$BA46^7+WeightSDS!Q$23*$BA46^6+WeightSDS!R$23*$BA46^5+WeightSDS!S$23*$BA46^4+WeightSDS!T$23*$BA46^3+WeightSDS!U$23*$BA46^2+WeightSDS!V$23*$BA46+WeightSDS!W$23,IF($BA46&lt;153,WeightSDS!M$25*$BA46^10+WeightSDS!N$25*$BA46^9+WeightSDS!O$25*$BA46^8+WeightSDS!P$25*$BA46^7+WeightSDS!Q$25*$BA46^6+WeightSDS!R$25*$BA46^5+WeightSDS!S$25*$BA46^4+WeightSDS!T$25*$BA46^3+WeightSDS!U$25*$BA46^2+WeightSDS!V$25*$BA46+WeightSDS!W$25,WeightSDS!M$27+WeightSDS!N$27/(1+EXP(WeightSDS!O$27+WeightSDS!P$27*$BA46)))),IF($BA46&lt;43.8,WeightSDS!M$29*$BA46^10+WeightSDS!N$29*$BA46^9+WeightSDS!O$29*$BA46^8+WeightSDS!P$29*$BA46^7+WeightSDS!Q$29*$BA46^6+WeightSDS!R$29*$BA46^5+WeightSDS!S$29*$BA46^4+WeightSDS!T$29*$BA46^3+WeightSDS!U$29*$BA46^2+WeightSDS!V$29*$BA46+WeightSDS!W$29-0.010431*(1-$BA46/210),IF($BA46&lt;123,WeightSDS!M$30*$BA46^10+WeightSDS!N$30*$BA46^9+WeightSDS!O$30*$BA46^8+WeightSDS!P$30*$BA46^7+WeightSDS!Q$30*$BA46^6+WeightSDS!R$30*$BA46^5+WeightSDS!S$30*$BA46^4+WeightSDS!T$30*$BA46^3+WeightSDS!U$30*$BA46^2+WeightSDS!V$30*$BA46+WeightSDS!W$30-0.010431*(1-1/$BA46),WeightSDS!M$32+WeightSDS!N$32/(1+EXP(WeightSDS!O$32+WeightSDS!P$32*$BA46))-0.010431*(1-$BA46/210))))</f>
        <v>2.9500001032655536</v>
      </c>
      <c r="BJ46" s="24">
        <f>IF($E$4="M",IF($BA46&lt;162,WeightSDS!P$12*$BA46^7+WeightSDS!Q$12*$BA46^6+WeightSDS!R$12*$BA46^5+WeightSDS!S$12*$BA46^4+WeightSDS!T$12*$BA46^3+WeightSDS!U$12*$BA46^2+WeightSDS!V$12*$BA46+WeightSDS!W$12,WeightSDS!P$14*$BA46^7+WeightSDS!Q$14*$BA46^6+WeightSDS!R$14*$BA46^5+WeightSDS!S$14*$BA46^4+WeightSDS!T$14*$BA46^3+WeightSDS!U$14*$BA46^2+WeightSDS!V$14*$BA46+WeightSDS!W$14),IF($BA46&lt;156,WeightSDS!O$17*$BA46^8+WeightSDS!P$17*$BA46^7+WeightSDS!Q$17*$BA46^6+WeightSDS!R$17*$BA46^5+WeightSDS!S$17*$BA46^4+WeightSDS!T$17*$BA46^3+WeightSDS!U$17*$BA46^2+WeightSDS!V$17*$BA46+WeightSDS!W$17,IF($BA46&lt;186,WeightSDS!$U$18+(WeightSDS!$V$18-WeightSDS!$U$18)/24*($BA46-186)+WeightSDS!$W$18*(-$BA46+186)^2-0.005,WeightSDS!$U$18+(WeightSDS!$V$18-WeightSDS!$U$18)/24*($BA46-186)-0.005)))</f>
        <v>0.14604529399999999</v>
      </c>
    </row>
    <row r="47" spans="2:62" s="4" customFormat="1" x14ac:dyDescent="0.15">
      <c r="B47" s="40"/>
      <c r="C47" s="141"/>
      <c r="D47" s="22"/>
      <c r="E47" s="110"/>
      <c r="F47" s="110"/>
      <c r="G47" s="110"/>
      <c r="H47" s="44" t="str">
        <f t="shared" si="43"/>
        <v/>
      </c>
      <c r="I47" s="111" t="str">
        <f t="shared" si="10"/>
        <v/>
      </c>
      <c r="J47" s="111" t="str">
        <f t="shared" si="44"/>
        <v/>
      </c>
      <c r="K47" s="111" t="str">
        <f t="shared" si="11"/>
        <v/>
      </c>
      <c r="L47" s="44" t="str">
        <f t="shared" si="12"/>
        <v/>
      </c>
      <c r="M47" s="111" t="str">
        <f t="shared" si="13"/>
        <v/>
      </c>
      <c r="N47" s="44" t="str">
        <f t="shared" si="14"/>
        <v/>
      </c>
      <c r="O47" s="44" t="str">
        <f t="shared" si="45"/>
        <v/>
      </c>
      <c r="P47" s="111" t="str">
        <f t="shared" si="15"/>
        <v/>
      </c>
      <c r="Q47" s="44" t="str">
        <f t="shared" si="16"/>
        <v/>
      </c>
      <c r="R47" s="157" t="str">
        <f t="shared" si="46"/>
        <v/>
      </c>
      <c r="S47" s="44" t="str">
        <f t="shared" si="17"/>
        <v/>
      </c>
      <c r="T47" s="140" t="str">
        <f t="shared" si="35"/>
        <v/>
      </c>
      <c r="U47" s="140" t="str">
        <f t="shared" si="47"/>
        <v/>
      </c>
      <c r="V47" s="24"/>
      <c r="W47" s="24"/>
      <c r="X47" s="24"/>
      <c r="Y47" s="24"/>
      <c r="Z47" s="24"/>
      <c r="AA47" s="24">
        <f t="shared" si="48"/>
        <v>0</v>
      </c>
      <c r="AB47" s="24"/>
      <c r="AC47" s="24" t="str">
        <f t="shared" si="27"/>
        <v/>
      </c>
      <c r="AD47" s="24" t="str">
        <f t="shared" si="49"/>
        <v/>
      </c>
      <c r="AE47" s="24">
        <f t="shared" si="50"/>
        <v>0</v>
      </c>
      <c r="AG47" s="24" t="e">
        <f t="shared" si="38"/>
        <v>#VALUE!</v>
      </c>
      <c r="AH47" s="24" t="e">
        <f t="shared" si="39"/>
        <v>#VALUE!</v>
      </c>
      <c r="AI47" s="24" t="e">
        <f t="shared" si="36"/>
        <v>#VALUE!</v>
      </c>
      <c r="AJ47" s="24" t="e">
        <f t="shared" si="37"/>
        <v>#VALUE!</v>
      </c>
      <c r="AL47" s="24"/>
      <c r="AM47" s="24" t="e">
        <f t="shared" si="33"/>
        <v>#VALUE!</v>
      </c>
      <c r="AN47" s="31"/>
      <c r="AO47" s="34">
        <f t="shared" si="51"/>
        <v>0</v>
      </c>
      <c r="AP47" s="24">
        <f t="shared" si="52"/>
        <v>0</v>
      </c>
      <c r="AQ47" s="24"/>
      <c r="AR47" s="112"/>
      <c r="AS47" s="112"/>
      <c r="AT47" s="59">
        <f t="shared" si="53"/>
        <v>9.0359999999999996</v>
      </c>
      <c r="AU47" s="59">
        <f t="shared" si="54"/>
        <v>-184.49199999999999</v>
      </c>
      <c r="AV47" s="59"/>
      <c r="AW47"/>
      <c r="AX47">
        <f>IF($E$4="M",IF(BA47&lt;78,BMILMS!$D$5*BA47^3+BMILMS!$E$5*BA47^2+BMILMS!$F$5*BA47+BMILMS!$G$5,IF(BA47&lt;150,BMILMS!$D$6*BA47^3+BMILMS!$E$6*BA47^2+BMILMS!$F$6*BA47+BMILMS!$G$6,BMILMS!$D$7*BA47^3+BMILMS!$E$7*BA47^2+BMILMS!$F$7*BA47+BMILMS!$G$7)),IF(BA47&lt;69,BMILMS!$D$9*BA47^3+BMILMS!$E$9*BA47^2+BMILMS!$F$9*BA47+BMILMS!$G$9,IF(BA47&lt;150,BMILMS!$D$10*BA47^3+BMILMS!$E$10*BA47^2+BMILMS!$F$10*BA47+BMILMS!$G$10,BMILMS!$D$11*BA47^3+BMILMS!$E$11*BA47^2+BMILMS!$F$11*BA47+BMILMS!$G$11)))</f>
        <v>0.79584630099999998</v>
      </c>
      <c r="AY47">
        <f>IF($E$4="M",(IF(BA47&lt;2.5,BMILMS!$D$21*BA47^3+BMILMS!$E$21*BA47^2+BMILMS!$F$21*BA47+BMILMS!$G$21,IF(BA47&lt;9.5,BMILMS!$D$22*BA47^3+BMILMS!$E$22*BA47^2+BMILMS!$F$22*BA47+BMILMS!$G$22,IF(BA47&lt;26.75,BMILMS!$D$23*BA47^3+BMILMS!$E$23*BA47^2+BMILMS!$F$23*BA47+BMILMS!$G$23,IF(BA47&lt;90,BMILMS!$D$24*BA47^3+BMILMS!$E$24*BA47^2+BMILMS!$F$24*BA47+BMILMS!$G$24,BMILMS!$D$25*BA47^3+BMILMS!$E$25*BA47^2+BMILMS!$F$25*BA47+BMILMS!$G$25))))),(IF(BA47&lt;2.5,BMILMS!$D$27*BA47^3+BMILMS!$E$27*BA47^2+BMILMS!$F$27*BA47+BMILMS!$G$27,IF(BA47&lt;9.5,BMILMS!$D$28*BA47^3+BMILMS!$E$28*BA47^2+BMILMS!$F$28*BA47+BMILMS!$G$28,IF(BA47&lt;26.75,BMILMS!$D$29*BA47^3+BMILMS!$E$29*BA47^2+BMILMS!$F$29*BA47+BMILMS!$G$29,IF(BA47&lt;90,BMILMS!$D$30*BA47^3+BMILMS!$E$30*BA47^2+BMILMS!$F$30*BA47+BMILMS!$G$30,IF(BA47&lt;150,BMILMS!$D$31*BA47^3+BMILMS!$E$31*BA47^2+BMILMS!$F$31*BA47+BMILMS!$G$31,BMILMS!$D$32*BA47^3+BMILMS!$E$32*BA47^2+BMILMS!$F$32*BA47+BMILMS!$G$32)))))))</f>
        <v>12.568967990000001</v>
      </c>
      <c r="AZ47">
        <f>IF($E$4="M",(IF(BA47&lt;90,BMILMS!$D$14*BA47^3+BMILMS!$E$14*BA47^2+BMILMS!$F$14*BA47+BMILMS!$G$14,BMILMS!$D$15*BA47^3+BMILMS!$E$15*BA47^2+BMILMS!$F$15*BA47+BMILMS!$G$15)),(IF(BA47&lt;90,BMILMS!$D$17*BA47^3+BMILMS!$E$17*BA47^2+BMILMS!$F$17*BA47+BMILMS!$G$17,BMILMS!$D$18*BA47^3+BMILMS!$E$18*BA47^2+BMILMS!$F$18*BA47+BMILMS!$G$18)))</f>
        <v>8.8969350000000003E-2</v>
      </c>
      <c r="BA47" s="24">
        <f t="shared" si="34"/>
        <v>0</v>
      </c>
      <c r="BB47" s="24">
        <f t="shared" si="55"/>
        <v>0</v>
      </c>
      <c r="BD47">
        <f t="shared" si="40"/>
        <v>0.56299999999999994</v>
      </c>
      <c r="BE47">
        <f t="shared" si="41"/>
        <v>69</v>
      </c>
      <c r="BF47">
        <f t="shared" si="42"/>
        <v>0.51</v>
      </c>
      <c r="BH47" s="35">
        <f>IF($E$4="M",WeightSDS!P$5*$BA47^7+WeightSDS!Q$5*$BA47^6+WeightSDS!R$5*$BA47^5+WeightSDS!S$5*$BA47^4+WeightSDS!T$5*$BA47^3+WeightSDS!U$5*$BA47^2+WeightSDS!V$5*$BA47+WeightSDS!W$5,IF($BA47&lt;186,WeightSDS!P$8*$BA47^7+WeightSDS!Q$8*$BA47^6+WeightSDS!R$8*$BA47^5+WeightSDS!S$8*$BA47^4+WeightSDS!T$8*$BA47^3+WeightSDS!U$8*$BA47^2+WeightSDS!V$8*$BA47+WeightSDS!W$8,WeightSDS!$U$9+WeightSDS!$V$9*($BA47-WeightSDS!$W$9)))</f>
        <v>0.75407122999999998</v>
      </c>
      <c r="BI47" s="24">
        <f>IF($E$4="M",IF($BA47&lt;45,WeightSDS!M$23*$BA47^10+WeightSDS!N$23*$BA47^9+WeightSDS!O$23*$BA47^8+WeightSDS!P$23*$BA47^7+WeightSDS!Q$23*$BA47^6+WeightSDS!R$23*$BA47^5+WeightSDS!S$23*$BA47^4+WeightSDS!T$23*$BA47^3+WeightSDS!U$23*$BA47^2+WeightSDS!V$23*$BA47+WeightSDS!W$23,IF($BA47&lt;153,WeightSDS!M$25*$BA47^10+WeightSDS!N$25*$BA47^9+WeightSDS!O$25*$BA47^8+WeightSDS!P$25*$BA47^7+WeightSDS!Q$25*$BA47^6+WeightSDS!R$25*$BA47^5+WeightSDS!S$25*$BA47^4+WeightSDS!T$25*$BA47^3+WeightSDS!U$25*$BA47^2+WeightSDS!V$25*$BA47+WeightSDS!W$25,WeightSDS!M$27+WeightSDS!N$27/(1+EXP(WeightSDS!O$27+WeightSDS!P$27*$BA47)))),IF($BA47&lt;43.8,WeightSDS!M$29*$BA47^10+WeightSDS!N$29*$BA47^9+WeightSDS!O$29*$BA47^8+WeightSDS!P$29*$BA47^7+WeightSDS!Q$29*$BA47^6+WeightSDS!R$29*$BA47^5+WeightSDS!S$29*$BA47^4+WeightSDS!T$29*$BA47^3+WeightSDS!U$29*$BA47^2+WeightSDS!V$29*$BA47+WeightSDS!W$29-0.010431*(1-$BA47/210),IF($BA47&lt;123,WeightSDS!M$30*$BA47^10+WeightSDS!N$30*$BA47^9+WeightSDS!O$30*$BA47^8+WeightSDS!P$30*$BA47^7+WeightSDS!Q$30*$BA47^6+WeightSDS!R$30*$BA47^5+WeightSDS!S$30*$BA47^4+WeightSDS!T$30*$BA47^3+WeightSDS!U$30*$BA47^2+WeightSDS!V$30*$BA47+WeightSDS!W$30-0.010431*(1-1/$BA47),WeightSDS!M$32+WeightSDS!N$32/(1+EXP(WeightSDS!O$32+WeightSDS!P$32*$BA47))-0.010431*(1-$BA47/210))))</f>
        <v>2.9500001032655536</v>
      </c>
      <c r="BJ47" s="24">
        <f>IF($E$4="M",IF($BA47&lt;162,WeightSDS!P$12*$BA47^7+WeightSDS!Q$12*$BA47^6+WeightSDS!R$12*$BA47^5+WeightSDS!S$12*$BA47^4+WeightSDS!T$12*$BA47^3+WeightSDS!U$12*$BA47^2+WeightSDS!V$12*$BA47+WeightSDS!W$12,WeightSDS!P$14*$BA47^7+WeightSDS!Q$14*$BA47^6+WeightSDS!R$14*$BA47^5+WeightSDS!S$14*$BA47^4+WeightSDS!T$14*$BA47^3+WeightSDS!U$14*$BA47^2+WeightSDS!V$14*$BA47+WeightSDS!W$14),IF($BA47&lt;156,WeightSDS!O$17*$BA47^8+WeightSDS!P$17*$BA47^7+WeightSDS!Q$17*$BA47^6+WeightSDS!R$17*$BA47^5+WeightSDS!S$17*$BA47^4+WeightSDS!T$17*$BA47^3+WeightSDS!U$17*$BA47^2+WeightSDS!V$17*$BA47+WeightSDS!W$17,IF($BA47&lt;186,WeightSDS!$U$18+(WeightSDS!$V$18-WeightSDS!$U$18)/24*($BA47-186)+WeightSDS!$W$18*(-$BA47+186)^2-0.005,WeightSDS!$U$18+(WeightSDS!$V$18-WeightSDS!$U$18)/24*($BA47-186)-0.005)))</f>
        <v>0.14604529399999999</v>
      </c>
    </row>
    <row r="48" spans="2:62" s="4" customFormat="1" x14ac:dyDescent="0.15">
      <c r="B48" s="40"/>
      <c r="C48" s="141"/>
      <c r="D48" s="22"/>
      <c r="E48" s="110"/>
      <c r="F48" s="110"/>
      <c r="G48" s="110"/>
      <c r="H48" s="44" t="str">
        <f t="shared" si="43"/>
        <v/>
      </c>
      <c r="I48" s="111" t="str">
        <f t="shared" si="10"/>
        <v/>
      </c>
      <c r="J48" s="111" t="str">
        <f t="shared" si="44"/>
        <v/>
      </c>
      <c r="K48" s="111" t="str">
        <f t="shared" si="11"/>
        <v/>
      </c>
      <c r="L48" s="44" t="str">
        <f t="shared" si="12"/>
        <v/>
      </c>
      <c r="M48" s="111" t="str">
        <f t="shared" si="13"/>
        <v/>
      </c>
      <c r="N48" s="44" t="str">
        <f t="shared" si="14"/>
        <v/>
      </c>
      <c r="O48" s="44" t="str">
        <f t="shared" si="45"/>
        <v/>
      </c>
      <c r="P48" s="111" t="str">
        <f t="shared" si="15"/>
        <v/>
      </c>
      <c r="Q48" s="44" t="str">
        <f t="shared" si="16"/>
        <v/>
      </c>
      <c r="R48" s="157" t="str">
        <f t="shared" si="46"/>
        <v/>
      </c>
      <c r="S48" s="44" t="str">
        <f t="shared" si="17"/>
        <v/>
      </c>
      <c r="T48" s="140" t="str">
        <f t="shared" si="35"/>
        <v/>
      </c>
      <c r="U48" s="140" t="str">
        <f t="shared" si="47"/>
        <v/>
      </c>
      <c r="V48" s="24"/>
      <c r="W48" s="24"/>
      <c r="X48" s="24"/>
      <c r="Y48" s="24"/>
      <c r="Z48" s="24"/>
      <c r="AA48" s="24">
        <f t="shared" si="48"/>
        <v>0</v>
      </c>
      <c r="AB48" s="24"/>
      <c r="AC48" s="24" t="str">
        <f t="shared" si="27"/>
        <v/>
      </c>
      <c r="AD48" s="24" t="str">
        <f t="shared" si="49"/>
        <v/>
      </c>
      <c r="AE48" s="24">
        <f t="shared" si="50"/>
        <v>0</v>
      </c>
      <c r="AG48" s="24" t="e">
        <f t="shared" si="38"/>
        <v>#VALUE!</v>
      </c>
      <c r="AH48" s="24" t="e">
        <f t="shared" si="39"/>
        <v>#VALUE!</v>
      </c>
      <c r="AI48" s="24" t="e">
        <f t="shared" si="36"/>
        <v>#VALUE!</v>
      </c>
      <c r="AJ48" s="24" t="e">
        <f t="shared" si="37"/>
        <v>#VALUE!</v>
      </c>
      <c r="AL48" s="24"/>
      <c r="AM48" s="24" t="e">
        <f t="shared" si="33"/>
        <v>#VALUE!</v>
      </c>
      <c r="AN48" s="31"/>
      <c r="AO48" s="34">
        <f t="shared" si="51"/>
        <v>0</v>
      </c>
      <c r="AP48" s="24">
        <f t="shared" si="52"/>
        <v>0</v>
      </c>
      <c r="AQ48" s="24"/>
      <c r="AR48" s="112"/>
      <c r="AS48" s="112"/>
      <c r="AT48" s="59">
        <f t="shared" si="53"/>
        <v>9.0359999999999996</v>
      </c>
      <c r="AU48" s="59">
        <f t="shared" si="54"/>
        <v>-184.49199999999999</v>
      </c>
      <c r="AV48" s="59"/>
      <c r="AW48"/>
      <c r="AX48">
        <f>IF($E$4="M",IF(BA48&lt;78,BMILMS!$D$5*BA48^3+BMILMS!$E$5*BA48^2+BMILMS!$F$5*BA48+BMILMS!$G$5,IF(BA48&lt;150,BMILMS!$D$6*BA48^3+BMILMS!$E$6*BA48^2+BMILMS!$F$6*BA48+BMILMS!$G$6,BMILMS!$D$7*BA48^3+BMILMS!$E$7*BA48^2+BMILMS!$F$7*BA48+BMILMS!$G$7)),IF(BA48&lt;69,BMILMS!$D$9*BA48^3+BMILMS!$E$9*BA48^2+BMILMS!$F$9*BA48+BMILMS!$G$9,IF(BA48&lt;150,BMILMS!$D$10*BA48^3+BMILMS!$E$10*BA48^2+BMILMS!$F$10*BA48+BMILMS!$G$10,BMILMS!$D$11*BA48^3+BMILMS!$E$11*BA48^2+BMILMS!$F$11*BA48+BMILMS!$G$11)))</f>
        <v>0.79584630099999998</v>
      </c>
      <c r="AY48">
        <f>IF($E$4="M",(IF(BA48&lt;2.5,BMILMS!$D$21*BA48^3+BMILMS!$E$21*BA48^2+BMILMS!$F$21*BA48+BMILMS!$G$21,IF(BA48&lt;9.5,BMILMS!$D$22*BA48^3+BMILMS!$E$22*BA48^2+BMILMS!$F$22*BA48+BMILMS!$G$22,IF(BA48&lt;26.75,BMILMS!$D$23*BA48^3+BMILMS!$E$23*BA48^2+BMILMS!$F$23*BA48+BMILMS!$G$23,IF(BA48&lt;90,BMILMS!$D$24*BA48^3+BMILMS!$E$24*BA48^2+BMILMS!$F$24*BA48+BMILMS!$G$24,BMILMS!$D$25*BA48^3+BMILMS!$E$25*BA48^2+BMILMS!$F$25*BA48+BMILMS!$G$25))))),(IF(BA48&lt;2.5,BMILMS!$D$27*BA48^3+BMILMS!$E$27*BA48^2+BMILMS!$F$27*BA48+BMILMS!$G$27,IF(BA48&lt;9.5,BMILMS!$D$28*BA48^3+BMILMS!$E$28*BA48^2+BMILMS!$F$28*BA48+BMILMS!$G$28,IF(BA48&lt;26.75,BMILMS!$D$29*BA48^3+BMILMS!$E$29*BA48^2+BMILMS!$F$29*BA48+BMILMS!$G$29,IF(BA48&lt;90,BMILMS!$D$30*BA48^3+BMILMS!$E$30*BA48^2+BMILMS!$F$30*BA48+BMILMS!$G$30,IF(BA48&lt;150,BMILMS!$D$31*BA48^3+BMILMS!$E$31*BA48^2+BMILMS!$F$31*BA48+BMILMS!$G$31,BMILMS!$D$32*BA48^3+BMILMS!$E$32*BA48^2+BMILMS!$F$32*BA48+BMILMS!$G$32)))))))</f>
        <v>12.568967990000001</v>
      </c>
      <c r="AZ48">
        <f>IF($E$4="M",(IF(BA48&lt;90,BMILMS!$D$14*BA48^3+BMILMS!$E$14*BA48^2+BMILMS!$F$14*BA48+BMILMS!$G$14,BMILMS!$D$15*BA48^3+BMILMS!$E$15*BA48^2+BMILMS!$F$15*BA48+BMILMS!$G$15)),(IF(BA48&lt;90,BMILMS!$D$17*BA48^3+BMILMS!$E$17*BA48^2+BMILMS!$F$17*BA48+BMILMS!$G$17,BMILMS!$D$18*BA48^3+BMILMS!$E$18*BA48^2+BMILMS!$F$18*BA48+BMILMS!$G$18)))</f>
        <v>8.8969350000000003E-2</v>
      </c>
      <c r="BA48" s="24">
        <f t="shared" si="34"/>
        <v>0</v>
      </c>
      <c r="BB48" s="24">
        <f t="shared" si="55"/>
        <v>0</v>
      </c>
      <c r="BD48">
        <f t="shared" si="40"/>
        <v>0.56299999999999994</v>
      </c>
      <c r="BE48">
        <f t="shared" si="41"/>
        <v>69</v>
      </c>
      <c r="BF48">
        <f t="shared" si="42"/>
        <v>0.51</v>
      </c>
      <c r="BH48" s="35">
        <f>IF($E$4="M",WeightSDS!P$5*$BA48^7+WeightSDS!Q$5*$BA48^6+WeightSDS!R$5*$BA48^5+WeightSDS!S$5*$BA48^4+WeightSDS!T$5*$BA48^3+WeightSDS!U$5*$BA48^2+WeightSDS!V$5*$BA48+WeightSDS!W$5,IF($BA48&lt;186,WeightSDS!P$8*$BA48^7+WeightSDS!Q$8*$BA48^6+WeightSDS!R$8*$BA48^5+WeightSDS!S$8*$BA48^4+WeightSDS!T$8*$BA48^3+WeightSDS!U$8*$BA48^2+WeightSDS!V$8*$BA48+WeightSDS!W$8,WeightSDS!$U$9+WeightSDS!$V$9*($BA48-WeightSDS!$W$9)))</f>
        <v>0.75407122999999998</v>
      </c>
      <c r="BI48" s="24">
        <f>IF($E$4="M",IF($BA48&lt;45,WeightSDS!M$23*$BA48^10+WeightSDS!N$23*$BA48^9+WeightSDS!O$23*$BA48^8+WeightSDS!P$23*$BA48^7+WeightSDS!Q$23*$BA48^6+WeightSDS!R$23*$BA48^5+WeightSDS!S$23*$BA48^4+WeightSDS!T$23*$BA48^3+WeightSDS!U$23*$BA48^2+WeightSDS!V$23*$BA48+WeightSDS!W$23,IF($BA48&lt;153,WeightSDS!M$25*$BA48^10+WeightSDS!N$25*$BA48^9+WeightSDS!O$25*$BA48^8+WeightSDS!P$25*$BA48^7+WeightSDS!Q$25*$BA48^6+WeightSDS!R$25*$BA48^5+WeightSDS!S$25*$BA48^4+WeightSDS!T$25*$BA48^3+WeightSDS!U$25*$BA48^2+WeightSDS!V$25*$BA48+WeightSDS!W$25,WeightSDS!M$27+WeightSDS!N$27/(1+EXP(WeightSDS!O$27+WeightSDS!P$27*$BA48)))),IF($BA48&lt;43.8,WeightSDS!M$29*$BA48^10+WeightSDS!N$29*$BA48^9+WeightSDS!O$29*$BA48^8+WeightSDS!P$29*$BA48^7+WeightSDS!Q$29*$BA48^6+WeightSDS!R$29*$BA48^5+WeightSDS!S$29*$BA48^4+WeightSDS!T$29*$BA48^3+WeightSDS!U$29*$BA48^2+WeightSDS!V$29*$BA48+WeightSDS!W$29-0.010431*(1-$BA48/210),IF($BA48&lt;123,WeightSDS!M$30*$BA48^10+WeightSDS!N$30*$BA48^9+WeightSDS!O$30*$BA48^8+WeightSDS!P$30*$BA48^7+WeightSDS!Q$30*$BA48^6+WeightSDS!R$30*$BA48^5+WeightSDS!S$30*$BA48^4+WeightSDS!T$30*$BA48^3+WeightSDS!U$30*$BA48^2+WeightSDS!V$30*$BA48+WeightSDS!W$30-0.010431*(1-1/$BA48),WeightSDS!M$32+WeightSDS!N$32/(1+EXP(WeightSDS!O$32+WeightSDS!P$32*$BA48))-0.010431*(1-$BA48/210))))</f>
        <v>2.9500001032655536</v>
      </c>
      <c r="BJ48" s="24">
        <f>IF($E$4="M",IF($BA48&lt;162,WeightSDS!P$12*$BA48^7+WeightSDS!Q$12*$BA48^6+WeightSDS!R$12*$BA48^5+WeightSDS!S$12*$BA48^4+WeightSDS!T$12*$BA48^3+WeightSDS!U$12*$BA48^2+WeightSDS!V$12*$BA48+WeightSDS!W$12,WeightSDS!P$14*$BA48^7+WeightSDS!Q$14*$BA48^6+WeightSDS!R$14*$BA48^5+WeightSDS!S$14*$BA48^4+WeightSDS!T$14*$BA48^3+WeightSDS!U$14*$BA48^2+WeightSDS!V$14*$BA48+WeightSDS!W$14),IF($BA48&lt;156,WeightSDS!O$17*$BA48^8+WeightSDS!P$17*$BA48^7+WeightSDS!Q$17*$BA48^6+WeightSDS!R$17*$BA48^5+WeightSDS!S$17*$BA48^4+WeightSDS!T$17*$BA48^3+WeightSDS!U$17*$BA48^2+WeightSDS!V$17*$BA48+WeightSDS!W$17,IF($BA48&lt;186,WeightSDS!$U$18+(WeightSDS!$V$18-WeightSDS!$U$18)/24*($BA48-186)+WeightSDS!$W$18*(-$BA48+186)^2-0.005,WeightSDS!$U$18+(WeightSDS!$V$18-WeightSDS!$U$18)/24*($BA48-186)-0.005)))</f>
        <v>0.14604529399999999</v>
      </c>
    </row>
    <row r="49" spans="2:62" s="4" customFormat="1" x14ac:dyDescent="0.15">
      <c r="B49" s="40"/>
      <c r="C49" s="141"/>
      <c r="D49" s="22"/>
      <c r="E49" s="110"/>
      <c r="F49" s="110"/>
      <c r="G49" s="110"/>
      <c r="H49" s="44" t="str">
        <f t="shared" si="43"/>
        <v/>
      </c>
      <c r="I49" s="111" t="str">
        <f t="shared" si="10"/>
        <v/>
      </c>
      <c r="J49" s="111" t="str">
        <f t="shared" si="44"/>
        <v/>
      </c>
      <c r="K49" s="111" t="str">
        <f t="shared" si="11"/>
        <v/>
      </c>
      <c r="L49" s="44" t="str">
        <f t="shared" si="12"/>
        <v/>
      </c>
      <c r="M49" s="111" t="str">
        <f t="shared" si="13"/>
        <v/>
      </c>
      <c r="N49" s="44" t="str">
        <f t="shared" si="14"/>
        <v/>
      </c>
      <c r="O49" s="44" t="str">
        <f t="shared" si="45"/>
        <v/>
      </c>
      <c r="P49" s="111" t="str">
        <f t="shared" si="15"/>
        <v/>
      </c>
      <c r="Q49" s="44" t="str">
        <f t="shared" si="16"/>
        <v/>
      </c>
      <c r="R49" s="157" t="str">
        <f t="shared" si="46"/>
        <v/>
      </c>
      <c r="S49" s="44" t="str">
        <f t="shared" si="17"/>
        <v/>
      </c>
      <c r="T49" s="140" t="str">
        <f t="shared" si="35"/>
        <v/>
      </c>
      <c r="U49" s="140" t="str">
        <f t="shared" si="47"/>
        <v/>
      </c>
      <c r="V49" s="24"/>
      <c r="W49" s="24"/>
      <c r="X49" s="24"/>
      <c r="Y49" s="24"/>
      <c r="Z49" s="24"/>
      <c r="AA49" s="24">
        <f t="shared" si="48"/>
        <v>0</v>
      </c>
      <c r="AB49" s="24"/>
      <c r="AC49" s="24" t="str">
        <f t="shared" si="27"/>
        <v/>
      </c>
      <c r="AD49" s="24" t="str">
        <f t="shared" si="49"/>
        <v/>
      </c>
      <c r="AE49" s="24">
        <f t="shared" si="50"/>
        <v>0</v>
      </c>
      <c r="AG49" s="24" t="e">
        <f t="shared" si="38"/>
        <v>#VALUE!</v>
      </c>
      <c r="AH49" s="24" t="e">
        <f t="shared" si="39"/>
        <v>#VALUE!</v>
      </c>
      <c r="AI49" s="24" t="e">
        <f t="shared" si="36"/>
        <v>#VALUE!</v>
      </c>
      <c r="AJ49" s="24" t="e">
        <f t="shared" si="37"/>
        <v>#VALUE!</v>
      </c>
      <c r="AL49" s="24"/>
      <c r="AM49" s="24" t="e">
        <f t="shared" si="33"/>
        <v>#VALUE!</v>
      </c>
      <c r="AN49" s="31"/>
      <c r="AO49" s="34">
        <f t="shared" si="51"/>
        <v>0</v>
      </c>
      <c r="AP49" s="24">
        <f t="shared" si="52"/>
        <v>0</v>
      </c>
      <c r="AQ49" s="24"/>
      <c r="AR49" s="112"/>
      <c r="AS49" s="112"/>
      <c r="AT49" s="59">
        <f t="shared" si="53"/>
        <v>9.0359999999999996</v>
      </c>
      <c r="AU49" s="59">
        <f t="shared" si="54"/>
        <v>-184.49199999999999</v>
      </c>
      <c r="AV49" s="59"/>
      <c r="AW49"/>
      <c r="AX49">
        <f>IF($E$4="M",IF(BA49&lt;78,BMILMS!$D$5*BA49^3+BMILMS!$E$5*BA49^2+BMILMS!$F$5*BA49+BMILMS!$G$5,IF(BA49&lt;150,BMILMS!$D$6*BA49^3+BMILMS!$E$6*BA49^2+BMILMS!$F$6*BA49+BMILMS!$G$6,BMILMS!$D$7*BA49^3+BMILMS!$E$7*BA49^2+BMILMS!$F$7*BA49+BMILMS!$G$7)),IF(BA49&lt;69,BMILMS!$D$9*BA49^3+BMILMS!$E$9*BA49^2+BMILMS!$F$9*BA49+BMILMS!$G$9,IF(BA49&lt;150,BMILMS!$D$10*BA49^3+BMILMS!$E$10*BA49^2+BMILMS!$F$10*BA49+BMILMS!$G$10,BMILMS!$D$11*BA49^3+BMILMS!$E$11*BA49^2+BMILMS!$F$11*BA49+BMILMS!$G$11)))</f>
        <v>0.79584630099999998</v>
      </c>
      <c r="AY49">
        <f>IF($E$4="M",(IF(BA49&lt;2.5,BMILMS!$D$21*BA49^3+BMILMS!$E$21*BA49^2+BMILMS!$F$21*BA49+BMILMS!$G$21,IF(BA49&lt;9.5,BMILMS!$D$22*BA49^3+BMILMS!$E$22*BA49^2+BMILMS!$F$22*BA49+BMILMS!$G$22,IF(BA49&lt;26.75,BMILMS!$D$23*BA49^3+BMILMS!$E$23*BA49^2+BMILMS!$F$23*BA49+BMILMS!$G$23,IF(BA49&lt;90,BMILMS!$D$24*BA49^3+BMILMS!$E$24*BA49^2+BMILMS!$F$24*BA49+BMILMS!$G$24,BMILMS!$D$25*BA49^3+BMILMS!$E$25*BA49^2+BMILMS!$F$25*BA49+BMILMS!$G$25))))),(IF(BA49&lt;2.5,BMILMS!$D$27*BA49^3+BMILMS!$E$27*BA49^2+BMILMS!$F$27*BA49+BMILMS!$G$27,IF(BA49&lt;9.5,BMILMS!$D$28*BA49^3+BMILMS!$E$28*BA49^2+BMILMS!$F$28*BA49+BMILMS!$G$28,IF(BA49&lt;26.75,BMILMS!$D$29*BA49^3+BMILMS!$E$29*BA49^2+BMILMS!$F$29*BA49+BMILMS!$G$29,IF(BA49&lt;90,BMILMS!$D$30*BA49^3+BMILMS!$E$30*BA49^2+BMILMS!$F$30*BA49+BMILMS!$G$30,IF(BA49&lt;150,BMILMS!$D$31*BA49^3+BMILMS!$E$31*BA49^2+BMILMS!$F$31*BA49+BMILMS!$G$31,BMILMS!$D$32*BA49^3+BMILMS!$E$32*BA49^2+BMILMS!$F$32*BA49+BMILMS!$G$32)))))))</f>
        <v>12.568967990000001</v>
      </c>
      <c r="AZ49">
        <f>IF($E$4="M",(IF(BA49&lt;90,BMILMS!$D$14*BA49^3+BMILMS!$E$14*BA49^2+BMILMS!$F$14*BA49+BMILMS!$G$14,BMILMS!$D$15*BA49^3+BMILMS!$E$15*BA49^2+BMILMS!$F$15*BA49+BMILMS!$G$15)),(IF(BA49&lt;90,BMILMS!$D$17*BA49^3+BMILMS!$E$17*BA49^2+BMILMS!$F$17*BA49+BMILMS!$G$17,BMILMS!$D$18*BA49^3+BMILMS!$E$18*BA49^2+BMILMS!$F$18*BA49+BMILMS!$G$18)))</f>
        <v>8.8969350000000003E-2</v>
      </c>
      <c r="BA49" s="24">
        <f t="shared" si="34"/>
        <v>0</v>
      </c>
      <c r="BB49" s="24">
        <f t="shared" si="55"/>
        <v>0</v>
      </c>
      <c r="BD49">
        <f t="shared" si="40"/>
        <v>0.56299999999999994</v>
      </c>
      <c r="BE49">
        <f t="shared" si="41"/>
        <v>69</v>
      </c>
      <c r="BF49">
        <f t="shared" si="42"/>
        <v>0.51</v>
      </c>
      <c r="BH49" s="35">
        <f>IF($E$4="M",WeightSDS!P$5*$BA49^7+WeightSDS!Q$5*$BA49^6+WeightSDS!R$5*$BA49^5+WeightSDS!S$5*$BA49^4+WeightSDS!T$5*$BA49^3+WeightSDS!U$5*$BA49^2+WeightSDS!V$5*$BA49+WeightSDS!W$5,IF($BA49&lt;186,WeightSDS!P$8*$BA49^7+WeightSDS!Q$8*$BA49^6+WeightSDS!R$8*$BA49^5+WeightSDS!S$8*$BA49^4+WeightSDS!T$8*$BA49^3+WeightSDS!U$8*$BA49^2+WeightSDS!V$8*$BA49+WeightSDS!W$8,WeightSDS!$U$9+WeightSDS!$V$9*($BA49-WeightSDS!$W$9)))</f>
        <v>0.75407122999999998</v>
      </c>
      <c r="BI49" s="24">
        <f>IF($E$4="M",IF($BA49&lt;45,WeightSDS!M$23*$BA49^10+WeightSDS!N$23*$BA49^9+WeightSDS!O$23*$BA49^8+WeightSDS!P$23*$BA49^7+WeightSDS!Q$23*$BA49^6+WeightSDS!R$23*$BA49^5+WeightSDS!S$23*$BA49^4+WeightSDS!T$23*$BA49^3+WeightSDS!U$23*$BA49^2+WeightSDS!V$23*$BA49+WeightSDS!W$23,IF($BA49&lt;153,WeightSDS!M$25*$BA49^10+WeightSDS!N$25*$BA49^9+WeightSDS!O$25*$BA49^8+WeightSDS!P$25*$BA49^7+WeightSDS!Q$25*$BA49^6+WeightSDS!R$25*$BA49^5+WeightSDS!S$25*$BA49^4+WeightSDS!T$25*$BA49^3+WeightSDS!U$25*$BA49^2+WeightSDS!V$25*$BA49+WeightSDS!W$25,WeightSDS!M$27+WeightSDS!N$27/(1+EXP(WeightSDS!O$27+WeightSDS!P$27*$BA49)))),IF($BA49&lt;43.8,WeightSDS!M$29*$BA49^10+WeightSDS!N$29*$BA49^9+WeightSDS!O$29*$BA49^8+WeightSDS!P$29*$BA49^7+WeightSDS!Q$29*$BA49^6+WeightSDS!R$29*$BA49^5+WeightSDS!S$29*$BA49^4+WeightSDS!T$29*$BA49^3+WeightSDS!U$29*$BA49^2+WeightSDS!V$29*$BA49+WeightSDS!W$29-0.010431*(1-$BA49/210),IF($BA49&lt;123,WeightSDS!M$30*$BA49^10+WeightSDS!N$30*$BA49^9+WeightSDS!O$30*$BA49^8+WeightSDS!P$30*$BA49^7+WeightSDS!Q$30*$BA49^6+WeightSDS!R$30*$BA49^5+WeightSDS!S$30*$BA49^4+WeightSDS!T$30*$BA49^3+WeightSDS!U$30*$BA49^2+WeightSDS!V$30*$BA49+WeightSDS!W$30-0.010431*(1-1/$BA49),WeightSDS!M$32+WeightSDS!N$32/(1+EXP(WeightSDS!O$32+WeightSDS!P$32*$BA49))-0.010431*(1-$BA49/210))))</f>
        <v>2.9500001032655536</v>
      </c>
      <c r="BJ49" s="24">
        <f>IF($E$4="M",IF($BA49&lt;162,WeightSDS!P$12*$BA49^7+WeightSDS!Q$12*$BA49^6+WeightSDS!R$12*$BA49^5+WeightSDS!S$12*$BA49^4+WeightSDS!T$12*$BA49^3+WeightSDS!U$12*$BA49^2+WeightSDS!V$12*$BA49+WeightSDS!W$12,WeightSDS!P$14*$BA49^7+WeightSDS!Q$14*$BA49^6+WeightSDS!R$14*$BA49^5+WeightSDS!S$14*$BA49^4+WeightSDS!T$14*$BA49^3+WeightSDS!U$14*$BA49^2+WeightSDS!V$14*$BA49+WeightSDS!W$14),IF($BA49&lt;156,WeightSDS!O$17*$BA49^8+WeightSDS!P$17*$BA49^7+WeightSDS!Q$17*$BA49^6+WeightSDS!R$17*$BA49^5+WeightSDS!S$17*$BA49^4+WeightSDS!T$17*$BA49^3+WeightSDS!U$17*$BA49^2+WeightSDS!V$17*$BA49+WeightSDS!W$17,IF($BA49&lt;186,WeightSDS!$U$18+(WeightSDS!$V$18-WeightSDS!$U$18)/24*($BA49-186)+WeightSDS!$W$18*(-$BA49+186)^2-0.005,WeightSDS!$U$18+(WeightSDS!$V$18-WeightSDS!$U$18)/24*($BA49-186)-0.005)))</f>
        <v>0.14604529399999999</v>
      </c>
    </row>
    <row r="50" spans="2:62" s="4" customFormat="1" x14ac:dyDescent="0.15">
      <c r="B50" s="40"/>
      <c r="C50" s="141"/>
      <c r="D50" s="22"/>
      <c r="E50" s="110"/>
      <c r="F50" s="110"/>
      <c r="G50" s="110"/>
      <c r="H50" s="44" t="str">
        <f t="shared" si="43"/>
        <v/>
      </c>
      <c r="I50" s="111" t="str">
        <f t="shared" si="10"/>
        <v/>
      </c>
      <c r="J50" s="111" t="str">
        <f t="shared" si="44"/>
        <v/>
      </c>
      <c r="K50" s="111" t="str">
        <f t="shared" si="11"/>
        <v/>
      </c>
      <c r="L50" s="44" t="str">
        <f t="shared" si="12"/>
        <v/>
      </c>
      <c r="M50" s="111" t="str">
        <f t="shared" si="13"/>
        <v/>
      </c>
      <c r="N50" s="44" t="str">
        <f t="shared" si="14"/>
        <v/>
      </c>
      <c r="O50" s="44" t="str">
        <f t="shared" si="45"/>
        <v/>
      </c>
      <c r="P50" s="111" t="str">
        <f t="shared" si="15"/>
        <v/>
      </c>
      <c r="Q50" s="44" t="str">
        <f t="shared" si="16"/>
        <v/>
      </c>
      <c r="R50" s="157" t="str">
        <f t="shared" si="46"/>
        <v/>
      </c>
      <c r="S50" s="44" t="str">
        <f t="shared" si="17"/>
        <v/>
      </c>
      <c r="T50" s="140" t="str">
        <f t="shared" si="35"/>
        <v/>
      </c>
      <c r="U50" s="140" t="str">
        <f t="shared" si="47"/>
        <v/>
      </c>
      <c r="V50" s="24"/>
      <c r="W50" s="24"/>
      <c r="X50" s="24"/>
      <c r="Y50" s="24"/>
      <c r="Z50" s="24"/>
      <c r="AA50" s="24">
        <f t="shared" si="48"/>
        <v>0</v>
      </c>
      <c r="AB50" s="24"/>
      <c r="AC50" s="24" t="str">
        <f t="shared" si="27"/>
        <v/>
      </c>
      <c r="AD50" s="24" t="str">
        <f t="shared" si="49"/>
        <v/>
      </c>
      <c r="AE50" s="24">
        <f t="shared" si="50"/>
        <v>0</v>
      </c>
      <c r="AG50" s="24" t="e">
        <f t="shared" si="38"/>
        <v>#VALUE!</v>
      </c>
      <c r="AH50" s="24" t="e">
        <f t="shared" si="39"/>
        <v>#VALUE!</v>
      </c>
      <c r="AI50" s="24" t="e">
        <f t="shared" si="36"/>
        <v>#VALUE!</v>
      </c>
      <c r="AJ50" s="24" t="e">
        <f t="shared" si="37"/>
        <v>#VALUE!</v>
      </c>
      <c r="AL50" s="24"/>
      <c r="AM50" s="24" t="e">
        <f t="shared" si="33"/>
        <v>#VALUE!</v>
      </c>
      <c r="AN50" s="31"/>
      <c r="AO50" s="34">
        <f t="shared" si="51"/>
        <v>0</v>
      </c>
      <c r="AP50" s="24">
        <f t="shared" si="52"/>
        <v>0</v>
      </c>
      <c r="AQ50" s="24"/>
      <c r="AR50" s="112"/>
      <c r="AS50" s="112"/>
      <c r="AT50" s="59">
        <f t="shared" si="53"/>
        <v>9.0359999999999996</v>
      </c>
      <c r="AU50" s="59">
        <f t="shared" si="54"/>
        <v>-184.49199999999999</v>
      </c>
      <c r="AV50" s="59"/>
      <c r="AW50"/>
      <c r="AX50">
        <f>IF($E$4="M",IF(BA50&lt;78,BMILMS!$D$5*BA50^3+BMILMS!$E$5*BA50^2+BMILMS!$F$5*BA50+BMILMS!$G$5,IF(BA50&lt;150,BMILMS!$D$6*BA50^3+BMILMS!$E$6*BA50^2+BMILMS!$F$6*BA50+BMILMS!$G$6,BMILMS!$D$7*BA50^3+BMILMS!$E$7*BA50^2+BMILMS!$F$7*BA50+BMILMS!$G$7)),IF(BA50&lt;69,BMILMS!$D$9*BA50^3+BMILMS!$E$9*BA50^2+BMILMS!$F$9*BA50+BMILMS!$G$9,IF(BA50&lt;150,BMILMS!$D$10*BA50^3+BMILMS!$E$10*BA50^2+BMILMS!$F$10*BA50+BMILMS!$G$10,BMILMS!$D$11*BA50^3+BMILMS!$E$11*BA50^2+BMILMS!$F$11*BA50+BMILMS!$G$11)))</f>
        <v>0.79584630099999998</v>
      </c>
      <c r="AY50">
        <f>IF($E$4="M",(IF(BA50&lt;2.5,BMILMS!$D$21*BA50^3+BMILMS!$E$21*BA50^2+BMILMS!$F$21*BA50+BMILMS!$G$21,IF(BA50&lt;9.5,BMILMS!$D$22*BA50^3+BMILMS!$E$22*BA50^2+BMILMS!$F$22*BA50+BMILMS!$G$22,IF(BA50&lt;26.75,BMILMS!$D$23*BA50^3+BMILMS!$E$23*BA50^2+BMILMS!$F$23*BA50+BMILMS!$G$23,IF(BA50&lt;90,BMILMS!$D$24*BA50^3+BMILMS!$E$24*BA50^2+BMILMS!$F$24*BA50+BMILMS!$G$24,BMILMS!$D$25*BA50^3+BMILMS!$E$25*BA50^2+BMILMS!$F$25*BA50+BMILMS!$G$25))))),(IF(BA50&lt;2.5,BMILMS!$D$27*BA50^3+BMILMS!$E$27*BA50^2+BMILMS!$F$27*BA50+BMILMS!$G$27,IF(BA50&lt;9.5,BMILMS!$D$28*BA50^3+BMILMS!$E$28*BA50^2+BMILMS!$F$28*BA50+BMILMS!$G$28,IF(BA50&lt;26.75,BMILMS!$D$29*BA50^3+BMILMS!$E$29*BA50^2+BMILMS!$F$29*BA50+BMILMS!$G$29,IF(BA50&lt;90,BMILMS!$D$30*BA50^3+BMILMS!$E$30*BA50^2+BMILMS!$F$30*BA50+BMILMS!$G$30,IF(BA50&lt;150,BMILMS!$D$31*BA50^3+BMILMS!$E$31*BA50^2+BMILMS!$F$31*BA50+BMILMS!$G$31,BMILMS!$D$32*BA50^3+BMILMS!$E$32*BA50^2+BMILMS!$F$32*BA50+BMILMS!$G$32)))))))</f>
        <v>12.568967990000001</v>
      </c>
      <c r="AZ50">
        <f>IF($E$4="M",(IF(BA50&lt;90,BMILMS!$D$14*BA50^3+BMILMS!$E$14*BA50^2+BMILMS!$F$14*BA50+BMILMS!$G$14,BMILMS!$D$15*BA50^3+BMILMS!$E$15*BA50^2+BMILMS!$F$15*BA50+BMILMS!$G$15)),(IF(BA50&lt;90,BMILMS!$D$17*BA50^3+BMILMS!$E$17*BA50^2+BMILMS!$F$17*BA50+BMILMS!$G$17,BMILMS!$D$18*BA50^3+BMILMS!$E$18*BA50^2+BMILMS!$F$18*BA50+BMILMS!$G$18)))</f>
        <v>8.8969350000000003E-2</v>
      </c>
      <c r="BA50" s="24">
        <f t="shared" si="34"/>
        <v>0</v>
      </c>
      <c r="BB50" s="24">
        <f t="shared" si="55"/>
        <v>0</v>
      </c>
      <c r="BD50">
        <f t="shared" si="40"/>
        <v>0.56299999999999994</v>
      </c>
      <c r="BE50">
        <f t="shared" si="41"/>
        <v>69</v>
      </c>
      <c r="BF50">
        <f t="shared" si="42"/>
        <v>0.51</v>
      </c>
      <c r="BH50" s="35">
        <f>IF($E$4="M",WeightSDS!P$5*$BA50^7+WeightSDS!Q$5*$BA50^6+WeightSDS!R$5*$BA50^5+WeightSDS!S$5*$BA50^4+WeightSDS!T$5*$BA50^3+WeightSDS!U$5*$BA50^2+WeightSDS!V$5*$BA50+WeightSDS!W$5,IF($BA50&lt;186,WeightSDS!P$8*$BA50^7+WeightSDS!Q$8*$BA50^6+WeightSDS!R$8*$BA50^5+WeightSDS!S$8*$BA50^4+WeightSDS!T$8*$BA50^3+WeightSDS!U$8*$BA50^2+WeightSDS!V$8*$BA50+WeightSDS!W$8,WeightSDS!$U$9+WeightSDS!$V$9*($BA50-WeightSDS!$W$9)))</f>
        <v>0.75407122999999998</v>
      </c>
      <c r="BI50" s="24">
        <f>IF($E$4="M",IF($BA50&lt;45,WeightSDS!M$23*$BA50^10+WeightSDS!N$23*$BA50^9+WeightSDS!O$23*$BA50^8+WeightSDS!P$23*$BA50^7+WeightSDS!Q$23*$BA50^6+WeightSDS!R$23*$BA50^5+WeightSDS!S$23*$BA50^4+WeightSDS!T$23*$BA50^3+WeightSDS!U$23*$BA50^2+WeightSDS!V$23*$BA50+WeightSDS!W$23,IF($BA50&lt;153,WeightSDS!M$25*$BA50^10+WeightSDS!N$25*$BA50^9+WeightSDS!O$25*$BA50^8+WeightSDS!P$25*$BA50^7+WeightSDS!Q$25*$BA50^6+WeightSDS!R$25*$BA50^5+WeightSDS!S$25*$BA50^4+WeightSDS!T$25*$BA50^3+WeightSDS!U$25*$BA50^2+WeightSDS!V$25*$BA50+WeightSDS!W$25,WeightSDS!M$27+WeightSDS!N$27/(1+EXP(WeightSDS!O$27+WeightSDS!P$27*$BA50)))),IF($BA50&lt;43.8,WeightSDS!M$29*$BA50^10+WeightSDS!N$29*$BA50^9+WeightSDS!O$29*$BA50^8+WeightSDS!P$29*$BA50^7+WeightSDS!Q$29*$BA50^6+WeightSDS!R$29*$BA50^5+WeightSDS!S$29*$BA50^4+WeightSDS!T$29*$BA50^3+WeightSDS!U$29*$BA50^2+WeightSDS!V$29*$BA50+WeightSDS!W$29-0.010431*(1-$BA50/210),IF($BA50&lt;123,WeightSDS!M$30*$BA50^10+WeightSDS!N$30*$BA50^9+WeightSDS!O$30*$BA50^8+WeightSDS!P$30*$BA50^7+WeightSDS!Q$30*$BA50^6+WeightSDS!R$30*$BA50^5+WeightSDS!S$30*$BA50^4+WeightSDS!T$30*$BA50^3+WeightSDS!U$30*$BA50^2+WeightSDS!V$30*$BA50+WeightSDS!W$30-0.010431*(1-1/$BA50),WeightSDS!M$32+WeightSDS!N$32/(1+EXP(WeightSDS!O$32+WeightSDS!P$32*$BA50))-0.010431*(1-$BA50/210))))</f>
        <v>2.9500001032655536</v>
      </c>
      <c r="BJ50" s="24">
        <f>IF($E$4="M",IF($BA50&lt;162,WeightSDS!P$12*$BA50^7+WeightSDS!Q$12*$BA50^6+WeightSDS!R$12*$BA50^5+WeightSDS!S$12*$BA50^4+WeightSDS!T$12*$BA50^3+WeightSDS!U$12*$BA50^2+WeightSDS!V$12*$BA50+WeightSDS!W$12,WeightSDS!P$14*$BA50^7+WeightSDS!Q$14*$BA50^6+WeightSDS!R$14*$BA50^5+WeightSDS!S$14*$BA50^4+WeightSDS!T$14*$BA50^3+WeightSDS!U$14*$BA50^2+WeightSDS!V$14*$BA50+WeightSDS!W$14),IF($BA50&lt;156,WeightSDS!O$17*$BA50^8+WeightSDS!P$17*$BA50^7+WeightSDS!Q$17*$BA50^6+WeightSDS!R$17*$BA50^5+WeightSDS!S$17*$BA50^4+WeightSDS!T$17*$BA50^3+WeightSDS!U$17*$BA50^2+WeightSDS!V$17*$BA50+WeightSDS!W$17,IF($BA50&lt;186,WeightSDS!$U$18+(WeightSDS!$V$18-WeightSDS!$U$18)/24*($BA50-186)+WeightSDS!$W$18*(-$BA50+186)^2-0.005,WeightSDS!$U$18+(WeightSDS!$V$18-WeightSDS!$U$18)/24*($BA50-186)-0.005)))</f>
        <v>0.14604529399999999</v>
      </c>
    </row>
    <row r="51" spans="2:62" s="4" customFormat="1" x14ac:dyDescent="0.15">
      <c r="B51" s="40"/>
      <c r="C51" s="141"/>
      <c r="D51" s="22"/>
      <c r="E51" s="110"/>
      <c r="F51" s="110"/>
      <c r="G51" s="110"/>
      <c r="H51" s="44" t="str">
        <f t="shared" si="43"/>
        <v/>
      </c>
      <c r="I51" s="111" t="str">
        <f t="shared" si="10"/>
        <v/>
      </c>
      <c r="J51" s="111" t="str">
        <f t="shared" si="44"/>
        <v/>
      </c>
      <c r="K51" s="111" t="str">
        <f t="shared" si="11"/>
        <v/>
      </c>
      <c r="L51" s="44" t="str">
        <f t="shared" si="12"/>
        <v/>
      </c>
      <c r="M51" s="111" t="str">
        <f t="shared" si="13"/>
        <v/>
      </c>
      <c r="N51" s="44" t="str">
        <f t="shared" si="14"/>
        <v/>
      </c>
      <c r="O51" s="44" t="str">
        <f t="shared" si="45"/>
        <v/>
      </c>
      <c r="P51" s="111" t="str">
        <f t="shared" si="15"/>
        <v/>
      </c>
      <c r="Q51" s="44" t="str">
        <f t="shared" si="16"/>
        <v/>
      </c>
      <c r="R51" s="157" t="str">
        <f t="shared" si="46"/>
        <v/>
      </c>
      <c r="S51" s="44" t="str">
        <f t="shared" si="17"/>
        <v/>
      </c>
      <c r="T51" s="140" t="str">
        <f t="shared" si="35"/>
        <v/>
      </c>
      <c r="U51" s="140" t="str">
        <f t="shared" si="47"/>
        <v/>
      </c>
      <c r="V51" s="24"/>
      <c r="W51" s="24"/>
      <c r="X51" s="24"/>
      <c r="Y51" s="24"/>
      <c r="Z51" s="24"/>
      <c r="AA51" s="24">
        <f t="shared" si="48"/>
        <v>0</v>
      </c>
      <c r="AB51" s="24"/>
      <c r="AC51" s="24" t="str">
        <f t="shared" si="27"/>
        <v/>
      </c>
      <c r="AD51" s="24" t="str">
        <f t="shared" si="49"/>
        <v/>
      </c>
      <c r="AE51" s="24">
        <f t="shared" si="50"/>
        <v>0</v>
      </c>
      <c r="AG51" s="24" t="e">
        <f t="shared" si="38"/>
        <v>#VALUE!</v>
      </c>
      <c r="AH51" s="24" t="e">
        <f t="shared" si="39"/>
        <v>#VALUE!</v>
      </c>
      <c r="AI51" s="24" t="e">
        <f t="shared" si="36"/>
        <v>#VALUE!</v>
      </c>
      <c r="AJ51" s="24" t="e">
        <f t="shared" si="37"/>
        <v>#VALUE!</v>
      </c>
      <c r="AL51" s="24"/>
      <c r="AM51" s="24" t="e">
        <f t="shared" si="33"/>
        <v>#VALUE!</v>
      </c>
      <c r="AN51" s="31"/>
      <c r="AO51" s="34">
        <f t="shared" si="51"/>
        <v>0</v>
      </c>
      <c r="AP51" s="24">
        <f t="shared" si="52"/>
        <v>0</v>
      </c>
      <c r="AQ51" s="24"/>
      <c r="AR51" s="112"/>
      <c r="AS51" s="112"/>
      <c r="AT51" s="59">
        <f t="shared" si="53"/>
        <v>9.0359999999999996</v>
      </c>
      <c r="AU51" s="59">
        <f t="shared" si="54"/>
        <v>-184.49199999999999</v>
      </c>
      <c r="AV51" s="59"/>
      <c r="AW51"/>
      <c r="AX51">
        <f>IF($E$4="M",IF(BA51&lt;78,BMILMS!$D$5*BA51^3+BMILMS!$E$5*BA51^2+BMILMS!$F$5*BA51+BMILMS!$G$5,IF(BA51&lt;150,BMILMS!$D$6*BA51^3+BMILMS!$E$6*BA51^2+BMILMS!$F$6*BA51+BMILMS!$G$6,BMILMS!$D$7*BA51^3+BMILMS!$E$7*BA51^2+BMILMS!$F$7*BA51+BMILMS!$G$7)),IF(BA51&lt;69,BMILMS!$D$9*BA51^3+BMILMS!$E$9*BA51^2+BMILMS!$F$9*BA51+BMILMS!$G$9,IF(BA51&lt;150,BMILMS!$D$10*BA51^3+BMILMS!$E$10*BA51^2+BMILMS!$F$10*BA51+BMILMS!$G$10,BMILMS!$D$11*BA51^3+BMILMS!$E$11*BA51^2+BMILMS!$F$11*BA51+BMILMS!$G$11)))</f>
        <v>0.79584630099999998</v>
      </c>
      <c r="AY51">
        <f>IF($E$4="M",(IF(BA51&lt;2.5,BMILMS!$D$21*BA51^3+BMILMS!$E$21*BA51^2+BMILMS!$F$21*BA51+BMILMS!$G$21,IF(BA51&lt;9.5,BMILMS!$D$22*BA51^3+BMILMS!$E$22*BA51^2+BMILMS!$F$22*BA51+BMILMS!$G$22,IF(BA51&lt;26.75,BMILMS!$D$23*BA51^3+BMILMS!$E$23*BA51^2+BMILMS!$F$23*BA51+BMILMS!$G$23,IF(BA51&lt;90,BMILMS!$D$24*BA51^3+BMILMS!$E$24*BA51^2+BMILMS!$F$24*BA51+BMILMS!$G$24,BMILMS!$D$25*BA51^3+BMILMS!$E$25*BA51^2+BMILMS!$F$25*BA51+BMILMS!$G$25))))),(IF(BA51&lt;2.5,BMILMS!$D$27*BA51^3+BMILMS!$E$27*BA51^2+BMILMS!$F$27*BA51+BMILMS!$G$27,IF(BA51&lt;9.5,BMILMS!$D$28*BA51^3+BMILMS!$E$28*BA51^2+BMILMS!$F$28*BA51+BMILMS!$G$28,IF(BA51&lt;26.75,BMILMS!$D$29*BA51^3+BMILMS!$E$29*BA51^2+BMILMS!$F$29*BA51+BMILMS!$G$29,IF(BA51&lt;90,BMILMS!$D$30*BA51^3+BMILMS!$E$30*BA51^2+BMILMS!$F$30*BA51+BMILMS!$G$30,IF(BA51&lt;150,BMILMS!$D$31*BA51^3+BMILMS!$E$31*BA51^2+BMILMS!$F$31*BA51+BMILMS!$G$31,BMILMS!$D$32*BA51^3+BMILMS!$E$32*BA51^2+BMILMS!$F$32*BA51+BMILMS!$G$32)))))))</f>
        <v>12.568967990000001</v>
      </c>
      <c r="AZ51">
        <f>IF($E$4="M",(IF(BA51&lt;90,BMILMS!$D$14*BA51^3+BMILMS!$E$14*BA51^2+BMILMS!$F$14*BA51+BMILMS!$G$14,BMILMS!$D$15*BA51^3+BMILMS!$E$15*BA51^2+BMILMS!$F$15*BA51+BMILMS!$G$15)),(IF(BA51&lt;90,BMILMS!$D$17*BA51^3+BMILMS!$E$17*BA51^2+BMILMS!$F$17*BA51+BMILMS!$G$17,BMILMS!$D$18*BA51^3+BMILMS!$E$18*BA51^2+BMILMS!$F$18*BA51+BMILMS!$G$18)))</f>
        <v>8.8969350000000003E-2</v>
      </c>
      <c r="BA51" s="24">
        <f t="shared" si="34"/>
        <v>0</v>
      </c>
      <c r="BB51" s="24">
        <f t="shared" si="55"/>
        <v>0</v>
      </c>
      <c r="BD51">
        <f t="shared" si="40"/>
        <v>0.56299999999999994</v>
      </c>
      <c r="BE51">
        <f t="shared" si="41"/>
        <v>69</v>
      </c>
      <c r="BF51">
        <f t="shared" si="42"/>
        <v>0.51</v>
      </c>
      <c r="BH51" s="35">
        <f>IF($E$4="M",WeightSDS!P$5*$BA51^7+WeightSDS!Q$5*$BA51^6+WeightSDS!R$5*$BA51^5+WeightSDS!S$5*$BA51^4+WeightSDS!T$5*$BA51^3+WeightSDS!U$5*$BA51^2+WeightSDS!V$5*$BA51+WeightSDS!W$5,IF($BA51&lt;186,WeightSDS!P$8*$BA51^7+WeightSDS!Q$8*$BA51^6+WeightSDS!R$8*$BA51^5+WeightSDS!S$8*$BA51^4+WeightSDS!T$8*$BA51^3+WeightSDS!U$8*$BA51^2+WeightSDS!V$8*$BA51+WeightSDS!W$8,WeightSDS!$U$9+WeightSDS!$V$9*($BA51-WeightSDS!$W$9)))</f>
        <v>0.75407122999999998</v>
      </c>
      <c r="BI51" s="24">
        <f>IF($E$4="M",IF($BA51&lt;45,WeightSDS!M$23*$BA51^10+WeightSDS!N$23*$BA51^9+WeightSDS!O$23*$BA51^8+WeightSDS!P$23*$BA51^7+WeightSDS!Q$23*$BA51^6+WeightSDS!R$23*$BA51^5+WeightSDS!S$23*$BA51^4+WeightSDS!T$23*$BA51^3+WeightSDS!U$23*$BA51^2+WeightSDS!V$23*$BA51+WeightSDS!W$23,IF($BA51&lt;153,WeightSDS!M$25*$BA51^10+WeightSDS!N$25*$BA51^9+WeightSDS!O$25*$BA51^8+WeightSDS!P$25*$BA51^7+WeightSDS!Q$25*$BA51^6+WeightSDS!R$25*$BA51^5+WeightSDS!S$25*$BA51^4+WeightSDS!T$25*$BA51^3+WeightSDS!U$25*$BA51^2+WeightSDS!V$25*$BA51+WeightSDS!W$25,WeightSDS!M$27+WeightSDS!N$27/(1+EXP(WeightSDS!O$27+WeightSDS!P$27*$BA51)))),IF($BA51&lt;43.8,WeightSDS!M$29*$BA51^10+WeightSDS!N$29*$BA51^9+WeightSDS!O$29*$BA51^8+WeightSDS!P$29*$BA51^7+WeightSDS!Q$29*$BA51^6+WeightSDS!R$29*$BA51^5+WeightSDS!S$29*$BA51^4+WeightSDS!T$29*$BA51^3+WeightSDS!U$29*$BA51^2+WeightSDS!V$29*$BA51+WeightSDS!W$29-0.010431*(1-$BA51/210),IF($BA51&lt;123,WeightSDS!M$30*$BA51^10+WeightSDS!N$30*$BA51^9+WeightSDS!O$30*$BA51^8+WeightSDS!P$30*$BA51^7+WeightSDS!Q$30*$BA51^6+WeightSDS!R$30*$BA51^5+WeightSDS!S$30*$BA51^4+WeightSDS!T$30*$BA51^3+WeightSDS!U$30*$BA51^2+WeightSDS!V$30*$BA51+WeightSDS!W$30-0.010431*(1-1/$BA51),WeightSDS!M$32+WeightSDS!N$32/(1+EXP(WeightSDS!O$32+WeightSDS!P$32*$BA51))-0.010431*(1-$BA51/210))))</f>
        <v>2.9500001032655536</v>
      </c>
      <c r="BJ51" s="24">
        <f>IF($E$4="M",IF($BA51&lt;162,WeightSDS!P$12*$BA51^7+WeightSDS!Q$12*$BA51^6+WeightSDS!R$12*$BA51^5+WeightSDS!S$12*$BA51^4+WeightSDS!T$12*$BA51^3+WeightSDS!U$12*$BA51^2+WeightSDS!V$12*$BA51+WeightSDS!W$12,WeightSDS!P$14*$BA51^7+WeightSDS!Q$14*$BA51^6+WeightSDS!R$14*$BA51^5+WeightSDS!S$14*$BA51^4+WeightSDS!T$14*$BA51^3+WeightSDS!U$14*$BA51^2+WeightSDS!V$14*$BA51+WeightSDS!W$14),IF($BA51&lt;156,WeightSDS!O$17*$BA51^8+WeightSDS!P$17*$BA51^7+WeightSDS!Q$17*$BA51^6+WeightSDS!R$17*$BA51^5+WeightSDS!S$17*$BA51^4+WeightSDS!T$17*$BA51^3+WeightSDS!U$17*$BA51^2+WeightSDS!V$17*$BA51+WeightSDS!W$17,IF($BA51&lt;186,WeightSDS!$U$18+(WeightSDS!$V$18-WeightSDS!$U$18)/24*($BA51-186)+WeightSDS!$W$18*(-$BA51+186)^2-0.005,WeightSDS!$U$18+(WeightSDS!$V$18-WeightSDS!$U$18)/24*($BA51-186)-0.005)))</f>
        <v>0.14604529399999999</v>
      </c>
    </row>
    <row r="52" spans="2:62" s="4" customFormat="1" x14ac:dyDescent="0.15">
      <c r="B52" s="40"/>
      <c r="C52" s="141"/>
      <c r="D52" s="22"/>
      <c r="E52" s="110"/>
      <c r="F52" s="110"/>
      <c r="G52" s="110"/>
      <c r="H52" s="44" t="str">
        <f t="shared" si="43"/>
        <v/>
      </c>
      <c r="I52" s="111" t="str">
        <f t="shared" si="10"/>
        <v/>
      </c>
      <c r="J52" s="111" t="str">
        <f t="shared" si="44"/>
        <v/>
      </c>
      <c r="K52" s="111" t="str">
        <f t="shared" si="11"/>
        <v/>
      </c>
      <c r="L52" s="44" t="str">
        <f t="shared" si="12"/>
        <v/>
      </c>
      <c r="M52" s="111" t="str">
        <f t="shared" si="13"/>
        <v/>
      </c>
      <c r="N52" s="44" t="str">
        <f t="shared" si="14"/>
        <v/>
      </c>
      <c r="O52" s="44" t="str">
        <f t="shared" si="45"/>
        <v/>
      </c>
      <c r="P52" s="111" t="str">
        <f t="shared" si="15"/>
        <v/>
      </c>
      <c r="Q52" s="44" t="str">
        <f t="shared" si="16"/>
        <v/>
      </c>
      <c r="R52" s="157" t="str">
        <f t="shared" si="46"/>
        <v/>
      </c>
      <c r="S52" s="44" t="str">
        <f t="shared" si="17"/>
        <v/>
      </c>
      <c r="T52" s="140" t="str">
        <f t="shared" si="35"/>
        <v/>
      </c>
      <c r="U52" s="140" t="str">
        <f t="shared" si="47"/>
        <v/>
      </c>
      <c r="V52" s="24"/>
      <c r="W52" s="24"/>
      <c r="X52" s="24"/>
      <c r="Y52" s="24"/>
      <c r="Z52" s="24"/>
      <c r="AA52" s="24">
        <f t="shared" si="48"/>
        <v>0</v>
      </c>
      <c r="AB52" s="24"/>
      <c r="AC52" s="24" t="str">
        <f t="shared" si="27"/>
        <v/>
      </c>
      <c r="AD52" s="24" t="str">
        <f t="shared" si="49"/>
        <v/>
      </c>
      <c r="AE52" s="24">
        <f t="shared" si="50"/>
        <v>0</v>
      </c>
      <c r="AG52" s="24" t="e">
        <f t="shared" si="38"/>
        <v>#VALUE!</v>
      </c>
      <c r="AH52" s="24" t="e">
        <f t="shared" si="39"/>
        <v>#VALUE!</v>
      </c>
      <c r="AI52" s="24" t="e">
        <f t="shared" si="36"/>
        <v>#VALUE!</v>
      </c>
      <c r="AJ52" s="24" t="e">
        <f t="shared" si="37"/>
        <v>#VALUE!</v>
      </c>
      <c r="AL52" s="24"/>
      <c r="AM52" s="24" t="e">
        <f t="shared" si="33"/>
        <v>#VALUE!</v>
      </c>
      <c r="AN52" s="31"/>
      <c r="AO52" s="34">
        <f t="shared" si="51"/>
        <v>0</v>
      </c>
      <c r="AP52" s="24">
        <f t="shared" si="52"/>
        <v>0</v>
      </c>
      <c r="AQ52" s="24"/>
      <c r="AR52" s="112"/>
      <c r="AS52" s="112"/>
      <c r="AT52" s="59">
        <f t="shared" si="53"/>
        <v>9.0359999999999996</v>
      </c>
      <c r="AU52" s="59">
        <f t="shared" si="54"/>
        <v>-184.49199999999999</v>
      </c>
      <c r="AV52" s="59"/>
      <c r="AW52"/>
      <c r="AX52">
        <f>IF($E$4="M",IF(BA52&lt;78,BMILMS!$D$5*BA52^3+BMILMS!$E$5*BA52^2+BMILMS!$F$5*BA52+BMILMS!$G$5,IF(BA52&lt;150,BMILMS!$D$6*BA52^3+BMILMS!$E$6*BA52^2+BMILMS!$F$6*BA52+BMILMS!$G$6,BMILMS!$D$7*BA52^3+BMILMS!$E$7*BA52^2+BMILMS!$F$7*BA52+BMILMS!$G$7)),IF(BA52&lt;69,BMILMS!$D$9*BA52^3+BMILMS!$E$9*BA52^2+BMILMS!$F$9*BA52+BMILMS!$G$9,IF(BA52&lt;150,BMILMS!$D$10*BA52^3+BMILMS!$E$10*BA52^2+BMILMS!$F$10*BA52+BMILMS!$G$10,BMILMS!$D$11*BA52^3+BMILMS!$E$11*BA52^2+BMILMS!$F$11*BA52+BMILMS!$G$11)))</f>
        <v>0.79584630099999998</v>
      </c>
      <c r="AY52">
        <f>IF($E$4="M",(IF(BA52&lt;2.5,BMILMS!$D$21*BA52^3+BMILMS!$E$21*BA52^2+BMILMS!$F$21*BA52+BMILMS!$G$21,IF(BA52&lt;9.5,BMILMS!$D$22*BA52^3+BMILMS!$E$22*BA52^2+BMILMS!$F$22*BA52+BMILMS!$G$22,IF(BA52&lt;26.75,BMILMS!$D$23*BA52^3+BMILMS!$E$23*BA52^2+BMILMS!$F$23*BA52+BMILMS!$G$23,IF(BA52&lt;90,BMILMS!$D$24*BA52^3+BMILMS!$E$24*BA52^2+BMILMS!$F$24*BA52+BMILMS!$G$24,BMILMS!$D$25*BA52^3+BMILMS!$E$25*BA52^2+BMILMS!$F$25*BA52+BMILMS!$G$25))))),(IF(BA52&lt;2.5,BMILMS!$D$27*BA52^3+BMILMS!$E$27*BA52^2+BMILMS!$F$27*BA52+BMILMS!$G$27,IF(BA52&lt;9.5,BMILMS!$D$28*BA52^3+BMILMS!$E$28*BA52^2+BMILMS!$F$28*BA52+BMILMS!$G$28,IF(BA52&lt;26.75,BMILMS!$D$29*BA52^3+BMILMS!$E$29*BA52^2+BMILMS!$F$29*BA52+BMILMS!$G$29,IF(BA52&lt;90,BMILMS!$D$30*BA52^3+BMILMS!$E$30*BA52^2+BMILMS!$F$30*BA52+BMILMS!$G$30,IF(BA52&lt;150,BMILMS!$D$31*BA52^3+BMILMS!$E$31*BA52^2+BMILMS!$F$31*BA52+BMILMS!$G$31,BMILMS!$D$32*BA52^3+BMILMS!$E$32*BA52^2+BMILMS!$F$32*BA52+BMILMS!$G$32)))))))</f>
        <v>12.568967990000001</v>
      </c>
      <c r="AZ52">
        <f>IF($E$4="M",(IF(BA52&lt;90,BMILMS!$D$14*BA52^3+BMILMS!$E$14*BA52^2+BMILMS!$F$14*BA52+BMILMS!$G$14,BMILMS!$D$15*BA52^3+BMILMS!$E$15*BA52^2+BMILMS!$F$15*BA52+BMILMS!$G$15)),(IF(BA52&lt;90,BMILMS!$D$17*BA52^3+BMILMS!$E$17*BA52^2+BMILMS!$F$17*BA52+BMILMS!$G$17,BMILMS!$D$18*BA52^3+BMILMS!$E$18*BA52^2+BMILMS!$F$18*BA52+BMILMS!$G$18)))</f>
        <v>8.8969350000000003E-2</v>
      </c>
      <c r="BA52" s="24">
        <f t="shared" si="34"/>
        <v>0</v>
      </c>
      <c r="BB52" s="24">
        <f t="shared" si="55"/>
        <v>0</v>
      </c>
      <c r="BD52">
        <f t="shared" si="40"/>
        <v>0.56299999999999994</v>
      </c>
      <c r="BE52">
        <f t="shared" si="41"/>
        <v>69</v>
      </c>
      <c r="BF52">
        <f t="shared" si="42"/>
        <v>0.51</v>
      </c>
      <c r="BH52" s="35">
        <f>IF($E$4="M",WeightSDS!P$5*$BA52^7+WeightSDS!Q$5*$BA52^6+WeightSDS!R$5*$BA52^5+WeightSDS!S$5*$BA52^4+WeightSDS!T$5*$BA52^3+WeightSDS!U$5*$BA52^2+WeightSDS!V$5*$BA52+WeightSDS!W$5,IF($BA52&lt;186,WeightSDS!P$8*$BA52^7+WeightSDS!Q$8*$BA52^6+WeightSDS!R$8*$BA52^5+WeightSDS!S$8*$BA52^4+WeightSDS!T$8*$BA52^3+WeightSDS!U$8*$BA52^2+WeightSDS!V$8*$BA52+WeightSDS!W$8,WeightSDS!$U$9+WeightSDS!$V$9*($BA52-WeightSDS!$W$9)))</f>
        <v>0.75407122999999998</v>
      </c>
      <c r="BI52" s="24">
        <f>IF($E$4="M",IF($BA52&lt;45,WeightSDS!M$23*$BA52^10+WeightSDS!N$23*$BA52^9+WeightSDS!O$23*$BA52^8+WeightSDS!P$23*$BA52^7+WeightSDS!Q$23*$BA52^6+WeightSDS!R$23*$BA52^5+WeightSDS!S$23*$BA52^4+WeightSDS!T$23*$BA52^3+WeightSDS!U$23*$BA52^2+WeightSDS!V$23*$BA52+WeightSDS!W$23,IF($BA52&lt;153,WeightSDS!M$25*$BA52^10+WeightSDS!N$25*$BA52^9+WeightSDS!O$25*$BA52^8+WeightSDS!P$25*$BA52^7+WeightSDS!Q$25*$BA52^6+WeightSDS!R$25*$BA52^5+WeightSDS!S$25*$BA52^4+WeightSDS!T$25*$BA52^3+WeightSDS!U$25*$BA52^2+WeightSDS!V$25*$BA52+WeightSDS!W$25,WeightSDS!M$27+WeightSDS!N$27/(1+EXP(WeightSDS!O$27+WeightSDS!P$27*$BA52)))),IF($BA52&lt;43.8,WeightSDS!M$29*$BA52^10+WeightSDS!N$29*$BA52^9+WeightSDS!O$29*$BA52^8+WeightSDS!P$29*$BA52^7+WeightSDS!Q$29*$BA52^6+WeightSDS!R$29*$BA52^5+WeightSDS!S$29*$BA52^4+WeightSDS!T$29*$BA52^3+WeightSDS!U$29*$BA52^2+WeightSDS!V$29*$BA52+WeightSDS!W$29-0.010431*(1-$BA52/210),IF($BA52&lt;123,WeightSDS!M$30*$BA52^10+WeightSDS!N$30*$BA52^9+WeightSDS!O$30*$BA52^8+WeightSDS!P$30*$BA52^7+WeightSDS!Q$30*$BA52^6+WeightSDS!R$30*$BA52^5+WeightSDS!S$30*$BA52^4+WeightSDS!T$30*$BA52^3+WeightSDS!U$30*$BA52^2+WeightSDS!V$30*$BA52+WeightSDS!W$30-0.010431*(1-1/$BA52),WeightSDS!M$32+WeightSDS!N$32/(1+EXP(WeightSDS!O$32+WeightSDS!P$32*$BA52))-0.010431*(1-$BA52/210))))</f>
        <v>2.9500001032655536</v>
      </c>
      <c r="BJ52" s="24">
        <f>IF($E$4="M",IF($BA52&lt;162,WeightSDS!P$12*$BA52^7+WeightSDS!Q$12*$BA52^6+WeightSDS!R$12*$BA52^5+WeightSDS!S$12*$BA52^4+WeightSDS!T$12*$BA52^3+WeightSDS!U$12*$BA52^2+WeightSDS!V$12*$BA52+WeightSDS!W$12,WeightSDS!P$14*$BA52^7+WeightSDS!Q$14*$BA52^6+WeightSDS!R$14*$BA52^5+WeightSDS!S$14*$BA52^4+WeightSDS!T$14*$BA52^3+WeightSDS!U$14*$BA52^2+WeightSDS!V$14*$BA52+WeightSDS!W$14),IF($BA52&lt;156,WeightSDS!O$17*$BA52^8+WeightSDS!P$17*$BA52^7+WeightSDS!Q$17*$BA52^6+WeightSDS!R$17*$BA52^5+WeightSDS!S$17*$BA52^4+WeightSDS!T$17*$BA52^3+WeightSDS!U$17*$BA52^2+WeightSDS!V$17*$BA52+WeightSDS!W$17,IF($BA52&lt;186,WeightSDS!$U$18+(WeightSDS!$V$18-WeightSDS!$U$18)/24*($BA52-186)+WeightSDS!$W$18*(-$BA52+186)^2-0.005,WeightSDS!$U$18+(WeightSDS!$V$18-WeightSDS!$U$18)/24*($BA52-186)-0.005)))</f>
        <v>0.14604529399999999</v>
      </c>
    </row>
    <row r="53" spans="2:62" s="4" customFormat="1" x14ac:dyDescent="0.15">
      <c r="B53" s="40"/>
      <c r="C53" s="141"/>
      <c r="D53" s="22"/>
      <c r="E53" s="110"/>
      <c r="F53" s="110"/>
      <c r="G53" s="110"/>
      <c r="H53" s="44" t="str">
        <f t="shared" si="43"/>
        <v/>
      </c>
      <c r="I53" s="111" t="str">
        <f t="shared" si="10"/>
        <v/>
      </c>
      <c r="J53" s="111" t="str">
        <f t="shared" si="44"/>
        <v/>
      </c>
      <c r="K53" s="111" t="str">
        <f t="shared" si="11"/>
        <v/>
      </c>
      <c r="L53" s="44" t="str">
        <f t="shared" si="12"/>
        <v/>
      </c>
      <c r="M53" s="111" t="str">
        <f t="shared" si="13"/>
        <v/>
      </c>
      <c r="N53" s="44" t="str">
        <f t="shared" si="14"/>
        <v/>
      </c>
      <c r="O53" s="44" t="str">
        <f t="shared" si="45"/>
        <v/>
      </c>
      <c r="P53" s="111" t="str">
        <f t="shared" si="15"/>
        <v/>
      </c>
      <c r="Q53" s="44" t="str">
        <f t="shared" si="16"/>
        <v/>
      </c>
      <c r="R53" s="157" t="str">
        <f t="shared" si="46"/>
        <v/>
      </c>
      <c r="S53" s="44" t="str">
        <f t="shared" si="17"/>
        <v/>
      </c>
      <c r="T53" s="140" t="str">
        <f t="shared" si="35"/>
        <v/>
      </c>
      <c r="U53" s="140" t="str">
        <f t="shared" si="47"/>
        <v/>
      </c>
      <c r="V53" s="24"/>
      <c r="W53" s="24"/>
      <c r="X53" s="24"/>
      <c r="Y53" s="24"/>
      <c r="Z53" s="24"/>
      <c r="AA53" s="24">
        <f t="shared" si="48"/>
        <v>0</v>
      </c>
      <c r="AB53" s="24"/>
      <c r="AC53" s="24" t="str">
        <f t="shared" si="27"/>
        <v/>
      </c>
      <c r="AD53" s="24" t="str">
        <f t="shared" si="49"/>
        <v/>
      </c>
      <c r="AE53" s="24">
        <f t="shared" si="50"/>
        <v>0</v>
      </c>
      <c r="AG53" s="24" t="e">
        <f t="shared" si="38"/>
        <v>#VALUE!</v>
      </c>
      <c r="AH53" s="24" t="e">
        <f t="shared" si="39"/>
        <v>#VALUE!</v>
      </c>
      <c r="AI53" s="24" t="e">
        <f t="shared" si="36"/>
        <v>#VALUE!</v>
      </c>
      <c r="AJ53" s="24" t="e">
        <f t="shared" si="37"/>
        <v>#VALUE!</v>
      </c>
      <c r="AL53" s="24"/>
      <c r="AM53" s="24" t="e">
        <f t="shared" si="33"/>
        <v>#VALUE!</v>
      </c>
      <c r="AN53" s="31"/>
      <c r="AO53" s="34">
        <f t="shared" si="51"/>
        <v>0</v>
      </c>
      <c r="AP53" s="24">
        <f t="shared" si="52"/>
        <v>0</v>
      </c>
      <c r="AQ53" s="24"/>
      <c r="AR53" s="112"/>
      <c r="AS53" s="112"/>
      <c r="AT53" s="59">
        <f t="shared" si="53"/>
        <v>9.0359999999999996</v>
      </c>
      <c r="AU53" s="59">
        <f t="shared" si="54"/>
        <v>-184.49199999999999</v>
      </c>
      <c r="AV53" s="59"/>
      <c r="AW53"/>
      <c r="AX53">
        <f>IF($E$4="M",IF(BA53&lt;78,BMILMS!$D$5*BA53^3+BMILMS!$E$5*BA53^2+BMILMS!$F$5*BA53+BMILMS!$G$5,IF(BA53&lt;150,BMILMS!$D$6*BA53^3+BMILMS!$E$6*BA53^2+BMILMS!$F$6*BA53+BMILMS!$G$6,BMILMS!$D$7*BA53^3+BMILMS!$E$7*BA53^2+BMILMS!$F$7*BA53+BMILMS!$G$7)),IF(BA53&lt;69,BMILMS!$D$9*BA53^3+BMILMS!$E$9*BA53^2+BMILMS!$F$9*BA53+BMILMS!$G$9,IF(BA53&lt;150,BMILMS!$D$10*BA53^3+BMILMS!$E$10*BA53^2+BMILMS!$F$10*BA53+BMILMS!$G$10,BMILMS!$D$11*BA53^3+BMILMS!$E$11*BA53^2+BMILMS!$F$11*BA53+BMILMS!$G$11)))</f>
        <v>0.79584630099999998</v>
      </c>
      <c r="AY53">
        <f>IF($E$4="M",(IF(BA53&lt;2.5,BMILMS!$D$21*BA53^3+BMILMS!$E$21*BA53^2+BMILMS!$F$21*BA53+BMILMS!$G$21,IF(BA53&lt;9.5,BMILMS!$D$22*BA53^3+BMILMS!$E$22*BA53^2+BMILMS!$F$22*BA53+BMILMS!$G$22,IF(BA53&lt;26.75,BMILMS!$D$23*BA53^3+BMILMS!$E$23*BA53^2+BMILMS!$F$23*BA53+BMILMS!$G$23,IF(BA53&lt;90,BMILMS!$D$24*BA53^3+BMILMS!$E$24*BA53^2+BMILMS!$F$24*BA53+BMILMS!$G$24,BMILMS!$D$25*BA53^3+BMILMS!$E$25*BA53^2+BMILMS!$F$25*BA53+BMILMS!$G$25))))),(IF(BA53&lt;2.5,BMILMS!$D$27*BA53^3+BMILMS!$E$27*BA53^2+BMILMS!$F$27*BA53+BMILMS!$G$27,IF(BA53&lt;9.5,BMILMS!$D$28*BA53^3+BMILMS!$E$28*BA53^2+BMILMS!$F$28*BA53+BMILMS!$G$28,IF(BA53&lt;26.75,BMILMS!$D$29*BA53^3+BMILMS!$E$29*BA53^2+BMILMS!$F$29*BA53+BMILMS!$G$29,IF(BA53&lt;90,BMILMS!$D$30*BA53^3+BMILMS!$E$30*BA53^2+BMILMS!$F$30*BA53+BMILMS!$G$30,IF(BA53&lt;150,BMILMS!$D$31*BA53^3+BMILMS!$E$31*BA53^2+BMILMS!$F$31*BA53+BMILMS!$G$31,BMILMS!$D$32*BA53^3+BMILMS!$E$32*BA53^2+BMILMS!$F$32*BA53+BMILMS!$G$32)))))))</f>
        <v>12.568967990000001</v>
      </c>
      <c r="AZ53">
        <f>IF($E$4="M",(IF(BA53&lt;90,BMILMS!$D$14*BA53^3+BMILMS!$E$14*BA53^2+BMILMS!$F$14*BA53+BMILMS!$G$14,BMILMS!$D$15*BA53^3+BMILMS!$E$15*BA53^2+BMILMS!$F$15*BA53+BMILMS!$G$15)),(IF(BA53&lt;90,BMILMS!$D$17*BA53^3+BMILMS!$E$17*BA53^2+BMILMS!$F$17*BA53+BMILMS!$G$17,BMILMS!$D$18*BA53^3+BMILMS!$E$18*BA53^2+BMILMS!$F$18*BA53+BMILMS!$G$18)))</f>
        <v>8.8969350000000003E-2</v>
      </c>
      <c r="BA53" s="24">
        <f t="shared" si="34"/>
        <v>0</v>
      </c>
      <c r="BB53" s="24">
        <f t="shared" si="55"/>
        <v>0</v>
      </c>
      <c r="BD53">
        <f t="shared" si="40"/>
        <v>0.56299999999999994</v>
      </c>
      <c r="BE53">
        <f t="shared" si="41"/>
        <v>69</v>
      </c>
      <c r="BF53">
        <f t="shared" si="42"/>
        <v>0.51</v>
      </c>
      <c r="BH53" s="35">
        <f>IF($E$4="M",WeightSDS!P$5*$BA53^7+WeightSDS!Q$5*$BA53^6+WeightSDS!R$5*$BA53^5+WeightSDS!S$5*$BA53^4+WeightSDS!T$5*$BA53^3+WeightSDS!U$5*$BA53^2+WeightSDS!V$5*$BA53+WeightSDS!W$5,IF($BA53&lt;186,WeightSDS!P$8*$BA53^7+WeightSDS!Q$8*$BA53^6+WeightSDS!R$8*$BA53^5+WeightSDS!S$8*$BA53^4+WeightSDS!T$8*$BA53^3+WeightSDS!U$8*$BA53^2+WeightSDS!V$8*$BA53+WeightSDS!W$8,WeightSDS!$U$9+WeightSDS!$V$9*($BA53-WeightSDS!$W$9)))</f>
        <v>0.75407122999999998</v>
      </c>
      <c r="BI53" s="24">
        <f>IF($E$4="M",IF($BA53&lt;45,WeightSDS!M$23*$BA53^10+WeightSDS!N$23*$BA53^9+WeightSDS!O$23*$BA53^8+WeightSDS!P$23*$BA53^7+WeightSDS!Q$23*$BA53^6+WeightSDS!R$23*$BA53^5+WeightSDS!S$23*$BA53^4+WeightSDS!T$23*$BA53^3+WeightSDS!U$23*$BA53^2+WeightSDS!V$23*$BA53+WeightSDS!W$23,IF($BA53&lt;153,WeightSDS!M$25*$BA53^10+WeightSDS!N$25*$BA53^9+WeightSDS!O$25*$BA53^8+WeightSDS!P$25*$BA53^7+WeightSDS!Q$25*$BA53^6+WeightSDS!R$25*$BA53^5+WeightSDS!S$25*$BA53^4+WeightSDS!T$25*$BA53^3+WeightSDS!U$25*$BA53^2+WeightSDS!V$25*$BA53+WeightSDS!W$25,WeightSDS!M$27+WeightSDS!N$27/(1+EXP(WeightSDS!O$27+WeightSDS!P$27*$BA53)))),IF($BA53&lt;43.8,WeightSDS!M$29*$BA53^10+WeightSDS!N$29*$BA53^9+WeightSDS!O$29*$BA53^8+WeightSDS!P$29*$BA53^7+WeightSDS!Q$29*$BA53^6+WeightSDS!R$29*$BA53^5+WeightSDS!S$29*$BA53^4+WeightSDS!T$29*$BA53^3+WeightSDS!U$29*$BA53^2+WeightSDS!V$29*$BA53+WeightSDS!W$29-0.010431*(1-$BA53/210),IF($BA53&lt;123,WeightSDS!M$30*$BA53^10+WeightSDS!N$30*$BA53^9+WeightSDS!O$30*$BA53^8+WeightSDS!P$30*$BA53^7+WeightSDS!Q$30*$BA53^6+WeightSDS!R$30*$BA53^5+WeightSDS!S$30*$BA53^4+WeightSDS!T$30*$BA53^3+WeightSDS!U$30*$BA53^2+WeightSDS!V$30*$BA53+WeightSDS!W$30-0.010431*(1-1/$BA53),WeightSDS!M$32+WeightSDS!N$32/(1+EXP(WeightSDS!O$32+WeightSDS!P$32*$BA53))-0.010431*(1-$BA53/210))))</f>
        <v>2.9500001032655536</v>
      </c>
      <c r="BJ53" s="24">
        <f>IF($E$4="M",IF($BA53&lt;162,WeightSDS!P$12*$BA53^7+WeightSDS!Q$12*$BA53^6+WeightSDS!R$12*$BA53^5+WeightSDS!S$12*$BA53^4+WeightSDS!T$12*$BA53^3+WeightSDS!U$12*$BA53^2+WeightSDS!V$12*$BA53+WeightSDS!W$12,WeightSDS!P$14*$BA53^7+WeightSDS!Q$14*$BA53^6+WeightSDS!R$14*$BA53^5+WeightSDS!S$14*$BA53^4+WeightSDS!T$14*$BA53^3+WeightSDS!U$14*$BA53^2+WeightSDS!V$14*$BA53+WeightSDS!W$14),IF($BA53&lt;156,WeightSDS!O$17*$BA53^8+WeightSDS!P$17*$BA53^7+WeightSDS!Q$17*$BA53^6+WeightSDS!R$17*$BA53^5+WeightSDS!S$17*$BA53^4+WeightSDS!T$17*$BA53^3+WeightSDS!U$17*$BA53^2+WeightSDS!V$17*$BA53+WeightSDS!W$17,IF($BA53&lt;186,WeightSDS!$U$18+(WeightSDS!$V$18-WeightSDS!$U$18)/24*($BA53-186)+WeightSDS!$W$18*(-$BA53+186)^2-0.005,WeightSDS!$U$18+(WeightSDS!$V$18-WeightSDS!$U$18)/24*($BA53-186)-0.005)))</f>
        <v>0.14604529399999999</v>
      </c>
    </row>
    <row r="54" spans="2:62" s="4" customFormat="1" x14ac:dyDescent="0.15">
      <c r="B54" s="40"/>
      <c r="C54" s="141"/>
      <c r="D54" s="22"/>
      <c r="E54" s="110"/>
      <c r="F54" s="110"/>
      <c r="G54" s="110"/>
      <c r="H54" s="44" t="str">
        <f t="shared" si="43"/>
        <v/>
      </c>
      <c r="I54" s="111" t="str">
        <f t="shared" si="10"/>
        <v/>
      </c>
      <c r="J54" s="111" t="str">
        <f t="shared" si="44"/>
        <v/>
      </c>
      <c r="K54" s="111" t="str">
        <f t="shared" si="11"/>
        <v/>
      </c>
      <c r="L54" s="44" t="str">
        <f t="shared" si="12"/>
        <v/>
      </c>
      <c r="M54" s="111" t="str">
        <f t="shared" si="13"/>
        <v/>
      </c>
      <c r="N54" s="44" t="str">
        <f t="shared" si="14"/>
        <v/>
      </c>
      <c r="O54" s="44" t="str">
        <f t="shared" si="45"/>
        <v/>
      </c>
      <c r="P54" s="111" t="str">
        <f t="shared" si="15"/>
        <v/>
      </c>
      <c r="Q54" s="44" t="str">
        <f t="shared" si="16"/>
        <v/>
      </c>
      <c r="R54" s="157" t="str">
        <f t="shared" si="46"/>
        <v/>
      </c>
      <c r="S54" s="44" t="str">
        <f t="shared" si="17"/>
        <v/>
      </c>
      <c r="T54" s="140" t="str">
        <f t="shared" si="35"/>
        <v/>
      </c>
      <c r="U54" s="140" t="str">
        <f t="shared" si="47"/>
        <v/>
      </c>
      <c r="V54" s="24"/>
      <c r="W54" s="24"/>
      <c r="X54" s="24"/>
      <c r="Y54" s="24"/>
      <c r="Z54" s="24"/>
      <c r="AA54" s="24">
        <f t="shared" si="48"/>
        <v>0</v>
      </c>
      <c r="AB54" s="24"/>
      <c r="AC54" s="24" t="str">
        <f t="shared" si="27"/>
        <v/>
      </c>
      <c r="AD54" s="24" t="str">
        <f t="shared" si="49"/>
        <v/>
      </c>
      <c r="AE54" s="24">
        <f t="shared" si="50"/>
        <v>0</v>
      </c>
      <c r="AG54" s="24" t="e">
        <f t="shared" si="38"/>
        <v>#VALUE!</v>
      </c>
      <c r="AH54" s="24" t="e">
        <f t="shared" si="39"/>
        <v>#VALUE!</v>
      </c>
      <c r="AI54" s="24" t="e">
        <f t="shared" si="36"/>
        <v>#VALUE!</v>
      </c>
      <c r="AJ54" s="24" t="e">
        <f t="shared" si="37"/>
        <v>#VALUE!</v>
      </c>
      <c r="AL54" s="24"/>
      <c r="AM54" s="24" t="e">
        <f t="shared" si="33"/>
        <v>#VALUE!</v>
      </c>
      <c r="AN54" s="31"/>
      <c r="AO54" s="34">
        <f t="shared" si="51"/>
        <v>0</v>
      </c>
      <c r="AP54" s="24">
        <f t="shared" si="52"/>
        <v>0</v>
      </c>
      <c r="AQ54" s="24"/>
      <c r="AR54" s="112"/>
      <c r="AS54" s="112"/>
      <c r="AT54" s="59">
        <f t="shared" si="53"/>
        <v>9.0359999999999996</v>
      </c>
      <c r="AU54" s="59">
        <f t="shared" si="54"/>
        <v>-184.49199999999999</v>
      </c>
      <c r="AV54" s="59"/>
      <c r="AW54"/>
      <c r="AX54">
        <f>IF($E$4="M",IF(BA54&lt;78,BMILMS!$D$5*BA54^3+BMILMS!$E$5*BA54^2+BMILMS!$F$5*BA54+BMILMS!$G$5,IF(BA54&lt;150,BMILMS!$D$6*BA54^3+BMILMS!$E$6*BA54^2+BMILMS!$F$6*BA54+BMILMS!$G$6,BMILMS!$D$7*BA54^3+BMILMS!$E$7*BA54^2+BMILMS!$F$7*BA54+BMILMS!$G$7)),IF(BA54&lt;69,BMILMS!$D$9*BA54^3+BMILMS!$E$9*BA54^2+BMILMS!$F$9*BA54+BMILMS!$G$9,IF(BA54&lt;150,BMILMS!$D$10*BA54^3+BMILMS!$E$10*BA54^2+BMILMS!$F$10*BA54+BMILMS!$G$10,BMILMS!$D$11*BA54^3+BMILMS!$E$11*BA54^2+BMILMS!$F$11*BA54+BMILMS!$G$11)))</f>
        <v>0.79584630099999998</v>
      </c>
      <c r="AY54">
        <f>IF($E$4="M",(IF(BA54&lt;2.5,BMILMS!$D$21*BA54^3+BMILMS!$E$21*BA54^2+BMILMS!$F$21*BA54+BMILMS!$G$21,IF(BA54&lt;9.5,BMILMS!$D$22*BA54^3+BMILMS!$E$22*BA54^2+BMILMS!$F$22*BA54+BMILMS!$G$22,IF(BA54&lt;26.75,BMILMS!$D$23*BA54^3+BMILMS!$E$23*BA54^2+BMILMS!$F$23*BA54+BMILMS!$G$23,IF(BA54&lt;90,BMILMS!$D$24*BA54^3+BMILMS!$E$24*BA54^2+BMILMS!$F$24*BA54+BMILMS!$G$24,BMILMS!$D$25*BA54^3+BMILMS!$E$25*BA54^2+BMILMS!$F$25*BA54+BMILMS!$G$25))))),(IF(BA54&lt;2.5,BMILMS!$D$27*BA54^3+BMILMS!$E$27*BA54^2+BMILMS!$F$27*BA54+BMILMS!$G$27,IF(BA54&lt;9.5,BMILMS!$D$28*BA54^3+BMILMS!$E$28*BA54^2+BMILMS!$F$28*BA54+BMILMS!$G$28,IF(BA54&lt;26.75,BMILMS!$D$29*BA54^3+BMILMS!$E$29*BA54^2+BMILMS!$F$29*BA54+BMILMS!$G$29,IF(BA54&lt;90,BMILMS!$D$30*BA54^3+BMILMS!$E$30*BA54^2+BMILMS!$F$30*BA54+BMILMS!$G$30,IF(BA54&lt;150,BMILMS!$D$31*BA54^3+BMILMS!$E$31*BA54^2+BMILMS!$F$31*BA54+BMILMS!$G$31,BMILMS!$D$32*BA54^3+BMILMS!$E$32*BA54^2+BMILMS!$F$32*BA54+BMILMS!$G$32)))))))</f>
        <v>12.568967990000001</v>
      </c>
      <c r="AZ54">
        <f>IF($E$4="M",(IF(BA54&lt;90,BMILMS!$D$14*BA54^3+BMILMS!$E$14*BA54^2+BMILMS!$F$14*BA54+BMILMS!$G$14,BMILMS!$D$15*BA54^3+BMILMS!$E$15*BA54^2+BMILMS!$F$15*BA54+BMILMS!$G$15)),(IF(BA54&lt;90,BMILMS!$D$17*BA54^3+BMILMS!$E$17*BA54^2+BMILMS!$F$17*BA54+BMILMS!$G$17,BMILMS!$D$18*BA54^3+BMILMS!$E$18*BA54^2+BMILMS!$F$18*BA54+BMILMS!$G$18)))</f>
        <v>8.8969350000000003E-2</v>
      </c>
      <c r="BA54" s="24">
        <f t="shared" si="34"/>
        <v>0</v>
      </c>
      <c r="BB54" s="24">
        <f t="shared" si="55"/>
        <v>0</v>
      </c>
      <c r="BD54">
        <f t="shared" si="40"/>
        <v>0.56299999999999994</v>
      </c>
      <c r="BE54">
        <f t="shared" si="41"/>
        <v>69</v>
      </c>
      <c r="BF54">
        <f t="shared" si="42"/>
        <v>0.51</v>
      </c>
      <c r="BH54" s="35">
        <f>IF($E$4="M",WeightSDS!P$5*$BA54^7+WeightSDS!Q$5*$BA54^6+WeightSDS!R$5*$BA54^5+WeightSDS!S$5*$BA54^4+WeightSDS!T$5*$BA54^3+WeightSDS!U$5*$BA54^2+WeightSDS!V$5*$BA54+WeightSDS!W$5,IF($BA54&lt;186,WeightSDS!P$8*$BA54^7+WeightSDS!Q$8*$BA54^6+WeightSDS!R$8*$BA54^5+WeightSDS!S$8*$BA54^4+WeightSDS!T$8*$BA54^3+WeightSDS!U$8*$BA54^2+WeightSDS!V$8*$BA54+WeightSDS!W$8,WeightSDS!$U$9+WeightSDS!$V$9*($BA54-WeightSDS!$W$9)))</f>
        <v>0.75407122999999998</v>
      </c>
      <c r="BI54" s="24">
        <f>IF($E$4="M",IF($BA54&lt;45,WeightSDS!M$23*$BA54^10+WeightSDS!N$23*$BA54^9+WeightSDS!O$23*$BA54^8+WeightSDS!P$23*$BA54^7+WeightSDS!Q$23*$BA54^6+WeightSDS!R$23*$BA54^5+WeightSDS!S$23*$BA54^4+WeightSDS!T$23*$BA54^3+WeightSDS!U$23*$BA54^2+WeightSDS!V$23*$BA54+WeightSDS!W$23,IF($BA54&lt;153,WeightSDS!M$25*$BA54^10+WeightSDS!N$25*$BA54^9+WeightSDS!O$25*$BA54^8+WeightSDS!P$25*$BA54^7+WeightSDS!Q$25*$BA54^6+WeightSDS!R$25*$BA54^5+WeightSDS!S$25*$BA54^4+WeightSDS!T$25*$BA54^3+WeightSDS!U$25*$BA54^2+WeightSDS!V$25*$BA54+WeightSDS!W$25,WeightSDS!M$27+WeightSDS!N$27/(1+EXP(WeightSDS!O$27+WeightSDS!P$27*$BA54)))),IF($BA54&lt;43.8,WeightSDS!M$29*$BA54^10+WeightSDS!N$29*$BA54^9+WeightSDS!O$29*$BA54^8+WeightSDS!P$29*$BA54^7+WeightSDS!Q$29*$BA54^6+WeightSDS!R$29*$BA54^5+WeightSDS!S$29*$BA54^4+WeightSDS!T$29*$BA54^3+WeightSDS!U$29*$BA54^2+WeightSDS!V$29*$BA54+WeightSDS!W$29-0.010431*(1-$BA54/210),IF($BA54&lt;123,WeightSDS!M$30*$BA54^10+WeightSDS!N$30*$BA54^9+WeightSDS!O$30*$BA54^8+WeightSDS!P$30*$BA54^7+WeightSDS!Q$30*$BA54^6+WeightSDS!R$30*$BA54^5+WeightSDS!S$30*$BA54^4+WeightSDS!T$30*$BA54^3+WeightSDS!U$30*$BA54^2+WeightSDS!V$30*$BA54+WeightSDS!W$30-0.010431*(1-1/$BA54),WeightSDS!M$32+WeightSDS!N$32/(1+EXP(WeightSDS!O$32+WeightSDS!P$32*$BA54))-0.010431*(1-$BA54/210))))</f>
        <v>2.9500001032655536</v>
      </c>
      <c r="BJ54" s="24">
        <f>IF($E$4="M",IF($BA54&lt;162,WeightSDS!P$12*$BA54^7+WeightSDS!Q$12*$BA54^6+WeightSDS!R$12*$BA54^5+WeightSDS!S$12*$BA54^4+WeightSDS!T$12*$BA54^3+WeightSDS!U$12*$BA54^2+WeightSDS!V$12*$BA54+WeightSDS!W$12,WeightSDS!P$14*$BA54^7+WeightSDS!Q$14*$BA54^6+WeightSDS!R$14*$BA54^5+WeightSDS!S$14*$BA54^4+WeightSDS!T$14*$BA54^3+WeightSDS!U$14*$BA54^2+WeightSDS!V$14*$BA54+WeightSDS!W$14),IF($BA54&lt;156,WeightSDS!O$17*$BA54^8+WeightSDS!P$17*$BA54^7+WeightSDS!Q$17*$BA54^6+WeightSDS!R$17*$BA54^5+WeightSDS!S$17*$BA54^4+WeightSDS!T$17*$BA54^3+WeightSDS!U$17*$BA54^2+WeightSDS!V$17*$BA54+WeightSDS!W$17,IF($BA54&lt;186,WeightSDS!$U$18+(WeightSDS!$V$18-WeightSDS!$U$18)/24*($BA54-186)+WeightSDS!$W$18*(-$BA54+186)^2-0.005,WeightSDS!$U$18+(WeightSDS!$V$18-WeightSDS!$U$18)/24*($BA54-186)-0.005)))</f>
        <v>0.14604529399999999</v>
      </c>
    </row>
    <row r="55" spans="2:62" s="4" customFormat="1" x14ac:dyDescent="0.15">
      <c r="B55" s="40"/>
      <c r="C55" s="141"/>
      <c r="D55" s="22"/>
      <c r="E55" s="110"/>
      <c r="F55" s="110"/>
      <c r="G55" s="110"/>
      <c r="H55" s="44" t="str">
        <f t="shared" si="43"/>
        <v/>
      </c>
      <c r="I55" s="111" t="str">
        <f t="shared" si="10"/>
        <v/>
      </c>
      <c r="J55" s="111" t="str">
        <f t="shared" si="44"/>
        <v/>
      </c>
      <c r="K55" s="111" t="str">
        <f t="shared" si="11"/>
        <v/>
      </c>
      <c r="L55" s="44" t="str">
        <f t="shared" si="12"/>
        <v/>
      </c>
      <c r="M55" s="111" t="str">
        <f t="shared" si="13"/>
        <v/>
      </c>
      <c r="N55" s="44" t="str">
        <f t="shared" si="14"/>
        <v/>
      </c>
      <c r="O55" s="44" t="str">
        <f t="shared" si="45"/>
        <v/>
      </c>
      <c r="P55" s="111" t="str">
        <f t="shared" si="15"/>
        <v/>
      </c>
      <c r="Q55" s="44" t="str">
        <f t="shared" si="16"/>
        <v/>
      </c>
      <c r="R55" s="157" t="str">
        <f t="shared" si="46"/>
        <v/>
      </c>
      <c r="S55" s="44" t="str">
        <f t="shared" si="17"/>
        <v/>
      </c>
      <c r="T55" s="140" t="str">
        <f t="shared" si="35"/>
        <v/>
      </c>
      <c r="U55" s="140" t="str">
        <f t="shared" si="47"/>
        <v/>
      </c>
      <c r="V55" s="24"/>
      <c r="W55" s="24"/>
      <c r="X55" s="24"/>
      <c r="Y55" s="24"/>
      <c r="Z55" s="24"/>
      <c r="AA55" s="24">
        <f t="shared" si="48"/>
        <v>0</v>
      </c>
      <c r="AB55" s="24"/>
      <c r="AC55" s="24" t="str">
        <f t="shared" si="27"/>
        <v/>
      </c>
      <c r="AD55" s="24" t="str">
        <f t="shared" si="49"/>
        <v/>
      </c>
      <c r="AE55" s="24">
        <f t="shared" si="50"/>
        <v>0</v>
      </c>
      <c r="AG55" s="24" t="e">
        <f t="shared" si="38"/>
        <v>#VALUE!</v>
      </c>
      <c r="AH55" s="24" t="e">
        <f t="shared" si="39"/>
        <v>#VALUE!</v>
      </c>
      <c r="AI55" s="24" t="e">
        <f t="shared" si="36"/>
        <v>#VALUE!</v>
      </c>
      <c r="AJ55" s="24" t="e">
        <f t="shared" si="37"/>
        <v>#VALUE!</v>
      </c>
      <c r="AL55" s="24"/>
      <c r="AM55" s="24" t="e">
        <f t="shared" si="33"/>
        <v>#VALUE!</v>
      </c>
      <c r="AN55" s="31"/>
      <c r="AO55" s="34">
        <f t="shared" si="51"/>
        <v>0</v>
      </c>
      <c r="AP55" s="24">
        <f t="shared" si="52"/>
        <v>0</v>
      </c>
      <c r="AQ55" s="24"/>
      <c r="AR55" s="112"/>
      <c r="AS55" s="112"/>
      <c r="AT55" s="59">
        <f t="shared" si="53"/>
        <v>9.0359999999999996</v>
      </c>
      <c r="AU55" s="59">
        <f t="shared" si="54"/>
        <v>-184.49199999999999</v>
      </c>
      <c r="AV55" s="59"/>
      <c r="AW55"/>
      <c r="AX55">
        <f>IF($E$4="M",IF(BA55&lt;78,BMILMS!$D$5*BA55^3+BMILMS!$E$5*BA55^2+BMILMS!$F$5*BA55+BMILMS!$G$5,IF(BA55&lt;150,BMILMS!$D$6*BA55^3+BMILMS!$E$6*BA55^2+BMILMS!$F$6*BA55+BMILMS!$G$6,BMILMS!$D$7*BA55^3+BMILMS!$E$7*BA55^2+BMILMS!$F$7*BA55+BMILMS!$G$7)),IF(BA55&lt;69,BMILMS!$D$9*BA55^3+BMILMS!$E$9*BA55^2+BMILMS!$F$9*BA55+BMILMS!$G$9,IF(BA55&lt;150,BMILMS!$D$10*BA55^3+BMILMS!$E$10*BA55^2+BMILMS!$F$10*BA55+BMILMS!$G$10,BMILMS!$D$11*BA55^3+BMILMS!$E$11*BA55^2+BMILMS!$F$11*BA55+BMILMS!$G$11)))</f>
        <v>0.79584630099999998</v>
      </c>
      <c r="AY55">
        <f>IF($E$4="M",(IF(BA55&lt;2.5,BMILMS!$D$21*BA55^3+BMILMS!$E$21*BA55^2+BMILMS!$F$21*BA55+BMILMS!$G$21,IF(BA55&lt;9.5,BMILMS!$D$22*BA55^3+BMILMS!$E$22*BA55^2+BMILMS!$F$22*BA55+BMILMS!$G$22,IF(BA55&lt;26.75,BMILMS!$D$23*BA55^3+BMILMS!$E$23*BA55^2+BMILMS!$F$23*BA55+BMILMS!$G$23,IF(BA55&lt;90,BMILMS!$D$24*BA55^3+BMILMS!$E$24*BA55^2+BMILMS!$F$24*BA55+BMILMS!$G$24,BMILMS!$D$25*BA55^3+BMILMS!$E$25*BA55^2+BMILMS!$F$25*BA55+BMILMS!$G$25))))),(IF(BA55&lt;2.5,BMILMS!$D$27*BA55^3+BMILMS!$E$27*BA55^2+BMILMS!$F$27*BA55+BMILMS!$G$27,IF(BA55&lt;9.5,BMILMS!$D$28*BA55^3+BMILMS!$E$28*BA55^2+BMILMS!$F$28*BA55+BMILMS!$G$28,IF(BA55&lt;26.75,BMILMS!$D$29*BA55^3+BMILMS!$E$29*BA55^2+BMILMS!$F$29*BA55+BMILMS!$G$29,IF(BA55&lt;90,BMILMS!$D$30*BA55^3+BMILMS!$E$30*BA55^2+BMILMS!$F$30*BA55+BMILMS!$G$30,IF(BA55&lt;150,BMILMS!$D$31*BA55^3+BMILMS!$E$31*BA55^2+BMILMS!$F$31*BA55+BMILMS!$G$31,BMILMS!$D$32*BA55^3+BMILMS!$E$32*BA55^2+BMILMS!$F$32*BA55+BMILMS!$G$32)))))))</f>
        <v>12.568967990000001</v>
      </c>
      <c r="AZ55">
        <f>IF($E$4="M",(IF(BA55&lt;90,BMILMS!$D$14*BA55^3+BMILMS!$E$14*BA55^2+BMILMS!$F$14*BA55+BMILMS!$G$14,BMILMS!$D$15*BA55^3+BMILMS!$E$15*BA55^2+BMILMS!$F$15*BA55+BMILMS!$G$15)),(IF(BA55&lt;90,BMILMS!$D$17*BA55^3+BMILMS!$E$17*BA55^2+BMILMS!$F$17*BA55+BMILMS!$G$17,BMILMS!$D$18*BA55^3+BMILMS!$E$18*BA55^2+BMILMS!$F$18*BA55+BMILMS!$G$18)))</f>
        <v>8.8969350000000003E-2</v>
      </c>
      <c r="BA55" s="24">
        <f t="shared" si="34"/>
        <v>0</v>
      </c>
      <c r="BB55" s="24">
        <f t="shared" si="55"/>
        <v>0</v>
      </c>
      <c r="BD55">
        <f t="shared" si="40"/>
        <v>0.56299999999999994</v>
      </c>
      <c r="BE55">
        <f t="shared" si="41"/>
        <v>69</v>
      </c>
      <c r="BF55">
        <f t="shared" si="42"/>
        <v>0.51</v>
      </c>
      <c r="BH55" s="35">
        <f>IF($E$4="M",WeightSDS!P$5*$BA55^7+WeightSDS!Q$5*$BA55^6+WeightSDS!R$5*$BA55^5+WeightSDS!S$5*$BA55^4+WeightSDS!T$5*$BA55^3+WeightSDS!U$5*$BA55^2+WeightSDS!V$5*$BA55+WeightSDS!W$5,IF($BA55&lt;186,WeightSDS!P$8*$BA55^7+WeightSDS!Q$8*$BA55^6+WeightSDS!R$8*$BA55^5+WeightSDS!S$8*$BA55^4+WeightSDS!T$8*$BA55^3+WeightSDS!U$8*$BA55^2+WeightSDS!V$8*$BA55+WeightSDS!W$8,WeightSDS!$U$9+WeightSDS!$V$9*($BA55-WeightSDS!$W$9)))</f>
        <v>0.75407122999999998</v>
      </c>
      <c r="BI55" s="24">
        <f>IF($E$4="M",IF($BA55&lt;45,WeightSDS!M$23*$BA55^10+WeightSDS!N$23*$BA55^9+WeightSDS!O$23*$BA55^8+WeightSDS!P$23*$BA55^7+WeightSDS!Q$23*$BA55^6+WeightSDS!R$23*$BA55^5+WeightSDS!S$23*$BA55^4+WeightSDS!T$23*$BA55^3+WeightSDS!U$23*$BA55^2+WeightSDS!V$23*$BA55+WeightSDS!W$23,IF($BA55&lt;153,WeightSDS!M$25*$BA55^10+WeightSDS!N$25*$BA55^9+WeightSDS!O$25*$BA55^8+WeightSDS!P$25*$BA55^7+WeightSDS!Q$25*$BA55^6+WeightSDS!R$25*$BA55^5+WeightSDS!S$25*$BA55^4+WeightSDS!T$25*$BA55^3+WeightSDS!U$25*$BA55^2+WeightSDS!V$25*$BA55+WeightSDS!W$25,WeightSDS!M$27+WeightSDS!N$27/(1+EXP(WeightSDS!O$27+WeightSDS!P$27*$BA55)))),IF($BA55&lt;43.8,WeightSDS!M$29*$BA55^10+WeightSDS!N$29*$BA55^9+WeightSDS!O$29*$BA55^8+WeightSDS!P$29*$BA55^7+WeightSDS!Q$29*$BA55^6+WeightSDS!R$29*$BA55^5+WeightSDS!S$29*$BA55^4+WeightSDS!T$29*$BA55^3+WeightSDS!U$29*$BA55^2+WeightSDS!V$29*$BA55+WeightSDS!W$29-0.010431*(1-$BA55/210),IF($BA55&lt;123,WeightSDS!M$30*$BA55^10+WeightSDS!N$30*$BA55^9+WeightSDS!O$30*$BA55^8+WeightSDS!P$30*$BA55^7+WeightSDS!Q$30*$BA55^6+WeightSDS!R$30*$BA55^5+WeightSDS!S$30*$BA55^4+WeightSDS!T$30*$BA55^3+WeightSDS!U$30*$BA55^2+WeightSDS!V$30*$BA55+WeightSDS!W$30-0.010431*(1-1/$BA55),WeightSDS!M$32+WeightSDS!N$32/(1+EXP(WeightSDS!O$32+WeightSDS!P$32*$BA55))-0.010431*(1-$BA55/210))))</f>
        <v>2.9500001032655536</v>
      </c>
      <c r="BJ55" s="24">
        <f>IF($E$4="M",IF($BA55&lt;162,WeightSDS!P$12*$BA55^7+WeightSDS!Q$12*$BA55^6+WeightSDS!R$12*$BA55^5+WeightSDS!S$12*$BA55^4+WeightSDS!T$12*$BA55^3+WeightSDS!U$12*$BA55^2+WeightSDS!V$12*$BA55+WeightSDS!W$12,WeightSDS!P$14*$BA55^7+WeightSDS!Q$14*$BA55^6+WeightSDS!R$14*$BA55^5+WeightSDS!S$14*$BA55^4+WeightSDS!T$14*$BA55^3+WeightSDS!U$14*$BA55^2+WeightSDS!V$14*$BA55+WeightSDS!W$14),IF($BA55&lt;156,WeightSDS!O$17*$BA55^8+WeightSDS!P$17*$BA55^7+WeightSDS!Q$17*$BA55^6+WeightSDS!R$17*$BA55^5+WeightSDS!S$17*$BA55^4+WeightSDS!T$17*$BA55^3+WeightSDS!U$17*$BA55^2+WeightSDS!V$17*$BA55+WeightSDS!W$17,IF($BA55&lt;186,WeightSDS!$U$18+(WeightSDS!$V$18-WeightSDS!$U$18)/24*($BA55-186)+WeightSDS!$W$18*(-$BA55+186)^2-0.005,WeightSDS!$U$18+(WeightSDS!$V$18-WeightSDS!$U$18)/24*($BA55-186)-0.005)))</f>
        <v>0.14604529399999999</v>
      </c>
    </row>
    <row r="56" spans="2:62" s="4" customFormat="1" x14ac:dyDescent="0.15">
      <c r="B56" s="40"/>
      <c r="C56" s="141"/>
      <c r="D56" s="22"/>
      <c r="E56" s="110"/>
      <c r="F56" s="110"/>
      <c r="G56" s="110"/>
      <c r="H56" s="44" t="str">
        <f t="shared" si="43"/>
        <v/>
      </c>
      <c r="I56" s="111" t="str">
        <f t="shared" si="10"/>
        <v/>
      </c>
      <c r="J56" s="111" t="str">
        <f t="shared" si="44"/>
        <v/>
      </c>
      <c r="K56" s="111" t="str">
        <f t="shared" si="11"/>
        <v/>
      </c>
      <c r="L56" s="44" t="str">
        <f t="shared" si="12"/>
        <v/>
      </c>
      <c r="M56" s="111" t="str">
        <f t="shared" si="13"/>
        <v/>
      </c>
      <c r="N56" s="44" t="str">
        <f t="shared" si="14"/>
        <v/>
      </c>
      <c r="O56" s="44" t="str">
        <f t="shared" si="45"/>
        <v/>
      </c>
      <c r="P56" s="111" t="str">
        <f t="shared" si="15"/>
        <v/>
      </c>
      <c r="Q56" s="44" t="str">
        <f t="shared" si="16"/>
        <v/>
      </c>
      <c r="R56" s="157" t="str">
        <f t="shared" si="46"/>
        <v/>
      </c>
      <c r="S56" s="44" t="str">
        <f t="shared" si="17"/>
        <v/>
      </c>
      <c r="T56" s="140" t="str">
        <f t="shared" si="35"/>
        <v/>
      </c>
      <c r="U56" s="140" t="str">
        <f t="shared" si="47"/>
        <v/>
      </c>
      <c r="V56" s="24"/>
      <c r="W56" s="24"/>
      <c r="X56" s="24"/>
      <c r="Y56" s="24"/>
      <c r="Z56" s="24"/>
      <c r="AA56" s="24">
        <f t="shared" si="48"/>
        <v>0</v>
      </c>
      <c r="AB56" s="24"/>
      <c r="AC56" s="24" t="str">
        <f t="shared" si="27"/>
        <v/>
      </c>
      <c r="AD56" s="24" t="str">
        <f t="shared" si="49"/>
        <v/>
      </c>
      <c r="AE56" s="24">
        <f t="shared" si="50"/>
        <v>0</v>
      </c>
      <c r="AG56" s="24" t="e">
        <f t="shared" si="38"/>
        <v>#VALUE!</v>
      </c>
      <c r="AH56" s="24" t="e">
        <f t="shared" si="39"/>
        <v>#VALUE!</v>
      </c>
      <c r="AI56" s="24" t="e">
        <f t="shared" si="36"/>
        <v>#VALUE!</v>
      </c>
      <c r="AJ56" s="24" t="e">
        <f t="shared" si="37"/>
        <v>#VALUE!</v>
      </c>
      <c r="AL56" s="24"/>
      <c r="AM56" s="24" t="e">
        <f t="shared" si="33"/>
        <v>#VALUE!</v>
      </c>
      <c r="AN56" s="31"/>
      <c r="AO56" s="34">
        <f t="shared" si="51"/>
        <v>0</v>
      </c>
      <c r="AP56" s="24">
        <f t="shared" si="52"/>
        <v>0</v>
      </c>
      <c r="AQ56" s="24"/>
      <c r="AR56" s="112"/>
      <c r="AS56" s="112"/>
      <c r="AT56" s="59">
        <f t="shared" si="53"/>
        <v>9.0359999999999996</v>
      </c>
      <c r="AU56" s="59">
        <f t="shared" si="54"/>
        <v>-184.49199999999999</v>
      </c>
      <c r="AV56" s="59"/>
      <c r="AW56"/>
      <c r="AX56">
        <f>IF($E$4="M",IF(BA56&lt;78,BMILMS!$D$5*BA56^3+BMILMS!$E$5*BA56^2+BMILMS!$F$5*BA56+BMILMS!$G$5,IF(BA56&lt;150,BMILMS!$D$6*BA56^3+BMILMS!$E$6*BA56^2+BMILMS!$F$6*BA56+BMILMS!$G$6,BMILMS!$D$7*BA56^3+BMILMS!$E$7*BA56^2+BMILMS!$F$7*BA56+BMILMS!$G$7)),IF(BA56&lt;69,BMILMS!$D$9*BA56^3+BMILMS!$E$9*BA56^2+BMILMS!$F$9*BA56+BMILMS!$G$9,IF(BA56&lt;150,BMILMS!$D$10*BA56^3+BMILMS!$E$10*BA56^2+BMILMS!$F$10*BA56+BMILMS!$G$10,BMILMS!$D$11*BA56^3+BMILMS!$E$11*BA56^2+BMILMS!$F$11*BA56+BMILMS!$G$11)))</f>
        <v>0.79584630099999998</v>
      </c>
      <c r="AY56">
        <f>IF($E$4="M",(IF(BA56&lt;2.5,BMILMS!$D$21*BA56^3+BMILMS!$E$21*BA56^2+BMILMS!$F$21*BA56+BMILMS!$G$21,IF(BA56&lt;9.5,BMILMS!$D$22*BA56^3+BMILMS!$E$22*BA56^2+BMILMS!$F$22*BA56+BMILMS!$G$22,IF(BA56&lt;26.75,BMILMS!$D$23*BA56^3+BMILMS!$E$23*BA56^2+BMILMS!$F$23*BA56+BMILMS!$G$23,IF(BA56&lt;90,BMILMS!$D$24*BA56^3+BMILMS!$E$24*BA56^2+BMILMS!$F$24*BA56+BMILMS!$G$24,BMILMS!$D$25*BA56^3+BMILMS!$E$25*BA56^2+BMILMS!$F$25*BA56+BMILMS!$G$25))))),(IF(BA56&lt;2.5,BMILMS!$D$27*BA56^3+BMILMS!$E$27*BA56^2+BMILMS!$F$27*BA56+BMILMS!$G$27,IF(BA56&lt;9.5,BMILMS!$D$28*BA56^3+BMILMS!$E$28*BA56^2+BMILMS!$F$28*BA56+BMILMS!$G$28,IF(BA56&lt;26.75,BMILMS!$D$29*BA56^3+BMILMS!$E$29*BA56^2+BMILMS!$F$29*BA56+BMILMS!$G$29,IF(BA56&lt;90,BMILMS!$D$30*BA56^3+BMILMS!$E$30*BA56^2+BMILMS!$F$30*BA56+BMILMS!$G$30,IF(BA56&lt;150,BMILMS!$D$31*BA56^3+BMILMS!$E$31*BA56^2+BMILMS!$F$31*BA56+BMILMS!$G$31,BMILMS!$D$32*BA56^3+BMILMS!$E$32*BA56^2+BMILMS!$F$32*BA56+BMILMS!$G$32)))))))</f>
        <v>12.568967990000001</v>
      </c>
      <c r="AZ56">
        <f>IF($E$4="M",(IF(BA56&lt;90,BMILMS!$D$14*BA56^3+BMILMS!$E$14*BA56^2+BMILMS!$F$14*BA56+BMILMS!$G$14,BMILMS!$D$15*BA56^3+BMILMS!$E$15*BA56^2+BMILMS!$F$15*BA56+BMILMS!$G$15)),(IF(BA56&lt;90,BMILMS!$D$17*BA56^3+BMILMS!$E$17*BA56^2+BMILMS!$F$17*BA56+BMILMS!$G$17,BMILMS!$D$18*BA56^3+BMILMS!$E$18*BA56^2+BMILMS!$F$18*BA56+BMILMS!$G$18)))</f>
        <v>8.8969350000000003E-2</v>
      </c>
      <c r="BA56" s="24">
        <f t="shared" si="34"/>
        <v>0</v>
      </c>
      <c r="BB56" s="24">
        <f t="shared" si="55"/>
        <v>0</v>
      </c>
      <c r="BD56">
        <f t="shared" si="40"/>
        <v>0.56299999999999994</v>
      </c>
      <c r="BE56">
        <f t="shared" si="41"/>
        <v>69</v>
      </c>
      <c r="BF56">
        <f t="shared" si="42"/>
        <v>0.51</v>
      </c>
      <c r="BH56" s="35">
        <f>IF($E$4="M",WeightSDS!P$5*$BA56^7+WeightSDS!Q$5*$BA56^6+WeightSDS!R$5*$BA56^5+WeightSDS!S$5*$BA56^4+WeightSDS!T$5*$BA56^3+WeightSDS!U$5*$BA56^2+WeightSDS!V$5*$BA56+WeightSDS!W$5,IF($BA56&lt;186,WeightSDS!P$8*$BA56^7+WeightSDS!Q$8*$BA56^6+WeightSDS!R$8*$BA56^5+WeightSDS!S$8*$BA56^4+WeightSDS!T$8*$BA56^3+WeightSDS!U$8*$BA56^2+WeightSDS!V$8*$BA56+WeightSDS!W$8,WeightSDS!$U$9+WeightSDS!$V$9*($BA56-WeightSDS!$W$9)))</f>
        <v>0.75407122999999998</v>
      </c>
      <c r="BI56" s="24">
        <f>IF($E$4="M",IF($BA56&lt;45,WeightSDS!M$23*$BA56^10+WeightSDS!N$23*$BA56^9+WeightSDS!O$23*$BA56^8+WeightSDS!P$23*$BA56^7+WeightSDS!Q$23*$BA56^6+WeightSDS!R$23*$BA56^5+WeightSDS!S$23*$BA56^4+WeightSDS!T$23*$BA56^3+WeightSDS!U$23*$BA56^2+WeightSDS!V$23*$BA56+WeightSDS!W$23,IF($BA56&lt;153,WeightSDS!M$25*$BA56^10+WeightSDS!N$25*$BA56^9+WeightSDS!O$25*$BA56^8+WeightSDS!P$25*$BA56^7+WeightSDS!Q$25*$BA56^6+WeightSDS!R$25*$BA56^5+WeightSDS!S$25*$BA56^4+WeightSDS!T$25*$BA56^3+WeightSDS!U$25*$BA56^2+WeightSDS!V$25*$BA56+WeightSDS!W$25,WeightSDS!M$27+WeightSDS!N$27/(1+EXP(WeightSDS!O$27+WeightSDS!P$27*$BA56)))),IF($BA56&lt;43.8,WeightSDS!M$29*$BA56^10+WeightSDS!N$29*$BA56^9+WeightSDS!O$29*$BA56^8+WeightSDS!P$29*$BA56^7+WeightSDS!Q$29*$BA56^6+WeightSDS!R$29*$BA56^5+WeightSDS!S$29*$BA56^4+WeightSDS!T$29*$BA56^3+WeightSDS!U$29*$BA56^2+WeightSDS!V$29*$BA56+WeightSDS!W$29-0.010431*(1-$BA56/210),IF($BA56&lt;123,WeightSDS!M$30*$BA56^10+WeightSDS!N$30*$BA56^9+WeightSDS!O$30*$BA56^8+WeightSDS!P$30*$BA56^7+WeightSDS!Q$30*$BA56^6+WeightSDS!R$30*$BA56^5+WeightSDS!S$30*$BA56^4+WeightSDS!T$30*$BA56^3+WeightSDS!U$30*$BA56^2+WeightSDS!V$30*$BA56+WeightSDS!W$30-0.010431*(1-1/$BA56),WeightSDS!M$32+WeightSDS!N$32/(1+EXP(WeightSDS!O$32+WeightSDS!P$32*$BA56))-0.010431*(1-$BA56/210))))</f>
        <v>2.9500001032655536</v>
      </c>
      <c r="BJ56" s="24">
        <f>IF($E$4="M",IF($BA56&lt;162,WeightSDS!P$12*$BA56^7+WeightSDS!Q$12*$BA56^6+WeightSDS!R$12*$BA56^5+WeightSDS!S$12*$BA56^4+WeightSDS!T$12*$BA56^3+WeightSDS!U$12*$BA56^2+WeightSDS!V$12*$BA56+WeightSDS!W$12,WeightSDS!P$14*$BA56^7+WeightSDS!Q$14*$BA56^6+WeightSDS!R$14*$BA56^5+WeightSDS!S$14*$BA56^4+WeightSDS!T$14*$BA56^3+WeightSDS!U$14*$BA56^2+WeightSDS!V$14*$BA56+WeightSDS!W$14),IF($BA56&lt;156,WeightSDS!O$17*$BA56^8+WeightSDS!P$17*$BA56^7+WeightSDS!Q$17*$BA56^6+WeightSDS!R$17*$BA56^5+WeightSDS!S$17*$BA56^4+WeightSDS!T$17*$BA56^3+WeightSDS!U$17*$BA56^2+WeightSDS!V$17*$BA56+WeightSDS!W$17,IF($BA56&lt;186,WeightSDS!$U$18+(WeightSDS!$V$18-WeightSDS!$U$18)/24*($BA56-186)+WeightSDS!$W$18*(-$BA56+186)^2-0.005,WeightSDS!$U$18+(WeightSDS!$V$18-WeightSDS!$U$18)/24*($BA56-186)-0.005)))</f>
        <v>0.14604529399999999</v>
      </c>
    </row>
    <row r="57" spans="2:62" s="4" customFormat="1" ht="14.25" thickBot="1" x14ac:dyDescent="0.2">
      <c r="B57" s="40"/>
      <c r="C57" s="142"/>
      <c r="D57" s="22"/>
      <c r="E57" s="110"/>
      <c r="F57" s="110"/>
      <c r="G57" s="110"/>
      <c r="H57" s="44" t="str">
        <f t="shared" si="43"/>
        <v/>
      </c>
      <c r="I57" s="111" t="str">
        <f t="shared" si="10"/>
        <v/>
      </c>
      <c r="J57" s="111" t="str">
        <f t="shared" si="44"/>
        <v/>
      </c>
      <c r="K57" s="111" t="str">
        <f t="shared" si="11"/>
        <v/>
      </c>
      <c r="L57" s="44" t="str">
        <f t="shared" si="12"/>
        <v/>
      </c>
      <c r="M57" s="111" t="str">
        <f t="shared" si="13"/>
        <v/>
      </c>
      <c r="N57" s="44" t="str">
        <f t="shared" si="14"/>
        <v/>
      </c>
      <c r="O57" s="44" t="str">
        <f t="shared" si="45"/>
        <v/>
      </c>
      <c r="P57" s="111" t="str">
        <f t="shared" si="15"/>
        <v/>
      </c>
      <c r="Q57" s="44" t="str">
        <f t="shared" si="16"/>
        <v/>
      </c>
      <c r="R57" s="157" t="str">
        <f t="shared" si="46"/>
        <v/>
      </c>
      <c r="S57" s="44" t="str">
        <f t="shared" si="17"/>
        <v/>
      </c>
      <c r="T57" s="140" t="str">
        <f t="shared" si="35"/>
        <v/>
      </c>
      <c r="U57" s="140" t="str">
        <f t="shared" si="47"/>
        <v/>
      </c>
      <c r="V57" s="24"/>
      <c r="W57" s="24"/>
      <c r="X57" s="24"/>
      <c r="Y57" s="24"/>
      <c r="Z57" s="24"/>
      <c r="AA57" s="24">
        <f t="shared" si="48"/>
        <v>0</v>
      </c>
      <c r="AB57" s="24"/>
      <c r="AC57" s="24" t="str">
        <f t="shared" si="27"/>
        <v/>
      </c>
      <c r="AD57" s="24" t="str">
        <f t="shared" si="49"/>
        <v/>
      </c>
      <c r="AE57" s="24">
        <f t="shared" si="50"/>
        <v>0</v>
      </c>
      <c r="AG57" s="24" t="e">
        <f t="shared" si="38"/>
        <v>#VALUE!</v>
      </c>
      <c r="AH57" s="24" t="e">
        <f t="shared" si="39"/>
        <v>#VALUE!</v>
      </c>
      <c r="AI57" s="24" t="e">
        <f t="shared" si="36"/>
        <v>#VALUE!</v>
      </c>
      <c r="AJ57" s="24" t="e">
        <f t="shared" si="37"/>
        <v>#VALUE!</v>
      </c>
      <c r="AL57" s="24"/>
      <c r="AM57" s="24" t="e">
        <f t="shared" si="33"/>
        <v>#VALUE!</v>
      </c>
      <c r="AN57" s="31"/>
      <c r="AO57" s="34">
        <f t="shared" si="51"/>
        <v>0</v>
      </c>
      <c r="AP57" s="24">
        <f t="shared" si="52"/>
        <v>0</v>
      </c>
      <c r="AQ57" s="24"/>
      <c r="AR57" s="112"/>
      <c r="AS57" s="112"/>
      <c r="AT57" s="59">
        <f t="shared" si="53"/>
        <v>9.0359999999999996</v>
      </c>
      <c r="AU57" s="59">
        <f t="shared" si="54"/>
        <v>-184.49199999999999</v>
      </c>
      <c r="AV57" s="59"/>
      <c r="AW57"/>
      <c r="AX57">
        <f>IF($E$4="M",IF(BA57&lt;78,BMILMS!$D$5*BA57^3+BMILMS!$E$5*BA57^2+BMILMS!$F$5*BA57+BMILMS!$G$5,IF(BA57&lt;150,BMILMS!$D$6*BA57^3+BMILMS!$E$6*BA57^2+BMILMS!$F$6*BA57+BMILMS!$G$6,BMILMS!$D$7*BA57^3+BMILMS!$E$7*BA57^2+BMILMS!$F$7*BA57+BMILMS!$G$7)),IF(BA57&lt;69,BMILMS!$D$9*BA57^3+BMILMS!$E$9*BA57^2+BMILMS!$F$9*BA57+BMILMS!$G$9,IF(BA57&lt;150,BMILMS!$D$10*BA57^3+BMILMS!$E$10*BA57^2+BMILMS!$F$10*BA57+BMILMS!$G$10,BMILMS!$D$11*BA57^3+BMILMS!$E$11*BA57^2+BMILMS!$F$11*BA57+BMILMS!$G$11)))</f>
        <v>0.79584630099999998</v>
      </c>
      <c r="AY57">
        <f>IF($E$4="M",(IF(BA57&lt;2.5,BMILMS!$D$21*BA57^3+BMILMS!$E$21*BA57^2+BMILMS!$F$21*BA57+BMILMS!$G$21,IF(BA57&lt;9.5,BMILMS!$D$22*BA57^3+BMILMS!$E$22*BA57^2+BMILMS!$F$22*BA57+BMILMS!$G$22,IF(BA57&lt;26.75,BMILMS!$D$23*BA57^3+BMILMS!$E$23*BA57^2+BMILMS!$F$23*BA57+BMILMS!$G$23,IF(BA57&lt;90,BMILMS!$D$24*BA57^3+BMILMS!$E$24*BA57^2+BMILMS!$F$24*BA57+BMILMS!$G$24,BMILMS!$D$25*BA57^3+BMILMS!$E$25*BA57^2+BMILMS!$F$25*BA57+BMILMS!$G$25))))),(IF(BA57&lt;2.5,BMILMS!$D$27*BA57^3+BMILMS!$E$27*BA57^2+BMILMS!$F$27*BA57+BMILMS!$G$27,IF(BA57&lt;9.5,BMILMS!$D$28*BA57^3+BMILMS!$E$28*BA57^2+BMILMS!$F$28*BA57+BMILMS!$G$28,IF(BA57&lt;26.75,BMILMS!$D$29*BA57^3+BMILMS!$E$29*BA57^2+BMILMS!$F$29*BA57+BMILMS!$G$29,IF(BA57&lt;90,BMILMS!$D$30*BA57^3+BMILMS!$E$30*BA57^2+BMILMS!$F$30*BA57+BMILMS!$G$30,IF(BA57&lt;150,BMILMS!$D$31*BA57^3+BMILMS!$E$31*BA57^2+BMILMS!$F$31*BA57+BMILMS!$G$31,BMILMS!$D$32*BA57^3+BMILMS!$E$32*BA57^2+BMILMS!$F$32*BA57+BMILMS!$G$32)))))))</f>
        <v>12.568967990000001</v>
      </c>
      <c r="AZ57">
        <f>IF($E$4="M",(IF(BA57&lt;90,BMILMS!$D$14*BA57^3+BMILMS!$E$14*BA57^2+BMILMS!$F$14*BA57+BMILMS!$G$14,BMILMS!$D$15*BA57^3+BMILMS!$E$15*BA57^2+BMILMS!$F$15*BA57+BMILMS!$G$15)),(IF(BA57&lt;90,BMILMS!$D$17*BA57^3+BMILMS!$E$17*BA57^2+BMILMS!$F$17*BA57+BMILMS!$G$17,BMILMS!$D$18*BA57^3+BMILMS!$E$18*BA57^2+BMILMS!$F$18*BA57+BMILMS!$G$18)))</f>
        <v>8.8969350000000003E-2</v>
      </c>
      <c r="BA57" s="24">
        <f t="shared" si="34"/>
        <v>0</v>
      </c>
      <c r="BB57" s="24">
        <f t="shared" si="55"/>
        <v>0</v>
      </c>
      <c r="BD57">
        <f t="shared" si="40"/>
        <v>0.56299999999999994</v>
      </c>
      <c r="BE57">
        <f t="shared" si="41"/>
        <v>69</v>
      </c>
      <c r="BF57">
        <f t="shared" si="42"/>
        <v>0.51</v>
      </c>
      <c r="BH57" s="35">
        <f>IF($E$4="M",WeightSDS!P$5*$BA57^7+WeightSDS!Q$5*$BA57^6+WeightSDS!R$5*$BA57^5+WeightSDS!S$5*$BA57^4+WeightSDS!T$5*$BA57^3+WeightSDS!U$5*$BA57^2+WeightSDS!V$5*$BA57+WeightSDS!W$5,IF($BA57&lt;186,WeightSDS!P$8*$BA57^7+WeightSDS!Q$8*$BA57^6+WeightSDS!R$8*$BA57^5+WeightSDS!S$8*$BA57^4+WeightSDS!T$8*$BA57^3+WeightSDS!U$8*$BA57^2+WeightSDS!V$8*$BA57+WeightSDS!W$8,WeightSDS!$U$9+WeightSDS!$V$9*($BA57-WeightSDS!$W$9)))</f>
        <v>0.75407122999999998</v>
      </c>
      <c r="BI57" s="24">
        <f>IF($E$4="M",IF($BA57&lt;45,WeightSDS!M$23*$BA57^10+WeightSDS!N$23*$BA57^9+WeightSDS!O$23*$BA57^8+WeightSDS!P$23*$BA57^7+WeightSDS!Q$23*$BA57^6+WeightSDS!R$23*$BA57^5+WeightSDS!S$23*$BA57^4+WeightSDS!T$23*$BA57^3+WeightSDS!U$23*$BA57^2+WeightSDS!V$23*$BA57+WeightSDS!W$23,IF($BA57&lt;153,WeightSDS!M$25*$BA57^10+WeightSDS!N$25*$BA57^9+WeightSDS!O$25*$BA57^8+WeightSDS!P$25*$BA57^7+WeightSDS!Q$25*$BA57^6+WeightSDS!R$25*$BA57^5+WeightSDS!S$25*$BA57^4+WeightSDS!T$25*$BA57^3+WeightSDS!U$25*$BA57^2+WeightSDS!V$25*$BA57+WeightSDS!W$25,WeightSDS!M$27+WeightSDS!N$27/(1+EXP(WeightSDS!O$27+WeightSDS!P$27*$BA57)))),IF($BA57&lt;43.8,WeightSDS!M$29*$BA57^10+WeightSDS!N$29*$BA57^9+WeightSDS!O$29*$BA57^8+WeightSDS!P$29*$BA57^7+WeightSDS!Q$29*$BA57^6+WeightSDS!R$29*$BA57^5+WeightSDS!S$29*$BA57^4+WeightSDS!T$29*$BA57^3+WeightSDS!U$29*$BA57^2+WeightSDS!V$29*$BA57+WeightSDS!W$29-0.010431*(1-$BA57/210),IF($BA57&lt;123,WeightSDS!M$30*$BA57^10+WeightSDS!N$30*$BA57^9+WeightSDS!O$30*$BA57^8+WeightSDS!P$30*$BA57^7+WeightSDS!Q$30*$BA57^6+WeightSDS!R$30*$BA57^5+WeightSDS!S$30*$BA57^4+WeightSDS!T$30*$BA57^3+WeightSDS!U$30*$BA57^2+WeightSDS!V$30*$BA57+WeightSDS!W$30-0.010431*(1-1/$BA57),WeightSDS!M$32+WeightSDS!N$32/(1+EXP(WeightSDS!O$32+WeightSDS!P$32*$BA57))-0.010431*(1-$BA57/210))))</f>
        <v>2.9500001032655536</v>
      </c>
      <c r="BJ57" s="24">
        <f>IF($E$4="M",IF($BA57&lt;162,WeightSDS!P$12*$BA57^7+WeightSDS!Q$12*$BA57^6+WeightSDS!R$12*$BA57^5+WeightSDS!S$12*$BA57^4+WeightSDS!T$12*$BA57^3+WeightSDS!U$12*$BA57^2+WeightSDS!V$12*$BA57+WeightSDS!W$12,WeightSDS!P$14*$BA57^7+WeightSDS!Q$14*$BA57^6+WeightSDS!R$14*$BA57^5+WeightSDS!S$14*$BA57^4+WeightSDS!T$14*$BA57^3+WeightSDS!U$14*$BA57^2+WeightSDS!V$14*$BA57+WeightSDS!W$14),IF($BA57&lt;156,WeightSDS!O$17*$BA57^8+WeightSDS!P$17*$BA57^7+WeightSDS!Q$17*$BA57^6+WeightSDS!R$17*$BA57^5+WeightSDS!S$17*$BA57^4+WeightSDS!T$17*$BA57^3+WeightSDS!U$17*$BA57^2+WeightSDS!V$17*$BA57+WeightSDS!W$17,IF($BA57&lt;186,WeightSDS!$U$18+(WeightSDS!$V$18-WeightSDS!$U$18)/24*($BA57-186)+WeightSDS!$W$18*(-$BA57+186)^2-0.005,WeightSDS!$U$18+(WeightSDS!$V$18-WeightSDS!$U$18)/24*($BA57-186)-0.005)))</f>
        <v>0.14604529399999999</v>
      </c>
    </row>
  </sheetData>
  <sheetProtection algorithmName="SHA-512" hashValue="UJ2zeWbozOTbSNOVXxolZEwcyLWyvn4LcKxY5+hTZycXJVgad/lFyp98GZYWOJgh2+9l7uN7Udls/GbildAm6w==" saltValue="L6ZTZFuNLeYU3+K7WFT30Q==" spinCount="100000" sheet="1" objects="1" scenarios="1"/>
  <mergeCells count="2">
    <mergeCell ref="J6:K6"/>
    <mergeCell ref="C6:C7"/>
  </mergeCells>
  <phoneticPr fontId="1"/>
  <pageMargins left="0.7" right="0.7" top="0.75" bottom="0.75" header="0.3" footer="0.3"/>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V1002"/>
  <sheetViews>
    <sheetView workbookViewId="0">
      <pane ySplit="2" topLeftCell="A3" activePane="bottomLeft" state="frozen"/>
      <selection activeCell="B1" sqref="B1"/>
      <selection pane="bottomLeft" activeCell="B3" sqref="B3"/>
    </sheetView>
  </sheetViews>
  <sheetFormatPr defaultRowHeight="13.5" x14ac:dyDescent="0.15"/>
  <cols>
    <col min="1" max="1" width="2.875" style="24" customWidth="1"/>
    <col min="2" max="2" width="9.375" style="24" customWidth="1"/>
    <col min="3" max="3" width="12.5" style="24" customWidth="1"/>
    <col min="4" max="4" width="4.75" style="24" customWidth="1"/>
    <col min="5" max="5" width="12.125" style="24" customWidth="1"/>
    <col min="6" max="6" width="13.125" style="24" customWidth="1"/>
    <col min="7" max="8" width="7.875" style="25" customWidth="1"/>
    <col min="9" max="9" width="7" style="25" customWidth="1"/>
    <col min="10" max="10" width="6.625" style="26" customWidth="1"/>
    <col min="11" max="11" width="8.625" style="26" customWidth="1"/>
    <col min="12" max="13" width="8.625" style="24" customWidth="1"/>
    <col min="14" max="19" width="6.625" style="24" customWidth="1"/>
    <col min="20" max="20" width="8.625" style="24" customWidth="1"/>
    <col min="21" max="21" width="10.625" style="24" customWidth="1"/>
    <col min="22" max="25" width="11.5" style="24" customWidth="1"/>
    <col min="26" max="26" width="9" customWidth="1"/>
    <col min="27" max="27" width="3.625" style="167" hidden="1" customWidth="1"/>
    <col min="28" max="28" width="4.25" style="4" hidden="1" customWidth="1"/>
    <col min="29" max="29" width="15" style="4" hidden="1" customWidth="1"/>
    <col min="30" max="32" width="5" style="4" hidden="1" customWidth="1"/>
    <col min="33" max="33" width="8" style="4" hidden="1" customWidth="1"/>
    <col min="34" max="34" width="14.5" style="4" hidden="1" customWidth="1"/>
    <col min="35" max="35" width="10.875" style="4" hidden="1" customWidth="1"/>
    <col min="36" max="40" width="9" style="4" hidden="1" customWidth="1"/>
    <col min="41" max="41" width="9.875" style="4" hidden="1" customWidth="1"/>
    <col min="42" max="45" width="9" style="4" hidden="1" customWidth="1"/>
    <col min="46" max="46" width="9.875" style="4" hidden="1" customWidth="1"/>
    <col min="47" max="48" width="9" style="4" hidden="1" customWidth="1"/>
    <col min="49" max="52" width="0" style="24" hidden="1" customWidth="1"/>
    <col min="53" max="16384" width="9" style="24"/>
  </cols>
  <sheetData>
    <row r="1" spans="1:48" x14ac:dyDescent="0.15">
      <c r="B1" s="4"/>
      <c r="C1" s="4"/>
      <c r="D1" s="4"/>
      <c r="E1" s="4"/>
      <c r="F1" s="4"/>
      <c r="G1" s="59"/>
      <c r="H1" s="59"/>
      <c r="I1" s="59"/>
      <c r="J1" s="61"/>
      <c r="K1" s="62" t="s">
        <v>58</v>
      </c>
      <c r="L1" s="188" t="s">
        <v>57</v>
      </c>
      <c r="M1" s="188"/>
      <c r="N1" s="4"/>
      <c r="O1" s="4"/>
      <c r="P1" s="4"/>
      <c r="Q1" s="4"/>
      <c r="R1" s="4"/>
      <c r="S1" s="4"/>
      <c r="T1" s="4"/>
      <c r="U1" s="4"/>
      <c r="Z1" s="24"/>
      <c r="AJ1" s="4" t="s">
        <v>123</v>
      </c>
      <c r="AO1" s="4" t="s">
        <v>124</v>
      </c>
      <c r="AT1" s="4" t="s">
        <v>270</v>
      </c>
    </row>
    <row r="2" spans="1:48" ht="81" customHeight="1" x14ac:dyDescent="0.15">
      <c r="A2" s="4"/>
      <c r="B2" s="5" t="s">
        <v>20</v>
      </c>
      <c r="C2" s="5" t="s">
        <v>21</v>
      </c>
      <c r="D2" s="5" t="s">
        <v>39</v>
      </c>
      <c r="E2" s="5" t="s">
        <v>38</v>
      </c>
      <c r="F2" s="5" t="s">
        <v>37</v>
      </c>
      <c r="G2" s="6" t="s">
        <v>36</v>
      </c>
      <c r="H2" s="6" t="s">
        <v>35</v>
      </c>
      <c r="I2" s="6" t="s">
        <v>278</v>
      </c>
      <c r="J2" s="60" t="s">
        <v>30</v>
      </c>
      <c r="K2" s="20" t="s">
        <v>53</v>
      </c>
      <c r="L2" s="20" t="s">
        <v>52</v>
      </c>
      <c r="M2" s="20" t="s">
        <v>53</v>
      </c>
      <c r="N2" s="5" t="s">
        <v>22</v>
      </c>
      <c r="O2" s="5" t="s">
        <v>209</v>
      </c>
      <c r="P2" s="5" t="s">
        <v>23</v>
      </c>
      <c r="Q2" s="5" t="s">
        <v>179</v>
      </c>
      <c r="R2" s="5" t="s">
        <v>211</v>
      </c>
      <c r="S2" s="5" t="s">
        <v>271</v>
      </c>
      <c r="T2" s="5" t="s">
        <v>59</v>
      </c>
      <c r="U2" s="5" t="s">
        <v>54</v>
      </c>
      <c r="V2" s="32"/>
      <c r="W2" s="32"/>
      <c r="X2" s="32"/>
      <c r="Y2" s="32"/>
      <c r="Z2" s="24"/>
      <c r="AA2" s="168" t="s">
        <v>24</v>
      </c>
      <c r="AB2" s="5" t="s">
        <v>25</v>
      </c>
      <c r="AC2" s="5" t="s">
        <v>97</v>
      </c>
      <c r="AD2" s="5"/>
      <c r="AE2" s="5"/>
      <c r="AF2" s="5"/>
      <c r="AG2" s="20" t="s">
        <v>55</v>
      </c>
      <c r="AH2" s="20" t="s">
        <v>56</v>
      </c>
      <c r="AJ2" s="4" t="s">
        <v>26</v>
      </c>
      <c r="AK2" s="4" t="s">
        <v>27</v>
      </c>
      <c r="AL2" s="4" t="s">
        <v>28</v>
      </c>
      <c r="AM2" s="4" t="s">
        <v>29</v>
      </c>
      <c r="AO2" s="56" t="s">
        <v>26</v>
      </c>
      <c r="AP2" s="4" t="s">
        <v>27</v>
      </c>
      <c r="AQ2" s="4" t="s">
        <v>28</v>
      </c>
      <c r="AR2" s="4" t="s">
        <v>29</v>
      </c>
      <c r="AT2" s="56" t="s">
        <v>15</v>
      </c>
      <c r="AU2" s="4" t="s">
        <v>19</v>
      </c>
      <c r="AV2" s="4" t="s">
        <v>18</v>
      </c>
    </row>
    <row r="3" spans="1:48" x14ac:dyDescent="0.15">
      <c r="A3" s="4"/>
      <c r="B3" s="21"/>
      <c r="C3" s="21"/>
      <c r="D3" s="21"/>
      <c r="E3" s="22"/>
      <c r="F3" s="22"/>
      <c r="G3" s="23"/>
      <c r="H3" s="23"/>
      <c r="I3" s="181"/>
      <c r="J3" s="8" t="str">
        <f>IF(COUNTA(D3,E3,F3,G3)=4,IF(AA3+AB3/12&gt;17.583,"       *",(G3-(INDEX(IF(D3="F",Hfemalemean,Hmalemean),AB3+1,AA3+1)))/(INDEX(IF(D3="F",Hfemalesd,Hmalesd),AB3+1,AA3+1))),"")</f>
        <v/>
      </c>
      <c r="K3" s="2" t="str">
        <f>IF(COUNTA(D3,E3,F3,G3,H3)=5,IF(T3&lt;1,"       *",IF(T3&gt;=6,"       *",IF(G3&gt;=120,"       *",IF(G3&lt;70,"       *",(H3-AG3)/AG3*100)))),"")</f>
        <v/>
      </c>
      <c r="L3" s="2" t="str">
        <f t="shared" ref="L3:L66" si="0">IF(COUNTA(D3,E3,F3,G3,H3)&lt;5,"",IF(T3&lt;6,"       *",IF(AA3+AB3/12&gt;=17.583,"       *",(H3-G3*INDEX(IF(D3="F",muratafemale,muratamale),AA3-4,1)-INDEX(IF(D3="F",muratafemale,muratamale),AA3-4,2))/(G3*INDEX(IF(D3="F",muratafemale,muratamale),AA3-4,1)+INDEX(IF(D3="F",muratafemale,muratamale),AA3-4,2))*100)))</f>
        <v/>
      </c>
      <c r="M3" s="2" t="str">
        <f>IF(COUNTA(D3,E3,F3,G3,H3)=5,IF(G3&gt;=IF(D3="M",181,174),"*",IF(G3&lt;101,"       *",IF(T3&lt;6,"       *",IF(AA3+AB3/12&gt;=17.583,"*",(H3-AH3)/AH3*100)))),"")</f>
        <v/>
      </c>
      <c r="N3" s="2" t="str">
        <f>IF(COUNTA(D3,E3,F3,G3,H3)=5,H3/G3^2*10000,"")</f>
        <v/>
      </c>
      <c r="O3" s="2" t="str">
        <f>IF(COUNTA(D3,E3,F3,G3,H3)=5,IF(AA3+AB3/12&gt;17.583,"   *",NORMSDIST(((N3/AK3)^(AJ3)-1)/AJ3/AL3)*100),"")</f>
        <v/>
      </c>
      <c r="P3" s="8" t="str">
        <f>IF(COUNTA(D3,E3,F3,G3,H3)=5,IF(AA3+AB3/12&gt;17.583,"   *",((N3/AK3)^(AJ3)-1)/AJ3/AL3),"")</f>
        <v/>
      </c>
      <c r="Q3" s="8" t="str">
        <f>IF(COUNTA(D3,E3,F3,H3)=4,IF(AA3+AB3/12&gt;17.583,"   *",((H3/AP3)^(AO3)-1)/AO3/AQ3),"")</f>
        <v/>
      </c>
      <c r="R3" s="111" t="str">
        <f>IF(COUNTA(D3,E3,F3,I3)=4,IF(AC3&gt;77,"*",NORMSDIST(((I3/AU3)^(AT3)-1)/AT3/AV3)*100),"")</f>
        <v/>
      </c>
      <c r="S3" s="44" t="str">
        <f>IF(COUNTA(D3,E3,F3,I3)=4,IF(AC3&gt;77,"*",((I3/AU3)^(AT3)-1)/AT3/AV3),"")</f>
        <v/>
      </c>
      <c r="T3" s="37" t="str">
        <f>IF(COUNTA(E3,F3)=2,AC3,"")</f>
        <v/>
      </c>
      <c r="U3" s="44" t="str">
        <f>IF(COUNTA(E3,F3)=2,AA3&amp;"歳"&amp;AB3&amp;"か月","")</f>
        <v/>
      </c>
      <c r="V3" s="26"/>
      <c r="W3" s="26"/>
      <c r="X3" s="26"/>
      <c r="Y3" s="26"/>
      <c r="Z3" s="24"/>
      <c r="AA3" s="169">
        <f>DATEDIF(E3,F3,"Y")</f>
        <v>0</v>
      </c>
      <c r="AB3" s="4">
        <f>DATEDIF(E3,F3,"YM")</f>
        <v>0</v>
      </c>
      <c r="AC3" s="170">
        <f>DATEDIF(E3,F3,"Y")+(F3-(DATE(YEAR(E3)+DATEDIF(E3,F3,"Y"),MONTH(E3),DAY(E3))))/(365+IF(MOD(YEAR((DATE(YEAR(F3)-1,MONTH(E3),DAY(E3)))),4)=0,IF((DATE(YEAR(F3)-1,MONTH(E3),DAY(E3)))&gt;DATE(YEAR((DATE(YEAR(F3)-1,MONTH(E3),DAY(E3)))),2,29),0,1),0)+IF(MOD(YEAR(F3),4)=0,IF(F3&gt;DATE(YEAR(F3),2,29),1,0),0))</f>
        <v>0</v>
      </c>
      <c r="AD3" s="58"/>
      <c r="AE3" s="58"/>
      <c r="AF3" s="58"/>
      <c r="AG3" s="59">
        <f t="shared" ref="AG3:AG66" si="1">IF(D3="M",2.06*10^-3*G3^2-0.1166*G3+6.5273,2.49*10^-3*G3^2-0.1858*G3+9.036)</f>
        <v>9.0359999999999996</v>
      </c>
      <c r="AH3" s="59">
        <f t="shared" ref="AH3:AH66" si="2">((G3/100)^3*INDEX(itoOI,IF(D3="M",0,3)+IF(G3&lt;140,1,IF(G3&lt;=149,2,3)),1)+(G3/100)^2*INDEX(itoOI,IF(D3="M",0,3)+IF(G3&lt;140,1,IF(G3&lt;=149,2,3)),2)+(G3/100)*INDEX(itoOI,IF(D3="M",0,3)+IF(G3&lt;140,1,IF(G3&lt;=149,2,3)),3)+INDEX(itoOI,IF(D3="M",0,3)+IF(G3&lt;140,1,IF(G3&lt;=149,2,3)),4))</f>
        <v>-184.49199999999999</v>
      </c>
      <c r="AJ3" s="4">
        <f>IF(D3="M",IF(AM3&lt;78,BMILMS!$D$5*AM3^3+BMILMS!$E$5*AM3^2+BMILMS!$F$5*AM3+BMILMS!$G$5,IF(AM3&lt;150,BMILMS!$D$6*AM3^3+BMILMS!$E$6*AM3^2+BMILMS!$F$6*AM3+BMILMS!$G$6,BMILMS!$D$7*AM3^3+BMILMS!$E$7*AM3^2+BMILMS!$F$7*AM3+BMILMS!$G$7)),IF(AM3&lt;69,BMILMS!$D$9*AM3^3+BMILMS!$E$9*AM3^2+BMILMS!$F$9*AM3+BMILMS!$G$9,IF(AM3&lt;150,BMILMS!$D$10*AM3^3+BMILMS!$E$10*AM3^2+BMILMS!$F$10*AM3+BMILMS!$G$10,BMILMS!$D$11*AM3^3+BMILMS!$E$11*AM3^2+BMILMS!$F$11*AM3+BMILMS!$G$11)))</f>
        <v>0.79584630099999998</v>
      </c>
      <c r="AK3" s="4">
        <f>IF(D3="M",(IF(AM3&lt;2.5,BMILMS!$D$21*AM3^3+BMILMS!$E$21*AM3^2+BMILMS!$F$21*AM3+BMILMS!$G$21,IF(AM3&lt;9.5,BMILMS!$D$22*AM3^3+BMILMS!$E$22*AM3^2+BMILMS!$F$22*AM3+BMILMS!$G$22,IF(AM3&lt;26.75,BMILMS!$D$23*AM3^3+BMILMS!$E$23*AM3^2+BMILMS!$F$23*AM3+BMILMS!$G$23,IF(AM3&lt;90,BMILMS!$D$24*AM3^3+BMILMS!$E$24*AM3^2+BMILMS!$F$24*AM3+BMILMS!$G$24,BMILMS!$D$25*AM3^3+BMILMS!$E$25*AM3^2+BMILMS!$F$25*AM3+BMILMS!$G$25))))),(IF(AM3&lt;2.5,BMILMS!$D$27*AM3^3+BMILMS!$E$27*AM3^2+BMILMS!$F$27*AM3+BMILMS!$G$27,IF(AM3&lt;9.5,BMILMS!$D$28*AM3^3+BMILMS!$E$28*AM3^2+BMILMS!$F$28*AM3+BMILMS!$G$28,IF(AM3&lt;26.75,BMILMS!$D$29*AM3^3+BMILMS!$E$29*AM3^2+BMILMS!$F$29*AM3+BMILMS!$G$29,IF(AM3&lt;90,BMILMS!$D$30*AM3^3+BMILMS!$E$30*AM3^2+BMILMS!$F$30*AM3+BMILMS!$G$30,IF(AM3&lt;150,BMILMS!$D$31*AM3^3+BMILMS!$E$31*AM3^2+BMILMS!$F$31*AM3+BMILMS!$G$31,BMILMS!$D$32*AM3^3+BMILMS!$E$32*AM3^2+BMILMS!$F$32*AM3+BMILMS!$G$32)))))))</f>
        <v>12.568967990000001</v>
      </c>
      <c r="AL3" s="4">
        <f>IF(D3="M",(IF(AM3&lt;90,BMILMS!$D$14*AM3^3+BMILMS!$E$14*AM3^2+BMILMS!$F$14*AM3+BMILMS!$G$14,BMILMS!$D$15*AM3^3+BMILMS!$E$15*AM3^2+BMILMS!$F$15*AM3+BMILMS!$G$15)),(IF(AM3&lt;90,BMILMS!$D$17*AM3^3+BMILMS!$E$17*AM3^2+BMILMS!$F$17*AM3+BMILMS!$G$17,BMILMS!$D$18*AM3^3+BMILMS!$E$18*AM3^2+BMILMS!$F$18*AM3+BMILMS!$G$18)))</f>
        <v>8.8969350000000003E-2</v>
      </c>
      <c r="AM3" s="4">
        <f>AA3*12+AB3</f>
        <v>0</v>
      </c>
      <c r="AO3" s="56">
        <f>IF(D3="M",WeightSDS!P$5*$AM3^7+WeightSDS!Q$5*$AM3^6+WeightSDS!R$5*$AM3^5+WeightSDS!S$5*$AM3^4+WeightSDS!T$5*$AM3^3+WeightSDS!U$5*$AM3^2+WeightSDS!V$5*$AM3+WeightSDS!W$5,IF($AM3&lt;186,WeightSDS!P$8*$AM3^7+WeightSDS!Q$8*$AM3^6+WeightSDS!R$8*$AM3^5+WeightSDS!S$8*$AM3^4+WeightSDS!T$8*$AM3^3+WeightSDS!U$8*$AM3^2+WeightSDS!V$8*$AM3+WeightSDS!W$8,WeightSDS!$U$9+WeightSDS!$V$9*($AM3-WeightSDS!$W$9)))</f>
        <v>0.75407122999999998</v>
      </c>
      <c r="AP3" s="4">
        <f>IF(D3="M",IF($AM3&lt;45,WeightSDS!M$23*$AM3^10+WeightSDS!N$23*$AM3^9+WeightSDS!O$23*$AM3^8+WeightSDS!P$23*$AM3^7+WeightSDS!Q$23*$AM3^6+WeightSDS!R$23*$AM3^5+WeightSDS!S$23*$AM3^4+WeightSDS!T$23*$AM3^3+WeightSDS!U$23*$AM3^2+WeightSDS!V$23*$AM3+WeightSDS!W$23,IF($AM3&lt;153,WeightSDS!M$25*$AM3^10+WeightSDS!N$25*$AM3^9+WeightSDS!O$25*$AM3^8+WeightSDS!P$25*$AM3^7+WeightSDS!Q$25*$AM3^6+WeightSDS!R$25*$AM3^5+WeightSDS!S$25*$AM3^4+WeightSDS!T$25*$AM3^3+WeightSDS!U$25*$AM3^2+WeightSDS!V$25*$AM3+WeightSDS!W$25,WeightSDS!M$27+WeightSDS!N$27/(1+EXP(WeightSDS!O$27+WeightSDS!P$27*$AM3)))),IF($AM3&lt;43.8,WeightSDS!M$29*$AM3^10+WeightSDS!N$29*$AM3^9+WeightSDS!O$29*$AM3^8+WeightSDS!P$29*$AM3^7+WeightSDS!Q$29*$AM3^6+WeightSDS!R$29*$AM3^5+WeightSDS!S$29*$AM3^4+WeightSDS!T$29*$AM3^3+WeightSDS!U$29*$AM3^2+WeightSDS!V$29*$AM3+WeightSDS!W$29-0.010431*(1-$AM3/210),IF($AM3&lt;123,WeightSDS!M$30*$AM3^10+WeightSDS!N$30*$AM3^9+WeightSDS!O$30*$AM3^8+WeightSDS!P$30*$AM3^7+WeightSDS!Q$30*$AM3^6+WeightSDS!R$30*$AM3^5+WeightSDS!S$30*$AM3^4+WeightSDS!T$30*$AM3^3+WeightSDS!U$30*$AM3^2+WeightSDS!V$30*$AM3+WeightSDS!W$30-0.010431*(1-1/$AM3),WeightSDS!M$32+WeightSDS!N$32/(1+EXP(WeightSDS!O$32+WeightSDS!P$32*$AM3))-0.010431*(1-$AM3/210))))</f>
        <v>2.9500001032655536</v>
      </c>
      <c r="AQ3" s="4">
        <f>IF(D3="M",IF($AM3&lt;162,WeightSDS!P$12*$AM3^7+WeightSDS!Q$12*$AM3^6+WeightSDS!R$12*$AM3^5+WeightSDS!S$12*$AM3^4+WeightSDS!T$12*$AM3^3+WeightSDS!U$12*$AM3^2+WeightSDS!V$12*$AM3+WeightSDS!W$12,WeightSDS!P$14*$AM3^7+WeightSDS!Q$14*$AM3^6+WeightSDS!R$14*$AM3^5+WeightSDS!S$14*$AM3^4+WeightSDS!T$14*$AM3^3+WeightSDS!U$14*$AM3^2+WeightSDS!V$14*$AM3+WeightSDS!W$14),IF($AM3&lt;156,WeightSDS!O$17*$AM3^8+WeightSDS!P$17*$AM3^7+WeightSDS!Q$17*$AM3^6+WeightSDS!R$17*$AM3^5+WeightSDS!S$17*$AM3^4+WeightSDS!T$17*$AM3^3+WeightSDS!U$17*$AM3^2+WeightSDS!V$17*$AM3+WeightSDS!W$17,IF($AM3&lt;186,WeightSDS!$U$18+(WeightSDS!$V$18-WeightSDS!$U$18)/24*($AM3-186)+WeightSDS!$W$18*(-$AM3+186)^2-0.005,WeightSDS!$U$18+(WeightSDS!$V$18-WeightSDS!$U$18)/24*($AM3-186)-0.005)))</f>
        <v>0.14604529399999999</v>
      </c>
      <c r="AT3" s="4">
        <f>INDEX(IF(D3="M",IGFmale, IGFfemale), AA3+1,1)</f>
        <v>0.56299999999999994</v>
      </c>
      <c r="AU3" s="4">
        <f>INDEX(IF(D3="M",IGFmale, IGFfemale), AA3+1,2)</f>
        <v>69</v>
      </c>
      <c r="AV3" s="4">
        <f>INDEX(IF(D3="M",IGFmale, IGFfemale), AA3+1,3)</f>
        <v>0.51</v>
      </c>
    </row>
    <row r="4" spans="1:48" x14ac:dyDescent="0.15">
      <c r="A4" s="4"/>
      <c r="B4" s="21"/>
      <c r="C4" s="21"/>
      <c r="D4" s="21"/>
      <c r="E4" s="22"/>
      <c r="F4" s="22"/>
      <c r="G4" s="23"/>
      <c r="H4" s="23"/>
      <c r="I4" s="181"/>
      <c r="J4" s="8" t="str">
        <f t="shared" ref="J4:J66" si="3">IF(COUNTA(D4,E4,F4,G4)=4,IF(AA4+AB4/12&gt;17.583,"       *",(G4-(INDEX(IF(D4="F",Hfemalemean,Hmalemean),AB4+1,AA4+1)))/(INDEX(IF(D4="F",Hfemalesd,Hmalesd),AB4+1,AA4+1))),"")</f>
        <v/>
      </c>
      <c r="K4" s="2" t="str">
        <f t="shared" ref="K4:K67" si="4">IF(COUNTA(D4,E4,F4,G4,H4)=5,IF(T4&lt;1,"       *",IF(T4&gt;=6,"       *",IF(G4&gt;=120,"       *",IF(G4&lt;70,"       *",(H4-AG4)/AG4*100)))),"")</f>
        <v/>
      </c>
      <c r="L4" s="2" t="str">
        <f t="shared" si="0"/>
        <v/>
      </c>
      <c r="M4" s="2" t="str">
        <f t="shared" ref="M4:M67" si="5">IF(COUNTA(D4,E4,F4,G4,H4)=5,IF(G4&gt;=IF(D4="M",181,174),"*",IF(G4&lt;101,"       *",IF(T4&lt;6,"       *",IF(AA4+AB4/12&gt;=17.583,"*",(H4-AH4)/AH4*100)))),"")</f>
        <v/>
      </c>
      <c r="N4" s="2" t="str">
        <f>IF(COUNTA(D4,E4,F4,G4,H4)=5,H4/G4^2*10000,"")</f>
        <v/>
      </c>
      <c r="O4" s="2" t="str">
        <f t="shared" ref="O4:O67" si="6">IF(COUNTA(D4,E4,F4,G4,H4)=5,IF(AA4+AB4/12&gt;17.583,"   *",NORMSDIST(((N4/AK4)^(AJ4)-1)/AJ4/AL4)*100),"")</f>
        <v/>
      </c>
      <c r="P4" s="8" t="str">
        <f t="shared" ref="P4:P67" si="7">IF(COUNTA(D4,E4,F4,G4,H4)=5,IF(AA4+AB4/12&gt;17.583,"   *",((N4/AK4)^(AJ4)-1)/AJ4/AL4),"")</f>
        <v/>
      </c>
      <c r="Q4" s="8" t="str">
        <f t="shared" ref="Q4:Q67" si="8">IF(COUNTA(D4,E4,F4,H4)=4,IF(AA4+AB4/12&gt;17.583,"   *",((H4/AP4)^(AO4)-1)/AO4/AQ4),"")</f>
        <v/>
      </c>
      <c r="R4" s="111" t="str">
        <f t="shared" ref="R4:R67" si="9">IF(COUNTA(D4,E4,F4,I4)=4,IF(AC4&gt;77,"*",NORMSDIST(((I4/AU4)^(AT4)-1)/AT4/AV4)*100),"")</f>
        <v/>
      </c>
      <c r="S4" s="44" t="str">
        <f t="shared" ref="S4:S67" si="10">IF(COUNTA(D4,E4,F4,I4)=4,IF(AC4&gt;77,"*",((I4/AU4)^(AT4)-1)/AT4/AV4),"")</f>
        <v/>
      </c>
      <c r="T4" s="37" t="str">
        <f t="shared" ref="T4:T67" si="11">IF(COUNTA(E4,F4)=2,AC4,"")</f>
        <v/>
      </c>
      <c r="U4" s="44" t="str">
        <f t="shared" ref="U4:U67" si="12">IF(COUNTA(E4,F4)=2,AA4&amp;"歳"&amp;AB4&amp;"か月","")</f>
        <v/>
      </c>
      <c r="V4" s="26"/>
      <c r="W4" s="26"/>
      <c r="X4" s="26"/>
      <c r="Y4" s="26"/>
      <c r="Z4" s="24"/>
      <c r="AA4" s="169">
        <f t="shared" ref="AA4:AA66" si="13">DATEDIF(E4,F4,"Y")</f>
        <v>0</v>
      </c>
      <c r="AB4" s="4">
        <f t="shared" ref="AB4:AB66" si="14">DATEDIF(E4,F4,"YM")</f>
        <v>0</v>
      </c>
      <c r="AC4" s="170">
        <f t="shared" ref="AC4:AC27" si="15">DATEDIF(E4,F4,"Y")+(F4-(DATE(YEAR(E4)+DATEDIF(E4,F4,"Y"),MONTH(E4),DAY(E4))))/(365+IF(MOD(YEAR((DATE(YEAR(F4)-1,MONTH(E4),DAY(E4)))),4)=0,IF((DATE(YEAR(F4)-1,MONTH(E4),DAY(E4)))&gt;DATE(YEAR((DATE(YEAR(F4)-1,MONTH(E4),DAY(E4)))),2,29),0,1),0)+IF(MOD(YEAR(F4),4)=0,IF(F4&gt;DATE(YEAR(F4),2,29),1,0),0))</f>
        <v>0</v>
      </c>
      <c r="AD4" s="58"/>
      <c r="AE4" s="58"/>
      <c r="AF4" s="58"/>
      <c r="AG4" s="59">
        <f t="shared" si="1"/>
        <v>9.0359999999999996</v>
      </c>
      <c r="AH4" s="59">
        <f t="shared" si="2"/>
        <v>-184.49199999999999</v>
      </c>
      <c r="AJ4" s="4">
        <f>IF(D4="M",IF(AM4&lt;78,BMILMS!$D$5*AM4^3+BMILMS!$E$5*AM4^2+BMILMS!$F$5*AM4+BMILMS!$G$5,IF(AM4&lt;150,BMILMS!$D$6*AM4^3+BMILMS!$E$6*AM4^2+BMILMS!$F$6*AM4+BMILMS!$G$6,BMILMS!$D$7*AM4^3+BMILMS!$E$7*AM4^2+BMILMS!$F$7*AM4+BMILMS!$G$7)),IF(AM4&lt;69,BMILMS!$D$9*AM4^3+BMILMS!$E$9*AM4^2+BMILMS!$F$9*AM4+BMILMS!$G$9,IF(AM4&lt;150,BMILMS!$D$10*AM4^3+BMILMS!$E$10*AM4^2+BMILMS!$F$10*AM4+BMILMS!$G$10,BMILMS!$D$11*AM4^3+BMILMS!$E$11*AM4^2+BMILMS!$F$11*AM4+BMILMS!$G$11)))</f>
        <v>0.79584630099999998</v>
      </c>
      <c r="AK4" s="4">
        <f>IF(D4="M",(IF(AM4&lt;2.5,BMILMS!$D$21*AM4^3+BMILMS!$E$21*AM4^2+BMILMS!$F$21*AM4+BMILMS!$G$21,IF(AM4&lt;9.5,BMILMS!$D$22*AM4^3+BMILMS!$E$22*AM4^2+BMILMS!$F$22*AM4+BMILMS!$G$22,IF(AM4&lt;26.75,BMILMS!$D$23*AM4^3+BMILMS!$E$23*AM4^2+BMILMS!$F$23*AM4+BMILMS!$G$23,IF(AM4&lt;90,BMILMS!$D$24*AM4^3+BMILMS!$E$24*AM4^2+BMILMS!$F$24*AM4+BMILMS!$G$24,BMILMS!$D$25*AM4^3+BMILMS!$E$25*AM4^2+BMILMS!$F$25*AM4+BMILMS!$G$25))))),(IF(AM4&lt;2.5,BMILMS!$D$27*AM4^3+BMILMS!$E$27*AM4^2+BMILMS!$F$27*AM4+BMILMS!$G$27,IF(AM4&lt;9.5,BMILMS!$D$28*AM4^3+BMILMS!$E$28*AM4^2+BMILMS!$F$28*AM4+BMILMS!$G$28,IF(AM4&lt;26.75,BMILMS!$D$29*AM4^3+BMILMS!$E$29*AM4^2+BMILMS!$F$29*AM4+BMILMS!$G$29,IF(AM4&lt;90,BMILMS!$D$30*AM4^3+BMILMS!$E$30*AM4^2+BMILMS!$F$30*AM4+BMILMS!$G$30,IF(AM4&lt;150,BMILMS!$D$31*AM4^3+BMILMS!$E$31*AM4^2+BMILMS!$F$31*AM4+BMILMS!$G$31,BMILMS!$D$32*AM4^3+BMILMS!$E$32*AM4^2+BMILMS!$F$32*AM4+BMILMS!$G$32)))))))</f>
        <v>12.568967990000001</v>
      </c>
      <c r="AL4" s="4">
        <f>IF(D4="M",(IF(AM4&lt;90,BMILMS!$D$14*AM4^3+BMILMS!$E$14*AM4^2+BMILMS!$F$14*AM4+BMILMS!$G$14,BMILMS!$D$15*AM4^3+BMILMS!$E$15*AM4^2+BMILMS!$F$15*AM4+BMILMS!$G$15)),(IF(AM4&lt;90,BMILMS!$D$17*AM4^3+BMILMS!$E$17*AM4^2+BMILMS!$F$17*AM4+BMILMS!$G$17,BMILMS!$D$18*AM4^3+BMILMS!$E$18*AM4^2+BMILMS!$F$18*AM4+BMILMS!$G$18)))</f>
        <v>8.8969350000000003E-2</v>
      </c>
      <c r="AM4" s="4">
        <f>AA4*12+AB4</f>
        <v>0</v>
      </c>
      <c r="AO4" s="56">
        <f>IF(D4="M",WeightSDS!P$5*$AM4^7+WeightSDS!Q$5*$AM4^6+WeightSDS!R$5*$AM4^5+WeightSDS!S$5*$AM4^4+WeightSDS!T$5*$AM4^3+WeightSDS!U$5*$AM4^2+WeightSDS!V$5*$AM4+WeightSDS!W$5,IF($AM4&lt;186,WeightSDS!P$8*$AM4^7+WeightSDS!Q$8*$AM4^6+WeightSDS!R$8*$AM4^5+WeightSDS!S$8*$AM4^4+WeightSDS!T$8*$AM4^3+WeightSDS!U$8*$AM4^2+WeightSDS!V$8*$AM4+WeightSDS!W$8,WeightSDS!$U$9+WeightSDS!$V$9*($AM4-WeightSDS!$W$9)))</f>
        <v>0.75407122999999998</v>
      </c>
      <c r="AP4" s="4">
        <f>IF(D4="M",IF($AM4&lt;45,WeightSDS!M$23*$AM4^10+WeightSDS!N$23*$AM4^9+WeightSDS!O$23*$AM4^8+WeightSDS!P$23*$AM4^7+WeightSDS!Q$23*$AM4^6+WeightSDS!R$23*$AM4^5+WeightSDS!S$23*$AM4^4+WeightSDS!T$23*$AM4^3+WeightSDS!U$23*$AM4^2+WeightSDS!V$23*$AM4+WeightSDS!W$23,IF($AM4&lt;153,WeightSDS!M$25*$AM4^10+WeightSDS!N$25*$AM4^9+WeightSDS!O$25*$AM4^8+WeightSDS!P$25*$AM4^7+WeightSDS!Q$25*$AM4^6+WeightSDS!R$25*$AM4^5+WeightSDS!S$25*$AM4^4+WeightSDS!T$25*$AM4^3+WeightSDS!U$25*$AM4^2+WeightSDS!V$25*$AM4+WeightSDS!W$25,WeightSDS!M$27+WeightSDS!N$27/(1+EXP(WeightSDS!O$27+WeightSDS!P$27*$AM4)))),IF($AM4&lt;43.8,WeightSDS!M$29*$AM4^10+WeightSDS!N$29*$AM4^9+WeightSDS!O$29*$AM4^8+WeightSDS!P$29*$AM4^7+WeightSDS!Q$29*$AM4^6+WeightSDS!R$29*$AM4^5+WeightSDS!S$29*$AM4^4+WeightSDS!T$29*$AM4^3+WeightSDS!U$29*$AM4^2+WeightSDS!V$29*$AM4+WeightSDS!W$29-0.010431*(1-$AM4/210),IF($AM4&lt;123,WeightSDS!M$30*$AM4^10+WeightSDS!N$30*$AM4^9+WeightSDS!O$30*$AM4^8+WeightSDS!P$30*$AM4^7+WeightSDS!Q$30*$AM4^6+WeightSDS!R$30*$AM4^5+WeightSDS!S$30*$AM4^4+WeightSDS!T$30*$AM4^3+WeightSDS!U$30*$AM4^2+WeightSDS!V$30*$AM4+WeightSDS!W$30-0.010431*(1-1/$AM4),WeightSDS!M$32+WeightSDS!N$32/(1+EXP(WeightSDS!O$32+WeightSDS!P$32*$AM4))-0.010431*(1-$AM4/210))))</f>
        <v>2.9500001032655536</v>
      </c>
      <c r="AQ4" s="4">
        <f>IF(D4="M",IF($AM4&lt;162,WeightSDS!P$12*$AM4^7+WeightSDS!Q$12*$AM4^6+WeightSDS!R$12*$AM4^5+WeightSDS!S$12*$AM4^4+WeightSDS!T$12*$AM4^3+WeightSDS!U$12*$AM4^2+WeightSDS!V$12*$AM4+WeightSDS!W$12,WeightSDS!P$14*$AM4^7+WeightSDS!Q$14*$AM4^6+WeightSDS!R$14*$AM4^5+WeightSDS!S$14*$AM4^4+WeightSDS!T$14*$AM4^3+WeightSDS!U$14*$AM4^2+WeightSDS!V$14*$AM4+WeightSDS!W$14),IF($AM4&lt;156,WeightSDS!O$17*$AM4^8+WeightSDS!P$17*$AM4^7+WeightSDS!Q$17*$AM4^6+WeightSDS!R$17*$AM4^5+WeightSDS!S$17*$AM4^4+WeightSDS!T$17*$AM4^3+WeightSDS!U$17*$AM4^2+WeightSDS!V$17*$AM4+WeightSDS!W$17,IF($AM4&lt;186,WeightSDS!$U$18+(WeightSDS!$V$18-WeightSDS!$U$18)/24*($AM4-186)+WeightSDS!$W$18*(-$AM4+186)^2-0.005,WeightSDS!$U$18+(WeightSDS!$V$18-WeightSDS!$U$18)/24*($AM4-186)-0.005)))</f>
        <v>0.14604529399999999</v>
      </c>
      <c r="AT4" s="4">
        <f t="shared" ref="AT4:AT66" si="16">INDEX(IF(D4="M",IGFmale, IGFfemale), AA4+1,1)</f>
        <v>0.56299999999999994</v>
      </c>
      <c r="AU4" s="4">
        <f t="shared" ref="AU4:AU66" si="17">INDEX(IF(D4="M",IGFmale, IGFfemale), AA4+1,2)</f>
        <v>69</v>
      </c>
      <c r="AV4" s="4">
        <f t="shared" ref="AV4:AV66" si="18">INDEX(IF(D4="M",IGFmale, IGFfemale), AA4+1,3)</f>
        <v>0.51</v>
      </c>
    </row>
    <row r="5" spans="1:48" x14ac:dyDescent="0.15">
      <c r="A5" s="4"/>
      <c r="B5" s="21"/>
      <c r="C5" s="21"/>
      <c r="D5" s="21"/>
      <c r="E5" s="22"/>
      <c r="F5" s="22"/>
      <c r="G5" s="23"/>
      <c r="H5" s="23"/>
      <c r="I5" s="181"/>
      <c r="J5" s="8" t="str">
        <f t="shared" si="3"/>
        <v/>
      </c>
      <c r="K5" s="2" t="str">
        <f t="shared" si="4"/>
        <v/>
      </c>
      <c r="L5" s="2" t="str">
        <f t="shared" si="0"/>
        <v/>
      </c>
      <c r="M5" s="2" t="str">
        <f t="shared" si="5"/>
        <v/>
      </c>
      <c r="N5" s="2" t="str">
        <f>IF(COUNTA(D5,E5,F5,G5,H5)=5,H5/G5^2*10000,"")</f>
        <v/>
      </c>
      <c r="O5" s="2" t="str">
        <f t="shared" si="6"/>
        <v/>
      </c>
      <c r="P5" s="8" t="str">
        <f t="shared" si="7"/>
        <v/>
      </c>
      <c r="Q5" s="8" t="str">
        <f t="shared" si="8"/>
        <v/>
      </c>
      <c r="R5" s="111" t="str">
        <f t="shared" si="9"/>
        <v/>
      </c>
      <c r="S5" s="44" t="str">
        <f t="shared" si="10"/>
        <v/>
      </c>
      <c r="T5" s="37" t="str">
        <f t="shared" si="11"/>
        <v/>
      </c>
      <c r="U5" s="44" t="str">
        <f t="shared" si="12"/>
        <v/>
      </c>
      <c r="Z5" s="24"/>
      <c r="AA5" s="169">
        <f t="shared" si="13"/>
        <v>0</v>
      </c>
      <c r="AB5" s="4">
        <f t="shared" si="14"/>
        <v>0</v>
      </c>
      <c r="AC5" s="170">
        <f t="shared" si="15"/>
        <v>0</v>
      </c>
      <c r="AD5" s="58"/>
      <c r="AE5" s="58"/>
      <c r="AF5" s="58"/>
      <c r="AG5" s="59">
        <f t="shared" si="1"/>
        <v>9.0359999999999996</v>
      </c>
      <c r="AH5" s="59">
        <f t="shared" si="2"/>
        <v>-184.49199999999999</v>
      </c>
      <c r="AJ5" s="4">
        <f>IF(D5="M",IF(AM5&lt;78,BMILMS!$D$5*AM5^3+BMILMS!$E$5*AM5^2+BMILMS!$F$5*AM5+BMILMS!$G$5,IF(AM5&lt;150,BMILMS!$D$6*AM5^3+BMILMS!$E$6*AM5^2+BMILMS!$F$6*AM5+BMILMS!$G$6,BMILMS!$D$7*AM5^3+BMILMS!$E$7*AM5^2+BMILMS!$F$7*AM5+BMILMS!$G$7)),IF(AM5&lt;69,BMILMS!$D$9*AM5^3+BMILMS!$E$9*AM5^2+BMILMS!$F$9*AM5+BMILMS!$G$9,IF(AM5&lt;150,BMILMS!$D$10*AM5^3+BMILMS!$E$10*AM5^2+BMILMS!$F$10*AM5+BMILMS!$G$10,BMILMS!$D$11*AM5^3+BMILMS!$E$11*AM5^2+BMILMS!$F$11*AM5+BMILMS!$G$11)))</f>
        <v>0.79584630099999998</v>
      </c>
      <c r="AK5" s="4">
        <f>IF(D5="M",(IF(AM5&lt;2.5,BMILMS!$D$21*AM5^3+BMILMS!$E$21*AM5^2+BMILMS!$F$21*AM5+BMILMS!$G$21,IF(AM5&lt;9.5,BMILMS!$D$22*AM5^3+BMILMS!$E$22*AM5^2+BMILMS!$F$22*AM5+BMILMS!$G$22,IF(AM5&lt;26.75,BMILMS!$D$23*AM5^3+BMILMS!$E$23*AM5^2+BMILMS!$F$23*AM5+BMILMS!$G$23,IF(AM5&lt;90,BMILMS!$D$24*AM5^3+BMILMS!$E$24*AM5^2+BMILMS!$F$24*AM5+BMILMS!$G$24,BMILMS!$D$25*AM5^3+BMILMS!$E$25*AM5^2+BMILMS!$F$25*AM5+BMILMS!$G$25))))),(IF(AM5&lt;2.5,BMILMS!$D$27*AM5^3+BMILMS!$E$27*AM5^2+BMILMS!$F$27*AM5+BMILMS!$G$27,IF(AM5&lt;9.5,BMILMS!$D$28*AM5^3+BMILMS!$E$28*AM5^2+BMILMS!$F$28*AM5+BMILMS!$G$28,IF(AM5&lt;26.75,BMILMS!$D$29*AM5^3+BMILMS!$E$29*AM5^2+BMILMS!$F$29*AM5+BMILMS!$G$29,IF(AM5&lt;90,BMILMS!$D$30*AM5^3+BMILMS!$E$30*AM5^2+BMILMS!$F$30*AM5+BMILMS!$G$30,IF(AM5&lt;150,BMILMS!$D$31*AM5^3+BMILMS!$E$31*AM5^2+BMILMS!$F$31*AM5+BMILMS!$G$31,BMILMS!$D$32*AM5^3+BMILMS!$E$32*AM5^2+BMILMS!$F$32*AM5+BMILMS!$G$32)))))))</f>
        <v>12.568967990000001</v>
      </c>
      <c r="AL5" s="4">
        <f>IF(D5="M",(IF(AM5&lt;90,BMILMS!$D$14*AM5^3+BMILMS!$E$14*AM5^2+BMILMS!$F$14*AM5+BMILMS!$G$14,BMILMS!$D$15*AM5^3+BMILMS!$E$15*AM5^2+BMILMS!$F$15*AM5+BMILMS!$G$15)),(IF(AM5&lt;90,BMILMS!$D$17*AM5^3+BMILMS!$E$17*AM5^2+BMILMS!$F$17*AM5+BMILMS!$G$17,BMILMS!$D$18*AM5^3+BMILMS!$E$18*AM5^2+BMILMS!$F$18*AM5+BMILMS!$G$18)))</f>
        <v>8.8969350000000003E-2</v>
      </c>
      <c r="AM5" s="4">
        <f>AA5*12+AB5</f>
        <v>0</v>
      </c>
      <c r="AO5" s="56">
        <f>IF(D5="M",WeightSDS!P$5*$AM5^7+WeightSDS!Q$5*$AM5^6+WeightSDS!R$5*$AM5^5+WeightSDS!S$5*$AM5^4+WeightSDS!T$5*$AM5^3+WeightSDS!U$5*$AM5^2+WeightSDS!V$5*$AM5+WeightSDS!W$5,IF($AM5&lt;186,WeightSDS!P$8*$AM5^7+WeightSDS!Q$8*$AM5^6+WeightSDS!R$8*$AM5^5+WeightSDS!S$8*$AM5^4+WeightSDS!T$8*$AM5^3+WeightSDS!U$8*$AM5^2+WeightSDS!V$8*$AM5+WeightSDS!W$8,WeightSDS!$U$9+WeightSDS!$V$9*($AM5-WeightSDS!$W$9)))</f>
        <v>0.75407122999999998</v>
      </c>
      <c r="AP5" s="4">
        <f>IF(D5="M",IF($AM5&lt;45,WeightSDS!M$23*$AM5^10+WeightSDS!N$23*$AM5^9+WeightSDS!O$23*$AM5^8+WeightSDS!P$23*$AM5^7+WeightSDS!Q$23*$AM5^6+WeightSDS!R$23*$AM5^5+WeightSDS!S$23*$AM5^4+WeightSDS!T$23*$AM5^3+WeightSDS!U$23*$AM5^2+WeightSDS!V$23*$AM5+WeightSDS!W$23,IF($AM5&lt;153,WeightSDS!M$25*$AM5^10+WeightSDS!N$25*$AM5^9+WeightSDS!O$25*$AM5^8+WeightSDS!P$25*$AM5^7+WeightSDS!Q$25*$AM5^6+WeightSDS!R$25*$AM5^5+WeightSDS!S$25*$AM5^4+WeightSDS!T$25*$AM5^3+WeightSDS!U$25*$AM5^2+WeightSDS!V$25*$AM5+WeightSDS!W$25,WeightSDS!M$27+WeightSDS!N$27/(1+EXP(WeightSDS!O$27+WeightSDS!P$27*$AM5)))),IF($AM5&lt;43.8,WeightSDS!M$29*$AM5^10+WeightSDS!N$29*$AM5^9+WeightSDS!O$29*$AM5^8+WeightSDS!P$29*$AM5^7+WeightSDS!Q$29*$AM5^6+WeightSDS!R$29*$AM5^5+WeightSDS!S$29*$AM5^4+WeightSDS!T$29*$AM5^3+WeightSDS!U$29*$AM5^2+WeightSDS!V$29*$AM5+WeightSDS!W$29-0.010431*(1-$AM5/210),IF($AM5&lt;123,WeightSDS!M$30*$AM5^10+WeightSDS!N$30*$AM5^9+WeightSDS!O$30*$AM5^8+WeightSDS!P$30*$AM5^7+WeightSDS!Q$30*$AM5^6+WeightSDS!R$30*$AM5^5+WeightSDS!S$30*$AM5^4+WeightSDS!T$30*$AM5^3+WeightSDS!U$30*$AM5^2+WeightSDS!V$30*$AM5+WeightSDS!W$30-0.010431*(1-1/$AM5),WeightSDS!M$32+WeightSDS!N$32/(1+EXP(WeightSDS!O$32+WeightSDS!P$32*$AM5))-0.010431*(1-$AM5/210))))</f>
        <v>2.9500001032655536</v>
      </c>
      <c r="AQ5" s="4">
        <f>IF(D5="M",IF($AM5&lt;162,WeightSDS!P$12*$AM5^7+WeightSDS!Q$12*$AM5^6+WeightSDS!R$12*$AM5^5+WeightSDS!S$12*$AM5^4+WeightSDS!T$12*$AM5^3+WeightSDS!U$12*$AM5^2+WeightSDS!V$12*$AM5+WeightSDS!W$12,WeightSDS!P$14*$AM5^7+WeightSDS!Q$14*$AM5^6+WeightSDS!R$14*$AM5^5+WeightSDS!S$14*$AM5^4+WeightSDS!T$14*$AM5^3+WeightSDS!U$14*$AM5^2+WeightSDS!V$14*$AM5+WeightSDS!W$14),IF($AM5&lt;156,WeightSDS!O$17*$AM5^8+WeightSDS!P$17*$AM5^7+WeightSDS!Q$17*$AM5^6+WeightSDS!R$17*$AM5^5+WeightSDS!S$17*$AM5^4+WeightSDS!T$17*$AM5^3+WeightSDS!U$17*$AM5^2+WeightSDS!V$17*$AM5+WeightSDS!W$17,IF($AM5&lt;186,WeightSDS!$U$18+(WeightSDS!$V$18-WeightSDS!$U$18)/24*($AM5-186)+WeightSDS!$W$18*(-$AM5+186)^2-0.005,WeightSDS!$U$18+(WeightSDS!$V$18-WeightSDS!$U$18)/24*($AM5-186)-0.005)))</f>
        <v>0.14604529399999999</v>
      </c>
      <c r="AT5" s="4">
        <f t="shared" si="16"/>
        <v>0.56299999999999994</v>
      </c>
      <c r="AU5" s="4">
        <f t="shared" si="17"/>
        <v>69</v>
      </c>
      <c r="AV5" s="4">
        <f t="shared" si="18"/>
        <v>0.51</v>
      </c>
    </row>
    <row r="6" spans="1:48" x14ac:dyDescent="0.15">
      <c r="A6" s="4"/>
      <c r="B6" s="21"/>
      <c r="C6" s="21"/>
      <c r="D6" s="21"/>
      <c r="E6" s="22"/>
      <c r="F6" s="22"/>
      <c r="G6" s="23"/>
      <c r="H6" s="23"/>
      <c r="I6" s="181"/>
      <c r="J6" s="8" t="str">
        <f t="shared" si="3"/>
        <v/>
      </c>
      <c r="K6" s="2" t="str">
        <f t="shared" si="4"/>
        <v/>
      </c>
      <c r="L6" s="2" t="str">
        <f t="shared" si="0"/>
        <v/>
      </c>
      <c r="M6" s="2" t="str">
        <f t="shared" si="5"/>
        <v/>
      </c>
      <c r="N6" s="2" t="str">
        <f>IF(COUNTA(D6,E6,F6,G6,H6)=5,H6/G6^2*10000,"")</f>
        <v/>
      </c>
      <c r="O6" s="2" t="str">
        <f t="shared" si="6"/>
        <v/>
      </c>
      <c r="P6" s="8" t="str">
        <f t="shared" si="7"/>
        <v/>
      </c>
      <c r="Q6" s="8" t="str">
        <f t="shared" si="8"/>
        <v/>
      </c>
      <c r="R6" s="111" t="str">
        <f t="shared" si="9"/>
        <v/>
      </c>
      <c r="S6" s="44" t="str">
        <f t="shared" si="10"/>
        <v/>
      </c>
      <c r="T6" s="37" t="str">
        <f t="shared" si="11"/>
        <v/>
      </c>
      <c r="U6" s="44" t="str">
        <f t="shared" si="12"/>
        <v/>
      </c>
      <c r="V6" s="26"/>
      <c r="W6" s="26"/>
      <c r="X6" s="26"/>
      <c r="Y6" s="26"/>
      <c r="Z6" s="24"/>
      <c r="AA6" s="169">
        <f t="shared" si="13"/>
        <v>0</v>
      </c>
      <c r="AB6" s="4">
        <f t="shared" si="14"/>
        <v>0</v>
      </c>
      <c r="AC6" s="170">
        <f t="shared" si="15"/>
        <v>0</v>
      </c>
      <c r="AD6" s="58"/>
      <c r="AE6" s="58"/>
      <c r="AF6" s="58"/>
      <c r="AG6" s="59">
        <f t="shared" si="1"/>
        <v>9.0359999999999996</v>
      </c>
      <c r="AH6" s="59">
        <f t="shared" si="2"/>
        <v>-184.49199999999999</v>
      </c>
      <c r="AJ6" s="4">
        <f>IF(D6="M",IF(AM6&lt;78,BMILMS!$D$5*AM6^3+BMILMS!$E$5*AM6^2+BMILMS!$F$5*AM6+BMILMS!$G$5,IF(AM6&lt;150,BMILMS!$D$6*AM6^3+BMILMS!$E$6*AM6^2+BMILMS!$F$6*AM6+BMILMS!$G$6,BMILMS!$D$7*AM6^3+BMILMS!$E$7*AM6^2+BMILMS!$F$7*AM6+BMILMS!$G$7)),IF(AM6&lt;69,BMILMS!$D$9*AM6^3+BMILMS!$E$9*AM6^2+BMILMS!$F$9*AM6+BMILMS!$G$9,IF(AM6&lt;150,BMILMS!$D$10*AM6^3+BMILMS!$E$10*AM6^2+BMILMS!$F$10*AM6+BMILMS!$G$10,BMILMS!$D$11*AM6^3+BMILMS!$E$11*AM6^2+BMILMS!$F$11*AM6+BMILMS!$G$11)))</f>
        <v>0.79584630099999998</v>
      </c>
      <c r="AK6" s="4">
        <f>IF(D6="M",(IF(AM6&lt;2.5,BMILMS!$D$21*AM6^3+BMILMS!$E$21*AM6^2+BMILMS!$F$21*AM6+BMILMS!$G$21,IF(AM6&lt;9.5,BMILMS!$D$22*AM6^3+BMILMS!$E$22*AM6^2+BMILMS!$F$22*AM6+BMILMS!$G$22,IF(AM6&lt;26.75,BMILMS!$D$23*AM6^3+BMILMS!$E$23*AM6^2+BMILMS!$F$23*AM6+BMILMS!$G$23,IF(AM6&lt;90,BMILMS!$D$24*AM6^3+BMILMS!$E$24*AM6^2+BMILMS!$F$24*AM6+BMILMS!$G$24,BMILMS!$D$25*AM6^3+BMILMS!$E$25*AM6^2+BMILMS!$F$25*AM6+BMILMS!$G$25))))),(IF(AM6&lt;2.5,BMILMS!$D$27*AM6^3+BMILMS!$E$27*AM6^2+BMILMS!$F$27*AM6+BMILMS!$G$27,IF(AM6&lt;9.5,BMILMS!$D$28*AM6^3+BMILMS!$E$28*AM6^2+BMILMS!$F$28*AM6+BMILMS!$G$28,IF(AM6&lt;26.75,BMILMS!$D$29*AM6^3+BMILMS!$E$29*AM6^2+BMILMS!$F$29*AM6+BMILMS!$G$29,IF(AM6&lt;90,BMILMS!$D$30*AM6^3+BMILMS!$E$30*AM6^2+BMILMS!$F$30*AM6+BMILMS!$G$30,IF(AM6&lt;150,BMILMS!$D$31*AM6^3+BMILMS!$E$31*AM6^2+BMILMS!$F$31*AM6+BMILMS!$G$31,BMILMS!$D$32*AM6^3+BMILMS!$E$32*AM6^2+BMILMS!$F$32*AM6+BMILMS!$G$32)))))))</f>
        <v>12.568967990000001</v>
      </c>
      <c r="AL6" s="4">
        <f>IF(D6="M",(IF(AM6&lt;90,BMILMS!$D$14*AM6^3+BMILMS!$E$14*AM6^2+BMILMS!$F$14*AM6+BMILMS!$G$14,BMILMS!$D$15*AM6^3+BMILMS!$E$15*AM6^2+BMILMS!$F$15*AM6+BMILMS!$G$15)),(IF(AM6&lt;90,BMILMS!$D$17*AM6^3+BMILMS!$E$17*AM6^2+BMILMS!$F$17*AM6+BMILMS!$G$17,BMILMS!$D$18*AM6^3+BMILMS!$E$18*AM6^2+BMILMS!$F$18*AM6+BMILMS!$G$18)))</f>
        <v>8.8969350000000003E-2</v>
      </c>
      <c r="AM6" s="4">
        <f>AA6*12+AB6</f>
        <v>0</v>
      </c>
      <c r="AO6" s="56">
        <f>IF(D6="M",WeightSDS!P$5*$AM6^7+WeightSDS!Q$5*$AM6^6+WeightSDS!R$5*$AM6^5+WeightSDS!S$5*$AM6^4+WeightSDS!T$5*$AM6^3+WeightSDS!U$5*$AM6^2+WeightSDS!V$5*$AM6+WeightSDS!W$5,IF($AM6&lt;186,WeightSDS!P$8*$AM6^7+WeightSDS!Q$8*$AM6^6+WeightSDS!R$8*$AM6^5+WeightSDS!S$8*$AM6^4+WeightSDS!T$8*$AM6^3+WeightSDS!U$8*$AM6^2+WeightSDS!V$8*$AM6+WeightSDS!W$8,WeightSDS!$U$9+WeightSDS!$V$9*($AM6-WeightSDS!$W$9)))</f>
        <v>0.75407122999999998</v>
      </c>
      <c r="AP6" s="4">
        <f>IF(D6="M",IF($AM6&lt;45,WeightSDS!M$23*$AM6^10+WeightSDS!N$23*$AM6^9+WeightSDS!O$23*$AM6^8+WeightSDS!P$23*$AM6^7+WeightSDS!Q$23*$AM6^6+WeightSDS!R$23*$AM6^5+WeightSDS!S$23*$AM6^4+WeightSDS!T$23*$AM6^3+WeightSDS!U$23*$AM6^2+WeightSDS!V$23*$AM6+WeightSDS!W$23,IF($AM6&lt;153,WeightSDS!M$25*$AM6^10+WeightSDS!N$25*$AM6^9+WeightSDS!O$25*$AM6^8+WeightSDS!P$25*$AM6^7+WeightSDS!Q$25*$AM6^6+WeightSDS!R$25*$AM6^5+WeightSDS!S$25*$AM6^4+WeightSDS!T$25*$AM6^3+WeightSDS!U$25*$AM6^2+WeightSDS!V$25*$AM6+WeightSDS!W$25,WeightSDS!M$27+WeightSDS!N$27/(1+EXP(WeightSDS!O$27+WeightSDS!P$27*$AM6)))),IF($AM6&lt;43.8,WeightSDS!M$29*$AM6^10+WeightSDS!N$29*$AM6^9+WeightSDS!O$29*$AM6^8+WeightSDS!P$29*$AM6^7+WeightSDS!Q$29*$AM6^6+WeightSDS!R$29*$AM6^5+WeightSDS!S$29*$AM6^4+WeightSDS!T$29*$AM6^3+WeightSDS!U$29*$AM6^2+WeightSDS!V$29*$AM6+WeightSDS!W$29-0.010431*(1-$AM6/210),IF($AM6&lt;123,WeightSDS!M$30*$AM6^10+WeightSDS!N$30*$AM6^9+WeightSDS!O$30*$AM6^8+WeightSDS!P$30*$AM6^7+WeightSDS!Q$30*$AM6^6+WeightSDS!R$30*$AM6^5+WeightSDS!S$30*$AM6^4+WeightSDS!T$30*$AM6^3+WeightSDS!U$30*$AM6^2+WeightSDS!V$30*$AM6+WeightSDS!W$30-0.010431*(1-1/$AM6),WeightSDS!M$32+WeightSDS!N$32/(1+EXP(WeightSDS!O$32+WeightSDS!P$32*$AM6))-0.010431*(1-$AM6/210))))</f>
        <v>2.9500001032655536</v>
      </c>
      <c r="AQ6" s="4">
        <f>IF(D6="M",IF($AM6&lt;162,WeightSDS!P$12*$AM6^7+WeightSDS!Q$12*$AM6^6+WeightSDS!R$12*$AM6^5+WeightSDS!S$12*$AM6^4+WeightSDS!T$12*$AM6^3+WeightSDS!U$12*$AM6^2+WeightSDS!V$12*$AM6+WeightSDS!W$12,WeightSDS!P$14*$AM6^7+WeightSDS!Q$14*$AM6^6+WeightSDS!R$14*$AM6^5+WeightSDS!S$14*$AM6^4+WeightSDS!T$14*$AM6^3+WeightSDS!U$14*$AM6^2+WeightSDS!V$14*$AM6+WeightSDS!W$14),IF($AM6&lt;156,WeightSDS!O$17*$AM6^8+WeightSDS!P$17*$AM6^7+WeightSDS!Q$17*$AM6^6+WeightSDS!R$17*$AM6^5+WeightSDS!S$17*$AM6^4+WeightSDS!T$17*$AM6^3+WeightSDS!U$17*$AM6^2+WeightSDS!V$17*$AM6+WeightSDS!W$17,IF($AM6&lt;186,WeightSDS!$U$18+(WeightSDS!$V$18-WeightSDS!$U$18)/24*($AM6-186)+WeightSDS!$W$18*(-$AM6+186)^2-0.005,WeightSDS!$U$18+(WeightSDS!$V$18-WeightSDS!$U$18)/24*($AM6-186)-0.005)))</f>
        <v>0.14604529399999999</v>
      </c>
      <c r="AT6" s="4">
        <f t="shared" si="16"/>
        <v>0.56299999999999994</v>
      </c>
      <c r="AU6" s="4">
        <f t="shared" si="17"/>
        <v>69</v>
      </c>
      <c r="AV6" s="4">
        <f t="shared" si="18"/>
        <v>0.51</v>
      </c>
    </row>
    <row r="7" spans="1:48" x14ac:dyDescent="0.15">
      <c r="A7" s="4"/>
      <c r="B7" s="21"/>
      <c r="C7" s="21"/>
      <c r="D7" s="21"/>
      <c r="E7" s="22"/>
      <c r="F7" s="22"/>
      <c r="G7" s="23"/>
      <c r="H7" s="23"/>
      <c r="I7" s="181"/>
      <c r="J7" s="8" t="str">
        <f t="shared" si="3"/>
        <v/>
      </c>
      <c r="K7" s="2" t="str">
        <f t="shared" si="4"/>
        <v/>
      </c>
      <c r="L7" s="2" t="str">
        <f t="shared" si="0"/>
        <v/>
      </c>
      <c r="M7" s="2" t="str">
        <f t="shared" si="5"/>
        <v/>
      </c>
      <c r="N7" s="2" t="str">
        <f>IF(COUNTA(D7,E7,F7,G7,H7)=5,H7/G7^2*10000,"")</f>
        <v/>
      </c>
      <c r="O7" s="2" t="str">
        <f t="shared" si="6"/>
        <v/>
      </c>
      <c r="P7" s="8" t="str">
        <f t="shared" si="7"/>
        <v/>
      </c>
      <c r="Q7" s="8" t="str">
        <f t="shared" si="8"/>
        <v/>
      </c>
      <c r="R7" s="111" t="str">
        <f t="shared" si="9"/>
        <v/>
      </c>
      <c r="S7" s="44" t="str">
        <f t="shared" si="10"/>
        <v/>
      </c>
      <c r="T7" s="37" t="str">
        <f t="shared" si="11"/>
        <v/>
      </c>
      <c r="U7" s="44" t="str">
        <f t="shared" si="12"/>
        <v/>
      </c>
      <c r="V7" s="26"/>
      <c r="W7" s="26"/>
      <c r="X7" s="26"/>
      <c r="Y7" s="26"/>
      <c r="Z7" s="24"/>
      <c r="AA7" s="169">
        <f t="shared" si="13"/>
        <v>0</v>
      </c>
      <c r="AB7" s="4">
        <f t="shared" si="14"/>
        <v>0</v>
      </c>
      <c r="AC7" s="170">
        <f t="shared" si="15"/>
        <v>0</v>
      </c>
      <c r="AD7" s="58"/>
      <c r="AE7" s="58"/>
      <c r="AF7" s="58"/>
      <c r="AG7" s="59">
        <f t="shared" si="1"/>
        <v>9.0359999999999996</v>
      </c>
      <c r="AH7" s="59">
        <f t="shared" si="2"/>
        <v>-184.49199999999999</v>
      </c>
      <c r="AJ7" s="4">
        <f>IF(D7="M",IF(AM7&lt;78,BMILMS!$D$5*AM7^3+BMILMS!$E$5*AM7^2+BMILMS!$F$5*AM7+BMILMS!$G$5,IF(AM7&lt;150,BMILMS!$D$6*AM7^3+BMILMS!$E$6*AM7^2+BMILMS!$F$6*AM7+BMILMS!$G$6,BMILMS!$D$7*AM7^3+BMILMS!$E$7*AM7^2+BMILMS!$F$7*AM7+BMILMS!$G$7)),IF(AM7&lt;69,BMILMS!$D$9*AM7^3+BMILMS!$E$9*AM7^2+BMILMS!$F$9*AM7+BMILMS!$G$9,IF(AM7&lt;150,BMILMS!$D$10*AM7^3+BMILMS!$E$10*AM7^2+BMILMS!$F$10*AM7+BMILMS!$G$10,BMILMS!$D$11*AM7^3+BMILMS!$E$11*AM7^2+BMILMS!$F$11*AM7+BMILMS!$G$11)))</f>
        <v>0.79584630099999998</v>
      </c>
      <c r="AK7" s="4">
        <f>IF(D7="M",(IF(AM7&lt;2.5,BMILMS!$D$21*AM7^3+BMILMS!$E$21*AM7^2+BMILMS!$F$21*AM7+BMILMS!$G$21,IF(AM7&lt;9.5,BMILMS!$D$22*AM7^3+BMILMS!$E$22*AM7^2+BMILMS!$F$22*AM7+BMILMS!$G$22,IF(AM7&lt;26.75,BMILMS!$D$23*AM7^3+BMILMS!$E$23*AM7^2+BMILMS!$F$23*AM7+BMILMS!$G$23,IF(AM7&lt;90,BMILMS!$D$24*AM7^3+BMILMS!$E$24*AM7^2+BMILMS!$F$24*AM7+BMILMS!$G$24,BMILMS!$D$25*AM7^3+BMILMS!$E$25*AM7^2+BMILMS!$F$25*AM7+BMILMS!$G$25))))),(IF(AM7&lt;2.5,BMILMS!$D$27*AM7^3+BMILMS!$E$27*AM7^2+BMILMS!$F$27*AM7+BMILMS!$G$27,IF(AM7&lt;9.5,BMILMS!$D$28*AM7^3+BMILMS!$E$28*AM7^2+BMILMS!$F$28*AM7+BMILMS!$G$28,IF(AM7&lt;26.75,BMILMS!$D$29*AM7^3+BMILMS!$E$29*AM7^2+BMILMS!$F$29*AM7+BMILMS!$G$29,IF(AM7&lt;90,BMILMS!$D$30*AM7^3+BMILMS!$E$30*AM7^2+BMILMS!$F$30*AM7+BMILMS!$G$30,IF(AM7&lt;150,BMILMS!$D$31*AM7^3+BMILMS!$E$31*AM7^2+BMILMS!$F$31*AM7+BMILMS!$G$31,BMILMS!$D$32*AM7^3+BMILMS!$E$32*AM7^2+BMILMS!$F$32*AM7+BMILMS!$G$32)))))))</f>
        <v>12.568967990000001</v>
      </c>
      <c r="AL7" s="4">
        <f>IF(D7="M",(IF(AM7&lt;90,BMILMS!$D$14*AM7^3+BMILMS!$E$14*AM7^2+BMILMS!$F$14*AM7+BMILMS!$G$14,BMILMS!$D$15*AM7^3+BMILMS!$E$15*AM7^2+BMILMS!$F$15*AM7+BMILMS!$G$15)),(IF(AM7&lt;90,BMILMS!$D$17*AM7^3+BMILMS!$E$17*AM7^2+BMILMS!$F$17*AM7+BMILMS!$G$17,BMILMS!$D$18*AM7^3+BMILMS!$E$18*AM7^2+BMILMS!$F$18*AM7+BMILMS!$G$18)))</f>
        <v>8.8969350000000003E-2</v>
      </c>
      <c r="AM7" s="4">
        <f>AA7*12+AB7</f>
        <v>0</v>
      </c>
      <c r="AO7" s="56">
        <f>IF(D7="M",WeightSDS!P$5*$AM7^7+WeightSDS!Q$5*$AM7^6+WeightSDS!R$5*$AM7^5+WeightSDS!S$5*$AM7^4+WeightSDS!T$5*$AM7^3+WeightSDS!U$5*$AM7^2+WeightSDS!V$5*$AM7+WeightSDS!W$5,IF($AM7&lt;186,WeightSDS!P$8*$AM7^7+WeightSDS!Q$8*$AM7^6+WeightSDS!R$8*$AM7^5+WeightSDS!S$8*$AM7^4+WeightSDS!T$8*$AM7^3+WeightSDS!U$8*$AM7^2+WeightSDS!V$8*$AM7+WeightSDS!W$8,WeightSDS!$U$9+WeightSDS!$V$9*($AM7-WeightSDS!$W$9)))</f>
        <v>0.75407122999999998</v>
      </c>
      <c r="AP7" s="4">
        <f>IF(D7="M",IF($AM7&lt;45,WeightSDS!M$23*$AM7^10+WeightSDS!N$23*$AM7^9+WeightSDS!O$23*$AM7^8+WeightSDS!P$23*$AM7^7+WeightSDS!Q$23*$AM7^6+WeightSDS!R$23*$AM7^5+WeightSDS!S$23*$AM7^4+WeightSDS!T$23*$AM7^3+WeightSDS!U$23*$AM7^2+WeightSDS!V$23*$AM7+WeightSDS!W$23,IF($AM7&lt;153,WeightSDS!M$25*$AM7^10+WeightSDS!N$25*$AM7^9+WeightSDS!O$25*$AM7^8+WeightSDS!P$25*$AM7^7+WeightSDS!Q$25*$AM7^6+WeightSDS!R$25*$AM7^5+WeightSDS!S$25*$AM7^4+WeightSDS!T$25*$AM7^3+WeightSDS!U$25*$AM7^2+WeightSDS!V$25*$AM7+WeightSDS!W$25,WeightSDS!M$27+WeightSDS!N$27/(1+EXP(WeightSDS!O$27+WeightSDS!P$27*$AM7)))),IF($AM7&lt;43.8,WeightSDS!M$29*$AM7^10+WeightSDS!N$29*$AM7^9+WeightSDS!O$29*$AM7^8+WeightSDS!P$29*$AM7^7+WeightSDS!Q$29*$AM7^6+WeightSDS!R$29*$AM7^5+WeightSDS!S$29*$AM7^4+WeightSDS!T$29*$AM7^3+WeightSDS!U$29*$AM7^2+WeightSDS!V$29*$AM7+WeightSDS!W$29-0.010431*(1-$AM7/210),IF($AM7&lt;123,WeightSDS!M$30*$AM7^10+WeightSDS!N$30*$AM7^9+WeightSDS!O$30*$AM7^8+WeightSDS!P$30*$AM7^7+WeightSDS!Q$30*$AM7^6+WeightSDS!R$30*$AM7^5+WeightSDS!S$30*$AM7^4+WeightSDS!T$30*$AM7^3+WeightSDS!U$30*$AM7^2+WeightSDS!V$30*$AM7+WeightSDS!W$30-0.010431*(1-1/$AM7),WeightSDS!M$32+WeightSDS!N$32/(1+EXP(WeightSDS!O$32+WeightSDS!P$32*$AM7))-0.010431*(1-$AM7/210))))</f>
        <v>2.9500001032655536</v>
      </c>
      <c r="AQ7" s="4">
        <f>IF(D7="M",IF($AM7&lt;162,WeightSDS!P$12*$AM7^7+WeightSDS!Q$12*$AM7^6+WeightSDS!R$12*$AM7^5+WeightSDS!S$12*$AM7^4+WeightSDS!T$12*$AM7^3+WeightSDS!U$12*$AM7^2+WeightSDS!V$12*$AM7+WeightSDS!W$12,WeightSDS!P$14*$AM7^7+WeightSDS!Q$14*$AM7^6+WeightSDS!R$14*$AM7^5+WeightSDS!S$14*$AM7^4+WeightSDS!T$14*$AM7^3+WeightSDS!U$14*$AM7^2+WeightSDS!V$14*$AM7+WeightSDS!W$14),IF($AM7&lt;156,WeightSDS!O$17*$AM7^8+WeightSDS!P$17*$AM7^7+WeightSDS!Q$17*$AM7^6+WeightSDS!R$17*$AM7^5+WeightSDS!S$17*$AM7^4+WeightSDS!T$17*$AM7^3+WeightSDS!U$17*$AM7^2+WeightSDS!V$17*$AM7+WeightSDS!W$17,IF($AM7&lt;186,WeightSDS!$U$18+(WeightSDS!$V$18-WeightSDS!$U$18)/24*($AM7-186)+WeightSDS!$W$18*(-$AM7+186)^2-0.005,WeightSDS!$U$18+(WeightSDS!$V$18-WeightSDS!$U$18)/24*($AM7-186)-0.005)))</f>
        <v>0.14604529399999999</v>
      </c>
      <c r="AT7" s="4">
        <f t="shared" si="16"/>
        <v>0.56299999999999994</v>
      </c>
      <c r="AU7" s="4">
        <f t="shared" si="17"/>
        <v>69</v>
      </c>
      <c r="AV7" s="4">
        <f t="shared" si="18"/>
        <v>0.51</v>
      </c>
    </row>
    <row r="8" spans="1:48" x14ac:dyDescent="0.15">
      <c r="A8" s="4"/>
      <c r="B8" s="21"/>
      <c r="C8" s="21"/>
      <c r="D8" s="21"/>
      <c r="E8" s="22"/>
      <c r="F8" s="22"/>
      <c r="G8" s="23"/>
      <c r="H8" s="23"/>
      <c r="I8" s="181"/>
      <c r="J8" s="8" t="str">
        <f t="shared" si="3"/>
        <v/>
      </c>
      <c r="K8" s="2" t="str">
        <f t="shared" si="4"/>
        <v/>
      </c>
      <c r="L8" s="2" t="str">
        <f t="shared" si="0"/>
        <v/>
      </c>
      <c r="M8" s="2" t="str">
        <f t="shared" si="5"/>
        <v/>
      </c>
      <c r="N8" s="2" t="str">
        <f t="shared" ref="N8:N71" si="19">IF(COUNTA(D8,E8,F8,G8,H8)=5,H8/G8^2*10000,"")</f>
        <v/>
      </c>
      <c r="O8" s="2" t="str">
        <f t="shared" si="6"/>
        <v/>
      </c>
      <c r="P8" s="8" t="str">
        <f t="shared" si="7"/>
        <v/>
      </c>
      <c r="Q8" s="8" t="str">
        <f t="shared" si="8"/>
        <v/>
      </c>
      <c r="R8" s="111" t="str">
        <f t="shared" si="9"/>
        <v/>
      </c>
      <c r="S8" s="44" t="str">
        <f t="shared" si="10"/>
        <v/>
      </c>
      <c r="T8" s="37" t="str">
        <f t="shared" si="11"/>
        <v/>
      </c>
      <c r="U8" s="44" t="str">
        <f t="shared" si="12"/>
        <v/>
      </c>
      <c r="V8" s="26"/>
      <c r="W8" s="26"/>
      <c r="X8" s="26"/>
      <c r="Y8" s="26"/>
      <c r="Z8" s="24"/>
      <c r="AA8" s="169">
        <f t="shared" si="13"/>
        <v>0</v>
      </c>
      <c r="AB8" s="4">
        <f t="shared" si="14"/>
        <v>0</v>
      </c>
      <c r="AC8" s="170">
        <f t="shared" si="15"/>
        <v>0</v>
      </c>
      <c r="AD8" s="58"/>
      <c r="AE8" s="58"/>
      <c r="AF8" s="58"/>
      <c r="AG8" s="59">
        <f t="shared" si="1"/>
        <v>9.0359999999999996</v>
      </c>
      <c r="AH8" s="59">
        <f t="shared" si="2"/>
        <v>-184.49199999999999</v>
      </c>
      <c r="AJ8" s="4">
        <f>IF(D8="M",IF(AM8&lt;78,BMILMS!$D$5*AM8^3+BMILMS!$E$5*AM8^2+BMILMS!$F$5*AM8+BMILMS!$G$5,IF(AM8&lt;150,BMILMS!$D$6*AM8^3+BMILMS!$E$6*AM8^2+BMILMS!$F$6*AM8+BMILMS!$G$6,BMILMS!$D$7*AM8^3+BMILMS!$E$7*AM8^2+BMILMS!$F$7*AM8+BMILMS!$G$7)),IF(AM8&lt;69,BMILMS!$D$9*AM8^3+BMILMS!$E$9*AM8^2+BMILMS!$F$9*AM8+BMILMS!$G$9,IF(AM8&lt;150,BMILMS!$D$10*AM8^3+BMILMS!$E$10*AM8^2+BMILMS!$F$10*AM8+BMILMS!$G$10,BMILMS!$D$11*AM8^3+BMILMS!$E$11*AM8^2+BMILMS!$F$11*AM8+BMILMS!$G$11)))</f>
        <v>0.79584630099999998</v>
      </c>
      <c r="AK8" s="4">
        <f>IF(D8="M",(IF(AM8&lt;2.5,BMILMS!$D$21*AM8^3+BMILMS!$E$21*AM8^2+BMILMS!$F$21*AM8+BMILMS!$G$21,IF(AM8&lt;9.5,BMILMS!$D$22*AM8^3+BMILMS!$E$22*AM8^2+BMILMS!$F$22*AM8+BMILMS!$G$22,IF(AM8&lt;26.75,BMILMS!$D$23*AM8^3+BMILMS!$E$23*AM8^2+BMILMS!$F$23*AM8+BMILMS!$G$23,IF(AM8&lt;90,BMILMS!$D$24*AM8^3+BMILMS!$E$24*AM8^2+BMILMS!$F$24*AM8+BMILMS!$G$24,BMILMS!$D$25*AM8^3+BMILMS!$E$25*AM8^2+BMILMS!$F$25*AM8+BMILMS!$G$25))))),(IF(AM8&lt;2.5,BMILMS!$D$27*AM8^3+BMILMS!$E$27*AM8^2+BMILMS!$F$27*AM8+BMILMS!$G$27,IF(AM8&lt;9.5,BMILMS!$D$28*AM8^3+BMILMS!$E$28*AM8^2+BMILMS!$F$28*AM8+BMILMS!$G$28,IF(AM8&lt;26.75,BMILMS!$D$29*AM8^3+BMILMS!$E$29*AM8^2+BMILMS!$F$29*AM8+BMILMS!$G$29,IF(AM8&lt;90,BMILMS!$D$30*AM8^3+BMILMS!$E$30*AM8^2+BMILMS!$F$30*AM8+BMILMS!$G$30,IF(AM8&lt;150,BMILMS!$D$31*AM8^3+BMILMS!$E$31*AM8^2+BMILMS!$F$31*AM8+BMILMS!$G$31,BMILMS!$D$32*AM8^3+BMILMS!$E$32*AM8^2+BMILMS!$F$32*AM8+BMILMS!$G$32)))))))</f>
        <v>12.568967990000001</v>
      </c>
      <c r="AL8" s="4">
        <f>IF(D8="M",(IF(AM8&lt;90,BMILMS!$D$14*AM8^3+BMILMS!$E$14*AM8^2+BMILMS!$F$14*AM8+BMILMS!$G$14,BMILMS!$D$15*AM8^3+BMILMS!$E$15*AM8^2+BMILMS!$F$15*AM8+BMILMS!$G$15)),(IF(AM8&lt;90,BMILMS!$D$17*AM8^3+BMILMS!$E$17*AM8^2+BMILMS!$F$17*AM8+BMILMS!$G$17,BMILMS!$D$18*AM8^3+BMILMS!$E$18*AM8^2+BMILMS!$F$18*AM8+BMILMS!$G$18)))</f>
        <v>8.8969350000000003E-2</v>
      </c>
      <c r="AM8" s="4">
        <f t="shared" ref="AM8:AM71" si="20">AA8*12+AB8</f>
        <v>0</v>
      </c>
      <c r="AO8" s="56">
        <f>IF(D8="M",WeightSDS!P$5*$AM8^7+WeightSDS!Q$5*$AM8^6+WeightSDS!R$5*$AM8^5+WeightSDS!S$5*$AM8^4+WeightSDS!T$5*$AM8^3+WeightSDS!U$5*$AM8^2+WeightSDS!V$5*$AM8+WeightSDS!W$5,IF($AM8&lt;186,WeightSDS!P$8*$AM8^7+WeightSDS!Q$8*$AM8^6+WeightSDS!R$8*$AM8^5+WeightSDS!S$8*$AM8^4+WeightSDS!T$8*$AM8^3+WeightSDS!U$8*$AM8^2+WeightSDS!V$8*$AM8+WeightSDS!W$8,WeightSDS!$U$9+WeightSDS!$V$9*($AM8-WeightSDS!$W$9)))</f>
        <v>0.75407122999999998</v>
      </c>
      <c r="AP8" s="4">
        <f>IF(D8="M",IF($AM8&lt;45,WeightSDS!M$23*$AM8^10+WeightSDS!N$23*$AM8^9+WeightSDS!O$23*$AM8^8+WeightSDS!P$23*$AM8^7+WeightSDS!Q$23*$AM8^6+WeightSDS!R$23*$AM8^5+WeightSDS!S$23*$AM8^4+WeightSDS!T$23*$AM8^3+WeightSDS!U$23*$AM8^2+WeightSDS!V$23*$AM8+WeightSDS!W$23,IF($AM8&lt;153,WeightSDS!M$25*$AM8^10+WeightSDS!N$25*$AM8^9+WeightSDS!O$25*$AM8^8+WeightSDS!P$25*$AM8^7+WeightSDS!Q$25*$AM8^6+WeightSDS!R$25*$AM8^5+WeightSDS!S$25*$AM8^4+WeightSDS!T$25*$AM8^3+WeightSDS!U$25*$AM8^2+WeightSDS!V$25*$AM8+WeightSDS!W$25,WeightSDS!M$27+WeightSDS!N$27/(1+EXP(WeightSDS!O$27+WeightSDS!P$27*$AM8)))),IF($AM8&lt;43.8,WeightSDS!M$29*$AM8^10+WeightSDS!N$29*$AM8^9+WeightSDS!O$29*$AM8^8+WeightSDS!P$29*$AM8^7+WeightSDS!Q$29*$AM8^6+WeightSDS!R$29*$AM8^5+WeightSDS!S$29*$AM8^4+WeightSDS!T$29*$AM8^3+WeightSDS!U$29*$AM8^2+WeightSDS!V$29*$AM8+WeightSDS!W$29-0.010431*(1-$AM8/210),IF($AM8&lt;123,WeightSDS!M$30*$AM8^10+WeightSDS!N$30*$AM8^9+WeightSDS!O$30*$AM8^8+WeightSDS!P$30*$AM8^7+WeightSDS!Q$30*$AM8^6+WeightSDS!R$30*$AM8^5+WeightSDS!S$30*$AM8^4+WeightSDS!T$30*$AM8^3+WeightSDS!U$30*$AM8^2+WeightSDS!V$30*$AM8+WeightSDS!W$30-0.010431*(1-1/$AM8),WeightSDS!M$32+WeightSDS!N$32/(1+EXP(WeightSDS!O$32+WeightSDS!P$32*$AM8))-0.010431*(1-$AM8/210))))</f>
        <v>2.9500001032655536</v>
      </c>
      <c r="AQ8" s="4">
        <f>IF(D8="M",IF($AM8&lt;162,WeightSDS!P$12*$AM8^7+WeightSDS!Q$12*$AM8^6+WeightSDS!R$12*$AM8^5+WeightSDS!S$12*$AM8^4+WeightSDS!T$12*$AM8^3+WeightSDS!U$12*$AM8^2+WeightSDS!V$12*$AM8+WeightSDS!W$12,WeightSDS!P$14*$AM8^7+WeightSDS!Q$14*$AM8^6+WeightSDS!R$14*$AM8^5+WeightSDS!S$14*$AM8^4+WeightSDS!T$14*$AM8^3+WeightSDS!U$14*$AM8^2+WeightSDS!V$14*$AM8+WeightSDS!W$14),IF($AM8&lt;156,WeightSDS!O$17*$AM8^8+WeightSDS!P$17*$AM8^7+WeightSDS!Q$17*$AM8^6+WeightSDS!R$17*$AM8^5+WeightSDS!S$17*$AM8^4+WeightSDS!T$17*$AM8^3+WeightSDS!U$17*$AM8^2+WeightSDS!V$17*$AM8+WeightSDS!W$17,IF($AM8&lt;186,WeightSDS!$U$18+(WeightSDS!$V$18-WeightSDS!$U$18)/24*($AM8-186)+WeightSDS!$W$18*(-$AM8+186)^2-0.005,WeightSDS!$U$18+(WeightSDS!$V$18-WeightSDS!$U$18)/24*($AM8-186)-0.005)))</f>
        <v>0.14604529399999999</v>
      </c>
      <c r="AT8" s="4">
        <f t="shared" si="16"/>
        <v>0.56299999999999994</v>
      </c>
      <c r="AU8" s="4">
        <f t="shared" si="17"/>
        <v>69</v>
      </c>
      <c r="AV8" s="4">
        <f t="shared" si="18"/>
        <v>0.51</v>
      </c>
    </row>
    <row r="9" spans="1:48" x14ac:dyDescent="0.15">
      <c r="A9" s="4"/>
      <c r="B9" s="21"/>
      <c r="C9" s="21"/>
      <c r="D9" s="21"/>
      <c r="E9" s="22"/>
      <c r="F9" s="22"/>
      <c r="G9" s="23"/>
      <c r="H9" s="23"/>
      <c r="I9" s="181"/>
      <c r="J9" s="8" t="str">
        <f t="shared" si="3"/>
        <v/>
      </c>
      <c r="K9" s="2" t="str">
        <f t="shared" si="4"/>
        <v/>
      </c>
      <c r="L9" s="2" t="str">
        <f t="shared" si="0"/>
        <v/>
      </c>
      <c r="M9" s="2" t="str">
        <f t="shared" si="5"/>
        <v/>
      </c>
      <c r="N9" s="2" t="str">
        <f t="shared" si="19"/>
        <v/>
      </c>
      <c r="O9" s="2" t="str">
        <f t="shared" si="6"/>
        <v/>
      </c>
      <c r="P9" s="8" t="str">
        <f t="shared" si="7"/>
        <v/>
      </c>
      <c r="Q9" s="8" t="str">
        <f t="shared" si="8"/>
        <v/>
      </c>
      <c r="R9" s="111" t="str">
        <f t="shared" si="9"/>
        <v/>
      </c>
      <c r="S9" s="44" t="str">
        <f t="shared" si="10"/>
        <v/>
      </c>
      <c r="T9" s="37" t="str">
        <f t="shared" si="11"/>
        <v/>
      </c>
      <c r="U9" s="44" t="str">
        <f t="shared" si="12"/>
        <v/>
      </c>
      <c r="V9" s="26"/>
      <c r="W9" s="26"/>
      <c r="X9" s="26"/>
      <c r="Y9" s="26"/>
      <c r="Z9" s="24"/>
      <c r="AA9" s="169">
        <f t="shared" si="13"/>
        <v>0</v>
      </c>
      <c r="AB9" s="4">
        <f t="shared" si="14"/>
        <v>0</v>
      </c>
      <c r="AC9" s="170">
        <f t="shared" si="15"/>
        <v>0</v>
      </c>
      <c r="AD9" s="58"/>
      <c r="AE9" s="58"/>
      <c r="AF9" s="58"/>
      <c r="AG9" s="59">
        <f t="shared" si="1"/>
        <v>9.0359999999999996</v>
      </c>
      <c r="AH9" s="59">
        <f t="shared" si="2"/>
        <v>-184.49199999999999</v>
      </c>
      <c r="AJ9" s="4">
        <f>IF(D9="M",IF(AM9&lt;78,BMILMS!$D$5*AM9^3+BMILMS!$E$5*AM9^2+BMILMS!$F$5*AM9+BMILMS!$G$5,IF(AM9&lt;150,BMILMS!$D$6*AM9^3+BMILMS!$E$6*AM9^2+BMILMS!$F$6*AM9+BMILMS!$G$6,BMILMS!$D$7*AM9^3+BMILMS!$E$7*AM9^2+BMILMS!$F$7*AM9+BMILMS!$G$7)),IF(AM9&lt;69,BMILMS!$D$9*AM9^3+BMILMS!$E$9*AM9^2+BMILMS!$F$9*AM9+BMILMS!$G$9,IF(AM9&lt;150,BMILMS!$D$10*AM9^3+BMILMS!$E$10*AM9^2+BMILMS!$F$10*AM9+BMILMS!$G$10,BMILMS!$D$11*AM9^3+BMILMS!$E$11*AM9^2+BMILMS!$F$11*AM9+BMILMS!$G$11)))</f>
        <v>0.79584630099999998</v>
      </c>
      <c r="AK9" s="4">
        <f>IF(D9="M",(IF(AM9&lt;2.5,BMILMS!$D$21*AM9^3+BMILMS!$E$21*AM9^2+BMILMS!$F$21*AM9+BMILMS!$G$21,IF(AM9&lt;9.5,BMILMS!$D$22*AM9^3+BMILMS!$E$22*AM9^2+BMILMS!$F$22*AM9+BMILMS!$G$22,IF(AM9&lt;26.75,BMILMS!$D$23*AM9^3+BMILMS!$E$23*AM9^2+BMILMS!$F$23*AM9+BMILMS!$G$23,IF(AM9&lt;90,BMILMS!$D$24*AM9^3+BMILMS!$E$24*AM9^2+BMILMS!$F$24*AM9+BMILMS!$G$24,BMILMS!$D$25*AM9^3+BMILMS!$E$25*AM9^2+BMILMS!$F$25*AM9+BMILMS!$G$25))))),(IF(AM9&lt;2.5,BMILMS!$D$27*AM9^3+BMILMS!$E$27*AM9^2+BMILMS!$F$27*AM9+BMILMS!$G$27,IF(AM9&lt;9.5,BMILMS!$D$28*AM9^3+BMILMS!$E$28*AM9^2+BMILMS!$F$28*AM9+BMILMS!$G$28,IF(AM9&lt;26.75,BMILMS!$D$29*AM9^3+BMILMS!$E$29*AM9^2+BMILMS!$F$29*AM9+BMILMS!$G$29,IF(AM9&lt;90,BMILMS!$D$30*AM9^3+BMILMS!$E$30*AM9^2+BMILMS!$F$30*AM9+BMILMS!$G$30,IF(AM9&lt;150,BMILMS!$D$31*AM9^3+BMILMS!$E$31*AM9^2+BMILMS!$F$31*AM9+BMILMS!$G$31,BMILMS!$D$32*AM9^3+BMILMS!$E$32*AM9^2+BMILMS!$F$32*AM9+BMILMS!$G$32)))))))</f>
        <v>12.568967990000001</v>
      </c>
      <c r="AL9" s="4">
        <f>IF(D9="M",(IF(AM9&lt;90,BMILMS!$D$14*AM9^3+BMILMS!$E$14*AM9^2+BMILMS!$F$14*AM9+BMILMS!$G$14,BMILMS!$D$15*AM9^3+BMILMS!$E$15*AM9^2+BMILMS!$F$15*AM9+BMILMS!$G$15)),(IF(AM9&lt;90,BMILMS!$D$17*AM9^3+BMILMS!$E$17*AM9^2+BMILMS!$F$17*AM9+BMILMS!$G$17,BMILMS!$D$18*AM9^3+BMILMS!$E$18*AM9^2+BMILMS!$F$18*AM9+BMILMS!$G$18)))</f>
        <v>8.8969350000000003E-2</v>
      </c>
      <c r="AM9" s="4">
        <f t="shared" si="20"/>
        <v>0</v>
      </c>
      <c r="AO9" s="56">
        <f>IF(D9="M",WeightSDS!P$5*$AM9^7+WeightSDS!Q$5*$AM9^6+WeightSDS!R$5*$AM9^5+WeightSDS!S$5*$AM9^4+WeightSDS!T$5*$AM9^3+WeightSDS!U$5*$AM9^2+WeightSDS!V$5*$AM9+WeightSDS!W$5,IF($AM9&lt;186,WeightSDS!P$8*$AM9^7+WeightSDS!Q$8*$AM9^6+WeightSDS!R$8*$AM9^5+WeightSDS!S$8*$AM9^4+WeightSDS!T$8*$AM9^3+WeightSDS!U$8*$AM9^2+WeightSDS!V$8*$AM9+WeightSDS!W$8,WeightSDS!$U$9+WeightSDS!$V$9*($AM9-WeightSDS!$W$9)))</f>
        <v>0.75407122999999998</v>
      </c>
      <c r="AP9" s="4">
        <f>IF(D9="M",IF($AM9&lt;45,WeightSDS!M$23*$AM9^10+WeightSDS!N$23*$AM9^9+WeightSDS!O$23*$AM9^8+WeightSDS!P$23*$AM9^7+WeightSDS!Q$23*$AM9^6+WeightSDS!R$23*$AM9^5+WeightSDS!S$23*$AM9^4+WeightSDS!T$23*$AM9^3+WeightSDS!U$23*$AM9^2+WeightSDS!V$23*$AM9+WeightSDS!W$23,IF($AM9&lt;153,WeightSDS!M$25*$AM9^10+WeightSDS!N$25*$AM9^9+WeightSDS!O$25*$AM9^8+WeightSDS!P$25*$AM9^7+WeightSDS!Q$25*$AM9^6+WeightSDS!R$25*$AM9^5+WeightSDS!S$25*$AM9^4+WeightSDS!T$25*$AM9^3+WeightSDS!U$25*$AM9^2+WeightSDS!V$25*$AM9+WeightSDS!W$25,WeightSDS!M$27+WeightSDS!N$27/(1+EXP(WeightSDS!O$27+WeightSDS!P$27*$AM9)))),IF($AM9&lt;43.8,WeightSDS!M$29*$AM9^10+WeightSDS!N$29*$AM9^9+WeightSDS!O$29*$AM9^8+WeightSDS!P$29*$AM9^7+WeightSDS!Q$29*$AM9^6+WeightSDS!R$29*$AM9^5+WeightSDS!S$29*$AM9^4+WeightSDS!T$29*$AM9^3+WeightSDS!U$29*$AM9^2+WeightSDS!V$29*$AM9+WeightSDS!W$29-0.010431*(1-$AM9/210),IF($AM9&lt;123,WeightSDS!M$30*$AM9^10+WeightSDS!N$30*$AM9^9+WeightSDS!O$30*$AM9^8+WeightSDS!P$30*$AM9^7+WeightSDS!Q$30*$AM9^6+WeightSDS!R$30*$AM9^5+WeightSDS!S$30*$AM9^4+WeightSDS!T$30*$AM9^3+WeightSDS!U$30*$AM9^2+WeightSDS!V$30*$AM9+WeightSDS!W$30-0.010431*(1-1/$AM9),WeightSDS!M$32+WeightSDS!N$32/(1+EXP(WeightSDS!O$32+WeightSDS!P$32*$AM9))-0.010431*(1-$AM9/210))))</f>
        <v>2.9500001032655536</v>
      </c>
      <c r="AQ9" s="4">
        <f>IF(D9="M",IF($AM9&lt;162,WeightSDS!P$12*$AM9^7+WeightSDS!Q$12*$AM9^6+WeightSDS!R$12*$AM9^5+WeightSDS!S$12*$AM9^4+WeightSDS!T$12*$AM9^3+WeightSDS!U$12*$AM9^2+WeightSDS!V$12*$AM9+WeightSDS!W$12,WeightSDS!P$14*$AM9^7+WeightSDS!Q$14*$AM9^6+WeightSDS!R$14*$AM9^5+WeightSDS!S$14*$AM9^4+WeightSDS!T$14*$AM9^3+WeightSDS!U$14*$AM9^2+WeightSDS!V$14*$AM9+WeightSDS!W$14),IF($AM9&lt;156,WeightSDS!O$17*$AM9^8+WeightSDS!P$17*$AM9^7+WeightSDS!Q$17*$AM9^6+WeightSDS!R$17*$AM9^5+WeightSDS!S$17*$AM9^4+WeightSDS!T$17*$AM9^3+WeightSDS!U$17*$AM9^2+WeightSDS!V$17*$AM9+WeightSDS!W$17,IF($AM9&lt;186,WeightSDS!$U$18+(WeightSDS!$V$18-WeightSDS!$U$18)/24*($AM9-186)+WeightSDS!$W$18*(-$AM9+186)^2-0.005,WeightSDS!$U$18+(WeightSDS!$V$18-WeightSDS!$U$18)/24*($AM9-186)-0.005)))</f>
        <v>0.14604529399999999</v>
      </c>
      <c r="AT9" s="4">
        <f t="shared" si="16"/>
        <v>0.56299999999999994</v>
      </c>
      <c r="AU9" s="4">
        <f t="shared" si="17"/>
        <v>69</v>
      </c>
      <c r="AV9" s="4">
        <f t="shared" si="18"/>
        <v>0.51</v>
      </c>
    </row>
    <row r="10" spans="1:48" x14ac:dyDescent="0.15">
      <c r="A10" s="4"/>
      <c r="B10" s="21"/>
      <c r="C10" s="21"/>
      <c r="D10" s="21"/>
      <c r="E10" s="22"/>
      <c r="F10" s="22"/>
      <c r="G10" s="23"/>
      <c r="H10" s="23"/>
      <c r="I10" s="181"/>
      <c r="J10" s="8" t="str">
        <f t="shared" si="3"/>
        <v/>
      </c>
      <c r="K10" s="2" t="str">
        <f t="shared" si="4"/>
        <v/>
      </c>
      <c r="L10" s="2" t="str">
        <f t="shared" si="0"/>
        <v/>
      </c>
      <c r="M10" s="2" t="str">
        <f t="shared" si="5"/>
        <v/>
      </c>
      <c r="N10" s="2" t="str">
        <f t="shared" si="19"/>
        <v/>
      </c>
      <c r="O10" s="2" t="str">
        <f t="shared" si="6"/>
        <v/>
      </c>
      <c r="P10" s="8" t="str">
        <f t="shared" si="7"/>
        <v/>
      </c>
      <c r="Q10" s="8" t="str">
        <f t="shared" si="8"/>
        <v/>
      </c>
      <c r="R10" s="111" t="str">
        <f t="shared" si="9"/>
        <v/>
      </c>
      <c r="S10" s="44" t="str">
        <f t="shared" si="10"/>
        <v/>
      </c>
      <c r="T10" s="37" t="str">
        <f t="shared" si="11"/>
        <v/>
      </c>
      <c r="U10" s="44" t="str">
        <f t="shared" si="12"/>
        <v/>
      </c>
      <c r="V10" s="26"/>
      <c r="W10" s="26"/>
      <c r="X10" s="26"/>
      <c r="Y10" s="26"/>
      <c r="Z10" s="24"/>
      <c r="AA10" s="169">
        <f t="shared" si="13"/>
        <v>0</v>
      </c>
      <c r="AB10" s="4">
        <f t="shared" si="14"/>
        <v>0</v>
      </c>
      <c r="AC10" s="170">
        <f t="shared" si="15"/>
        <v>0</v>
      </c>
      <c r="AD10" s="58"/>
      <c r="AE10" s="58"/>
      <c r="AF10" s="58"/>
      <c r="AG10" s="59">
        <f t="shared" si="1"/>
        <v>9.0359999999999996</v>
      </c>
      <c r="AH10" s="59">
        <f t="shared" si="2"/>
        <v>-184.49199999999999</v>
      </c>
      <c r="AJ10" s="4">
        <f>IF(D10="M",IF(AM10&lt;78,BMILMS!$D$5*AM10^3+BMILMS!$E$5*AM10^2+BMILMS!$F$5*AM10+BMILMS!$G$5,IF(AM10&lt;150,BMILMS!$D$6*AM10^3+BMILMS!$E$6*AM10^2+BMILMS!$F$6*AM10+BMILMS!$G$6,BMILMS!$D$7*AM10^3+BMILMS!$E$7*AM10^2+BMILMS!$F$7*AM10+BMILMS!$G$7)),IF(AM10&lt;69,BMILMS!$D$9*AM10^3+BMILMS!$E$9*AM10^2+BMILMS!$F$9*AM10+BMILMS!$G$9,IF(AM10&lt;150,BMILMS!$D$10*AM10^3+BMILMS!$E$10*AM10^2+BMILMS!$F$10*AM10+BMILMS!$G$10,BMILMS!$D$11*AM10^3+BMILMS!$E$11*AM10^2+BMILMS!$F$11*AM10+BMILMS!$G$11)))</f>
        <v>0.79584630099999998</v>
      </c>
      <c r="AK10" s="4">
        <f>IF(D10="M",(IF(AM10&lt;2.5,BMILMS!$D$21*AM10^3+BMILMS!$E$21*AM10^2+BMILMS!$F$21*AM10+BMILMS!$G$21,IF(AM10&lt;9.5,BMILMS!$D$22*AM10^3+BMILMS!$E$22*AM10^2+BMILMS!$F$22*AM10+BMILMS!$G$22,IF(AM10&lt;26.75,BMILMS!$D$23*AM10^3+BMILMS!$E$23*AM10^2+BMILMS!$F$23*AM10+BMILMS!$G$23,IF(AM10&lt;90,BMILMS!$D$24*AM10^3+BMILMS!$E$24*AM10^2+BMILMS!$F$24*AM10+BMILMS!$G$24,BMILMS!$D$25*AM10^3+BMILMS!$E$25*AM10^2+BMILMS!$F$25*AM10+BMILMS!$G$25))))),(IF(AM10&lt;2.5,BMILMS!$D$27*AM10^3+BMILMS!$E$27*AM10^2+BMILMS!$F$27*AM10+BMILMS!$G$27,IF(AM10&lt;9.5,BMILMS!$D$28*AM10^3+BMILMS!$E$28*AM10^2+BMILMS!$F$28*AM10+BMILMS!$G$28,IF(AM10&lt;26.75,BMILMS!$D$29*AM10^3+BMILMS!$E$29*AM10^2+BMILMS!$F$29*AM10+BMILMS!$G$29,IF(AM10&lt;90,BMILMS!$D$30*AM10^3+BMILMS!$E$30*AM10^2+BMILMS!$F$30*AM10+BMILMS!$G$30,IF(AM10&lt;150,BMILMS!$D$31*AM10^3+BMILMS!$E$31*AM10^2+BMILMS!$F$31*AM10+BMILMS!$G$31,BMILMS!$D$32*AM10^3+BMILMS!$E$32*AM10^2+BMILMS!$F$32*AM10+BMILMS!$G$32)))))))</f>
        <v>12.568967990000001</v>
      </c>
      <c r="AL10" s="4">
        <f>IF(D10="M",(IF(AM10&lt;90,BMILMS!$D$14*AM10^3+BMILMS!$E$14*AM10^2+BMILMS!$F$14*AM10+BMILMS!$G$14,BMILMS!$D$15*AM10^3+BMILMS!$E$15*AM10^2+BMILMS!$F$15*AM10+BMILMS!$G$15)),(IF(AM10&lt;90,BMILMS!$D$17*AM10^3+BMILMS!$E$17*AM10^2+BMILMS!$F$17*AM10+BMILMS!$G$17,BMILMS!$D$18*AM10^3+BMILMS!$E$18*AM10^2+BMILMS!$F$18*AM10+BMILMS!$G$18)))</f>
        <v>8.8969350000000003E-2</v>
      </c>
      <c r="AM10" s="4">
        <f t="shared" si="20"/>
        <v>0</v>
      </c>
      <c r="AO10" s="56">
        <f>IF(D10="M",WeightSDS!P$5*$AM10^7+WeightSDS!Q$5*$AM10^6+WeightSDS!R$5*$AM10^5+WeightSDS!S$5*$AM10^4+WeightSDS!T$5*$AM10^3+WeightSDS!U$5*$AM10^2+WeightSDS!V$5*$AM10+WeightSDS!W$5,IF($AM10&lt;186,WeightSDS!P$8*$AM10^7+WeightSDS!Q$8*$AM10^6+WeightSDS!R$8*$AM10^5+WeightSDS!S$8*$AM10^4+WeightSDS!T$8*$AM10^3+WeightSDS!U$8*$AM10^2+WeightSDS!V$8*$AM10+WeightSDS!W$8,WeightSDS!$U$9+WeightSDS!$V$9*($AM10-WeightSDS!$W$9)))</f>
        <v>0.75407122999999998</v>
      </c>
      <c r="AP10" s="4">
        <f>IF(D10="M",IF($AM10&lt;45,WeightSDS!M$23*$AM10^10+WeightSDS!N$23*$AM10^9+WeightSDS!O$23*$AM10^8+WeightSDS!P$23*$AM10^7+WeightSDS!Q$23*$AM10^6+WeightSDS!R$23*$AM10^5+WeightSDS!S$23*$AM10^4+WeightSDS!T$23*$AM10^3+WeightSDS!U$23*$AM10^2+WeightSDS!V$23*$AM10+WeightSDS!W$23,IF($AM10&lt;153,WeightSDS!M$25*$AM10^10+WeightSDS!N$25*$AM10^9+WeightSDS!O$25*$AM10^8+WeightSDS!P$25*$AM10^7+WeightSDS!Q$25*$AM10^6+WeightSDS!R$25*$AM10^5+WeightSDS!S$25*$AM10^4+WeightSDS!T$25*$AM10^3+WeightSDS!U$25*$AM10^2+WeightSDS!V$25*$AM10+WeightSDS!W$25,WeightSDS!M$27+WeightSDS!N$27/(1+EXP(WeightSDS!O$27+WeightSDS!P$27*$AM10)))),IF($AM10&lt;43.8,WeightSDS!M$29*$AM10^10+WeightSDS!N$29*$AM10^9+WeightSDS!O$29*$AM10^8+WeightSDS!P$29*$AM10^7+WeightSDS!Q$29*$AM10^6+WeightSDS!R$29*$AM10^5+WeightSDS!S$29*$AM10^4+WeightSDS!T$29*$AM10^3+WeightSDS!U$29*$AM10^2+WeightSDS!V$29*$AM10+WeightSDS!W$29-0.010431*(1-$AM10/210),IF($AM10&lt;123,WeightSDS!M$30*$AM10^10+WeightSDS!N$30*$AM10^9+WeightSDS!O$30*$AM10^8+WeightSDS!P$30*$AM10^7+WeightSDS!Q$30*$AM10^6+WeightSDS!R$30*$AM10^5+WeightSDS!S$30*$AM10^4+WeightSDS!T$30*$AM10^3+WeightSDS!U$30*$AM10^2+WeightSDS!V$30*$AM10+WeightSDS!W$30-0.010431*(1-1/$AM10),WeightSDS!M$32+WeightSDS!N$32/(1+EXP(WeightSDS!O$32+WeightSDS!P$32*$AM10))-0.010431*(1-$AM10/210))))</f>
        <v>2.9500001032655536</v>
      </c>
      <c r="AQ10" s="4">
        <f>IF(D10="M",IF($AM10&lt;162,WeightSDS!P$12*$AM10^7+WeightSDS!Q$12*$AM10^6+WeightSDS!R$12*$AM10^5+WeightSDS!S$12*$AM10^4+WeightSDS!T$12*$AM10^3+WeightSDS!U$12*$AM10^2+WeightSDS!V$12*$AM10+WeightSDS!W$12,WeightSDS!P$14*$AM10^7+WeightSDS!Q$14*$AM10^6+WeightSDS!R$14*$AM10^5+WeightSDS!S$14*$AM10^4+WeightSDS!T$14*$AM10^3+WeightSDS!U$14*$AM10^2+WeightSDS!V$14*$AM10+WeightSDS!W$14),IF($AM10&lt;156,WeightSDS!O$17*$AM10^8+WeightSDS!P$17*$AM10^7+WeightSDS!Q$17*$AM10^6+WeightSDS!R$17*$AM10^5+WeightSDS!S$17*$AM10^4+WeightSDS!T$17*$AM10^3+WeightSDS!U$17*$AM10^2+WeightSDS!V$17*$AM10+WeightSDS!W$17,IF($AM10&lt;186,WeightSDS!$U$18+(WeightSDS!$V$18-WeightSDS!$U$18)/24*($AM10-186)+WeightSDS!$W$18*(-$AM10+186)^2-0.005,WeightSDS!$U$18+(WeightSDS!$V$18-WeightSDS!$U$18)/24*($AM10-186)-0.005)))</f>
        <v>0.14604529399999999</v>
      </c>
      <c r="AT10" s="4">
        <f t="shared" si="16"/>
        <v>0.56299999999999994</v>
      </c>
      <c r="AU10" s="4">
        <f t="shared" si="17"/>
        <v>69</v>
      </c>
      <c r="AV10" s="4">
        <f t="shared" si="18"/>
        <v>0.51</v>
      </c>
    </row>
    <row r="11" spans="1:48" x14ac:dyDescent="0.15">
      <c r="A11" s="4"/>
      <c r="B11" s="21"/>
      <c r="C11" s="21"/>
      <c r="D11" s="21"/>
      <c r="E11" s="22"/>
      <c r="F11" s="22"/>
      <c r="G11" s="23"/>
      <c r="H11" s="23"/>
      <c r="I11" s="181"/>
      <c r="J11" s="8" t="str">
        <f t="shared" si="3"/>
        <v/>
      </c>
      <c r="K11" s="2" t="str">
        <f t="shared" si="4"/>
        <v/>
      </c>
      <c r="L11" s="2" t="str">
        <f t="shared" si="0"/>
        <v/>
      </c>
      <c r="M11" s="2" t="str">
        <f t="shared" si="5"/>
        <v/>
      </c>
      <c r="N11" s="2" t="str">
        <f t="shared" si="19"/>
        <v/>
      </c>
      <c r="O11" s="2" t="str">
        <f t="shared" si="6"/>
        <v/>
      </c>
      <c r="P11" s="8" t="str">
        <f t="shared" si="7"/>
        <v/>
      </c>
      <c r="Q11" s="8" t="str">
        <f t="shared" si="8"/>
        <v/>
      </c>
      <c r="R11" s="111" t="str">
        <f t="shared" si="9"/>
        <v/>
      </c>
      <c r="S11" s="44" t="str">
        <f t="shared" si="10"/>
        <v/>
      </c>
      <c r="T11" s="37" t="str">
        <f t="shared" si="11"/>
        <v/>
      </c>
      <c r="U11" s="44" t="str">
        <f t="shared" si="12"/>
        <v/>
      </c>
      <c r="V11" s="26"/>
      <c r="W11" s="26"/>
      <c r="X11" s="26"/>
      <c r="Y11" s="26"/>
      <c r="Z11" s="24"/>
      <c r="AA11" s="169">
        <f t="shared" si="13"/>
        <v>0</v>
      </c>
      <c r="AB11" s="4">
        <f t="shared" si="14"/>
        <v>0</v>
      </c>
      <c r="AC11" s="170">
        <f t="shared" si="15"/>
        <v>0</v>
      </c>
      <c r="AD11" s="58"/>
      <c r="AE11" s="58"/>
      <c r="AF11" s="58"/>
      <c r="AG11" s="59">
        <f t="shared" si="1"/>
        <v>9.0359999999999996</v>
      </c>
      <c r="AH11" s="59">
        <f t="shared" si="2"/>
        <v>-184.49199999999999</v>
      </c>
      <c r="AJ11" s="4">
        <f>IF(D11="M",IF(AM11&lt;78,BMILMS!$D$5*AM11^3+BMILMS!$E$5*AM11^2+BMILMS!$F$5*AM11+BMILMS!$G$5,IF(AM11&lt;150,BMILMS!$D$6*AM11^3+BMILMS!$E$6*AM11^2+BMILMS!$F$6*AM11+BMILMS!$G$6,BMILMS!$D$7*AM11^3+BMILMS!$E$7*AM11^2+BMILMS!$F$7*AM11+BMILMS!$G$7)),IF(AM11&lt;69,BMILMS!$D$9*AM11^3+BMILMS!$E$9*AM11^2+BMILMS!$F$9*AM11+BMILMS!$G$9,IF(AM11&lt;150,BMILMS!$D$10*AM11^3+BMILMS!$E$10*AM11^2+BMILMS!$F$10*AM11+BMILMS!$G$10,BMILMS!$D$11*AM11^3+BMILMS!$E$11*AM11^2+BMILMS!$F$11*AM11+BMILMS!$G$11)))</f>
        <v>0.79584630099999998</v>
      </c>
      <c r="AK11" s="4">
        <f>IF(D11="M",(IF(AM11&lt;2.5,BMILMS!$D$21*AM11^3+BMILMS!$E$21*AM11^2+BMILMS!$F$21*AM11+BMILMS!$G$21,IF(AM11&lt;9.5,BMILMS!$D$22*AM11^3+BMILMS!$E$22*AM11^2+BMILMS!$F$22*AM11+BMILMS!$G$22,IF(AM11&lt;26.75,BMILMS!$D$23*AM11^3+BMILMS!$E$23*AM11^2+BMILMS!$F$23*AM11+BMILMS!$G$23,IF(AM11&lt;90,BMILMS!$D$24*AM11^3+BMILMS!$E$24*AM11^2+BMILMS!$F$24*AM11+BMILMS!$G$24,BMILMS!$D$25*AM11^3+BMILMS!$E$25*AM11^2+BMILMS!$F$25*AM11+BMILMS!$G$25))))),(IF(AM11&lt;2.5,BMILMS!$D$27*AM11^3+BMILMS!$E$27*AM11^2+BMILMS!$F$27*AM11+BMILMS!$G$27,IF(AM11&lt;9.5,BMILMS!$D$28*AM11^3+BMILMS!$E$28*AM11^2+BMILMS!$F$28*AM11+BMILMS!$G$28,IF(AM11&lt;26.75,BMILMS!$D$29*AM11^3+BMILMS!$E$29*AM11^2+BMILMS!$F$29*AM11+BMILMS!$G$29,IF(AM11&lt;90,BMILMS!$D$30*AM11^3+BMILMS!$E$30*AM11^2+BMILMS!$F$30*AM11+BMILMS!$G$30,IF(AM11&lt;150,BMILMS!$D$31*AM11^3+BMILMS!$E$31*AM11^2+BMILMS!$F$31*AM11+BMILMS!$G$31,BMILMS!$D$32*AM11^3+BMILMS!$E$32*AM11^2+BMILMS!$F$32*AM11+BMILMS!$G$32)))))))</f>
        <v>12.568967990000001</v>
      </c>
      <c r="AL11" s="4">
        <f>IF(D11="M",(IF(AM11&lt;90,BMILMS!$D$14*AM11^3+BMILMS!$E$14*AM11^2+BMILMS!$F$14*AM11+BMILMS!$G$14,BMILMS!$D$15*AM11^3+BMILMS!$E$15*AM11^2+BMILMS!$F$15*AM11+BMILMS!$G$15)),(IF(AM11&lt;90,BMILMS!$D$17*AM11^3+BMILMS!$E$17*AM11^2+BMILMS!$F$17*AM11+BMILMS!$G$17,BMILMS!$D$18*AM11^3+BMILMS!$E$18*AM11^2+BMILMS!$F$18*AM11+BMILMS!$G$18)))</f>
        <v>8.8969350000000003E-2</v>
      </c>
      <c r="AM11" s="4">
        <f t="shared" si="20"/>
        <v>0</v>
      </c>
      <c r="AO11" s="56">
        <f>IF(D11="M",WeightSDS!P$5*$AM11^7+WeightSDS!Q$5*$AM11^6+WeightSDS!R$5*$AM11^5+WeightSDS!S$5*$AM11^4+WeightSDS!T$5*$AM11^3+WeightSDS!U$5*$AM11^2+WeightSDS!V$5*$AM11+WeightSDS!W$5,IF($AM11&lt;186,WeightSDS!P$8*$AM11^7+WeightSDS!Q$8*$AM11^6+WeightSDS!R$8*$AM11^5+WeightSDS!S$8*$AM11^4+WeightSDS!T$8*$AM11^3+WeightSDS!U$8*$AM11^2+WeightSDS!V$8*$AM11+WeightSDS!W$8,WeightSDS!$U$9+WeightSDS!$V$9*($AM11-WeightSDS!$W$9)))</f>
        <v>0.75407122999999998</v>
      </c>
      <c r="AP11" s="4">
        <f>IF(D11="M",IF($AM11&lt;45,WeightSDS!M$23*$AM11^10+WeightSDS!N$23*$AM11^9+WeightSDS!O$23*$AM11^8+WeightSDS!P$23*$AM11^7+WeightSDS!Q$23*$AM11^6+WeightSDS!R$23*$AM11^5+WeightSDS!S$23*$AM11^4+WeightSDS!T$23*$AM11^3+WeightSDS!U$23*$AM11^2+WeightSDS!V$23*$AM11+WeightSDS!W$23,IF($AM11&lt;153,WeightSDS!M$25*$AM11^10+WeightSDS!N$25*$AM11^9+WeightSDS!O$25*$AM11^8+WeightSDS!P$25*$AM11^7+WeightSDS!Q$25*$AM11^6+WeightSDS!R$25*$AM11^5+WeightSDS!S$25*$AM11^4+WeightSDS!T$25*$AM11^3+WeightSDS!U$25*$AM11^2+WeightSDS!V$25*$AM11+WeightSDS!W$25,WeightSDS!M$27+WeightSDS!N$27/(1+EXP(WeightSDS!O$27+WeightSDS!P$27*$AM11)))),IF($AM11&lt;43.8,WeightSDS!M$29*$AM11^10+WeightSDS!N$29*$AM11^9+WeightSDS!O$29*$AM11^8+WeightSDS!P$29*$AM11^7+WeightSDS!Q$29*$AM11^6+WeightSDS!R$29*$AM11^5+WeightSDS!S$29*$AM11^4+WeightSDS!T$29*$AM11^3+WeightSDS!U$29*$AM11^2+WeightSDS!V$29*$AM11+WeightSDS!W$29-0.010431*(1-$AM11/210),IF($AM11&lt;123,WeightSDS!M$30*$AM11^10+WeightSDS!N$30*$AM11^9+WeightSDS!O$30*$AM11^8+WeightSDS!P$30*$AM11^7+WeightSDS!Q$30*$AM11^6+WeightSDS!R$30*$AM11^5+WeightSDS!S$30*$AM11^4+WeightSDS!T$30*$AM11^3+WeightSDS!U$30*$AM11^2+WeightSDS!V$30*$AM11+WeightSDS!W$30-0.010431*(1-1/$AM11),WeightSDS!M$32+WeightSDS!N$32/(1+EXP(WeightSDS!O$32+WeightSDS!P$32*$AM11))-0.010431*(1-$AM11/210))))</f>
        <v>2.9500001032655536</v>
      </c>
      <c r="AQ11" s="4">
        <f>IF(D11="M",IF($AM11&lt;162,WeightSDS!P$12*$AM11^7+WeightSDS!Q$12*$AM11^6+WeightSDS!R$12*$AM11^5+WeightSDS!S$12*$AM11^4+WeightSDS!T$12*$AM11^3+WeightSDS!U$12*$AM11^2+WeightSDS!V$12*$AM11+WeightSDS!W$12,WeightSDS!P$14*$AM11^7+WeightSDS!Q$14*$AM11^6+WeightSDS!R$14*$AM11^5+WeightSDS!S$14*$AM11^4+WeightSDS!T$14*$AM11^3+WeightSDS!U$14*$AM11^2+WeightSDS!V$14*$AM11+WeightSDS!W$14),IF($AM11&lt;156,WeightSDS!O$17*$AM11^8+WeightSDS!P$17*$AM11^7+WeightSDS!Q$17*$AM11^6+WeightSDS!R$17*$AM11^5+WeightSDS!S$17*$AM11^4+WeightSDS!T$17*$AM11^3+WeightSDS!U$17*$AM11^2+WeightSDS!V$17*$AM11+WeightSDS!W$17,IF($AM11&lt;186,WeightSDS!$U$18+(WeightSDS!$V$18-WeightSDS!$U$18)/24*($AM11-186)+WeightSDS!$W$18*(-$AM11+186)^2-0.005,WeightSDS!$U$18+(WeightSDS!$V$18-WeightSDS!$U$18)/24*($AM11-186)-0.005)))</f>
        <v>0.14604529399999999</v>
      </c>
      <c r="AT11" s="4">
        <f t="shared" si="16"/>
        <v>0.56299999999999994</v>
      </c>
      <c r="AU11" s="4">
        <f t="shared" si="17"/>
        <v>69</v>
      </c>
      <c r="AV11" s="4">
        <f t="shared" si="18"/>
        <v>0.51</v>
      </c>
    </row>
    <row r="12" spans="1:48" x14ac:dyDescent="0.15">
      <c r="A12" s="4"/>
      <c r="B12" s="21"/>
      <c r="C12" s="21"/>
      <c r="D12" s="21"/>
      <c r="E12" s="22"/>
      <c r="F12" s="22"/>
      <c r="G12" s="23"/>
      <c r="H12" s="23"/>
      <c r="I12" s="181"/>
      <c r="J12" s="8" t="str">
        <f t="shared" si="3"/>
        <v/>
      </c>
      <c r="K12" s="2" t="str">
        <f t="shared" si="4"/>
        <v/>
      </c>
      <c r="L12" s="2" t="str">
        <f t="shared" si="0"/>
        <v/>
      </c>
      <c r="M12" s="2" t="str">
        <f t="shared" si="5"/>
        <v/>
      </c>
      <c r="N12" s="2" t="str">
        <f t="shared" si="19"/>
        <v/>
      </c>
      <c r="O12" s="2" t="str">
        <f t="shared" si="6"/>
        <v/>
      </c>
      <c r="P12" s="8" t="str">
        <f t="shared" si="7"/>
        <v/>
      </c>
      <c r="Q12" s="8" t="str">
        <f t="shared" si="8"/>
        <v/>
      </c>
      <c r="R12" s="111" t="str">
        <f t="shared" si="9"/>
        <v/>
      </c>
      <c r="S12" s="44" t="str">
        <f t="shared" si="10"/>
        <v/>
      </c>
      <c r="T12" s="37" t="str">
        <f t="shared" si="11"/>
        <v/>
      </c>
      <c r="U12" s="44" t="str">
        <f t="shared" si="12"/>
        <v/>
      </c>
      <c r="V12" s="26"/>
      <c r="W12" s="26"/>
      <c r="X12" s="26"/>
      <c r="Y12" s="26"/>
      <c r="Z12" s="24"/>
      <c r="AA12" s="169">
        <f t="shared" si="13"/>
        <v>0</v>
      </c>
      <c r="AB12" s="4">
        <f t="shared" si="14"/>
        <v>0</v>
      </c>
      <c r="AC12" s="170">
        <f t="shared" si="15"/>
        <v>0</v>
      </c>
      <c r="AD12" s="58"/>
      <c r="AE12" s="58"/>
      <c r="AF12" s="58"/>
      <c r="AG12" s="59">
        <f t="shared" si="1"/>
        <v>9.0359999999999996</v>
      </c>
      <c r="AH12" s="59">
        <f t="shared" si="2"/>
        <v>-184.49199999999999</v>
      </c>
      <c r="AJ12" s="4">
        <f>IF(D12="M",IF(AM12&lt;78,BMILMS!$D$5*AM12^3+BMILMS!$E$5*AM12^2+BMILMS!$F$5*AM12+BMILMS!$G$5,IF(AM12&lt;150,BMILMS!$D$6*AM12^3+BMILMS!$E$6*AM12^2+BMILMS!$F$6*AM12+BMILMS!$G$6,BMILMS!$D$7*AM12^3+BMILMS!$E$7*AM12^2+BMILMS!$F$7*AM12+BMILMS!$G$7)),IF(AM12&lt;69,BMILMS!$D$9*AM12^3+BMILMS!$E$9*AM12^2+BMILMS!$F$9*AM12+BMILMS!$G$9,IF(AM12&lt;150,BMILMS!$D$10*AM12^3+BMILMS!$E$10*AM12^2+BMILMS!$F$10*AM12+BMILMS!$G$10,BMILMS!$D$11*AM12^3+BMILMS!$E$11*AM12^2+BMILMS!$F$11*AM12+BMILMS!$G$11)))</f>
        <v>0.79584630099999998</v>
      </c>
      <c r="AK12" s="4">
        <f>IF(D12="M",(IF(AM12&lt;2.5,BMILMS!$D$21*AM12^3+BMILMS!$E$21*AM12^2+BMILMS!$F$21*AM12+BMILMS!$G$21,IF(AM12&lt;9.5,BMILMS!$D$22*AM12^3+BMILMS!$E$22*AM12^2+BMILMS!$F$22*AM12+BMILMS!$G$22,IF(AM12&lt;26.75,BMILMS!$D$23*AM12^3+BMILMS!$E$23*AM12^2+BMILMS!$F$23*AM12+BMILMS!$G$23,IF(AM12&lt;90,BMILMS!$D$24*AM12^3+BMILMS!$E$24*AM12^2+BMILMS!$F$24*AM12+BMILMS!$G$24,BMILMS!$D$25*AM12^3+BMILMS!$E$25*AM12^2+BMILMS!$F$25*AM12+BMILMS!$G$25))))),(IF(AM12&lt;2.5,BMILMS!$D$27*AM12^3+BMILMS!$E$27*AM12^2+BMILMS!$F$27*AM12+BMILMS!$G$27,IF(AM12&lt;9.5,BMILMS!$D$28*AM12^3+BMILMS!$E$28*AM12^2+BMILMS!$F$28*AM12+BMILMS!$G$28,IF(AM12&lt;26.75,BMILMS!$D$29*AM12^3+BMILMS!$E$29*AM12^2+BMILMS!$F$29*AM12+BMILMS!$G$29,IF(AM12&lt;90,BMILMS!$D$30*AM12^3+BMILMS!$E$30*AM12^2+BMILMS!$F$30*AM12+BMILMS!$G$30,IF(AM12&lt;150,BMILMS!$D$31*AM12^3+BMILMS!$E$31*AM12^2+BMILMS!$F$31*AM12+BMILMS!$G$31,BMILMS!$D$32*AM12^3+BMILMS!$E$32*AM12^2+BMILMS!$F$32*AM12+BMILMS!$G$32)))))))</f>
        <v>12.568967990000001</v>
      </c>
      <c r="AL12" s="4">
        <f>IF(D12="M",(IF(AM12&lt;90,BMILMS!$D$14*AM12^3+BMILMS!$E$14*AM12^2+BMILMS!$F$14*AM12+BMILMS!$G$14,BMILMS!$D$15*AM12^3+BMILMS!$E$15*AM12^2+BMILMS!$F$15*AM12+BMILMS!$G$15)),(IF(AM12&lt;90,BMILMS!$D$17*AM12^3+BMILMS!$E$17*AM12^2+BMILMS!$F$17*AM12+BMILMS!$G$17,BMILMS!$D$18*AM12^3+BMILMS!$E$18*AM12^2+BMILMS!$F$18*AM12+BMILMS!$G$18)))</f>
        <v>8.8969350000000003E-2</v>
      </c>
      <c r="AM12" s="4">
        <f t="shared" si="20"/>
        <v>0</v>
      </c>
      <c r="AO12" s="56">
        <f>IF(D12="M",WeightSDS!P$5*$AM12^7+WeightSDS!Q$5*$AM12^6+WeightSDS!R$5*$AM12^5+WeightSDS!S$5*$AM12^4+WeightSDS!T$5*$AM12^3+WeightSDS!U$5*$AM12^2+WeightSDS!V$5*$AM12+WeightSDS!W$5,IF($AM12&lt;186,WeightSDS!P$8*$AM12^7+WeightSDS!Q$8*$AM12^6+WeightSDS!R$8*$AM12^5+WeightSDS!S$8*$AM12^4+WeightSDS!T$8*$AM12^3+WeightSDS!U$8*$AM12^2+WeightSDS!V$8*$AM12+WeightSDS!W$8,WeightSDS!$U$9+WeightSDS!$V$9*($AM12-WeightSDS!$W$9)))</f>
        <v>0.75407122999999998</v>
      </c>
      <c r="AP12" s="4">
        <f>IF(D12="M",IF($AM12&lt;45,WeightSDS!M$23*$AM12^10+WeightSDS!N$23*$AM12^9+WeightSDS!O$23*$AM12^8+WeightSDS!P$23*$AM12^7+WeightSDS!Q$23*$AM12^6+WeightSDS!R$23*$AM12^5+WeightSDS!S$23*$AM12^4+WeightSDS!T$23*$AM12^3+WeightSDS!U$23*$AM12^2+WeightSDS!V$23*$AM12+WeightSDS!W$23,IF($AM12&lt;153,WeightSDS!M$25*$AM12^10+WeightSDS!N$25*$AM12^9+WeightSDS!O$25*$AM12^8+WeightSDS!P$25*$AM12^7+WeightSDS!Q$25*$AM12^6+WeightSDS!R$25*$AM12^5+WeightSDS!S$25*$AM12^4+WeightSDS!T$25*$AM12^3+WeightSDS!U$25*$AM12^2+WeightSDS!V$25*$AM12+WeightSDS!W$25,WeightSDS!M$27+WeightSDS!N$27/(1+EXP(WeightSDS!O$27+WeightSDS!P$27*$AM12)))),IF($AM12&lt;43.8,WeightSDS!M$29*$AM12^10+WeightSDS!N$29*$AM12^9+WeightSDS!O$29*$AM12^8+WeightSDS!P$29*$AM12^7+WeightSDS!Q$29*$AM12^6+WeightSDS!R$29*$AM12^5+WeightSDS!S$29*$AM12^4+WeightSDS!T$29*$AM12^3+WeightSDS!U$29*$AM12^2+WeightSDS!V$29*$AM12+WeightSDS!W$29-0.010431*(1-$AM12/210),IF($AM12&lt;123,WeightSDS!M$30*$AM12^10+WeightSDS!N$30*$AM12^9+WeightSDS!O$30*$AM12^8+WeightSDS!P$30*$AM12^7+WeightSDS!Q$30*$AM12^6+WeightSDS!R$30*$AM12^5+WeightSDS!S$30*$AM12^4+WeightSDS!T$30*$AM12^3+WeightSDS!U$30*$AM12^2+WeightSDS!V$30*$AM12+WeightSDS!W$30-0.010431*(1-1/$AM12),WeightSDS!M$32+WeightSDS!N$32/(1+EXP(WeightSDS!O$32+WeightSDS!P$32*$AM12))-0.010431*(1-$AM12/210))))</f>
        <v>2.9500001032655536</v>
      </c>
      <c r="AQ12" s="4">
        <f>IF(D12="M",IF($AM12&lt;162,WeightSDS!P$12*$AM12^7+WeightSDS!Q$12*$AM12^6+WeightSDS!R$12*$AM12^5+WeightSDS!S$12*$AM12^4+WeightSDS!T$12*$AM12^3+WeightSDS!U$12*$AM12^2+WeightSDS!V$12*$AM12+WeightSDS!W$12,WeightSDS!P$14*$AM12^7+WeightSDS!Q$14*$AM12^6+WeightSDS!R$14*$AM12^5+WeightSDS!S$14*$AM12^4+WeightSDS!T$14*$AM12^3+WeightSDS!U$14*$AM12^2+WeightSDS!V$14*$AM12+WeightSDS!W$14),IF($AM12&lt;156,WeightSDS!O$17*$AM12^8+WeightSDS!P$17*$AM12^7+WeightSDS!Q$17*$AM12^6+WeightSDS!R$17*$AM12^5+WeightSDS!S$17*$AM12^4+WeightSDS!T$17*$AM12^3+WeightSDS!U$17*$AM12^2+WeightSDS!V$17*$AM12+WeightSDS!W$17,IF($AM12&lt;186,WeightSDS!$U$18+(WeightSDS!$V$18-WeightSDS!$U$18)/24*($AM12-186)+WeightSDS!$W$18*(-$AM12+186)^2-0.005,WeightSDS!$U$18+(WeightSDS!$V$18-WeightSDS!$U$18)/24*($AM12-186)-0.005)))</f>
        <v>0.14604529399999999</v>
      </c>
      <c r="AT12" s="4">
        <f t="shared" si="16"/>
        <v>0.56299999999999994</v>
      </c>
      <c r="AU12" s="4">
        <f t="shared" si="17"/>
        <v>69</v>
      </c>
      <c r="AV12" s="4">
        <f t="shared" si="18"/>
        <v>0.51</v>
      </c>
    </row>
    <row r="13" spans="1:48" x14ac:dyDescent="0.15">
      <c r="A13" s="4"/>
      <c r="B13" s="21"/>
      <c r="C13" s="21"/>
      <c r="D13" s="21"/>
      <c r="E13" s="22"/>
      <c r="F13" s="22"/>
      <c r="G13" s="23"/>
      <c r="H13" s="23"/>
      <c r="I13" s="181"/>
      <c r="J13" s="8" t="str">
        <f t="shared" si="3"/>
        <v/>
      </c>
      <c r="K13" s="2" t="str">
        <f t="shared" si="4"/>
        <v/>
      </c>
      <c r="L13" s="2" t="str">
        <f t="shared" si="0"/>
        <v/>
      </c>
      <c r="M13" s="2" t="str">
        <f t="shared" si="5"/>
        <v/>
      </c>
      <c r="N13" s="2" t="str">
        <f t="shared" si="19"/>
        <v/>
      </c>
      <c r="O13" s="2" t="str">
        <f t="shared" si="6"/>
        <v/>
      </c>
      <c r="P13" s="8" t="str">
        <f t="shared" si="7"/>
        <v/>
      </c>
      <c r="Q13" s="8" t="str">
        <f t="shared" si="8"/>
        <v/>
      </c>
      <c r="R13" s="111" t="str">
        <f t="shared" si="9"/>
        <v/>
      </c>
      <c r="S13" s="44" t="str">
        <f t="shared" si="10"/>
        <v/>
      </c>
      <c r="T13" s="37" t="str">
        <f t="shared" si="11"/>
        <v/>
      </c>
      <c r="U13" s="44" t="str">
        <f t="shared" si="12"/>
        <v/>
      </c>
      <c r="V13" s="26"/>
      <c r="W13" s="26"/>
      <c r="X13" s="26"/>
      <c r="Y13" s="26"/>
      <c r="Z13" s="24"/>
      <c r="AA13" s="169">
        <f t="shared" si="13"/>
        <v>0</v>
      </c>
      <c r="AB13" s="4">
        <f t="shared" si="14"/>
        <v>0</v>
      </c>
      <c r="AC13" s="170">
        <f t="shared" si="15"/>
        <v>0</v>
      </c>
      <c r="AD13" s="58"/>
      <c r="AE13" s="58"/>
      <c r="AF13" s="58"/>
      <c r="AG13" s="59">
        <f t="shared" si="1"/>
        <v>9.0359999999999996</v>
      </c>
      <c r="AH13" s="59">
        <f t="shared" si="2"/>
        <v>-184.49199999999999</v>
      </c>
      <c r="AJ13" s="4">
        <f>IF(D13="M",IF(AM13&lt;78,BMILMS!$D$5*AM13^3+BMILMS!$E$5*AM13^2+BMILMS!$F$5*AM13+BMILMS!$G$5,IF(AM13&lt;150,BMILMS!$D$6*AM13^3+BMILMS!$E$6*AM13^2+BMILMS!$F$6*AM13+BMILMS!$G$6,BMILMS!$D$7*AM13^3+BMILMS!$E$7*AM13^2+BMILMS!$F$7*AM13+BMILMS!$G$7)),IF(AM13&lt;69,BMILMS!$D$9*AM13^3+BMILMS!$E$9*AM13^2+BMILMS!$F$9*AM13+BMILMS!$G$9,IF(AM13&lt;150,BMILMS!$D$10*AM13^3+BMILMS!$E$10*AM13^2+BMILMS!$F$10*AM13+BMILMS!$G$10,BMILMS!$D$11*AM13^3+BMILMS!$E$11*AM13^2+BMILMS!$F$11*AM13+BMILMS!$G$11)))</f>
        <v>0.79584630099999998</v>
      </c>
      <c r="AK13" s="4">
        <f>IF(D13="M",(IF(AM13&lt;2.5,BMILMS!$D$21*AM13^3+BMILMS!$E$21*AM13^2+BMILMS!$F$21*AM13+BMILMS!$G$21,IF(AM13&lt;9.5,BMILMS!$D$22*AM13^3+BMILMS!$E$22*AM13^2+BMILMS!$F$22*AM13+BMILMS!$G$22,IF(AM13&lt;26.75,BMILMS!$D$23*AM13^3+BMILMS!$E$23*AM13^2+BMILMS!$F$23*AM13+BMILMS!$G$23,IF(AM13&lt;90,BMILMS!$D$24*AM13^3+BMILMS!$E$24*AM13^2+BMILMS!$F$24*AM13+BMILMS!$G$24,BMILMS!$D$25*AM13^3+BMILMS!$E$25*AM13^2+BMILMS!$F$25*AM13+BMILMS!$G$25))))),(IF(AM13&lt;2.5,BMILMS!$D$27*AM13^3+BMILMS!$E$27*AM13^2+BMILMS!$F$27*AM13+BMILMS!$G$27,IF(AM13&lt;9.5,BMILMS!$D$28*AM13^3+BMILMS!$E$28*AM13^2+BMILMS!$F$28*AM13+BMILMS!$G$28,IF(AM13&lt;26.75,BMILMS!$D$29*AM13^3+BMILMS!$E$29*AM13^2+BMILMS!$F$29*AM13+BMILMS!$G$29,IF(AM13&lt;90,BMILMS!$D$30*AM13^3+BMILMS!$E$30*AM13^2+BMILMS!$F$30*AM13+BMILMS!$G$30,IF(AM13&lt;150,BMILMS!$D$31*AM13^3+BMILMS!$E$31*AM13^2+BMILMS!$F$31*AM13+BMILMS!$G$31,BMILMS!$D$32*AM13^3+BMILMS!$E$32*AM13^2+BMILMS!$F$32*AM13+BMILMS!$G$32)))))))</f>
        <v>12.568967990000001</v>
      </c>
      <c r="AL13" s="4">
        <f>IF(D13="M",(IF(AM13&lt;90,BMILMS!$D$14*AM13^3+BMILMS!$E$14*AM13^2+BMILMS!$F$14*AM13+BMILMS!$G$14,BMILMS!$D$15*AM13^3+BMILMS!$E$15*AM13^2+BMILMS!$F$15*AM13+BMILMS!$G$15)),(IF(AM13&lt;90,BMILMS!$D$17*AM13^3+BMILMS!$E$17*AM13^2+BMILMS!$F$17*AM13+BMILMS!$G$17,BMILMS!$D$18*AM13^3+BMILMS!$E$18*AM13^2+BMILMS!$F$18*AM13+BMILMS!$G$18)))</f>
        <v>8.8969350000000003E-2</v>
      </c>
      <c r="AM13" s="4">
        <f t="shared" si="20"/>
        <v>0</v>
      </c>
      <c r="AO13" s="56">
        <f>IF(D13="M",WeightSDS!P$5*$AM13^7+WeightSDS!Q$5*$AM13^6+WeightSDS!R$5*$AM13^5+WeightSDS!S$5*$AM13^4+WeightSDS!T$5*$AM13^3+WeightSDS!U$5*$AM13^2+WeightSDS!V$5*$AM13+WeightSDS!W$5,IF($AM13&lt;186,WeightSDS!P$8*$AM13^7+WeightSDS!Q$8*$AM13^6+WeightSDS!R$8*$AM13^5+WeightSDS!S$8*$AM13^4+WeightSDS!T$8*$AM13^3+WeightSDS!U$8*$AM13^2+WeightSDS!V$8*$AM13+WeightSDS!W$8,WeightSDS!$U$9+WeightSDS!$V$9*($AM13-WeightSDS!$W$9)))</f>
        <v>0.75407122999999998</v>
      </c>
      <c r="AP13" s="4">
        <f>IF(D13="M",IF($AM13&lt;45,WeightSDS!M$23*$AM13^10+WeightSDS!N$23*$AM13^9+WeightSDS!O$23*$AM13^8+WeightSDS!P$23*$AM13^7+WeightSDS!Q$23*$AM13^6+WeightSDS!R$23*$AM13^5+WeightSDS!S$23*$AM13^4+WeightSDS!T$23*$AM13^3+WeightSDS!U$23*$AM13^2+WeightSDS!V$23*$AM13+WeightSDS!W$23,IF($AM13&lt;153,WeightSDS!M$25*$AM13^10+WeightSDS!N$25*$AM13^9+WeightSDS!O$25*$AM13^8+WeightSDS!P$25*$AM13^7+WeightSDS!Q$25*$AM13^6+WeightSDS!R$25*$AM13^5+WeightSDS!S$25*$AM13^4+WeightSDS!T$25*$AM13^3+WeightSDS!U$25*$AM13^2+WeightSDS!V$25*$AM13+WeightSDS!W$25,WeightSDS!M$27+WeightSDS!N$27/(1+EXP(WeightSDS!O$27+WeightSDS!P$27*$AM13)))),IF($AM13&lt;43.8,WeightSDS!M$29*$AM13^10+WeightSDS!N$29*$AM13^9+WeightSDS!O$29*$AM13^8+WeightSDS!P$29*$AM13^7+WeightSDS!Q$29*$AM13^6+WeightSDS!R$29*$AM13^5+WeightSDS!S$29*$AM13^4+WeightSDS!T$29*$AM13^3+WeightSDS!U$29*$AM13^2+WeightSDS!V$29*$AM13+WeightSDS!W$29-0.010431*(1-$AM13/210),IF($AM13&lt;123,WeightSDS!M$30*$AM13^10+WeightSDS!N$30*$AM13^9+WeightSDS!O$30*$AM13^8+WeightSDS!P$30*$AM13^7+WeightSDS!Q$30*$AM13^6+WeightSDS!R$30*$AM13^5+WeightSDS!S$30*$AM13^4+WeightSDS!T$30*$AM13^3+WeightSDS!U$30*$AM13^2+WeightSDS!V$30*$AM13+WeightSDS!W$30-0.010431*(1-1/$AM13),WeightSDS!M$32+WeightSDS!N$32/(1+EXP(WeightSDS!O$32+WeightSDS!P$32*$AM13))-0.010431*(1-$AM13/210))))</f>
        <v>2.9500001032655536</v>
      </c>
      <c r="AQ13" s="4">
        <f>IF(D13="M",IF($AM13&lt;162,WeightSDS!P$12*$AM13^7+WeightSDS!Q$12*$AM13^6+WeightSDS!R$12*$AM13^5+WeightSDS!S$12*$AM13^4+WeightSDS!T$12*$AM13^3+WeightSDS!U$12*$AM13^2+WeightSDS!V$12*$AM13+WeightSDS!W$12,WeightSDS!P$14*$AM13^7+WeightSDS!Q$14*$AM13^6+WeightSDS!R$14*$AM13^5+WeightSDS!S$14*$AM13^4+WeightSDS!T$14*$AM13^3+WeightSDS!U$14*$AM13^2+WeightSDS!V$14*$AM13+WeightSDS!W$14),IF($AM13&lt;156,WeightSDS!O$17*$AM13^8+WeightSDS!P$17*$AM13^7+WeightSDS!Q$17*$AM13^6+WeightSDS!R$17*$AM13^5+WeightSDS!S$17*$AM13^4+WeightSDS!T$17*$AM13^3+WeightSDS!U$17*$AM13^2+WeightSDS!V$17*$AM13+WeightSDS!W$17,IF($AM13&lt;186,WeightSDS!$U$18+(WeightSDS!$V$18-WeightSDS!$U$18)/24*($AM13-186)+WeightSDS!$W$18*(-$AM13+186)^2-0.005,WeightSDS!$U$18+(WeightSDS!$V$18-WeightSDS!$U$18)/24*($AM13-186)-0.005)))</f>
        <v>0.14604529399999999</v>
      </c>
      <c r="AT13" s="4">
        <f t="shared" si="16"/>
        <v>0.56299999999999994</v>
      </c>
      <c r="AU13" s="4">
        <f t="shared" si="17"/>
        <v>69</v>
      </c>
      <c r="AV13" s="4">
        <f t="shared" si="18"/>
        <v>0.51</v>
      </c>
    </row>
    <row r="14" spans="1:48" x14ac:dyDescent="0.15">
      <c r="A14" s="4"/>
      <c r="B14" s="21"/>
      <c r="C14" s="21"/>
      <c r="D14" s="21"/>
      <c r="E14" s="22"/>
      <c r="F14" s="22"/>
      <c r="G14" s="23"/>
      <c r="H14" s="23"/>
      <c r="I14" s="181"/>
      <c r="J14" s="8" t="str">
        <f t="shared" si="3"/>
        <v/>
      </c>
      <c r="K14" s="2" t="str">
        <f t="shared" si="4"/>
        <v/>
      </c>
      <c r="L14" s="2" t="str">
        <f t="shared" si="0"/>
        <v/>
      </c>
      <c r="M14" s="2" t="str">
        <f t="shared" si="5"/>
        <v/>
      </c>
      <c r="N14" s="2" t="str">
        <f t="shared" si="19"/>
        <v/>
      </c>
      <c r="O14" s="2" t="str">
        <f t="shared" si="6"/>
        <v/>
      </c>
      <c r="P14" s="8" t="str">
        <f t="shared" si="7"/>
        <v/>
      </c>
      <c r="Q14" s="8" t="str">
        <f t="shared" si="8"/>
        <v/>
      </c>
      <c r="R14" s="111" t="str">
        <f t="shared" si="9"/>
        <v/>
      </c>
      <c r="S14" s="44" t="str">
        <f t="shared" si="10"/>
        <v/>
      </c>
      <c r="T14" s="37" t="str">
        <f t="shared" si="11"/>
        <v/>
      </c>
      <c r="U14" s="44" t="str">
        <f t="shared" si="12"/>
        <v/>
      </c>
      <c r="V14" s="26"/>
      <c r="W14" s="26"/>
      <c r="X14" s="26"/>
      <c r="Y14" s="26"/>
      <c r="Z14" s="24"/>
      <c r="AA14" s="169">
        <f t="shared" si="13"/>
        <v>0</v>
      </c>
      <c r="AB14" s="4">
        <f t="shared" si="14"/>
        <v>0</v>
      </c>
      <c r="AC14" s="170">
        <f t="shared" si="15"/>
        <v>0</v>
      </c>
      <c r="AD14" s="58"/>
      <c r="AE14" s="58"/>
      <c r="AF14" s="58"/>
      <c r="AG14" s="59">
        <f t="shared" si="1"/>
        <v>9.0359999999999996</v>
      </c>
      <c r="AH14" s="59">
        <f t="shared" si="2"/>
        <v>-184.49199999999999</v>
      </c>
      <c r="AJ14" s="4">
        <f>IF(D14="M",IF(AM14&lt;78,BMILMS!$D$5*AM14^3+BMILMS!$E$5*AM14^2+BMILMS!$F$5*AM14+BMILMS!$G$5,IF(AM14&lt;150,BMILMS!$D$6*AM14^3+BMILMS!$E$6*AM14^2+BMILMS!$F$6*AM14+BMILMS!$G$6,BMILMS!$D$7*AM14^3+BMILMS!$E$7*AM14^2+BMILMS!$F$7*AM14+BMILMS!$G$7)),IF(AM14&lt;69,BMILMS!$D$9*AM14^3+BMILMS!$E$9*AM14^2+BMILMS!$F$9*AM14+BMILMS!$G$9,IF(AM14&lt;150,BMILMS!$D$10*AM14^3+BMILMS!$E$10*AM14^2+BMILMS!$F$10*AM14+BMILMS!$G$10,BMILMS!$D$11*AM14^3+BMILMS!$E$11*AM14^2+BMILMS!$F$11*AM14+BMILMS!$G$11)))</f>
        <v>0.79584630099999998</v>
      </c>
      <c r="AK14" s="4">
        <f>IF(D14="M",(IF(AM14&lt;2.5,BMILMS!$D$21*AM14^3+BMILMS!$E$21*AM14^2+BMILMS!$F$21*AM14+BMILMS!$G$21,IF(AM14&lt;9.5,BMILMS!$D$22*AM14^3+BMILMS!$E$22*AM14^2+BMILMS!$F$22*AM14+BMILMS!$G$22,IF(AM14&lt;26.75,BMILMS!$D$23*AM14^3+BMILMS!$E$23*AM14^2+BMILMS!$F$23*AM14+BMILMS!$G$23,IF(AM14&lt;90,BMILMS!$D$24*AM14^3+BMILMS!$E$24*AM14^2+BMILMS!$F$24*AM14+BMILMS!$G$24,BMILMS!$D$25*AM14^3+BMILMS!$E$25*AM14^2+BMILMS!$F$25*AM14+BMILMS!$G$25))))),(IF(AM14&lt;2.5,BMILMS!$D$27*AM14^3+BMILMS!$E$27*AM14^2+BMILMS!$F$27*AM14+BMILMS!$G$27,IF(AM14&lt;9.5,BMILMS!$D$28*AM14^3+BMILMS!$E$28*AM14^2+BMILMS!$F$28*AM14+BMILMS!$G$28,IF(AM14&lt;26.75,BMILMS!$D$29*AM14^3+BMILMS!$E$29*AM14^2+BMILMS!$F$29*AM14+BMILMS!$G$29,IF(AM14&lt;90,BMILMS!$D$30*AM14^3+BMILMS!$E$30*AM14^2+BMILMS!$F$30*AM14+BMILMS!$G$30,IF(AM14&lt;150,BMILMS!$D$31*AM14^3+BMILMS!$E$31*AM14^2+BMILMS!$F$31*AM14+BMILMS!$G$31,BMILMS!$D$32*AM14^3+BMILMS!$E$32*AM14^2+BMILMS!$F$32*AM14+BMILMS!$G$32)))))))</f>
        <v>12.568967990000001</v>
      </c>
      <c r="AL14" s="4">
        <f>IF(D14="M",(IF(AM14&lt;90,BMILMS!$D$14*AM14^3+BMILMS!$E$14*AM14^2+BMILMS!$F$14*AM14+BMILMS!$G$14,BMILMS!$D$15*AM14^3+BMILMS!$E$15*AM14^2+BMILMS!$F$15*AM14+BMILMS!$G$15)),(IF(AM14&lt;90,BMILMS!$D$17*AM14^3+BMILMS!$E$17*AM14^2+BMILMS!$F$17*AM14+BMILMS!$G$17,BMILMS!$D$18*AM14^3+BMILMS!$E$18*AM14^2+BMILMS!$F$18*AM14+BMILMS!$G$18)))</f>
        <v>8.8969350000000003E-2</v>
      </c>
      <c r="AM14" s="4">
        <f t="shared" si="20"/>
        <v>0</v>
      </c>
      <c r="AO14" s="56">
        <f>IF(D14="M",WeightSDS!P$5*$AM14^7+WeightSDS!Q$5*$AM14^6+WeightSDS!R$5*$AM14^5+WeightSDS!S$5*$AM14^4+WeightSDS!T$5*$AM14^3+WeightSDS!U$5*$AM14^2+WeightSDS!V$5*$AM14+WeightSDS!W$5,IF($AM14&lt;186,WeightSDS!P$8*$AM14^7+WeightSDS!Q$8*$AM14^6+WeightSDS!R$8*$AM14^5+WeightSDS!S$8*$AM14^4+WeightSDS!T$8*$AM14^3+WeightSDS!U$8*$AM14^2+WeightSDS!V$8*$AM14+WeightSDS!W$8,WeightSDS!$U$9+WeightSDS!$V$9*($AM14-WeightSDS!$W$9)))</f>
        <v>0.75407122999999998</v>
      </c>
      <c r="AP14" s="4">
        <f>IF(D14="M",IF($AM14&lt;45,WeightSDS!M$23*$AM14^10+WeightSDS!N$23*$AM14^9+WeightSDS!O$23*$AM14^8+WeightSDS!P$23*$AM14^7+WeightSDS!Q$23*$AM14^6+WeightSDS!R$23*$AM14^5+WeightSDS!S$23*$AM14^4+WeightSDS!T$23*$AM14^3+WeightSDS!U$23*$AM14^2+WeightSDS!V$23*$AM14+WeightSDS!W$23,IF($AM14&lt;153,WeightSDS!M$25*$AM14^10+WeightSDS!N$25*$AM14^9+WeightSDS!O$25*$AM14^8+WeightSDS!P$25*$AM14^7+WeightSDS!Q$25*$AM14^6+WeightSDS!R$25*$AM14^5+WeightSDS!S$25*$AM14^4+WeightSDS!T$25*$AM14^3+WeightSDS!U$25*$AM14^2+WeightSDS!V$25*$AM14+WeightSDS!W$25,WeightSDS!M$27+WeightSDS!N$27/(1+EXP(WeightSDS!O$27+WeightSDS!P$27*$AM14)))),IF($AM14&lt;43.8,WeightSDS!M$29*$AM14^10+WeightSDS!N$29*$AM14^9+WeightSDS!O$29*$AM14^8+WeightSDS!P$29*$AM14^7+WeightSDS!Q$29*$AM14^6+WeightSDS!R$29*$AM14^5+WeightSDS!S$29*$AM14^4+WeightSDS!T$29*$AM14^3+WeightSDS!U$29*$AM14^2+WeightSDS!V$29*$AM14+WeightSDS!W$29-0.010431*(1-$AM14/210),IF($AM14&lt;123,WeightSDS!M$30*$AM14^10+WeightSDS!N$30*$AM14^9+WeightSDS!O$30*$AM14^8+WeightSDS!P$30*$AM14^7+WeightSDS!Q$30*$AM14^6+WeightSDS!R$30*$AM14^5+WeightSDS!S$30*$AM14^4+WeightSDS!T$30*$AM14^3+WeightSDS!U$30*$AM14^2+WeightSDS!V$30*$AM14+WeightSDS!W$30-0.010431*(1-1/$AM14),WeightSDS!M$32+WeightSDS!N$32/(1+EXP(WeightSDS!O$32+WeightSDS!P$32*$AM14))-0.010431*(1-$AM14/210))))</f>
        <v>2.9500001032655536</v>
      </c>
      <c r="AQ14" s="4">
        <f>IF(D14="M",IF($AM14&lt;162,WeightSDS!P$12*$AM14^7+WeightSDS!Q$12*$AM14^6+WeightSDS!R$12*$AM14^5+WeightSDS!S$12*$AM14^4+WeightSDS!T$12*$AM14^3+WeightSDS!U$12*$AM14^2+WeightSDS!V$12*$AM14+WeightSDS!W$12,WeightSDS!P$14*$AM14^7+WeightSDS!Q$14*$AM14^6+WeightSDS!R$14*$AM14^5+WeightSDS!S$14*$AM14^4+WeightSDS!T$14*$AM14^3+WeightSDS!U$14*$AM14^2+WeightSDS!V$14*$AM14+WeightSDS!W$14),IF($AM14&lt;156,WeightSDS!O$17*$AM14^8+WeightSDS!P$17*$AM14^7+WeightSDS!Q$17*$AM14^6+WeightSDS!R$17*$AM14^5+WeightSDS!S$17*$AM14^4+WeightSDS!T$17*$AM14^3+WeightSDS!U$17*$AM14^2+WeightSDS!V$17*$AM14+WeightSDS!W$17,IF($AM14&lt;186,WeightSDS!$U$18+(WeightSDS!$V$18-WeightSDS!$U$18)/24*($AM14-186)+WeightSDS!$W$18*(-$AM14+186)^2-0.005,WeightSDS!$U$18+(WeightSDS!$V$18-WeightSDS!$U$18)/24*($AM14-186)-0.005)))</f>
        <v>0.14604529399999999</v>
      </c>
      <c r="AT14" s="4">
        <f t="shared" si="16"/>
        <v>0.56299999999999994</v>
      </c>
      <c r="AU14" s="4">
        <f t="shared" si="17"/>
        <v>69</v>
      </c>
      <c r="AV14" s="4">
        <f t="shared" si="18"/>
        <v>0.51</v>
      </c>
    </row>
    <row r="15" spans="1:48" x14ac:dyDescent="0.15">
      <c r="A15" s="4"/>
      <c r="B15" s="21"/>
      <c r="C15" s="21"/>
      <c r="D15" s="21"/>
      <c r="E15" s="22"/>
      <c r="F15" s="22"/>
      <c r="G15" s="23"/>
      <c r="H15" s="23"/>
      <c r="I15" s="181"/>
      <c r="J15" s="8" t="str">
        <f t="shared" si="3"/>
        <v/>
      </c>
      <c r="K15" s="2" t="str">
        <f t="shared" si="4"/>
        <v/>
      </c>
      <c r="L15" s="2" t="str">
        <f t="shared" si="0"/>
        <v/>
      </c>
      <c r="M15" s="2" t="str">
        <f t="shared" si="5"/>
        <v/>
      </c>
      <c r="N15" s="2" t="str">
        <f t="shared" si="19"/>
        <v/>
      </c>
      <c r="O15" s="2" t="str">
        <f t="shared" si="6"/>
        <v/>
      </c>
      <c r="P15" s="8" t="str">
        <f t="shared" si="7"/>
        <v/>
      </c>
      <c r="Q15" s="8" t="str">
        <f t="shared" si="8"/>
        <v/>
      </c>
      <c r="R15" s="111" t="str">
        <f t="shared" si="9"/>
        <v/>
      </c>
      <c r="S15" s="44" t="str">
        <f t="shared" si="10"/>
        <v/>
      </c>
      <c r="T15" s="37" t="str">
        <f t="shared" si="11"/>
        <v/>
      </c>
      <c r="U15" s="44" t="str">
        <f t="shared" si="12"/>
        <v/>
      </c>
      <c r="V15" s="26"/>
      <c r="W15" s="26"/>
      <c r="X15" s="26"/>
      <c r="Y15" s="26"/>
      <c r="Z15" s="24"/>
      <c r="AA15" s="169">
        <f t="shared" si="13"/>
        <v>0</v>
      </c>
      <c r="AB15" s="4">
        <f t="shared" si="14"/>
        <v>0</v>
      </c>
      <c r="AC15" s="170">
        <f t="shared" si="15"/>
        <v>0</v>
      </c>
      <c r="AD15" s="58"/>
      <c r="AE15" s="58"/>
      <c r="AF15" s="58"/>
      <c r="AG15" s="59">
        <f t="shared" si="1"/>
        <v>9.0359999999999996</v>
      </c>
      <c r="AH15" s="59">
        <f t="shared" si="2"/>
        <v>-184.49199999999999</v>
      </c>
      <c r="AJ15" s="4">
        <f>IF(D15="M",IF(AM15&lt;78,BMILMS!$D$5*AM15^3+BMILMS!$E$5*AM15^2+BMILMS!$F$5*AM15+BMILMS!$G$5,IF(AM15&lt;150,BMILMS!$D$6*AM15^3+BMILMS!$E$6*AM15^2+BMILMS!$F$6*AM15+BMILMS!$G$6,BMILMS!$D$7*AM15^3+BMILMS!$E$7*AM15^2+BMILMS!$F$7*AM15+BMILMS!$G$7)),IF(AM15&lt;69,BMILMS!$D$9*AM15^3+BMILMS!$E$9*AM15^2+BMILMS!$F$9*AM15+BMILMS!$G$9,IF(AM15&lt;150,BMILMS!$D$10*AM15^3+BMILMS!$E$10*AM15^2+BMILMS!$F$10*AM15+BMILMS!$G$10,BMILMS!$D$11*AM15^3+BMILMS!$E$11*AM15^2+BMILMS!$F$11*AM15+BMILMS!$G$11)))</f>
        <v>0.79584630099999998</v>
      </c>
      <c r="AK15" s="4">
        <f>IF(D15="M",(IF(AM15&lt;2.5,BMILMS!$D$21*AM15^3+BMILMS!$E$21*AM15^2+BMILMS!$F$21*AM15+BMILMS!$G$21,IF(AM15&lt;9.5,BMILMS!$D$22*AM15^3+BMILMS!$E$22*AM15^2+BMILMS!$F$22*AM15+BMILMS!$G$22,IF(AM15&lt;26.75,BMILMS!$D$23*AM15^3+BMILMS!$E$23*AM15^2+BMILMS!$F$23*AM15+BMILMS!$G$23,IF(AM15&lt;90,BMILMS!$D$24*AM15^3+BMILMS!$E$24*AM15^2+BMILMS!$F$24*AM15+BMILMS!$G$24,BMILMS!$D$25*AM15^3+BMILMS!$E$25*AM15^2+BMILMS!$F$25*AM15+BMILMS!$G$25))))),(IF(AM15&lt;2.5,BMILMS!$D$27*AM15^3+BMILMS!$E$27*AM15^2+BMILMS!$F$27*AM15+BMILMS!$G$27,IF(AM15&lt;9.5,BMILMS!$D$28*AM15^3+BMILMS!$E$28*AM15^2+BMILMS!$F$28*AM15+BMILMS!$G$28,IF(AM15&lt;26.75,BMILMS!$D$29*AM15^3+BMILMS!$E$29*AM15^2+BMILMS!$F$29*AM15+BMILMS!$G$29,IF(AM15&lt;90,BMILMS!$D$30*AM15^3+BMILMS!$E$30*AM15^2+BMILMS!$F$30*AM15+BMILMS!$G$30,IF(AM15&lt;150,BMILMS!$D$31*AM15^3+BMILMS!$E$31*AM15^2+BMILMS!$F$31*AM15+BMILMS!$G$31,BMILMS!$D$32*AM15^3+BMILMS!$E$32*AM15^2+BMILMS!$F$32*AM15+BMILMS!$G$32)))))))</f>
        <v>12.568967990000001</v>
      </c>
      <c r="AL15" s="4">
        <f>IF(D15="M",(IF(AM15&lt;90,BMILMS!$D$14*AM15^3+BMILMS!$E$14*AM15^2+BMILMS!$F$14*AM15+BMILMS!$G$14,BMILMS!$D$15*AM15^3+BMILMS!$E$15*AM15^2+BMILMS!$F$15*AM15+BMILMS!$G$15)),(IF(AM15&lt;90,BMILMS!$D$17*AM15^3+BMILMS!$E$17*AM15^2+BMILMS!$F$17*AM15+BMILMS!$G$17,BMILMS!$D$18*AM15^3+BMILMS!$E$18*AM15^2+BMILMS!$F$18*AM15+BMILMS!$G$18)))</f>
        <v>8.8969350000000003E-2</v>
      </c>
      <c r="AM15" s="4">
        <f t="shared" si="20"/>
        <v>0</v>
      </c>
      <c r="AO15" s="56">
        <f>IF(D15="M",WeightSDS!P$5*$AM15^7+WeightSDS!Q$5*$AM15^6+WeightSDS!R$5*$AM15^5+WeightSDS!S$5*$AM15^4+WeightSDS!T$5*$AM15^3+WeightSDS!U$5*$AM15^2+WeightSDS!V$5*$AM15+WeightSDS!W$5,IF($AM15&lt;186,WeightSDS!P$8*$AM15^7+WeightSDS!Q$8*$AM15^6+WeightSDS!R$8*$AM15^5+WeightSDS!S$8*$AM15^4+WeightSDS!T$8*$AM15^3+WeightSDS!U$8*$AM15^2+WeightSDS!V$8*$AM15+WeightSDS!W$8,WeightSDS!$U$9+WeightSDS!$V$9*($AM15-WeightSDS!$W$9)))</f>
        <v>0.75407122999999998</v>
      </c>
      <c r="AP15" s="4">
        <f>IF(D15="M",IF($AM15&lt;45,WeightSDS!M$23*$AM15^10+WeightSDS!N$23*$AM15^9+WeightSDS!O$23*$AM15^8+WeightSDS!P$23*$AM15^7+WeightSDS!Q$23*$AM15^6+WeightSDS!R$23*$AM15^5+WeightSDS!S$23*$AM15^4+WeightSDS!T$23*$AM15^3+WeightSDS!U$23*$AM15^2+WeightSDS!V$23*$AM15+WeightSDS!W$23,IF($AM15&lt;153,WeightSDS!M$25*$AM15^10+WeightSDS!N$25*$AM15^9+WeightSDS!O$25*$AM15^8+WeightSDS!P$25*$AM15^7+WeightSDS!Q$25*$AM15^6+WeightSDS!R$25*$AM15^5+WeightSDS!S$25*$AM15^4+WeightSDS!T$25*$AM15^3+WeightSDS!U$25*$AM15^2+WeightSDS!V$25*$AM15+WeightSDS!W$25,WeightSDS!M$27+WeightSDS!N$27/(1+EXP(WeightSDS!O$27+WeightSDS!P$27*$AM15)))),IF($AM15&lt;43.8,WeightSDS!M$29*$AM15^10+WeightSDS!N$29*$AM15^9+WeightSDS!O$29*$AM15^8+WeightSDS!P$29*$AM15^7+WeightSDS!Q$29*$AM15^6+WeightSDS!R$29*$AM15^5+WeightSDS!S$29*$AM15^4+WeightSDS!T$29*$AM15^3+WeightSDS!U$29*$AM15^2+WeightSDS!V$29*$AM15+WeightSDS!W$29-0.010431*(1-$AM15/210),IF($AM15&lt;123,WeightSDS!M$30*$AM15^10+WeightSDS!N$30*$AM15^9+WeightSDS!O$30*$AM15^8+WeightSDS!P$30*$AM15^7+WeightSDS!Q$30*$AM15^6+WeightSDS!R$30*$AM15^5+WeightSDS!S$30*$AM15^4+WeightSDS!T$30*$AM15^3+WeightSDS!U$30*$AM15^2+WeightSDS!V$30*$AM15+WeightSDS!W$30-0.010431*(1-1/$AM15),WeightSDS!M$32+WeightSDS!N$32/(1+EXP(WeightSDS!O$32+WeightSDS!P$32*$AM15))-0.010431*(1-$AM15/210))))</f>
        <v>2.9500001032655536</v>
      </c>
      <c r="AQ15" s="4">
        <f>IF(D15="M",IF($AM15&lt;162,WeightSDS!P$12*$AM15^7+WeightSDS!Q$12*$AM15^6+WeightSDS!R$12*$AM15^5+WeightSDS!S$12*$AM15^4+WeightSDS!T$12*$AM15^3+WeightSDS!U$12*$AM15^2+WeightSDS!V$12*$AM15+WeightSDS!W$12,WeightSDS!P$14*$AM15^7+WeightSDS!Q$14*$AM15^6+WeightSDS!R$14*$AM15^5+WeightSDS!S$14*$AM15^4+WeightSDS!T$14*$AM15^3+WeightSDS!U$14*$AM15^2+WeightSDS!V$14*$AM15+WeightSDS!W$14),IF($AM15&lt;156,WeightSDS!O$17*$AM15^8+WeightSDS!P$17*$AM15^7+WeightSDS!Q$17*$AM15^6+WeightSDS!R$17*$AM15^5+WeightSDS!S$17*$AM15^4+WeightSDS!T$17*$AM15^3+WeightSDS!U$17*$AM15^2+WeightSDS!V$17*$AM15+WeightSDS!W$17,IF($AM15&lt;186,WeightSDS!$U$18+(WeightSDS!$V$18-WeightSDS!$U$18)/24*($AM15-186)+WeightSDS!$W$18*(-$AM15+186)^2-0.005,WeightSDS!$U$18+(WeightSDS!$V$18-WeightSDS!$U$18)/24*($AM15-186)-0.005)))</f>
        <v>0.14604529399999999</v>
      </c>
      <c r="AR15" s="171"/>
      <c r="AT15" s="4">
        <f t="shared" si="16"/>
        <v>0.56299999999999994</v>
      </c>
      <c r="AU15" s="4">
        <f t="shared" si="17"/>
        <v>69</v>
      </c>
      <c r="AV15" s="4">
        <f t="shared" si="18"/>
        <v>0.51</v>
      </c>
    </row>
    <row r="16" spans="1:48" x14ac:dyDescent="0.15">
      <c r="A16" s="4"/>
      <c r="B16" s="21"/>
      <c r="C16" s="21"/>
      <c r="D16" s="21"/>
      <c r="E16" s="22"/>
      <c r="F16" s="22"/>
      <c r="G16" s="23"/>
      <c r="H16" s="23"/>
      <c r="I16" s="181"/>
      <c r="J16" s="8" t="str">
        <f t="shared" si="3"/>
        <v/>
      </c>
      <c r="K16" s="2" t="str">
        <f t="shared" si="4"/>
        <v/>
      </c>
      <c r="L16" s="2" t="str">
        <f t="shared" si="0"/>
        <v/>
      </c>
      <c r="M16" s="2" t="str">
        <f t="shared" si="5"/>
        <v/>
      </c>
      <c r="N16" s="2" t="str">
        <f t="shared" si="19"/>
        <v/>
      </c>
      <c r="O16" s="2" t="str">
        <f t="shared" si="6"/>
        <v/>
      </c>
      <c r="P16" s="8" t="str">
        <f t="shared" si="7"/>
        <v/>
      </c>
      <c r="Q16" s="8" t="str">
        <f t="shared" si="8"/>
        <v/>
      </c>
      <c r="R16" s="111" t="str">
        <f t="shared" si="9"/>
        <v/>
      </c>
      <c r="S16" s="44" t="str">
        <f t="shared" si="10"/>
        <v/>
      </c>
      <c r="T16" s="37" t="str">
        <f t="shared" si="11"/>
        <v/>
      </c>
      <c r="U16" s="44" t="str">
        <f t="shared" si="12"/>
        <v/>
      </c>
      <c r="V16" s="26"/>
      <c r="W16" s="26"/>
      <c r="X16" s="26"/>
      <c r="Y16" s="26"/>
      <c r="Z16" s="24"/>
      <c r="AA16" s="169">
        <f t="shared" si="13"/>
        <v>0</v>
      </c>
      <c r="AB16" s="4">
        <f t="shared" si="14"/>
        <v>0</v>
      </c>
      <c r="AC16" s="170">
        <f t="shared" si="15"/>
        <v>0</v>
      </c>
      <c r="AD16" s="58"/>
      <c r="AE16" s="58"/>
      <c r="AF16" s="58"/>
      <c r="AG16" s="59">
        <f t="shared" si="1"/>
        <v>9.0359999999999996</v>
      </c>
      <c r="AH16" s="59">
        <f t="shared" si="2"/>
        <v>-184.49199999999999</v>
      </c>
      <c r="AJ16" s="4">
        <f>IF(D16="M",IF(AM16&lt;78,BMILMS!$D$5*AM16^3+BMILMS!$E$5*AM16^2+BMILMS!$F$5*AM16+BMILMS!$G$5,IF(AM16&lt;150,BMILMS!$D$6*AM16^3+BMILMS!$E$6*AM16^2+BMILMS!$F$6*AM16+BMILMS!$G$6,BMILMS!$D$7*AM16^3+BMILMS!$E$7*AM16^2+BMILMS!$F$7*AM16+BMILMS!$G$7)),IF(AM16&lt;69,BMILMS!$D$9*AM16^3+BMILMS!$E$9*AM16^2+BMILMS!$F$9*AM16+BMILMS!$G$9,IF(AM16&lt;150,BMILMS!$D$10*AM16^3+BMILMS!$E$10*AM16^2+BMILMS!$F$10*AM16+BMILMS!$G$10,BMILMS!$D$11*AM16^3+BMILMS!$E$11*AM16^2+BMILMS!$F$11*AM16+BMILMS!$G$11)))</f>
        <v>0.79584630099999998</v>
      </c>
      <c r="AK16" s="4">
        <f>IF(D16="M",(IF(AM16&lt;2.5,BMILMS!$D$21*AM16^3+BMILMS!$E$21*AM16^2+BMILMS!$F$21*AM16+BMILMS!$G$21,IF(AM16&lt;9.5,BMILMS!$D$22*AM16^3+BMILMS!$E$22*AM16^2+BMILMS!$F$22*AM16+BMILMS!$G$22,IF(AM16&lt;26.75,BMILMS!$D$23*AM16^3+BMILMS!$E$23*AM16^2+BMILMS!$F$23*AM16+BMILMS!$G$23,IF(AM16&lt;90,BMILMS!$D$24*AM16^3+BMILMS!$E$24*AM16^2+BMILMS!$F$24*AM16+BMILMS!$G$24,BMILMS!$D$25*AM16^3+BMILMS!$E$25*AM16^2+BMILMS!$F$25*AM16+BMILMS!$G$25))))),(IF(AM16&lt;2.5,BMILMS!$D$27*AM16^3+BMILMS!$E$27*AM16^2+BMILMS!$F$27*AM16+BMILMS!$G$27,IF(AM16&lt;9.5,BMILMS!$D$28*AM16^3+BMILMS!$E$28*AM16^2+BMILMS!$F$28*AM16+BMILMS!$G$28,IF(AM16&lt;26.75,BMILMS!$D$29*AM16^3+BMILMS!$E$29*AM16^2+BMILMS!$F$29*AM16+BMILMS!$G$29,IF(AM16&lt;90,BMILMS!$D$30*AM16^3+BMILMS!$E$30*AM16^2+BMILMS!$F$30*AM16+BMILMS!$G$30,IF(AM16&lt;150,BMILMS!$D$31*AM16^3+BMILMS!$E$31*AM16^2+BMILMS!$F$31*AM16+BMILMS!$G$31,BMILMS!$D$32*AM16^3+BMILMS!$E$32*AM16^2+BMILMS!$F$32*AM16+BMILMS!$G$32)))))))</f>
        <v>12.568967990000001</v>
      </c>
      <c r="AL16" s="4">
        <f>IF(D16="M",(IF(AM16&lt;90,BMILMS!$D$14*AM16^3+BMILMS!$E$14*AM16^2+BMILMS!$F$14*AM16+BMILMS!$G$14,BMILMS!$D$15*AM16^3+BMILMS!$E$15*AM16^2+BMILMS!$F$15*AM16+BMILMS!$G$15)),(IF(AM16&lt;90,BMILMS!$D$17*AM16^3+BMILMS!$E$17*AM16^2+BMILMS!$F$17*AM16+BMILMS!$G$17,BMILMS!$D$18*AM16^3+BMILMS!$E$18*AM16^2+BMILMS!$F$18*AM16+BMILMS!$G$18)))</f>
        <v>8.8969350000000003E-2</v>
      </c>
      <c r="AM16" s="4">
        <f t="shared" si="20"/>
        <v>0</v>
      </c>
      <c r="AO16" s="56">
        <f>IF(D16="M",WeightSDS!P$5*$AM16^7+WeightSDS!Q$5*$AM16^6+WeightSDS!R$5*$AM16^5+WeightSDS!S$5*$AM16^4+WeightSDS!T$5*$AM16^3+WeightSDS!U$5*$AM16^2+WeightSDS!V$5*$AM16+WeightSDS!W$5,IF($AM16&lt;186,WeightSDS!P$8*$AM16^7+WeightSDS!Q$8*$AM16^6+WeightSDS!R$8*$AM16^5+WeightSDS!S$8*$AM16^4+WeightSDS!T$8*$AM16^3+WeightSDS!U$8*$AM16^2+WeightSDS!V$8*$AM16+WeightSDS!W$8,WeightSDS!$U$9+WeightSDS!$V$9*($AM16-WeightSDS!$W$9)))</f>
        <v>0.75407122999999998</v>
      </c>
      <c r="AP16" s="4">
        <f>IF(D16="M",IF($AM16&lt;45,WeightSDS!M$23*$AM16^10+WeightSDS!N$23*$AM16^9+WeightSDS!O$23*$AM16^8+WeightSDS!P$23*$AM16^7+WeightSDS!Q$23*$AM16^6+WeightSDS!R$23*$AM16^5+WeightSDS!S$23*$AM16^4+WeightSDS!T$23*$AM16^3+WeightSDS!U$23*$AM16^2+WeightSDS!V$23*$AM16+WeightSDS!W$23,IF($AM16&lt;153,WeightSDS!M$25*$AM16^10+WeightSDS!N$25*$AM16^9+WeightSDS!O$25*$AM16^8+WeightSDS!P$25*$AM16^7+WeightSDS!Q$25*$AM16^6+WeightSDS!R$25*$AM16^5+WeightSDS!S$25*$AM16^4+WeightSDS!T$25*$AM16^3+WeightSDS!U$25*$AM16^2+WeightSDS!V$25*$AM16+WeightSDS!W$25,WeightSDS!M$27+WeightSDS!N$27/(1+EXP(WeightSDS!O$27+WeightSDS!P$27*$AM16)))),IF($AM16&lt;43.8,WeightSDS!M$29*$AM16^10+WeightSDS!N$29*$AM16^9+WeightSDS!O$29*$AM16^8+WeightSDS!P$29*$AM16^7+WeightSDS!Q$29*$AM16^6+WeightSDS!R$29*$AM16^5+WeightSDS!S$29*$AM16^4+WeightSDS!T$29*$AM16^3+WeightSDS!U$29*$AM16^2+WeightSDS!V$29*$AM16+WeightSDS!W$29-0.010431*(1-$AM16/210),IF($AM16&lt;123,WeightSDS!M$30*$AM16^10+WeightSDS!N$30*$AM16^9+WeightSDS!O$30*$AM16^8+WeightSDS!P$30*$AM16^7+WeightSDS!Q$30*$AM16^6+WeightSDS!R$30*$AM16^5+WeightSDS!S$30*$AM16^4+WeightSDS!T$30*$AM16^3+WeightSDS!U$30*$AM16^2+WeightSDS!V$30*$AM16+WeightSDS!W$30-0.010431*(1-1/$AM16),WeightSDS!M$32+WeightSDS!N$32/(1+EXP(WeightSDS!O$32+WeightSDS!P$32*$AM16))-0.010431*(1-$AM16/210))))</f>
        <v>2.9500001032655536</v>
      </c>
      <c r="AQ16" s="4">
        <f>IF(D16="M",IF($AM16&lt;162,WeightSDS!P$12*$AM16^7+WeightSDS!Q$12*$AM16^6+WeightSDS!R$12*$AM16^5+WeightSDS!S$12*$AM16^4+WeightSDS!T$12*$AM16^3+WeightSDS!U$12*$AM16^2+WeightSDS!V$12*$AM16+WeightSDS!W$12,WeightSDS!P$14*$AM16^7+WeightSDS!Q$14*$AM16^6+WeightSDS!R$14*$AM16^5+WeightSDS!S$14*$AM16^4+WeightSDS!T$14*$AM16^3+WeightSDS!U$14*$AM16^2+WeightSDS!V$14*$AM16+WeightSDS!W$14),IF($AM16&lt;156,WeightSDS!O$17*$AM16^8+WeightSDS!P$17*$AM16^7+WeightSDS!Q$17*$AM16^6+WeightSDS!R$17*$AM16^5+WeightSDS!S$17*$AM16^4+WeightSDS!T$17*$AM16^3+WeightSDS!U$17*$AM16^2+WeightSDS!V$17*$AM16+WeightSDS!W$17,IF($AM16&lt;186,WeightSDS!$U$18+(WeightSDS!$V$18-WeightSDS!$U$18)/24*($AM16-186)+WeightSDS!$W$18*(-$AM16+186)^2-0.005,WeightSDS!$U$18+(WeightSDS!$V$18-WeightSDS!$U$18)/24*($AM16-186)-0.005)))</f>
        <v>0.14604529399999999</v>
      </c>
      <c r="AR16" s="171"/>
      <c r="AT16" s="4">
        <f t="shared" si="16"/>
        <v>0.56299999999999994</v>
      </c>
      <c r="AU16" s="4">
        <f t="shared" si="17"/>
        <v>69</v>
      </c>
      <c r="AV16" s="4">
        <f t="shared" si="18"/>
        <v>0.51</v>
      </c>
    </row>
    <row r="17" spans="1:48" x14ac:dyDescent="0.15">
      <c r="A17" s="4"/>
      <c r="B17" s="21"/>
      <c r="C17" s="21"/>
      <c r="D17" s="21"/>
      <c r="E17" s="22"/>
      <c r="F17" s="22"/>
      <c r="G17" s="23"/>
      <c r="H17" s="23"/>
      <c r="I17" s="181"/>
      <c r="J17" s="8" t="str">
        <f t="shared" si="3"/>
        <v/>
      </c>
      <c r="K17" s="2" t="str">
        <f t="shared" si="4"/>
        <v/>
      </c>
      <c r="L17" s="2" t="str">
        <f t="shared" si="0"/>
        <v/>
      </c>
      <c r="M17" s="2" t="str">
        <f t="shared" si="5"/>
        <v/>
      </c>
      <c r="N17" s="2" t="str">
        <f t="shared" si="19"/>
        <v/>
      </c>
      <c r="O17" s="2" t="str">
        <f t="shared" si="6"/>
        <v/>
      </c>
      <c r="P17" s="8" t="str">
        <f t="shared" si="7"/>
        <v/>
      </c>
      <c r="Q17" s="8" t="str">
        <f t="shared" si="8"/>
        <v/>
      </c>
      <c r="R17" s="111" t="str">
        <f t="shared" si="9"/>
        <v/>
      </c>
      <c r="S17" s="44" t="str">
        <f t="shared" si="10"/>
        <v/>
      </c>
      <c r="T17" s="37" t="str">
        <f t="shared" si="11"/>
        <v/>
      </c>
      <c r="U17" s="44" t="str">
        <f t="shared" si="12"/>
        <v/>
      </c>
      <c r="V17" s="26"/>
      <c r="W17" s="26"/>
      <c r="X17" s="26"/>
      <c r="Y17" s="26"/>
      <c r="Z17" s="24"/>
      <c r="AA17" s="169">
        <f t="shared" si="13"/>
        <v>0</v>
      </c>
      <c r="AB17" s="4">
        <f t="shared" si="14"/>
        <v>0</v>
      </c>
      <c r="AC17" s="170">
        <f t="shared" si="15"/>
        <v>0</v>
      </c>
      <c r="AD17" s="58"/>
      <c r="AE17" s="58"/>
      <c r="AF17" s="58"/>
      <c r="AG17" s="59">
        <f t="shared" si="1"/>
        <v>9.0359999999999996</v>
      </c>
      <c r="AH17" s="59">
        <f t="shared" si="2"/>
        <v>-184.49199999999999</v>
      </c>
      <c r="AJ17" s="4">
        <f>IF(D17="M",IF(AM17&lt;78,BMILMS!$D$5*AM17^3+BMILMS!$E$5*AM17^2+BMILMS!$F$5*AM17+BMILMS!$G$5,IF(AM17&lt;150,BMILMS!$D$6*AM17^3+BMILMS!$E$6*AM17^2+BMILMS!$F$6*AM17+BMILMS!$G$6,BMILMS!$D$7*AM17^3+BMILMS!$E$7*AM17^2+BMILMS!$F$7*AM17+BMILMS!$G$7)),IF(AM17&lt;69,BMILMS!$D$9*AM17^3+BMILMS!$E$9*AM17^2+BMILMS!$F$9*AM17+BMILMS!$G$9,IF(AM17&lt;150,BMILMS!$D$10*AM17^3+BMILMS!$E$10*AM17^2+BMILMS!$F$10*AM17+BMILMS!$G$10,BMILMS!$D$11*AM17^3+BMILMS!$E$11*AM17^2+BMILMS!$F$11*AM17+BMILMS!$G$11)))</f>
        <v>0.79584630099999998</v>
      </c>
      <c r="AK17" s="4">
        <f>IF(D17="M",(IF(AM17&lt;2.5,BMILMS!$D$21*AM17^3+BMILMS!$E$21*AM17^2+BMILMS!$F$21*AM17+BMILMS!$G$21,IF(AM17&lt;9.5,BMILMS!$D$22*AM17^3+BMILMS!$E$22*AM17^2+BMILMS!$F$22*AM17+BMILMS!$G$22,IF(AM17&lt;26.75,BMILMS!$D$23*AM17^3+BMILMS!$E$23*AM17^2+BMILMS!$F$23*AM17+BMILMS!$G$23,IF(AM17&lt;90,BMILMS!$D$24*AM17^3+BMILMS!$E$24*AM17^2+BMILMS!$F$24*AM17+BMILMS!$G$24,BMILMS!$D$25*AM17^3+BMILMS!$E$25*AM17^2+BMILMS!$F$25*AM17+BMILMS!$G$25))))),(IF(AM17&lt;2.5,BMILMS!$D$27*AM17^3+BMILMS!$E$27*AM17^2+BMILMS!$F$27*AM17+BMILMS!$G$27,IF(AM17&lt;9.5,BMILMS!$D$28*AM17^3+BMILMS!$E$28*AM17^2+BMILMS!$F$28*AM17+BMILMS!$G$28,IF(AM17&lt;26.75,BMILMS!$D$29*AM17^3+BMILMS!$E$29*AM17^2+BMILMS!$F$29*AM17+BMILMS!$G$29,IF(AM17&lt;90,BMILMS!$D$30*AM17^3+BMILMS!$E$30*AM17^2+BMILMS!$F$30*AM17+BMILMS!$G$30,IF(AM17&lt;150,BMILMS!$D$31*AM17^3+BMILMS!$E$31*AM17^2+BMILMS!$F$31*AM17+BMILMS!$G$31,BMILMS!$D$32*AM17^3+BMILMS!$E$32*AM17^2+BMILMS!$F$32*AM17+BMILMS!$G$32)))))))</f>
        <v>12.568967990000001</v>
      </c>
      <c r="AL17" s="4">
        <f>IF(D17="M",(IF(AM17&lt;90,BMILMS!$D$14*AM17^3+BMILMS!$E$14*AM17^2+BMILMS!$F$14*AM17+BMILMS!$G$14,BMILMS!$D$15*AM17^3+BMILMS!$E$15*AM17^2+BMILMS!$F$15*AM17+BMILMS!$G$15)),(IF(AM17&lt;90,BMILMS!$D$17*AM17^3+BMILMS!$E$17*AM17^2+BMILMS!$F$17*AM17+BMILMS!$G$17,BMILMS!$D$18*AM17^3+BMILMS!$E$18*AM17^2+BMILMS!$F$18*AM17+BMILMS!$G$18)))</f>
        <v>8.8969350000000003E-2</v>
      </c>
      <c r="AM17" s="4">
        <f t="shared" si="20"/>
        <v>0</v>
      </c>
      <c r="AO17" s="56">
        <f>IF(D17="M",WeightSDS!P$5*$AM17^7+WeightSDS!Q$5*$AM17^6+WeightSDS!R$5*$AM17^5+WeightSDS!S$5*$AM17^4+WeightSDS!T$5*$AM17^3+WeightSDS!U$5*$AM17^2+WeightSDS!V$5*$AM17+WeightSDS!W$5,IF($AM17&lt;186,WeightSDS!P$8*$AM17^7+WeightSDS!Q$8*$AM17^6+WeightSDS!R$8*$AM17^5+WeightSDS!S$8*$AM17^4+WeightSDS!T$8*$AM17^3+WeightSDS!U$8*$AM17^2+WeightSDS!V$8*$AM17+WeightSDS!W$8,WeightSDS!$U$9+WeightSDS!$V$9*($AM17-WeightSDS!$W$9)))</f>
        <v>0.75407122999999998</v>
      </c>
      <c r="AP17" s="4">
        <f>IF(D17="M",IF($AM17&lt;45,WeightSDS!M$23*$AM17^10+WeightSDS!N$23*$AM17^9+WeightSDS!O$23*$AM17^8+WeightSDS!P$23*$AM17^7+WeightSDS!Q$23*$AM17^6+WeightSDS!R$23*$AM17^5+WeightSDS!S$23*$AM17^4+WeightSDS!T$23*$AM17^3+WeightSDS!U$23*$AM17^2+WeightSDS!V$23*$AM17+WeightSDS!W$23,IF($AM17&lt;153,WeightSDS!M$25*$AM17^10+WeightSDS!N$25*$AM17^9+WeightSDS!O$25*$AM17^8+WeightSDS!P$25*$AM17^7+WeightSDS!Q$25*$AM17^6+WeightSDS!R$25*$AM17^5+WeightSDS!S$25*$AM17^4+WeightSDS!T$25*$AM17^3+WeightSDS!U$25*$AM17^2+WeightSDS!V$25*$AM17+WeightSDS!W$25,WeightSDS!M$27+WeightSDS!N$27/(1+EXP(WeightSDS!O$27+WeightSDS!P$27*$AM17)))),IF($AM17&lt;43.8,WeightSDS!M$29*$AM17^10+WeightSDS!N$29*$AM17^9+WeightSDS!O$29*$AM17^8+WeightSDS!P$29*$AM17^7+WeightSDS!Q$29*$AM17^6+WeightSDS!R$29*$AM17^5+WeightSDS!S$29*$AM17^4+WeightSDS!T$29*$AM17^3+WeightSDS!U$29*$AM17^2+WeightSDS!V$29*$AM17+WeightSDS!W$29-0.010431*(1-$AM17/210),IF($AM17&lt;123,WeightSDS!M$30*$AM17^10+WeightSDS!N$30*$AM17^9+WeightSDS!O$30*$AM17^8+WeightSDS!P$30*$AM17^7+WeightSDS!Q$30*$AM17^6+WeightSDS!R$30*$AM17^5+WeightSDS!S$30*$AM17^4+WeightSDS!T$30*$AM17^3+WeightSDS!U$30*$AM17^2+WeightSDS!V$30*$AM17+WeightSDS!W$30-0.010431*(1-1/$AM17),WeightSDS!M$32+WeightSDS!N$32/(1+EXP(WeightSDS!O$32+WeightSDS!P$32*$AM17))-0.010431*(1-$AM17/210))))</f>
        <v>2.9500001032655536</v>
      </c>
      <c r="AQ17" s="4">
        <f>IF(D17="M",IF($AM17&lt;162,WeightSDS!P$12*$AM17^7+WeightSDS!Q$12*$AM17^6+WeightSDS!R$12*$AM17^5+WeightSDS!S$12*$AM17^4+WeightSDS!T$12*$AM17^3+WeightSDS!U$12*$AM17^2+WeightSDS!V$12*$AM17+WeightSDS!W$12,WeightSDS!P$14*$AM17^7+WeightSDS!Q$14*$AM17^6+WeightSDS!R$14*$AM17^5+WeightSDS!S$14*$AM17^4+WeightSDS!T$14*$AM17^3+WeightSDS!U$14*$AM17^2+WeightSDS!V$14*$AM17+WeightSDS!W$14),IF($AM17&lt;156,WeightSDS!O$17*$AM17^8+WeightSDS!P$17*$AM17^7+WeightSDS!Q$17*$AM17^6+WeightSDS!R$17*$AM17^5+WeightSDS!S$17*$AM17^4+WeightSDS!T$17*$AM17^3+WeightSDS!U$17*$AM17^2+WeightSDS!V$17*$AM17+WeightSDS!W$17,IF($AM17&lt;186,WeightSDS!$U$18+(WeightSDS!$V$18-WeightSDS!$U$18)/24*($AM17-186)+WeightSDS!$W$18*(-$AM17+186)^2-0.005,WeightSDS!$U$18+(WeightSDS!$V$18-WeightSDS!$U$18)/24*($AM17-186)-0.005)))</f>
        <v>0.14604529399999999</v>
      </c>
      <c r="AR17" s="171"/>
      <c r="AT17" s="4">
        <f t="shared" si="16"/>
        <v>0.56299999999999994</v>
      </c>
      <c r="AU17" s="4">
        <f t="shared" si="17"/>
        <v>69</v>
      </c>
      <c r="AV17" s="4">
        <f t="shared" si="18"/>
        <v>0.51</v>
      </c>
    </row>
    <row r="18" spans="1:48" x14ac:dyDescent="0.15">
      <c r="A18" s="4"/>
      <c r="B18" s="21"/>
      <c r="C18" s="21"/>
      <c r="D18" s="21"/>
      <c r="E18" s="22"/>
      <c r="F18" s="22"/>
      <c r="G18" s="23"/>
      <c r="H18" s="23"/>
      <c r="I18" s="181"/>
      <c r="J18" s="8" t="str">
        <f t="shared" si="3"/>
        <v/>
      </c>
      <c r="K18" s="2" t="str">
        <f t="shared" si="4"/>
        <v/>
      </c>
      <c r="L18" s="2" t="str">
        <f t="shared" si="0"/>
        <v/>
      </c>
      <c r="M18" s="2" t="str">
        <f t="shared" si="5"/>
        <v/>
      </c>
      <c r="N18" s="2" t="str">
        <f t="shared" si="19"/>
        <v/>
      </c>
      <c r="O18" s="2" t="str">
        <f t="shared" si="6"/>
        <v/>
      </c>
      <c r="P18" s="8" t="str">
        <f t="shared" si="7"/>
        <v/>
      </c>
      <c r="Q18" s="8" t="str">
        <f t="shared" si="8"/>
        <v/>
      </c>
      <c r="R18" s="111" t="str">
        <f t="shared" si="9"/>
        <v/>
      </c>
      <c r="S18" s="44" t="str">
        <f t="shared" si="10"/>
        <v/>
      </c>
      <c r="T18" s="37" t="str">
        <f t="shared" si="11"/>
        <v/>
      </c>
      <c r="U18" s="44" t="str">
        <f t="shared" si="12"/>
        <v/>
      </c>
      <c r="V18" s="26"/>
      <c r="W18" s="26"/>
      <c r="X18" s="26"/>
      <c r="Y18" s="26"/>
      <c r="Z18" s="24"/>
      <c r="AA18" s="169">
        <f t="shared" si="13"/>
        <v>0</v>
      </c>
      <c r="AB18" s="4">
        <f t="shared" si="14"/>
        <v>0</v>
      </c>
      <c r="AC18" s="170">
        <f t="shared" si="15"/>
        <v>0</v>
      </c>
      <c r="AD18" s="58"/>
      <c r="AE18" s="58"/>
      <c r="AF18" s="58"/>
      <c r="AG18" s="59">
        <f t="shared" si="1"/>
        <v>9.0359999999999996</v>
      </c>
      <c r="AH18" s="59">
        <f t="shared" si="2"/>
        <v>-184.49199999999999</v>
      </c>
      <c r="AJ18" s="4">
        <f>IF(D18="M",IF(AM18&lt;78,BMILMS!$D$5*AM18^3+BMILMS!$E$5*AM18^2+BMILMS!$F$5*AM18+BMILMS!$G$5,IF(AM18&lt;150,BMILMS!$D$6*AM18^3+BMILMS!$E$6*AM18^2+BMILMS!$F$6*AM18+BMILMS!$G$6,BMILMS!$D$7*AM18^3+BMILMS!$E$7*AM18^2+BMILMS!$F$7*AM18+BMILMS!$G$7)),IF(AM18&lt;69,BMILMS!$D$9*AM18^3+BMILMS!$E$9*AM18^2+BMILMS!$F$9*AM18+BMILMS!$G$9,IF(AM18&lt;150,BMILMS!$D$10*AM18^3+BMILMS!$E$10*AM18^2+BMILMS!$F$10*AM18+BMILMS!$G$10,BMILMS!$D$11*AM18^3+BMILMS!$E$11*AM18^2+BMILMS!$F$11*AM18+BMILMS!$G$11)))</f>
        <v>0.79584630099999998</v>
      </c>
      <c r="AK18" s="4">
        <f>IF(D18="M",(IF(AM18&lt;2.5,BMILMS!$D$21*AM18^3+BMILMS!$E$21*AM18^2+BMILMS!$F$21*AM18+BMILMS!$G$21,IF(AM18&lt;9.5,BMILMS!$D$22*AM18^3+BMILMS!$E$22*AM18^2+BMILMS!$F$22*AM18+BMILMS!$G$22,IF(AM18&lt;26.75,BMILMS!$D$23*AM18^3+BMILMS!$E$23*AM18^2+BMILMS!$F$23*AM18+BMILMS!$G$23,IF(AM18&lt;90,BMILMS!$D$24*AM18^3+BMILMS!$E$24*AM18^2+BMILMS!$F$24*AM18+BMILMS!$G$24,BMILMS!$D$25*AM18^3+BMILMS!$E$25*AM18^2+BMILMS!$F$25*AM18+BMILMS!$G$25))))),(IF(AM18&lt;2.5,BMILMS!$D$27*AM18^3+BMILMS!$E$27*AM18^2+BMILMS!$F$27*AM18+BMILMS!$G$27,IF(AM18&lt;9.5,BMILMS!$D$28*AM18^3+BMILMS!$E$28*AM18^2+BMILMS!$F$28*AM18+BMILMS!$G$28,IF(AM18&lt;26.75,BMILMS!$D$29*AM18^3+BMILMS!$E$29*AM18^2+BMILMS!$F$29*AM18+BMILMS!$G$29,IF(AM18&lt;90,BMILMS!$D$30*AM18^3+BMILMS!$E$30*AM18^2+BMILMS!$F$30*AM18+BMILMS!$G$30,IF(AM18&lt;150,BMILMS!$D$31*AM18^3+BMILMS!$E$31*AM18^2+BMILMS!$F$31*AM18+BMILMS!$G$31,BMILMS!$D$32*AM18^3+BMILMS!$E$32*AM18^2+BMILMS!$F$32*AM18+BMILMS!$G$32)))))))</f>
        <v>12.568967990000001</v>
      </c>
      <c r="AL18" s="4">
        <f>IF(D18="M",(IF(AM18&lt;90,BMILMS!$D$14*AM18^3+BMILMS!$E$14*AM18^2+BMILMS!$F$14*AM18+BMILMS!$G$14,BMILMS!$D$15*AM18^3+BMILMS!$E$15*AM18^2+BMILMS!$F$15*AM18+BMILMS!$G$15)),(IF(AM18&lt;90,BMILMS!$D$17*AM18^3+BMILMS!$E$17*AM18^2+BMILMS!$F$17*AM18+BMILMS!$G$17,BMILMS!$D$18*AM18^3+BMILMS!$E$18*AM18^2+BMILMS!$F$18*AM18+BMILMS!$G$18)))</f>
        <v>8.8969350000000003E-2</v>
      </c>
      <c r="AM18" s="4">
        <f t="shared" si="20"/>
        <v>0</v>
      </c>
      <c r="AO18" s="56">
        <f>IF(D18="M",WeightSDS!P$5*$AM18^7+WeightSDS!Q$5*$AM18^6+WeightSDS!R$5*$AM18^5+WeightSDS!S$5*$AM18^4+WeightSDS!T$5*$AM18^3+WeightSDS!U$5*$AM18^2+WeightSDS!V$5*$AM18+WeightSDS!W$5,IF($AM18&lt;186,WeightSDS!P$8*$AM18^7+WeightSDS!Q$8*$AM18^6+WeightSDS!R$8*$AM18^5+WeightSDS!S$8*$AM18^4+WeightSDS!T$8*$AM18^3+WeightSDS!U$8*$AM18^2+WeightSDS!V$8*$AM18+WeightSDS!W$8,WeightSDS!$U$9+WeightSDS!$V$9*($AM18-WeightSDS!$W$9)))</f>
        <v>0.75407122999999998</v>
      </c>
      <c r="AP18" s="4">
        <f>IF(D18="M",IF($AM18&lt;45,WeightSDS!M$23*$AM18^10+WeightSDS!N$23*$AM18^9+WeightSDS!O$23*$AM18^8+WeightSDS!P$23*$AM18^7+WeightSDS!Q$23*$AM18^6+WeightSDS!R$23*$AM18^5+WeightSDS!S$23*$AM18^4+WeightSDS!T$23*$AM18^3+WeightSDS!U$23*$AM18^2+WeightSDS!V$23*$AM18+WeightSDS!W$23,IF($AM18&lt;153,WeightSDS!M$25*$AM18^10+WeightSDS!N$25*$AM18^9+WeightSDS!O$25*$AM18^8+WeightSDS!P$25*$AM18^7+WeightSDS!Q$25*$AM18^6+WeightSDS!R$25*$AM18^5+WeightSDS!S$25*$AM18^4+WeightSDS!T$25*$AM18^3+WeightSDS!U$25*$AM18^2+WeightSDS!V$25*$AM18+WeightSDS!W$25,WeightSDS!M$27+WeightSDS!N$27/(1+EXP(WeightSDS!O$27+WeightSDS!P$27*$AM18)))),IF($AM18&lt;43.8,WeightSDS!M$29*$AM18^10+WeightSDS!N$29*$AM18^9+WeightSDS!O$29*$AM18^8+WeightSDS!P$29*$AM18^7+WeightSDS!Q$29*$AM18^6+WeightSDS!R$29*$AM18^5+WeightSDS!S$29*$AM18^4+WeightSDS!T$29*$AM18^3+WeightSDS!U$29*$AM18^2+WeightSDS!V$29*$AM18+WeightSDS!W$29-0.010431*(1-$AM18/210),IF($AM18&lt;123,WeightSDS!M$30*$AM18^10+WeightSDS!N$30*$AM18^9+WeightSDS!O$30*$AM18^8+WeightSDS!P$30*$AM18^7+WeightSDS!Q$30*$AM18^6+WeightSDS!R$30*$AM18^5+WeightSDS!S$30*$AM18^4+WeightSDS!T$30*$AM18^3+WeightSDS!U$30*$AM18^2+WeightSDS!V$30*$AM18+WeightSDS!W$30-0.010431*(1-1/$AM18),WeightSDS!M$32+WeightSDS!N$32/(1+EXP(WeightSDS!O$32+WeightSDS!P$32*$AM18))-0.010431*(1-$AM18/210))))</f>
        <v>2.9500001032655536</v>
      </c>
      <c r="AQ18" s="4">
        <f>IF(D18="M",IF($AM18&lt;162,WeightSDS!P$12*$AM18^7+WeightSDS!Q$12*$AM18^6+WeightSDS!R$12*$AM18^5+WeightSDS!S$12*$AM18^4+WeightSDS!T$12*$AM18^3+WeightSDS!U$12*$AM18^2+WeightSDS!V$12*$AM18+WeightSDS!W$12,WeightSDS!P$14*$AM18^7+WeightSDS!Q$14*$AM18^6+WeightSDS!R$14*$AM18^5+WeightSDS!S$14*$AM18^4+WeightSDS!T$14*$AM18^3+WeightSDS!U$14*$AM18^2+WeightSDS!V$14*$AM18+WeightSDS!W$14),IF($AM18&lt;156,WeightSDS!O$17*$AM18^8+WeightSDS!P$17*$AM18^7+WeightSDS!Q$17*$AM18^6+WeightSDS!R$17*$AM18^5+WeightSDS!S$17*$AM18^4+WeightSDS!T$17*$AM18^3+WeightSDS!U$17*$AM18^2+WeightSDS!V$17*$AM18+WeightSDS!W$17,IF($AM18&lt;186,WeightSDS!$U$18+(WeightSDS!$V$18-WeightSDS!$U$18)/24*($AM18-186)+WeightSDS!$W$18*(-$AM18+186)^2-0.005,WeightSDS!$U$18+(WeightSDS!$V$18-WeightSDS!$U$18)/24*($AM18-186)-0.005)))</f>
        <v>0.14604529399999999</v>
      </c>
      <c r="AT18" s="4">
        <f t="shared" si="16"/>
        <v>0.56299999999999994</v>
      </c>
      <c r="AU18" s="4">
        <f t="shared" si="17"/>
        <v>69</v>
      </c>
      <c r="AV18" s="4">
        <f t="shared" si="18"/>
        <v>0.51</v>
      </c>
    </row>
    <row r="19" spans="1:48" x14ac:dyDescent="0.15">
      <c r="A19" s="4"/>
      <c r="B19" s="21"/>
      <c r="C19" s="21"/>
      <c r="D19" s="21"/>
      <c r="E19" s="22"/>
      <c r="F19" s="22"/>
      <c r="G19" s="23"/>
      <c r="H19" s="23"/>
      <c r="I19" s="181"/>
      <c r="J19" s="8" t="str">
        <f t="shared" si="3"/>
        <v/>
      </c>
      <c r="K19" s="2" t="str">
        <f t="shared" si="4"/>
        <v/>
      </c>
      <c r="L19" s="2" t="str">
        <f t="shared" si="0"/>
        <v/>
      </c>
      <c r="M19" s="2" t="str">
        <f t="shared" si="5"/>
        <v/>
      </c>
      <c r="N19" s="2" t="str">
        <f t="shared" si="19"/>
        <v/>
      </c>
      <c r="O19" s="2" t="str">
        <f t="shared" si="6"/>
        <v/>
      </c>
      <c r="P19" s="8" t="str">
        <f t="shared" si="7"/>
        <v/>
      </c>
      <c r="Q19" s="8" t="str">
        <f t="shared" si="8"/>
        <v/>
      </c>
      <c r="R19" s="111" t="str">
        <f t="shared" si="9"/>
        <v/>
      </c>
      <c r="S19" s="44" t="str">
        <f t="shared" si="10"/>
        <v/>
      </c>
      <c r="T19" s="37" t="str">
        <f t="shared" si="11"/>
        <v/>
      </c>
      <c r="U19" s="44" t="str">
        <f t="shared" si="12"/>
        <v/>
      </c>
      <c r="V19" s="26"/>
      <c r="W19" s="26"/>
      <c r="X19" s="26"/>
      <c r="Y19" s="26"/>
      <c r="Z19" s="24"/>
      <c r="AA19" s="169">
        <f t="shared" si="13"/>
        <v>0</v>
      </c>
      <c r="AB19" s="4">
        <f t="shared" si="14"/>
        <v>0</v>
      </c>
      <c r="AC19" s="170">
        <f t="shared" si="15"/>
        <v>0</v>
      </c>
      <c r="AD19" s="58"/>
      <c r="AE19" s="58"/>
      <c r="AF19" s="58"/>
      <c r="AG19" s="59">
        <f t="shared" si="1"/>
        <v>9.0359999999999996</v>
      </c>
      <c r="AH19" s="59">
        <f t="shared" si="2"/>
        <v>-184.49199999999999</v>
      </c>
      <c r="AJ19" s="4">
        <f>IF(D19="M",IF(AM19&lt;78,BMILMS!$D$5*AM19^3+BMILMS!$E$5*AM19^2+BMILMS!$F$5*AM19+BMILMS!$G$5,IF(AM19&lt;150,BMILMS!$D$6*AM19^3+BMILMS!$E$6*AM19^2+BMILMS!$F$6*AM19+BMILMS!$G$6,BMILMS!$D$7*AM19^3+BMILMS!$E$7*AM19^2+BMILMS!$F$7*AM19+BMILMS!$G$7)),IF(AM19&lt;69,BMILMS!$D$9*AM19^3+BMILMS!$E$9*AM19^2+BMILMS!$F$9*AM19+BMILMS!$G$9,IF(AM19&lt;150,BMILMS!$D$10*AM19^3+BMILMS!$E$10*AM19^2+BMILMS!$F$10*AM19+BMILMS!$G$10,BMILMS!$D$11*AM19^3+BMILMS!$E$11*AM19^2+BMILMS!$F$11*AM19+BMILMS!$G$11)))</f>
        <v>0.79584630099999998</v>
      </c>
      <c r="AK19" s="4">
        <f>IF(D19="M",(IF(AM19&lt;2.5,BMILMS!$D$21*AM19^3+BMILMS!$E$21*AM19^2+BMILMS!$F$21*AM19+BMILMS!$G$21,IF(AM19&lt;9.5,BMILMS!$D$22*AM19^3+BMILMS!$E$22*AM19^2+BMILMS!$F$22*AM19+BMILMS!$G$22,IF(AM19&lt;26.75,BMILMS!$D$23*AM19^3+BMILMS!$E$23*AM19^2+BMILMS!$F$23*AM19+BMILMS!$G$23,IF(AM19&lt;90,BMILMS!$D$24*AM19^3+BMILMS!$E$24*AM19^2+BMILMS!$F$24*AM19+BMILMS!$G$24,BMILMS!$D$25*AM19^3+BMILMS!$E$25*AM19^2+BMILMS!$F$25*AM19+BMILMS!$G$25))))),(IF(AM19&lt;2.5,BMILMS!$D$27*AM19^3+BMILMS!$E$27*AM19^2+BMILMS!$F$27*AM19+BMILMS!$G$27,IF(AM19&lt;9.5,BMILMS!$D$28*AM19^3+BMILMS!$E$28*AM19^2+BMILMS!$F$28*AM19+BMILMS!$G$28,IF(AM19&lt;26.75,BMILMS!$D$29*AM19^3+BMILMS!$E$29*AM19^2+BMILMS!$F$29*AM19+BMILMS!$G$29,IF(AM19&lt;90,BMILMS!$D$30*AM19^3+BMILMS!$E$30*AM19^2+BMILMS!$F$30*AM19+BMILMS!$G$30,IF(AM19&lt;150,BMILMS!$D$31*AM19^3+BMILMS!$E$31*AM19^2+BMILMS!$F$31*AM19+BMILMS!$G$31,BMILMS!$D$32*AM19^3+BMILMS!$E$32*AM19^2+BMILMS!$F$32*AM19+BMILMS!$G$32)))))))</f>
        <v>12.568967990000001</v>
      </c>
      <c r="AL19" s="4">
        <f>IF(D19="M",(IF(AM19&lt;90,BMILMS!$D$14*AM19^3+BMILMS!$E$14*AM19^2+BMILMS!$F$14*AM19+BMILMS!$G$14,BMILMS!$D$15*AM19^3+BMILMS!$E$15*AM19^2+BMILMS!$F$15*AM19+BMILMS!$G$15)),(IF(AM19&lt;90,BMILMS!$D$17*AM19^3+BMILMS!$E$17*AM19^2+BMILMS!$F$17*AM19+BMILMS!$G$17,BMILMS!$D$18*AM19^3+BMILMS!$E$18*AM19^2+BMILMS!$F$18*AM19+BMILMS!$G$18)))</f>
        <v>8.8969350000000003E-2</v>
      </c>
      <c r="AM19" s="4">
        <f t="shared" si="20"/>
        <v>0</v>
      </c>
      <c r="AO19" s="56">
        <f>IF(D19="M",WeightSDS!P$5*$AM19^7+WeightSDS!Q$5*$AM19^6+WeightSDS!R$5*$AM19^5+WeightSDS!S$5*$AM19^4+WeightSDS!T$5*$AM19^3+WeightSDS!U$5*$AM19^2+WeightSDS!V$5*$AM19+WeightSDS!W$5,IF($AM19&lt;186,WeightSDS!P$8*$AM19^7+WeightSDS!Q$8*$AM19^6+WeightSDS!R$8*$AM19^5+WeightSDS!S$8*$AM19^4+WeightSDS!T$8*$AM19^3+WeightSDS!U$8*$AM19^2+WeightSDS!V$8*$AM19+WeightSDS!W$8,WeightSDS!$U$9+WeightSDS!$V$9*($AM19-WeightSDS!$W$9)))</f>
        <v>0.75407122999999998</v>
      </c>
      <c r="AP19" s="4">
        <f>IF(D19="M",IF($AM19&lt;45,WeightSDS!M$23*$AM19^10+WeightSDS!N$23*$AM19^9+WeightSDS!O$23*$AM19^8+WeightSDS!P$23*$AM19^7+WeightSDS!Q$23*$AM19^6+WeightSDS!R$23*$AM19^5+WeightSDS!S$23*$AM19^4+WeightSDS!T$23*$AM19^3+WeightSDS!U$23*$AM19^2+WeightSDS!V$23*$AM19+WeightSDS!W$23,IF($AM19&lt;153,WeightSDS!M$25*$AM19^10+WeightSDS!N$25*$AM19^9+WeightSDS!O$25*$AM19^8+WeightSDS!P$25*$AM19^7+WeightSDS!Q$25*$AM19^6+WeightSDS!R$25*$AM19^5+WeightSDS!S$25*$AM19^4+WeightSDS!T$25*$AM19^3+WeightSDS!U$25*$AM19^2+WeightSDS!V$25*$AM19+WeightSDS!W$25,WeightSDS!M$27+WeightSDS!N$27/(1+EXP(WeightSDS!O$27+WeightSDS!P$27*$AM19)))),IF($AM19&lt;43.8,WeightSDS!M$29*$AM19^10+WeightSDS!N$29*$AM19^9+WeightSDS!O$29*$AM19^8+WeightSDS!P$29*$AM19^7+WeightSDS!Q$29*$AM19^6+WeightSDS!R$29*$AM19^5+WeightSDS!S$29*$AM19^4+WeightSDS!T$29*$AM19^3+WeightSDS!U$29*$AM19^2+WeightSDS!V$29*$AM19+WeightSDS!W$29-0.010431*(1-$AM19/210),IF($AM19&lt;123,WeightSDS!M$30*$AM19^10+WeightSDS!N$30*$AM19^9+WeightSDS!O$30*$AM19^8+WeightSDS!P$30*$AM19^7+WeightSDS!Q$30*$AM19^6+WeightSDS!R$30*$AM19^5+WeightSDS!S$30*$AM19^4+WeightSDS!T$30*$AM19^3+WeightSDS!U$30*$AM19^2+WeightSDS!V$30*$AM19+WeightSDS!W$30-0.010431*(1-1/$AM19),WeightSDS!M$32+WeightSDS!N$32/(1+EXP(WeightSDS!O$32+WeightSDS!P$32*$AM19))-0.010431*(1-$AM19/210))))</f>
        <v>2.9500001032655536</v>
      </c>
      <c r="AQ19" s="4">
        <f>IF(D19="M",IF($AM19&lt;162,WeightSDS!P$12*$AM19^7+WeightSDS!Q$12*$AM19^6+WeightSDS!R$12*$AM19^5+WeightSDS!S$12*$AM19^4+WeightSDS!T$12*$AM19^3+WeightSDS!U$12*$AM19^2+WeightSDS!V$12*$AM19+WeightSDS!W$12,WeightSDS!P$14*$AM19^7+WeightSDS!Q$14*$AM19^6+WeightSDS!R$14*$AM19^5+WeightSDS!S$14*$AM19^4+WeightSDS!T$14*$AM19^3+WeightSDS!U$14*$AM19^2+WeightSDS!V$14*$AM19+WeightSDS!W$14),IF($AM19&lt;156,WeightSDS!O$17*$AM19^8+WeightSDS!P$17*$AM19^7+WeightSDS!Q$17*$AM19^6+WeightSDS!R$17*$AM19^5+WeightSDS!S$17*$AM19^4+WeightSDS!T$17*$AM19^3+WeightSDS!U$17*$AM19^2+WeightSDS!V$17*$AM19+WeightSDS!W$17,IF($AM19&lt;186,WeightSDS!$U$18+(WeightSDS!$V$18-WeightSDS!$U$18)/24*($AM19-186)+WeightSDS!$W$18*(-$AM19+186)^2-0.005,WeightSDS!$U$18+(WeightSDS!$V$18-WeightSDS!$U$18)/24*($AM19-186)-0.005)))</f>
        <v>0.14604529399999999</v>
      </c>
      <c r="AT19" s="4">
        <f t="shared" si="16"/>
        <v>0.56299999999999994</v>
      </c>
      <c r="AU19" s="4">
        <f t="shared" si="17"/>
        <v>69</v>
      </c>
      <c r="AV19" s="4">
        <f t="shared" si="18"/>
        <v>0.51</v>
      </c>
    </row>
    <row r="20" spans="1:48" x14ac:dyDescent="0.15">
      <c r="A20" s="4"/>
      <c r="B20" s="21"/>
      <c r="C20" s="21"/>
      <c r="D20" s="21"/>
      <c r="E20" s="22"/>
      <c r="F20" s="22"/>
      <c r="G20" s="23"/>
      <c r="H20" s="23"/>
      <c r="I20" s="181"/>
      <c r="J20" s="8" t="str">
        <f t="shared" si="3"/>
        <v/>
      </c>
      <c r="K20" s="2" t="str">
        <f t="shared" si="4"/>
        <v/>
      </c>
      <c r="L20" s="2" t="str">
        <f t="shared" si="0"/>
        <v/>
      </c>
      <c r="M20" s="2" t="str">
        <f t="shared" si="5"/>
        <v/>
      </c>
      <c r="N20" s="2" t="str">
        <f t="shared" si="19"/>
        <v/>
      </c>
      <c r="O20" s="2" t="str">
        <f t="shared" si="6"/>
        <v/>
      </c>
      <c r="P20" s="8" t="str">
        <f t="shared" si="7"/>
        <v/>
      </c>
      <c r="Q20" s="8" t="str">
        <f t="shared" si="8"/>
        <v/>
      </c>
      <c r="R20" s="111" t="str">
        <f t="shared" si="9"/>
        <v/>
      </c>
      <c r="S20" s="44" t="str">
        <f t="shared" si="10"/>
        <v/>
      </c>
      <c r="T20" s="37" t="str">
        <f t="shared" si="11"/>
        <v/>
      </c>
      <c r="U20" s="44" t="str">
        <f t="shared" si="12"/>
        <v/>
      </c>
      <c r="V20" s="26"/>
      <c r="W20" s="26"/>
      <c r="X20" s="26"/>
      <c r="Y20" s="26"/>
      <c r="Z20" s="24"/>
      <c r="AA20" s="169">
        <f t="shared" si="13"/>
        <v>0</v>
      </c>
      <c r="AB20" s="4">
        <f t="shared" si="14"/>
        <v>0</v>
      </c>
      <c r="AC20" s="170">
        <f t="shared" si="15"/>
        <v>0</v>
      </c>
      <c r="AD20" s="58"/>
      <c r="AE20" s="58"/>
      <c r="AF20" s="58"/>
      <c r="AG20" s="59">
        <f t="shared" si="1"/>
        <v>9.0359999999999996</v>
      </c>
      <c r="AH20" s="59">
        <f t="shared" si="2"/>
        <v>-184.49199999999999</v>
      </c>
      <c r="AJ20" s="4">
        <f>IF(D20="M",IF(AM20&lt;78,BMILMS!$D$5*AM20^3+BMILMS!$E$5*AM20^2+BMILMS!$F$5*AM20+BMILMS!$G$5,IF(AM20&lt;150,BMILMS!$D$6*AM20^3+BMILMS!$E$6*AM20^2+BMILMS!$F$6*AM20+BMILMS!$G$6,BMILMS!$D$7*AM20^3+BMILMS!$E$7*AM20^2+BMILMS!$F$7*AM20+BMILMS!$G$7)),IF(AM20&lt;69,BMILMS!$D$9*AM20^3+BMILMS!$E$9*AM20^2+BMILMS!$F$9*AM20+BMILMS!$G$9,IF(AM20&lt;150,BMILMS!$D$10*AM20^3+BMILMS!$E$10*AM20^2+BMILMS!$F$10*AM20+BMILMS!$G$10,BMILMS!$D$11*AM20^3+BMILMS!$E$11*AM20^2+BMILMS!$F$11*AM20+BMILMS!$G$11)))</f>
        <v>0.79584630099999998</v>
      </c>
      <c r="AK20" s="4">
        <f>IF(D20="M",(IF(AM20&lt;2.5,BMILMS!$D$21*AM20^3+BMILMS!$E$21*AM20^2+BMILMS!$F$21*AM20+BMILMS!$G$21,IF(AM20&lt;9.5,BMILMS!$D$22*AM20^3+BMILMS!$E$22*AM20^2+BMILMS!$F$22*AM20+BMILMS!$G$22,IF(AM20&lt;26.75,BMILMS!$D$23*AM20^3+BMILMS!$E$23*AM20^2+BMILMS!$F$23*AM20+BMILMS!$G$23,IF(AM20&lt;90,BMILMS!$D$24*AM20^3+BMILMS!$E$24*AM20^2+BMILMS!$F$24*AM20+BMILMS!$G$24,BMILMS!$D$25*AM20^3+BMILMS!$E$25*AM20^2+BMILMS!$F$25*AM20+BMILMS!$G$25))))),(IF(AM20&lt;2.5,BMILMS!$D$27*AM20^3+BMILMS!$E$27*AM20^2+BMILMS!$F$27*AM20+BMILMS!$G$27,IF(AM20&lt;9.5,BMILMS!$D$28*AM20^3+BMILMS!$E$28*AM20^2+BMILMS!$F$28*AM20+BMILMS!$G$28,IF(AM20&lt;26.75,BMILMS!$D$29*AM20^3+BMILMS!$E$29*AM20^2+BMILMS!$F$29*AM20+BMILMS!$G$29,IF(AM20&lt;90,BMILMS!$D$30*AM20^3+BMILMS!$E$30*AM20^2+BMILMS!$F$30*AM20+BMILMS!$G$30,IF(AM20&lt;150,BMILMS!$D$31*AM20^3+BMILMS!$E$31*AM20^2+BMILMS!$F$31*AM20+BMILMS!$G$31,BMILMS!$D$32*AM20^3+BMILMS!$E$32*AM20^2+BMILMS!$F$32*AM20+BMILMS!$G$32)))))))</f>
        <v>12.568967990000001</v>
      </c>
      <c r="AL20" s="4">
        <f>IF(D20="M",(IF(AM20&lt;90,BMILMS!$D$14*AM20^3+BMILMS!$E$14*AM20^2+BMILMS!$F$14*AM20+BMILMS!$G$14,BMILMS!$D$15*AM20^3+BMILMS!$E$15*AM20^2+BMILMS!$F$15*AM20+BMILMS!$G$15)),(IF(AM20&lt;90,BMILMS!$D$17*AM20^3+BMILMS!$E$17*AM20^2+BMILMS!$F$17*AM20+BMILMS!$G$17,BMILMS!$D$18*AM20^3+BMILMS!$E$18*AM20^2+BMILMS!$F$18*AM20+BMILMS!$G$18)))</f>
        <v>8.8969350000000003E-2</v>
      </c>
      <c r="AM20" s="4">
        <f t="shared" si="20"/>
        <v>0</v>
      </c>
      <c r="AO20" s="56">
        <f>IF(D20="M",WeightSDS!P$5*$AM20^7+WeightSDS!Q$5*$AM20^6+WeightSDS!R$5*$AM20^5+WeightSDS!S$5*$AM20^4+WeightSDS!T$5*$AM20^3+WeightSDS!U$5*$AM20^2+WeightSDS!V$5*$AM20+WeightSDS!W$5,IF($AM20&lt;186,WeightSDS!P$8*$AM20^7+WeightSDS!Q$8*$AM20^6+WeightSDS!R$8*$AM20^5+WeightSDS!S$8*$AM20^4+WeightSDS!T$8*$AM20^3+WeightSDS!U$8*$AM20^2+WeightSDS!V$8*$AM20+WeightSDS!W$8,WeightSDS!$U$9+WeightSDS!$V$9*($AM20-WeightSDS!$W$9)))</f>
        <v>0.75407122999999998</v>
      </c>
      <c r="AP20" s="4">
        <f>IF(D20="M",IF($AM20&lt;45,WeightSDS!M$23*$AM20^10+WeightSDS!N$23*$AM20^9+WeightSDS!O$23*$AM20^8+WeightSDS!P$23*$AM20^7+WeightSDS!Q$23*$AM20^6+WeightSDS!R$23*$AM20^5+WeightSDS!S$23*$AM20^4+WeightSDS!T$23*$AM20^3+WeightSDS!U$23*$AM20^2+WeightSDS!V$23*$AM20+WeightSDS!W$23,IF($AM20&lt;153,WeightSDS!M$25*$AM20^10+WeightSDS!N$25*$AM20^9+WeightSDS!O$25*$AM20^8+WeightSDS!P$25*$AM20^7+WeightSDS!Q$25*$AM20^6+WeightSDS!R$25*$AM20^5+WeightSDS!S$25*$AM20^4+WeightSDS!T$25*$AM20^3+WeightSDS!U$25*$AM20^2+WeightSDS!V$25*$AM20+WeightSDS!W$25,WeightSDS!M$27+WeightSDS!N$27/(1+EXP(WeightSDS!O$27+WeightSDS!P$27*$AM20)))),IF($AM20&lt;43.8,WeightSDS!M$29*$AM20^10+WeightSDS!N$29*$AM20^9+WeightSDS!O$29*$AM20^8+WeightSDS!P$29*$AM20^7+WeightSDS!Q$29*$AM20^6+WeightSDS!R$29*$AM20^5+WeightSDS!S$29*$AM20^4+WeightSDS!T$29*$AM20^3+WeightSDS!U$29*$AM20^2+WeightSDS!V$29*$AM20+WeightSDS!W$29-0.010431*(1-$AM20/210),IF($AM20&lt;123,WeightSDS!M$30*$AM20^10+WeightSDS!N$30*$AM20^9+WeightSDS!O$30*$AM20^8+WeightSDS!P$30*$AM20^7+WeightSDS!Q$30*$AM20^6+WeightSDS!R$30*$AM20^5+WeightSDS!S$30*$AM20^4+WeightSDS!T$30*$AM20^3+WeightSDS!U$30*$AM20^2+WeightSDS!V$30*$AM20+WeightSDS!W$30-0.010431*(1-1/$AM20),WeightSDS!M$32+WeightSDS!N$32/(1+EXP(WeightSDS!O$32+WeightSDS!P$32*$AM20))-0.010431*(1-$AM20/210))))</f>
        <v>2.9500001032655536</v>
      </c>
      <c r="AQ20" s="4">
        <f>IF(D20="M",IF($AM20&lt;162,WeightSDS!P$12*$AM20^7+WeightSDS!Q$12*$AM20^6+WeightSDS!R$12*$AM20^5+WeightSDS!S$12*$AM20^4+WeightSDS!T$12*$AM20^3+WeightSDS!U$12*$AM20^2+WeightSDS!V$12*$AM20+WeightSDS!W$12,WeightSDS!P$14*$AM20^7+WeightSDS!Q$14*$AM20^6+WeightSDS!R$14*$AM20^5+WeightSDS!S$14*$AM20^4+WeightSDS!T$14*$AM20^3+WeightSDS!U$14*$AM20^2+WeightSDS!V$14*$AM20+WeightSDS!W$14),IF($AM20&lt;156,WeightSDS!O$17*$AM20^8+WeightSDS!P$17*$AM20^7+WeightSDS!Q$17*$AM20^6+WeightSDS!R$17*$AM20^5+WeightSDS!S$17*$AM20^4+WeightSDS!T$17*$AM20^3+WeightSDS!U$17*$AM20^2+WeightSDS!V$17*$AM20+WeightSDS!W$17,IF($AM20&lt;186,WeightSDS!$U$18+(WeightSDS!$V$18-WeightSDS!$U$18)/24*($AM20-186)+WeightSDS!$W$18*(-$AM20+186)^2-0.005,WeightSDS!$U$18+(WeightSDS!$V$18-WeightSDS!$U$18)/24*($AM20-186)-0.005)))</f>
        <v>0.14604529399999999</v>
      </c>
      <c r="AR20" s="171"/>
      <c r="AT20" s="4">
        <f t="shared" si="16"/>
        <v>0.56299999999999994</v>
      </c>
      <c r="AU20" s="4">
        <f t="shared" si="17"/>
        <v>69</v>
      </c>
      <c r="AV20" s="4">
        <f t="shared" si="18"/>
        <v>0.51</v>
      </c>
    </row>
    <row r="21" spans="1:48" x14ac:dyDescent="0.15">
      <c r="A21" s="4"/>
      <c r="B21" s="21"/>
      <c r="C21" s="21"/>
      <c r="D21" s="21"/>
      <c r="E21" s="22"/>
      <c r="F21" s="22"/>
      <c r="G21" s="23"/>
      <c r="H21" s="23"/>
      <c r="I21" s="181"/>
      <c r="J21" s="8" t="str">
        <f t="shared" si="3"/>
        <v/>
      </c>
      <c r="K21" s="2" t="str">
        <f t="shared" si="4"/>
        <v/>
      </c>
      <c r="L21" s="2" t="str">
        <f t="shared" si="0"/>
        <v/>
      </c>
      <c r="M21" s="2" t="str">
        <f t="shared" si="5"/>
        <v/>
      </c>
      <c r="N21" s="2" t="str">
        <f t="shared" si="19"/>
        <v/>
      </c>
      <c r="O21" s="2" t="str">
        <f t="shared" si="6"/>
        <v/>
      </c>
      <c r="P21" s="8" t="str">
        <f t="shared" si="7"/>
        <v/>
      </c>
      <c r="Q21" s="8" t="str">
        <f t="shared" si="8"/>
        <v/>
      </c>
      <c r="R21" s="111" t="str">
        <f t="shared" si="9"/>
        <v/>
      </c>
      <c r="S21" s="44" t="str">
        <f t="shared" si="10"/>
        <v/>
      </c>
      <c r="T21" s="37" t="str">
        <f t="shared" si="11"/>
        <v/>
      </c>
      <c r="U21" s="44" t="str">
        <f t="shared" si="12"/>
        <v/>
      </c>
      <c r="V21" s="26"/>
      <c r="W21" s="26"/>
      <c r="X21" s="26"/>
      <c r="Y21" s="26"/>
      <c r="Z21" s="24"/>
      <c r="AA21" s="169">
        <f t="shared" si="13"/>
        <v>0</v>
      </c>
      <c r="AB21" s="4">
        <f t="shared" si="14"/>
        <v>0</v>
      </c>
      <c r="AC21" s="170">
        <f t="shared" si="15"/>
        <v>0</v>
      </c>
      <c r="AD21" s="58"/>
      <c r="AE21" s="58"/>
      <c r="AF21" s="58"/>
      <c r="AG21" s="59">
        <f t="shared" si="1"/>
        <v>9.0359999999999996</v>
      </c>
      <c r="AH21" s="59">
        <f t="shared" si="2"/>
        <v>-184.49199999999999</v>
      </c>
      <c r="AJ21" s="4">
        <f>IF(D21="M",IF(AM21&lt;78,BMILMS!$D$5*AM21^3+BMILMS!$E$5*AM21^2+BMILMS!$F$5*AM21+BMILMS!$G$5,IF(AM21&lt;150,BMILMS!$D$6*AM21^3+BMILMS!$E$6*AM21^2+BMILMS!$F$6*AM21+BMILMS!$G$6,BMILMS!$D$7*AM21^3+BMILMS!$E$7*AM21^2+BMILMS!$F$7*AM21+BMILMS!$G$7)),IF(AM21&lt;69,BMILMS!$D$9*AM21^3+BMILMS!$E$9*AM21^2+BMILMS!$F$9*AM21+BMILMS!$G$9,IF(AM21&lt;150,BMILMS!$D$10*AM21^3+BMILMS!$E$10*AM21^2+BMILMS!$F$10*AM21+BMILMS!$G$10,BMILMS!$D$11*AM21^3+BMILMS!$E$11*AM21^2+BMILMS!$F$11*AM21+BMILMS!$G$11)))</f>
        <v>0.79584630099999998</v>
      </c>
      <c r="AK21" s="4">
        <f>IF(D21="M",(IF(AM21&lt;2.5,BMILMS!$D$21*AM21^3+BMILMS!$E$21*AM21^2+BMILMS!$F$21*AM21+BMILMS!$G$21,IF(AM21&lt;9.5,BMILMS!$D$22*AM21^3+BMILMS!$E$22*AM21^2+BMILMS!$F$22*AM21+BMILMS!$G$22,IF(AM21&lt;26.75,BMILMS!$D$23*AM21^3+BMILMS!$E$23*AM21^2+BMILMS!$F$23*AM21+BMILMS!$G$23,IF(AM21&lt;90,BMILMS!$D$24*AM21^3+BMILMS!$E$24*AM21^2+BMILMS!$F$24*AM21+BMILMS!$G$24,BMILMS!$D$25*AM21^3+BMILMS!$E$25*AM21^2+BMILMS!$F$25*AM21+BMILMS!$G$25))))),(IF(AM21&lt;2.5,BMILMS!$D$27*AM21^3+BMILMS!$E$27*AM21^2+BMILMS!$F$27*AM21+BMILMS!$G$27,IF(AM21&lt;9.5,BMILMS!$D$28*AM21^3+BMILMS!$E$28*AM21^2+BMILMS!$F$28*AM21+BMILMS!$G$28,IF(AM21&lt;26.75,BMILMS!$D$29*AM21^3+BMILMS!$E$29*AM21^2+BMILMS!$F$29*AM21+BMILMS!$G$29,IF(AM21&lt;90,BMILMS!$D$30*AM21^3+BMILMS!$E$30*AM21^2+BMILMS!$F$30*AM21+BMILMS!$G$30,IF(AM21&lt;150,BMILMS!$D$31*AM21^3+BMILMS!$E$31*AM21^2+BMILMS!$F$31*AM21+BMILMS!$G$31,BMILMS!$D$32*AM21^3+BMILMS!$E$32*AM21^2+BMILMS!$F$32*AM21+BMILMS!$G$32)))))))</f>
        <v>12.568967990000001</v>
      </c>
      <c r="AL21" s="4">
        <f>IF(D21="M",(IF(AM21&lt;90,BMILMS!$D$14*AM21^3+BMILMS!$E$14*AM21^2+BMILMS!$F$14*AM21+BMILMS!$G$14,BMILMS!$D$15*AM21^3+BMILMS!$E$15*AM21^2+BMILMS!$F$15*AM21+BMILMS!$G$15)),(IF(AM21&lt;90,BMILMS!$D$17*AM21^3+BMILMS!$E$17*AM21^2+BMILMS!$F$17*AM21+BMILMS!$G$17,BMILMS!$D$18*AM21^3+BMILMS!$E$18*AM21^2+BMILMS!$F$18*AM21+BMILMS!$G$18)))</f>
        <v>8.8969350000000003E-2</v>
      </c>
      <c r="AM21" s="4">
        <f t="shared" si="20"/>
        <v>0</v>
      </c>
      <c r="AO21" s="56">
        <f>IF(D21="M",WeightSDS!P$5*$AM21^7+WeightSDS!Q$5*$AM21^6+WeightSDS!R$5*$AM21^5+WeightSDS!S$5*$AM21^4+WeightSDS!T$5*$AM21^3+WeightSDS!U$5*$AM21^2+WeightSDS!V$5*$AM21+WeightSDS!W$5,IF($AM21&lt;186,WeightSDS!P$8*$AM21^7+WeightSDS!Q$8*$AM21^6+WeightSDS!R$8*$AM21^5+WeightSDS!S$8*$AM21^4+WeightSDS!T$8*$AM21^3+WeightSDS!U$8*$AM21^2+WeightSDS!V$8*$AM21+WeightSDS!W$8,WeightSDS!$U$9+WeightSDS!$V$9*($AM21-WeightSDS!$W$9)))</f>
        <v>0.75407122999999998</v>
      </c>
      <c r="AP21" s="4">
        <f>IF(D21="M",IF($AM21&lt;45,WeightSDS!M$23*$AM21^10+WeightSDS!N$23*$AM21^9+WeightSDS!O$23*$AM21^8+WeightSDS!P$23*$AM21^7+WeightSDS!Q$23*$AM21^6+WeightSDS!R$23*$AM21^5+WeightSDS!S$23*$AM21^4+WeightSDS!T$23*$AM21^3+WeightSDS!U$23*$AM21^2+WeightSDS!V$23*$AM21+WeightSDS!W$23,IF($AM21&lt;153,WeightSDS!M$25*$AM21^10+WeightSDS!N$25*$AM21^9+WeightSDS!O$25*$AM21^8+WeightSDS!P$25*$AM21^7+WeightSDS!Q$25*$AM21^6+WeightSDS!R$25*$AM21^5+WeightSDS!S$25*$AM21^4+WeightSDS!T$25*$AM21^3+WeightSDS!U$25*$AM21^2+WeightSDS!V$25*$AM21+WeightSDS!W$25,WeightSDS!M$27+WeightSDS!N$27/(1+EXP(WeightSDS!O$27+WeightSDS!P$27*$AM21)))),IF($AM21&lt;43.8,WeightSDS!M$29*$AM21^10+WeightSDS!N$29*$AM21^9+WeightSDS!O$29*$AM21^8+WeightSDS!P$29*$AM21^7+WeightSDS!Q$29*$AM21^6+WeightSDS!R$29*$AM21^5+WeightSDS!S$29*$AM21^4+WeightSDS!T$29*$AM21^3+WeightSDS!U$29*$AM21^2+WeightSDS!V$29*$AM21+WeightSDS!W$29-0.010431*(1-$AM21/210),IF($AM21&lt;123,WeightSDS!M$30*$AM21^10+WeightSDS!N$30*$AM21^9+WeightSDS!O$30*$AM21^8+WeightSDS!P$30*$AM21^7+WeightSDS!Q$30*$AM21^6+WeightSDS!R$30*$AM21^5+WeightSDS!S$30*$AM21^4+WeightSDS!T$30*$AM21^3+WeightSDS!U$30*$AM21^2+WeightSDS!V$30*$AM21+WeightSDS!W$30-0.010431*(1-1/$AM21),WeightSDS!M$32+WeightSDS!N$32/(1+EXP(WeightSDS!O$32+WeightSDS!P$32*$AM21))-0.010431*(1-$AM21/210))))</f>
        <v>2.9500001032655536</v>
      </c>
      <c r="AQ21" s="4">
        <f>IF(D21="M",IF($AM21&lt;162,WeightSDS!P$12*$AM21^7+WeightSDS!Q$12*$AM21^6+WeightSDS!R$12*$AM21^5+WeightSDS!S$12*$AM21^4+WeightSDS!T$12*$AM21^3+WeightSDS!U$12*$AM21^2+WeightSDS!V$12*$AM21+WeightSDS!W$12,WeightSDS!P$14*$AM21^7+WeightSDS!Q$14*$AM21^6+WeightSDS!R$14*$AM21^5+WeightSDS!S$14*$AM21^4+WeightSDS!T$14*$AM21^3+WeightSDS!U$14*$AM21^2+WeightSDS!V$14*$AM21+WeightSDS!W$14),IF($AM21&lt;156,WeightSDS!O$17*$AM21^8+WeightSDS!P$17*$AM21^7+WeightSDS!Q$17*$AM21^6+WeightSDS!R$17*$AM21^5+WeightSDS!S$17*$AM21^4+WeightSDS!T$17*$AM21^3+WeightSDS!U$17*$AM21^2+WeightSDS!V$17*$AM21+WeightSDS!W$17,IF($AM21&lt;186,WeightSDS!$U$18+(WeightSDS!$V$18-WeightSDS!$U$18)/24*($AM21-186)+WeightSDS!$W$18*(-$AM21+186)^2-0.005,WeightSDS!$U$18+(WeightSDS!$V$18-WeightSDS!$U$18)/24*($AM21-186)-0.005)))</f>
        <v>0.14604529399999999</v>
      </c>
      <c r="AR21" s="171"/>
      <c r="AT21" s="4">
        <f t="shared" si="16"/>
        <v>0.56299999999999994</v>
      </c>
      <c r="AU21" s="4">
        <f t="shared" si="17"/>
        <v>69</v>
      </c>
      <c r="AV21" s="4">
        <f t="shared" si="18"/>
        <v>0.51</v>
      </c>
    </row>
    <row r="22" spans="1:48" x14ac:dyDescent="0.15">
      <c r="A22" s="4"/>
      <c r="B22" s="21"/>
      <c r="C22" s="21"/>
      <c r="D22" s="21"/>
      <c r="E22" s="22"/>
      <c r="F22" s="22"/>
      <c r="G22" s="23"/>
      <c r="H22" s="23"/>
      <c r="I22" s="181"/>
      <c r="J22" s="8" t="str">
        <f t="shared" si="3"/>
        <v/>
      </c>
      <c r="K22" s="2" t="str">
        <f t="shared" si="4"/>
        <v/>
      </c>
      <c r="L22" s="2" t="str">
        <f t="shared" si="0"/>
        <v/>
      </c>
      <c r="M22" s="2" t="str">
        <f t="shared" si="5"/>
        <v/>
      </c>
      <c r="N22" s="2" t="str">
        <f t="shared" si="19"/>
        <v/>
      </c>
      <c r="O22" s="2" t="str">
        <f t="shared" si="6"/>
        <v/>
      </c>
      <c r="P22" s="8" t="str">
        <f t="shared" si="7"/>
        <v/>
      </c>
      <c r="Q22" s="8" t="str">
        <f t="shared" si="8"/>
        <v/>
      </c>
      <c r="R22" s="111" t="str">
        <f t="shared" si="9"/>
        <v/>
      </c>
      <c r="S22" s="44" t="str">
        <f t="shared" si="10"/>
        <v/>
      </c>
      <c r="T22" s="37" t="str">
        <f t="shared" si="11"/>
        <v/>
      </c>
      <c r="U22" s="44" t="str">
        <f t="shared" si="12"/>
        <v/>
      </c>
      <c r="V22" s="26"/>
      <c r="W22" s="26"/>
      <c r="X22" s="26"/>
      <c r="Y22" s="26"/>
      <c r="Z22" s="24"/>
      <c r="AA22" s="169">
        <f t="shared" si="13"/>
        <v>0</v>
      </c>
      <c r="AB22" s="4">
        <f t="shared" si="14"/>
        <v>0</v>
      </c>
      <c r="AC22" s="170">
        <f t="shared" si="15"/>
        <v>0</v>
      </c>
      <c r="AD22" s="58"/>
      <c r="AE22" s="58"/>
      <c r="AF22" s="58"/>
      <c r="AG22" s="59">
        <f t="shared" si="1"/>
        <v>9.0359999999999996</v>
      </c>
      <c r="AH22" s="59">
        <f t="shared" si="2"/>
        <v>-184.49199999999999</v>
      </c>
      <c r="AJ22" s="4">
        <f>IF(D22="M",IF(AM22&lt;78,BMILMS!$D$5*AM22^3+BMILMS!$E$5*AM22^2+BMILMS!$F$5*AM22+BMILMS!$G$5,IF(AM22&lt;150,BMILMS!$D$6*AM22^3+BMILMS!$E$6*AM22^2+BMILMS!$F$6*AM22+BMILMS!$G$6,BMILMS!$D$7*AM22^3+BMILMS!$E$7*AM22^2+BMILMS!$F$7*AM22+BMILMS!$G$7)),IF(AM22&lt;69,BMILMS!$D$9*AM22^3+BMILMS!$E$9*AM22^2+BMILMS!$F$9*AM22+BMILMS!$G$9,IF(AM22&lt;150,BMILMS!$D$10*AM22^3+BMILMS!$E$10*AM22^2+BMILMS!$F$10*AM22+BMILMS!$G$10,BMILMS!$D$11*AM22^3+BMILMS!$E$11*AM22^2+BMILMS!$F$11*AM22+BMILMS!$G$11)))</f>
        <v>0.79584630099999998</v>
      </c>
      <c r="AK22" s="4">
        <f>IF(D22="M",(IF(AM22&lt;2.5,BMILMS!$D$21*AM22^3+BMILMS!$E$21*AM22^2+BMILMS!$F$21*AM22+BMILMS!$G$21,IF(AM22&lt;9.5,BMILMS!$D$22*AM22^3+BMILMS!$E$22*AM22^2+BMILMS!$F$22*AM22+BMILMS!$G$22,IF(AM22&lt;26.75,BMILMS!$D$23*AM22^3+BMILMS!$E$23*AM22^2+BMILMS!$F$23*AM22+BMILMS!$G$23,IF(AM22&lt;90,BMILMS!$D$24*AM22^3+BMILMS!$E$24*AM22^2+BMILMS!$F$24*AM22+BMILMS!$G$24,BMILMS!$D$25*AM22^3+BMILMS!$E$25*AM22^2+BMILMS!$F$25*AM22+BMILMS!$G$25))))),(IF(AM22&lt;2.5,BMILMS!$D$27*AM22^3+BMILMS!$E$27*AM22^2+BMILMS!$F$27*AM22+BMILMS!$G$27,IF(AM22&lt;9.5,BMILMS!$D$28*AM22^3+BMILMS!$E$28*AM22^2+BMILMS!$F$28*AM22+BMILMS!$G$28,IF(AM22&lt;26.75,BMILMS!$D$29*AM22^3+BMILMS!$E$29*AM22^2+BMILMS!$F$29*AM22+BMILMS!$G$29,IF(AM22&lt;90,BMILMS!$D$30*AM22^3+BMILMS!$E$30*AM22^2+BMILMS!$F$30*AM22+BMILMS!$G$30,IF(AM22&lt;150,BMILMS!$D$31*AM22^3+BMILMS!$E$31*AM22^2+BMILMS!$F$31*AM22+BMILMS!$G$31,BMILMS!$D$32*AM22^3+BMILMS!$E$32*AM22^2+BMILMS!$F$32*AM22+BMILMS!$G$32)))))))</f>
        <v>12.568967990000001</v>
      </c>
      <c r="AL22" s="4">
        <f>IF(D22="M",(IF(AM22&lt;90,BMILMS!$D$14*AM22^3+BMILMS!$E$14*AM22^2+BMILMS!$F$14*AM22+BMILMS!$G$14,BMILMS!$D$15*AM22^3+BMILMS!$E$15*AM22^2+BMILMS!$F$15*AM22+BMILMS!$G$15)),(IF(AM22&lt;90,BMILMS!$D$17*AM22^3+BMILMS!$E$17*AM22^2+BMILMS!$F$17*AM22+BMILMS!$G$17,BMILMS!$D$18*AM22^3+BMILMS!$E$18*AM22^2+BMILMS!$F$18*AM22+BMILMS!$G$18)))</f>
        <v>8.8969350000000003E-2</v>
      </c>
      <c r="AM22" s="4">
        <f t="shared" si="20"/>
        <v>0</v>
      </c>
      <c r="AO22" s="56">
        <f>IF(D22="M",WeightSDS!P$5*$AM22^7+WeightSDS!Q$5*$AM22^6+WeightSDS!R$5*$AM22^5+WeightSDS!S$5*$AM22^4+WeightSDS!T$5*$AM22^3+WeightSDS!U$5*$AM22^2+WeightSDS!V$5*$AM22+WeightSDS!W$5,IF($AM22&lt;186,WeightSDS!P$8*$AM22^7+WeightSDS!Q$8*$AM22^6+WeightSDS!R$8*$AM22^5+WeightSDS!S$8*$AM22^4+WeightSDS!T$8*$AM22^3+WeightSDS!U$8*$AM22^2+WeightSDS!V$8*$AM22+WeightSDS!W$8,WeightSDS!$U$9+WeightSDS!$V$9*($AM22-WeightSDS!$W$9)))</f>
        <v>0.75407122999999998</v>
      </c>
      <c r="AP22" s="4">
        <f>IF(D22="M",IF($AM22&lt;45,WeightSDS!M$23*$AM22^10+WeightSDS!N$23*$AM22^9+WeightSDS!O$23*$AM22^8+WeightSDS!P$23*$AM22^7+WeightSDS!Q$23*$AM22^6+WeightSDS!R$23*$AM22^5+WeightSDS!S$23*$AM22^4+WeightSDS!T$23*$AM22^3+WeightSDS!U$23*$AM22^2+WeightSDS!V$23*$AM22+WeightSDS!W$23,IF($AM22&lt;153,WeightSDS!M$25*$AM22^10+WeightSDS!N$25*$AM22^9+WeightSDS!O$25*$AM22^8+WeightSDS!P$25*$AM22^7+WeightSDS!Q$25*$AM22^6+WeightSDS!R$25*$AM22^5+WeightSDS!S$25*$AM22^4+WeightSDS!T$25*$AM22^3+WeightSDS!U$25*$AM22^2+WeightSDS!V$25*$AM22+WeightSDS!W$25,WeightSDS!M$27+WeightSDS!N$27/(1+EXP(WeightSDS!O$27+WeightSDS!P$27*$AM22)))),IF($AM22&lt;43.8,WeightSDS!M$29*$AM22^10+WeightSDS!N$29*$AM22^9+WeightSDS!O$29*$AM22^8+WeightSDS!P$29*$AM22^7+WeightSDS!Q$29*$AM22^6+WeightSDS!R$29*$AM22^5+WeightSDS!S$29*$AM22^4+WeightSDS!T$29*$AM22^3+WeightSDS!U$29*$AM22^2+WeightSDS!V$29*$AM22+WeightSDS!W$29-0.010431*(1-$AM22/210),IF($AM22&lt;123,WeightSDS!M$30*$AM22^10+WeightSDS!N$30*$AM22^9+WeightSDS!O$30*$AM22^8+WeightSDS!P$30*$AM22^7+WeightSDS!Q$30*$AM22^6+WeightSDS!R$30*$AM22^5+WeightSDS!S$30*$AM22^4+WeightSDS!T$30*$AM22^3+WeightSDS!U$30*$AM22^2+WeightSDS!V$30*$AM22+WeightSDS!W$30-0.010431*(1-1/$AM22),WeightSDS!M$32+WeightSDS!N$32/(1+EXP(WeightSDS!O$32+WeightSDS!P$32*$AM22))-0.010431*(1-$AM22/210))))</f>
        <v>2.9500001032655536</v>
      </c>
      <c r="AQ22" s="4">
        <f>IF(D22="M",IF($AM22&lt;162,WeightSDS!P$12*$AM22^7+WeightSDS!Q$12*$AM22^6+WeightSDS!R$12*$AM22^5+WeightSDS!S$12*$AM22^4+WeightSDS!T$12*$AM22^3+WeightSDS!U$12*$AM22^2+WeightSDS!V$12*$AM22+WeightSDS!W$12,WeightSDS!P$14*$AM22^7+WeightSDS!Q$14*$AM22^6+WeightSDS!R$14*$AM22^5+WeightSDS!S$14*$AM22^4+WeightSDS!T$14*$AM22^3+WeightSDS!U$14*$AM22^2+WeightSDS!V$14*$AM22+WeightSDS!W$14),IF($AM22&lt;156,WeightSDS!O$17*$AM22^8+WeightSDS!P$17*$AM22^7+WeightSDS!Q$17*$AM22^6+WeightSDS!R$17*$AM22^5+WeightSDS!S$17*$AM22^4+WeightSDS!T$17*$AM22^3+WeightSDS!U$17*$AM22^2+WeightSDS!V$17*$AM22+WeightSDS!W$17,IF($AM22&lt;186,WeightSDS!$U$18+(WeightSDS!$V$18-WeightSDS!$U$18)/24*($AM22-186)+WeightSDS!$W$18*(-$AM22+186)^2-0.005,WeightSDS!$U$18+(WeightSDS!$V$18-WeightSDS!$U$18)/24*($AM22-186)-0.005)))</f>
        <v>0.14604529399999999</v>
      </c>
      <c r="AR22" s="171"/>
      <c r="AT22" s="4">
        <f t="shared" si="16"/>
        <v>0.56299999999999994</v>
      </c>
      <c r="AU22" s="4">
        <f t="shared" si="17"/>
        <v>69</v>
      </c>
      <c r="AV22" s="4">
        <f t="shared" si="18"/>
        <v>0.51</v>
      </c>
    </row>
    <row r="23" spans="1:48" x14ac:dyDescent="0.15">
      <c r="A23" s="4"/>
      <c r="B23" s="21"/>
      <c r="C23" s="21"/>
      <c r="D23" s="21"/>
      <c r="E23" s="22"/>
      <c r="F23" s="22"/>
      <c r="G23" s="23"/>
      <c r="H23" s="23"/>
      <c r="I23" s="181"/>
      <c r="J23" s="8" t="str">
        <f t="shared" si="3"/>
        <v/>
      </c>
      <c r="K23" s="2" t="str">
        <f t="shared" si="4"/>
        <v/>
      </c>
      <c r="L23" s="2" t="str">
        <f t="shared" si="0"/>
        <v/>
      </c>
      <c r="M23" s="2" t="str">
        <f t="shared" si="5"/>
        <v/>
      </c>
      <c r="N23" s="2" t="str">
        <f t="shared" si="19"/>
        <v/>
      </c>
      <c r="O23" s="2" t="str">
        <f t="shared" si="6"/>
        <v/>
      </c>
      <c r="P23" s="8" t="str">
        <f t="shared" si="7"/>
        <v/>
      </c>
      <c r="Q23" s="8" t="str">
        <f t="shared" si="8"/>
        <v/>
      </c>
      <c r="R23" s="111" t="str">
        <f t="shared" si="9"/>
        <v/>
      </c>
      <c r="S23" s="44" t="str">
        <f t="shared" si="10"/>
        <v/>
      </c>
      <c r="T23" s="37" t="str">
        <f t="shared" si="11"/>
        <v/>
      </c>
      <c r="U23" s="44" t="str">
        <f t="shared" si="12"/>
        <v/>
      </c>
      <c r="V23" s="26"/>
      <c r="W23" s="26"/>
      <c r="X23" s="26"/>
      <c r="Y23" s="26"/>
      <c r="Z23" s="24"/>
      <c r="AA23" s="169">
        <f t="shared" si="13"/>
        <v>0</v>
      </c>
      <c r="AB23" s="4">
        <f t="shared" si="14"/>
        <v>0</v>
      </c>
      <c r="AC23" s="170">
        <f t="shared" si="15"/>
        <v>0</v>
      </c>
      <c r="AD23" s="58"/>
      <c r="AE23" s="58"/>
      <c r="AF23" s="58"/>
      <c r="AG23" s="59">
        <f t="shared" si="1"/>
        <v>9.0359999999999996</v>
      </c>
      <c r="AH23" s="59">
        <f t="shared" si="2"/>
        <v>-184.49199999999999</v>
      </c>
      <c r="AJ23" s="4">
        <f>IF(D23="M",IF(AM23&lt;78,BMILMS!$D$5*AM23^3+BMILMS!$E$5*AM23^2+BMILMS!$F$5*AM23+BMILMS!$G$5,IF(AM23&lt;150,BMILMS!$D$6*AM23^3+BMILMS!$E$6*AM23^2+BMILMS!$F$6*AM23+BMILMS!$G$6,BMILMS!$D$7*AM23^3+BMILMS!$E$7*AM23^2+BMILMS!$F$7*AM23+BMILMS!$G$7)),IF(AM23&lt;69,BMILMS!$D$9*AM23^3+BMILMS!$E$9*AM23^2+BMILMS!$F$9*AM23+BMILMS!$G$9,IF(AM23&lt;150,BMILMS!$D$10*AM23^3+BMILMS!$E$10*AM23^2+BMILMS!$F$10*AM23+BMILMS!$G$10,BMILMS!$D$11*AM23^3+BMILMS!$E$11*AM23^2+BMILMS!$F$11*AM23+BMILMS!$G$11)))</f>
        <v>0.79584630099999998</v>
      </c>
      <c r="AK23" s="4">
        <f>IF(D23="M",(IF(AM23&lt;2.5,BMILMS!$D$21*AM23^3+BMILMS!$E$21*AM23^2+BMILMS!$F$21*AM23+BMILMS!$G$21,IF(AM23&lt;9.5,BMILMS!$D$22*AM23^3+BMILMS!$E$22*AM23^2+BMILMS!$F$22*AM23+BMILMS!$G$22,IF(AM23&lt;26.75,BMILMS!$D$23*AM23^3+BMILMS!$E$23*AM23^2+BMILMS!$F$23*AM23+BMILMS!$G$23,IF(AM23&lt;90,BMILMS!$D$24*AM23^3+BMILMS!$E$24*AM23^2+BMILMS!$F$24*AM23+BMILMS!$G$24,BMILMS!$D$25*AM23^3+BMILMS!$E$25*AM23^2+BMILMS!$F$25*AM23+BMILMS!$G$25))))),(IF(AM23&lt;2.5,BMILMS!$D$27*AM23^3+BMILMS!$E$27*AM23^2+BMILMS!$F$27*AM23+BMILMS!$G$27,IF(AM23&lt;9.5,BMILMS!$D$28*AM23^3+BMILMS!$E$28*AM23^2+BMILMS!$F$28*AM23+BMILMS!$G$28,IF(AM23&lt;26.75,BMILMS!$D$29*AM23^3+BMILMS!$E$29*AM23^2+BMILMS!$F$29*AM23+BMILMS!$G$29,IF(AM23&lt;90,BMILMS!$D$30*AM23^3+BMILMS!$E$30*AM23^2+BMILMS!$F$30*AM23+BMILMS!$G$30,IF(AM23&lt;150,BMILMS!$D$31*AM23^3+BMILMS!$E$31*AM23^2+BMILMS!$F$31*AM23+BMILMS!$G$31,BMILMS!$D$32*AM23^3+BMILMS!$E$32*AM23^2+BMILMS!$F$32*AM23+BMILMS!$G$32)))))))</f>
        <v>12.568967990000001</v>
      </c>
      <c r="AL23" s="4">
        <f>IF(D23="M",(IF(AM23&lt;90,BMILMS!$D$14*AM23^3+BMILMS!$E$14*AM23^2+BMILMS!$F$14*AM23+BMILMS!$G$14,BMILMS!$D$15*AM23^3+BMILMS!$E$15*AM23^2+BMILMS!$F$15*AM23+BMILMS!$G$15)),(IF(AM23&lt;90,BMILMS!$D$17*AM23^3+BMILMS!$E$17*AM23^2+BMILMS!$F$17*AM23+BMILMS!$G$17,BMILMS!$D$18*AM23^3+BMILMS!$E$18*AM23^2+BMILMS!$F$18*AM23+BMILMS!$G$18)))</f>
        <v>8.8969350000000003E-2</v>
      </c>
      <c r="AM23" s="4">
        <f t="shared" si="20"/>
        <v>0</v>
      </c>
      <c r="AO23" s="56">
        <f>IF(D23="M",WeightSDS!P$5*$AM23^7+WeightSDS!Q$5*$AM23^6+WeightSDS!R$5*$AM23^5+WeightSDS!S$5*$AM23^4+WeightSDS!T$5*$AM23^3+WeightSDS!U$5*$AM23^2+WeightSDS!V$5*$AM23+WeightSDS!W$5,IF($AM23&lt;186,WeightSDS!P$8*$AM23^7+WeightSDS!Q$8*$AM23^6+WeightSDS!R$8*$AM23^5+WeightSDS!S$8*$AM23^4+WeightSDS!T$8*$AM23^3+WeightSDS!U$8*$AM23^2+WeightSDS!V$8*$AM23+WeightSDS!W$8,WeightSDS!$U$9+WeightSDS!$V$9*($AM23-WeightSDS!$W$9)))</f>
        <v>0.75407122999999998</v>
      </c>
      <c r="AP23" s="4">
        <f>IF(D23="M",IF($AM23&lt;45,WeightSDS!M$23*$AM23^10+WeightSDS!N$23*$AM23^9+WeightSDS!O$23*$AM23^8+WeightSDS!P$23*$AM23^7+WeightSDS!Q$23*$AM23^6+WeightSDS!R$23*$AM23^5+WeightSDS!S$23*$AM23^4+WeightSDS!T$23*$AM23^3+WeightSDS!U$23*$AM23^2+WeightSDS!V$23*$AM23+WeightSDS!W$23,IF($AM23&lt;153,WeightSDS!M$25*$AM23^10+WeightSDS!N$25*$AM23^9+WeightSDS!O$25*$AM23^8+WeightSDS!P$25*$AM23^7+WeightSDS!Q$25*$AM23^6+WeightSDS!R$25*$AM23^5+WeightSDS!S$25*$AM23^4+WeightSDS!T$25*$AM23^3+WeightSDS!U$25*$AM23^2+WeightSDS!V$25*$AM23+WeightSDS!W$25,WeightSDS!M$27+WeightSDS!N$27/(1+EXP(WeightSDS!O$27+WeightSDS!P$27*$AM23)))),IF($AM23&lt;43.8,WeightSDS!M$29*$AM23^10+WeightSDS!N$29*$AM23^9+WeightSDS!O$29*$AM23^8+WeightSDS!P$29*$AM23^7+WeightSDS!Q$29*$AM23^6+WeightSDS!R$29*$AM23^5+WeightSDS!S$29*$AM23^4+WeightSDS!T$29*$AM23^3+WeightSDS!U$29*$AM23^2+WeightSDS!V$29*$AM23+WeightSDS!W$29-0.010431*(1-$AM23/210),IF($AM23&lt;123,WeightSDS!M$30*$AM23^10+WeightSDS!N$30*$AM23^9+WeightSDS!O$30*$AM23^8+WeightSDS!P$30*$AM23^7+WeightSDS!Q$30*$AM23^6+WeightSDS!R$30*$AM23^5+WeightSDS!S$30*$AM23^4+WeightSDS!T$30*$AM23^3+WeightSDS!U$30*$AM23^2+WeightSDS!V$30*$AM23+WeightSDS!W$30-0.010431*(1-1/$AM23),WeightSDS!M$32+WeightSDS!N$32/(1+EXP(WeightSDS!O$32+WeightSDS!P$32*$AM23))-0.010431*(1-$AM23/210))))</f>
        <v>2.9500001032655536</v>
      </c>
      <c r="AQ23" s="4">
        <f>IF(D23="M",IF($AM23&lt;162,WeightSDS!P$12*$AM23^7+WeightSDS!Q$12*$AM23^6+WeightSDS!R$12*$AM23^5+WeightSDS!S$12*$AM23^4+WeightSDS!T$12*$AM23^3+WeightSDS!U$12*$AM23^2+WeightSDS!V$12*$AM23+WeightSDS!W$12,WeightSDS!P$14*$AM23^7+WeightSDS!Q$14*$AM23^6+WeightSDS!R$14*$AM23^5+WeightSDS!S$14*$AM23^4+WeightSDS!T$14*$AM23^3+WeightSDS!U$14*$AM23^2+WeightSDS!V$14*$AM23+WeightSDS!W$14),IF($AM23&lt;156,WeightSDS!O$17*$AM23^8+WeightSDS!P$17*$AM23^7+WeightSDS!Q$17*$AM23^6+WeightSDS!R$17*$AM23^5+WeightSDS!S$17*$AM23^4+WeightSDS!T$17*$AM23^3+WeightSDS!U$17*$AM23^2+WeightSDS!V$17*$AM23+WeightSDS!W$17,IF($AM23&lt;186,WeightSDS!$U$18+(WeightSDS!$V$18-WeightSDS!$U$18)/24*($AM23-186)+WeightSDS!$W$18*(-$AM23+186)^2-0.005,WeightSDS!$U$18+(WeightSDS!$V$18-WeightSDS!$U$18)/24*($AM23-186)-0.005)))</f>
        <v>0.14604529399999999</v>
      </c>
      <c r="AR23" s="171"/>
      <c r="AT23" s="4">
        <f t="shared" si="16"/>
        <v>0.56299999999999994</v>
      </c>
      <c r="AU23" s="4">
        <f t="shared" si="17"/>
        <v>69</v>
      </c>
      <c r="AV23" s="4">
        <f t="shared" si="18"/>
        <v>0.51</v>
      </c>
    </row>
    <row r="24" spans="1:48" x14ac:dyDescent="0.15">
      <c r="A24" s="4"/>
      <c r="B24" s="21"/>
      <c r="C24" s="21"/>
      <c r="D24" s="21"/>
      <c r="E24" s="22"/>
      <c r="F24" s="22"/>
      <c r="G24" s="23"/>
      <c r="H24" s="23"/>
      <c r="I24" s="181"/>
      <c r="J24" s="8" t="str">
        <f t="shared" si="3"/>
        <v/>
      </c>
      <c r="K24" s="2" t="str">
        <f t="shared" si="4"/>
        <v/>
      </c>
      <c r="L24" s="2" t="str">
        <f t="shared" si="0"/>
        <v/>
      </c>
      <c r="M24" s="2" t="str">
        <f t="shared" si="5"/>
        <v/>
      </c>
      <c r="N24" s="2" t="str">
        <f t="shared" si="19"/>
        <v/>
      </c>
      <c r="O24" s="2" t="str">
        <f t="shared" si="6"/>
        <v/>
      </c>
      <c r="P24" s="8" t="str">
        <f t="shared" si="7"/>
        <v/>
      </c>
      <c r="Q24" s="8" t="str">
        <f t="shared" si="8"/>
        <v/>
      </c>
      <c r="R24" s="111" t="str">
        <f t="shared" si="9"/>
        <v/>
      </c>
      <c r="S24" s="44" t="str">
        <f t="shared" si="10"/>
        <v/>
      </c>
      <c r="T24" s="37" t="str">
        <f t="shared" si="11"/>
        <v/>
      </c>
      <c r="U24" s="44" t="str">
        <f t="shared" si="12"/>
        <v/>
      </c>
      <c r="V24" s="26"/>
      <c r="W24" s="26"/>
      <c r="X24" s="26"/>
      <c r="Y24" s="26"/>
      <c r="Z24" s="24"/>
      <c r="AA24" s="169">
        <f t="shared" si="13"/>
        <v>0</v>
      </c>
      <c r="AB24" s="4">
        <f t="shared" si="14"/>
        <v>0</v>
      </c>
      <c r="AC24" s="170">
        <f t="shared" si="15"/>
        <v>0</v>
      </c>
      <c r="AD24" s="58"/>
      <c r="AE24" s="58"/>
      <c r="AF24" s="58"/>
      <c r="AG24" s="59">
        <f t="shared" si="1"/>
        <v>9.0359999999999996</v>
      </c>
      <c r="AH24" s="59">
        <f t="shared" si="2"/>
        <v>-184.49199999999999</v>
      </c>
      <c r="AJ24" s="4">
        <f>IF(D24="M",IF(AM24&lt;78,BMILMS!$D$5*AM24^3+BMILMS!$E$5*AM24^2+BMILMS!$F$5*AM24+BMILMS!$G$5,IF(AM24&lt;150,BMILMS!$D$6*AM24^3+BMILMS!$E$6*AM24^2+BMILMS!$F$6*AM24+BMILMS!$G$6,BMILMS!$D$7*AM24^3+BMILMS!$E$7*AM24^2+BMILMS!$F$7*AM24+BMILMS!$G$7)),IF(AM24&lt;69,BMILMS!$D$9*AM24^3+BMILMS!$E$9*AM24^2+BMILMS!$F$9*AM24+BMILMS!$G$9,IF(AM24&lt;150,BMILMS!$D$10*AM24^3+BMILMS!$E$10*AM24^2+BMILMS!$F$10*AM24+BMILMS!$G$10,BMILMS!$D$11*AM24^3+BMILMS!$E$11*AM24^2+BMILMS!$F$11*AM24+BMILMS!$G$11)))</f>
        <v>0.79584630099999998</v>
      </c>
      <c r="AK24" s="4">
        <f>IF(D24="M",(IF(AM24&lt;2.5,BMILMS!$D$21*AM24^3+BMILMS!$E$21*AM24^2+BMILMS!$F$21*AM24+BMILMS!$G$21,IF(AM24&lt;9.5,BMILMS!$D$22*AM24^3+BMILMS!$E$22*AM24^2+BMILMS!$F$22*AM24+BMILMS!$G$22,IF(AM24&lt;26.75,BMILMS!$D$23*AM24^3+BMILMS!$E$23*AM24^2+BMILMS!$F$23*AM24+BMILMS!$G$23,IF(AM24&lt;90,BMILMS!$D$24*AM24^3+BMILMS!$E$24*AM24^2+BMILMS!$F$24*AM24+BMILMS!$G$24,BMILMS!$D$25*AM24^3+BMILMS!$E$25*AM24^2+BMILMS!$F$25*AM24+BMILMS!$G$25))))),(IF(AM24&lt;2.5,BMILMS!$D$27*AM24^3+BMILMS!$E$27*AM24^2+BMILMS!$F$27*AM24+BMILMS!$G$27,IF(AM24&lt;9.5,BMILMS!$D$28*AM24^3+BMILMS!$E$28*AM24^2+BMILMS!$F$28*AM24+BMILMS!$G$28,IF(AM24&lt;26.75,BMILMS!$D$29*AM24^3+BMILMS!$E$29*AM24^2+BMILMS!$F$29*AM24+BMILMS!$G$29,IF(AM24&lt;90,BMILMS!$D$30*AM24^3+BMILMS!$E$30*AM24^2+BMILMS!$F$30*AM24+BMILMS!$G$30,IF(AM24&lt;150,BMILMS!$D$31*AM24^3+BMILMS!$E$31*AM24^2+BMILMS!$F$31*AM24+BMILMS!$G$31,BMILMS!$D$32*AM24^3+BMILMS!$E$32*AM24^2+BMILMS!$F$32*AM24+BMILMS!$G$32)))))))</f>
        <v>12.568967990000001</v>
      </c>
      <c r="AL24" s="4">
        <f>IF(D24="M",(IF(AM24&lt;90,BMILMS!$D$14*AM24^3+BMILMS!$E$14*AM24^2+BMILMS!$F$14*AM24+BMILMS!$G$14,BMILMS!$D$15*AM24^3+BMILMS!$E$15*AM24^2+BMILMS!$F$15*AM24+BMILMS!$G$15)),(IF(AM24&lt;90,BMILMS!$D$17*AM24^3+BMILMS!$E$17*AM24^2+BMILMS!$F$17*AM24+BMILMS!$G$17,BMILMS!$D$18*AM24^3+BMILMS!$E$18*AM24^2+BMILMS!$F$18*AM24+BMILMS!$G$18)))</f>
        <v>8.8969350000000003E-2</v>
      </c>
      <c r="AM24" s="4">
        <f t="shared" si="20"/>
        <v>0</v>
      </c>
      <c r="AO24" s="56">
        <f>IF(D24="M",WeightSDS!P$5*$AM24^7+WeightSDS!Q$5*$AM24^6+WeightSDS!R$5*$AM24^5+WeightSDS!S$5*$AM24^4+WeightSDS!T$5*$AM24^3+WeightSDS!U$5*$AM24^2+WeightSDS!V$5*$AM24+WeightSDS!W$5,IF($AM24&lt;186,WeightSDS!P$8*$AM24^7+WeightSDS!Q$8*$AM24^6+WeightSDS!R$8*$AM24^5+WeightSDS!S$8*$AM24^4+WeightSDS!T$8*$AM24^3+WeightSDS!U$8*$AM24^2+WeightSDS!V$8*$AM24+WeightSDS!W$8,WeightSDS!$U$9+WeightSDS!$V$9*($AM24-WeightSDS!$W$9)))</f>
        <v>0.75407122999999998</v>
      </c>
      <c r="AP24" s="4">
        <f>IF(D24="M",IF($AM24&lt;45,WeightSDS!M$23*$AM24^10+WeightSDS!N$23*$AM24^9+WeightSDS!O$23*$AM24^8+WeightSDS!P$23*$AM24^7+WeightSDS!Q$23*$AM24^6+WeightSDS!R$23*$AM24^5+WeightSDS!S$23*$AM24^4+WeightSDS!T$23*$AM24^3+WeightSDS!U$23*$AM24^2+WeightSDS!V$23*$AM24+WeightSDS!W$23,IF($AM24&lt;153,WeightSDS!M$25*$AM24^10+WeightSDS!N$25*$AM24^9+WeightSDS!O$25*$AM24^8+WeightSDS!P$25*$AM24^7+WeightSDS!Q$25*$AM24^6+WeightSDS!R$25*$AM24^5+WeightSDS!S$25*$AM24^4+WeightSDS!T$25*$AM24^3+WeightSDS!U$25*$AM24^2+WeightSDS!V$25*$AM24+WeightSDS!W$25,WeightSDS!M$27+WeightSDS!N$27/(1+EXP(WeightSDS!O$27+WeightSDS!P$27*$AM24)))),IF($AM24&lt;43.8,WeightSDS!M$29*$AM24^10+WeightSDS!N$29*$AM24^9+WeightSDS!O$29*$AM24^8+WeightSDS!P$29*$AM24^7+WeightSDS!Q$29*$AM24^6+WeightSDS!R$29*$AM24^5+WeightSDS!S$29*$AM24^4+WeightSDS!T$29*$AM24^3+WeightSDS!U$29*$AM24^2+WeightSDS!V$29*$AM24+WeightSDS!W$29-0.010431*(1-$AM24/210),IF($AM24&lt;123,WeightSDS!M$30*$AM24^10+WeightSDS!N$30*$AM24^9+WeightSDS!O$30*$AM24^8+WeightSDS!P$30*$AM24^7+WeightSDS!Q$30*$AM24^6+WeightSDS!R$30*$AM24^5+WeightSDS!S$30*$AM24^4+WeightSDS!T$30*$AM24^3+WeightSDS!U$30*$AM24^2+WeightSDS!V$30*$AM24+WeightSDS!W$30-0.010431*(1-1/$AM24),WeightSDS!M$32+WeightSDS!N$32/(1+EXP(WeightSDS!O$32+WeightSDS!P$32*$AM24))-0.010431*(1-$AM24/210))))</f>
        <v>2.9500001032655536</v>
      </c>
      <c r="AQ24" s="4">
        <f>IF(D24="M",IF($AM24&lt;162,WeightSDS!P$12*$AM24^7+WeightSDS!Q$12*$AM24^6+WeightSDS!R$12*$AM24^5+WeightSDS!S$12*$AM24^4+WeightSDS!T$12*$AM24^3+WeightSDS!U$12*$AM24^2+WeightSDS!V$12*$AM24+WeightSDS!W$12,WeightSDS!P$14*$AM24^7+WeightSDS!Q$14*$AM24^6+WeightSDS!R$14*$AM24^5+WeightSDS!S$14*$AM24^4+WeightSDS!T$14*$AM24^3+WeightSDS!U$14*$AM24^2+WeightSDS!V$14*$AM24+WeightSDS!W$14),IF($AM24&lt;156,WeightSDS!O$17*$AM24^8+WeightSDS!P$17*$AM24^7+WeightSDS!Q$17*$AM24^6+WeightSDS!R$17*$AM24^5+WeightSDS!S$17*$AM24^4+WeightSDS!T$17*$AM24^3+WeightSDS!U$17*$AM24^2+WeightSDS!V$17*$AM24+WeightSDS!W$17,IF($AM24&lt;186,WeightSDS!$U$18+(WeightSDS!$V$18-WeightSDS!$U$18)/24*($AM24-186)+WeightSDS!$W$18*(-$AM24+186)^2-0.005,WeightSDS!$U$18+(WeightSDS!$V$18-WeightSDS!$U$18)/24*($AM24-186)-0.005)))</f>
        <v>0.14604529399999999</v>
      </c>
      <c r="AT24" s="4">
        <f t="shared" si="16"/>
        <v>0.56299999999999994</v>
      </c>
      <c r="AU24" s="4">
        <f t="shared" si="17"/>
        <v>69</v>
      </c>
      <c r="AV24" s="4">
        <f t="shared" si="18"/>
        <v>0.51</v>
      </c>
    </row>
    <row r="25" spans="1:48" x14ac:dyDescent="0.15">
      <c r="A25" s="4"/>
      <c r="B25" s="21"/>
      <c r="C25" s="21"/>
      <c r="D25" s="21"/>
      <c r="E25" s="22"/>
      <c r="F25" s="22"/>
      <c r="G25" s="23"/>
      <c r="H25" s="23"/>
      <c r="I25" s="181"/>
      <c r="J25" s="8" t="str">
        <f t="shared" si="3"/>
        <v/>
      </c>
      <c r="K25" s="2" t="str">
        <f t="shared" si="4"/>
        <v/>
      </c>
      <c r="L25" s="2" t="str">
        <f t="shared" si="0"/>
        <v/>
      </c>
      <c r="M25" s="2" t="str">
        <f t="shared" si="5"/>
        <v/>
      </c>
      <c r="N25" s="2" t="str">
        <f t="shared" si="19"/>
        <v/>
      </c>
      <c r="O25" s="2" t="str">
        <f t="shared" si="6"/>
        <v/>
      </c>
      <c r="P25" s="8" t="str">
        <f t="shared" si="7"/>
        <v/>
      </c>
      <c r="Q25" s="8" t="str">
        <f t="shared" si="8"/>
        <v/>
      </c>
      <c r="R25" s="111" t="str">
        <f t="shared" si="9"/>
        <v/>
      </c>
      <c r="S25" s="44" t="str">
        <f t="shared" si="10"/>
        <v/>
      </c>
      <c r="T25" s="37" t="str">
        <f t="shared" si="11"/>
        <v/>
      </c>
      <c r="U25" s="44" t="str">
        <f t="shared" si="12"/>
        <v/>
      </c>
      <c r="Z25" s="24"/>
      <c r="AA25" s="169">
        <f t="shared" si="13"/>
        <v>0</v>
      </c>
      <c r="AB25" s="4">
        <f t="shared" si="14"/>
        <v>0</v>
      </c>
      <c r="AC25" s="170">
        <f t="shared" si="15"/>
        <v>0</v>
      </c>
      <c r="AD25" s="58"/>
      <c r="AE25" s="58"/>
      <c r="AF25" s="58"/>
      <c r="AG25" s="59">
        <f t="shared" si="1"/>
        <v>9.0359999999999996</v>
      </c>
      <c r="AH25" s="59">
        <f t="shared" si="2"/>
        <v>-184.49199999999999</v>
      </c>
      <c r="AJ25" s="4">
        <f>IF(D25="M",IF(AM25&lt;78,BMILMS!$D$5*AM25^3+BMILMS!$E$5*AM25^2+BMILMS!$F$5*AM25+BMILMS!$G$5,IF(AM25&lt;150,BMILMS!$D$6*AM25^3+BMILMS!$E$6*AM25^2+BMILMS!$F$6*AM25+BMILMS!$G$6,BMILMS!$D$7*AM25^3+BMILMS!$E$7*AM25^2+BMILMS!$F$7*AM25+BMILMS!$G$7)),IF(AM25&lt;69,BMILMS!$D$9*AM25^3+BMILMS!$E$9*AM25^2+BMILMS!$F$9*AM25+BMILMS!$G$9,IF(AM25&lt;150,BMILMS!$D$10*AM25^3+BMILMS!$E$10*AM25^2+BMILMS!$F$10*AM25+BMILMS!$G$10,BMILMS!$D$11*AM25^3+BMILMS!$E$11*AM25^2+BMILMS!$F$11*AM25+BMILMS!$G$11)))</f>
        <v>0.79584630099999998</v>
      </c>
      <c r="AK25" s="4">
        <f>IF(D25="M",(IF(AM25&lt;2.5,BMILMS!$D$21*AM25^3+BMILMS!$E$21*AM25^2+BMILMS!$F$21*AM25+BMILMS!$G$21,IF(AM25&lt;9.5,BMILMS!$D$22*AM25^3+BMILMS!$E$22*AM25^2+BMILMS!$F$22*AM25+BMILMS!$G$22,IF(AM25&lt;26.75,BMILMS!$D$23*AM25^3+BMILMS!$E$23*AM25^2+BMILMS!$F$23*AM25+BMILMS!$G$23,IF(AM25&lt;90,BMILMS!$D$24*AM25^3+BMILMS!$E$24*AM25^2+BMILMS!$F$24*AM25+BMILMS!$G$24,BMILMS!$D$25*AM25^3+BMILMS!$E$25*AM25^2+BMILMS!$F$25*AM25+BMILMS!$G$25))))),(IF(AM25&lt;2.5,BMILMS!$D$27*AM25^3+BMILMS!$E$27*AM25^2+BMILMS!$F$27*AM25+BMILMS!$G$27,IF(AM25&lt;9.5,BMILMS!$D$28*AM25^3+BMILMS!$E$28*AM25^2+BMILMS!$F$28*AM25+BMILMS!$G$28,IF(AM25&lt;26.75,BMILMS!$D$29*AM25^3+BMILMS!$E$29*AM25^2+BMILMS!$F$29*AM25+BMILMS!$G$29,IF(AM25&lt;90,BMILMS!$D$30*AM25^3+BMILMS!$E$30*AM25^2+BMILMS!$F$30*AM25+BMILMS!$G$30,IF(AM25&lt;150,BMILMS!$D$31*AM25^3+BMILMS!$E$31*AM25^2+BMILMS!$F$31*AM25+BMILMS!$G$31,BMILMS!$D$32*AM25^3+BMILMS!$E$32*AM25^2+BMILMS!$F$32*AM25+BMILMS!$G$32)))))))</f>
        <v>12.568967990000001</v>
      </c>
      <c r="AL25" s="4">
        <f>IF(D25="M",(IF(AM25&lt;90,BMILMS!$D$14*AM25^3+BMILMS!$E$14*AM25^2+BMILMS!$F$14*AM25+BMILMS!$G$14,BMILMS!$D$15*AM25^3+BMILMS!$E$15*AM25^2+BMILMS!$F$15*AM25+BMILMS!$G$15)),(IF(AM25&lt;90,BMILMS!$D$17*AM25^3+BMILMS!$E$17*AM25^2+BMILMS!$F$17*AM25+BMILMS!$G$17,BMILMS!$D$18*AM25^3+BMILMS!$E$18*AM25^2+BMILMS!$F$18*AM25+BMILMS!$G$18)))</f>
        <v>8.8969350000000003E-2</v>
      </c>
      <c r="AM25" s="4">
        <f t="shared" si="20"/>
        <v>0</v>
      </c>
      <c r="AO25" s="56">
        <f>IF(D25="M",WeightSDS!P$5*$AM25^7+WeightSDS!Q$5*$AM25^6+WeightSDS!R$5*$AM25^5+WeightSDS!S$5*$AM25^4+WeightSDS!T$5*$AM25^3+WeightSDS!U$5*$AM25^2+WeightSDS!V$5*$AM25+WeightSDS!W$5,IF($AM25&lt;186,WeightSDS!P$8*$AM25^7+WeightSDS!Q$8*$AM25^6+WeightSDS!R$8*$AM25^5+WeightSDS!S$8*$AM25^4+WeightSDS!T$8*$AM25^3+WeightSDS!U$8*$AM25^2+WeightSDS!V$8*$AM25+WeightSDS!W$8,WeightSDS!$U$9+WeightSDS!$V$9*($AM25-WeightSDS!$W$9)))</f>
        <v>0.75407122999999998</v>
      </c>
      <c r="AP25" s="4">
        <f>IF(D25="M",IF($AM25&lt;45,WeightSDS!M$23*$AM25^10+WeightSDS!N$23*$AM25^9+WeightSDS!O$23*$AM25^8+WeightSDS!P$23*$AM25^7+WeightSDS!Q$23*$AM25^6+WeightSDS!R$23*$AM25^5+WeightSDS!S$23*$AM25^4+WeightSDS!T$23*$AM25^3+WeightSDS!U$23*$AM25^2+WeightSDS!V$23*$AM25+WeightSDS!W$23,IF($AM25&lt;153,WeightSDS!M$25*$AM25^10+WeightSDS!N$25*$AM25^9+WeightSDS!O$25*$AM25^8+WeightSDS!P$25*$AM25^7+WeightSDS!Q$25*$AM25^6+WeightSDS!R$25*$AM25^5+WeightSDS!S$25*$AM25^4+WeightSDS!T$25*$AM25^3+WeightSDS!U$25*$AM25^2+WeightSDS!V$25*$AM25+WeightSDS!W$25,WeightSDS!M$27+WeightSDS!N$27/(1+EXP(WeightSDS!O$27+WeightSDS!P$27*$AM25)))),IF($AM25&lt;43.8,WeightSDS!M$29*$AM25^10+WeightSDS!N$29*$AM25^9+WeightSDS!O$29*$AM25^8+WeightSDS!P$29*$AM25^7+WeightSDS!Q$29*$AM25^6+WeightSDS!R$29*$AM25^5+WeightSDS!S$29*$AM25^4+WeightSDS!T$29*$AM25^3+WeightSDS!U$29*$AM25^2+WeightSDS!V$29*$AM25+WeightSDS!W$29-0.010431*(1-$AM25/210),IF($AM25&lt;123,WeightSDS!M$30*$AM25^10+WeightSDS!N$30*$AM25^9+WeightSDS!O$30*$AM25^8+WeightSDS!P$30*$AM25^7+WeightSDS!Q$30*$AM25^6+WeightSDS!R$30*$AM25^5+WeightSDS!S$30*$AM25^4+WeightSDS!T$30*$AM25^3+WeightSDS!U$30*$AM25^2+WeightSDS!V$30*$AM25+WeightSDS!W$30-0.010431*(1-1/$AM25),WeightSDS!M$32+WeightSDS!N$32/(1+EXP(WeightSDS!O$32+WeightSDS!P$32*$AM25))-0.010431*(1-$AM25/210))))</f>
        <v>2.9500001032655536</v>
      </c>
      <c r="AQ25" s="4">
        <f>IF(D25="M",IF($AM25&lt;162,WeightSDS!P$12*$AM25^7+WeightSDS!Q$12*$AM25^6+WeightSDS!R$12*$AM25^5+WeightSDS!S$12*$AM25^4+WeightSDS!T$12*$AM25^3+WeightSDS!U$12*$AM25^2+WeightSDS!V$12*$AM25+WeightSDS!W$12,WeightSDS!P$14*$AM25^7+WeightSDS!Q$14*$AM25^6+WeightSDS!R$14*$AM25^5+WeightSDS!S$14*$AM25^4+WeightSDS!T$14*$AM25^3+WeightSDS!U$14*$AM25^2+WeightSDS!V$14*$AM25+WeightSDS!W$14),IF($AM25&lt;156,WeightSDS!O$17*$AM25^8+WeightSDS!P$17*$AM25^7+WeightSDS!Q$17*$AM25^6+WeightSDS!R$17*$AM25^5+WeightSDS!S$17*$AM25^4+WeightSDS!T$17*$AM25^3+WeightSDS!U$17*$AM25^2+WeightSDS!V$17*$AM25+WeightSDS!W$17,IF($AM25&lt;186,WeightSDS!$U$18+(WeightSDS!$V$18-WeightSDS!$U$18)/24*($AM25-186)+WeightSDS!$W$18*(-$AM25+186)^2-0.005,WeightSDS!$U$18+(WeightSDS!$V$18-WeightSDS!$U$18)/24*($AM25-186)-0.005)))</f>
        <v>0.14604529399999999</v>
      </c>
      <c r="AT25" s="4">
        <f t="shared" si="16"/>
        <v>0.56299999999999994</v>
      </c>
      <c r="AU25" s="4">
        <f t="shared" si="17"/>
        <v>69</v>
      </c>
      <c r="AV25" s="4">
        <f t="shared" si="18"/>
        <v>0.51</v>
      </c>
    </row>
    <row r="26" spans="1:48" x14ac:dyDescent="0.15">
      <c r="A26" s="4"/>
      <c r="B26" s="21"/>
      <c r="C26" s="21"/>
      <c r="D26" s="21"/>
      <c r="E26" s="22"/>
      <c r="F26" s="22"/>
      <c r="G26" s="23"/>
      <c r="H26" s="23"/>
      <c r="I26" s="181"/>
      <c r="J26" s="8" t="str">
        <f t="shared" si="3"/>
        <v/>
      </c>
      <c r="K26" s="2" t="str">
        <f t="shared" si="4"/>
        <v/>
      </c>
      <c r="L26" s="2" t="str">
        <f t="shared" si="0"/>
        <v/>
      </c>
      <c r="M26" s="2" t="str">
        <f t="shared" si="5"/>
        <v/>
      </c>
      <c r="N26" s="2" t="str">
        <f t="shared" si="19"/>
        <v/>
      </c>
      <c r="O26" s="2" t="str">
        <f t="shared" si="6"/>
        <v/>
      </c>
      <c r="P26" s="8" t="str">
        <f t="shared" si="7"/>
        <v/>
      </c>
      <c r="Q26" s="8" t="str">
        <f t="shared" si="8"/>
        <v/>
      </c>
      <c r="R26" s="111" t="str">
        <f t="shared" si="9"/>
        <v/>
      </c>
      <c r="S26" s="44" t="str">
        <f t="shared" si="10"/>
        <v/>
      </c>
      <c r="T26" s="37" t="str">
        <f t="shared" si="11"/>
        <v/>
      </c>
      <c r="U26" s="44" t="str">
        <f t="shared" si="12"/>
        <v/>
      </c>
      <c r="V26" s="26"/>
      <c r="W26" s="26"/>
      <c r="X26" s="26"/>
      <c r="Y26" s="26"/>
      <c r="Z26" s="24"/>
      <c r="AA26" s="169">
        <f t="shared" si="13"/>
        <v>0</v>
      </c>
      <c r="AB26" s="4">
        <f t="shared" si="14"/>
        <v>0</v>
      </c>
      <c r="AC26" s="170">
        <f t="shared" si="15"/>
        <v>0</v>
      </c>
      <c r="AD26" s="58"/>
      <c r="AE26" s="58"/>
      <c r="AF26" s="58"/>
      <c r="AG26" s="59">
        <f t="shared" si="1"/>
        <v>9.0359999999999996</v>
      </c>
      <c r="AH26" s="59">
        <f t="shared" si="2"/>
        <v>-184.49199999999999</v>
      </c>
      <c r="AJ26" s="4">
        <f>IF(D26="M",IF(AM26&lt;78,BMILMS!$D$5*AM26^3+BMILMS!$E$5*AM26^2+BMILMS!$F$5*AM26+BMILMS!$G$5,IF(AM26&lt;150,BMILMS!$D$6*AM26^3+BMILMS!$E$6*AM26^2+BMILMS!$F$6*AM26+BMILMS!$G$6,BMILMS!$D$7*AM26^3+BMILMS!$E$7*AM26^2+BMILMS!$F$7*AM26+BMILMS!$G$7)),IF(AM26&lt;69,BMILMS!$D$9*AM26^3+BMILMS!$E$9*AM26^2+BMILMS!$F$9*AM26+BMILMS!$G$9,IF(AM26&lt;150,BMILMS!$D$10*AM26^3+BMILMS!$E$10*AM26^2+BMILMS!$F$10*AM26+BMILMS!$G$10,BMILMS!$D$11*AM26^3+BMILMS!$E$11*AM26^2+BMILMS!$F$11*AM26+BMILMS!$G$11)))</f>
        <v>0.79584630099999998</v>
      </c>
      <c r="AK26" s="4">
        <f>IF(D26="M",(IF(AM26&lt;2.5,BMILMS!$D$21*AM26^3+BMILMS!$E$21*AM26^2+BMILMS!$F$21*AM26+BMILMS!$G$21,IF(AM26&lt;9.5,BMILMS!$D$22*AM26^3+BMILMS!$E$22*AM26^2+BMILMS!$F$22*AM26+BMILMS!$G$22,IF(AM26&lt;26.75,BMILMS!$D$23*AM26^3+BMILMS!$E$23*AM26^2+BMILMS!$F$23*AM26+BMILMS!$G$23,IF(AM26&lt;90,BMILMS!$D$24*AM26^3+BMILMS!$E$24*AM26^2+BMILMS!$F$24*AM26+BMILMS!$G$24,BMILMS!$D$25*AM26^3+BMILMS!$E$25*AM26^2+BMILMS!$F$25*AM26+BMILMS!$G$25))))),(IF(AM26&lt;2.5,BMILMS!$D$27*AM26^3+BMILMS!$E$27*AM26^2+BMILMS!$F$27*AM26+BMILMS!$G$27,IF(AM26&lt;9.5,BMILMS!$D$28*AM26^3+BMILMS!$E$28*AM26^2+BMILMS!$F$28*AM26+BMILMS!$G$28,IF(AM26&lt;26.75,BMILMS!$D$29*AM26^3+BMILMS!$E$29*AM26^2+BMILMS!$F$29*AM26+BMILMS!$G$29,IF(AM26&lt;90,BMILMS!$D$30*AM26^3+BMILMS!$E$30*AM26^2+BMILMS!$F$30*AM26+BMILMS!$G$30,IF(AM26&lt;150,BMILMS!$D$31*AM26^3+BMILMS!$E$31*AM26^2+BMILMS!$F$31*AM26+BMILMS!$G$31,BMILMS!$D$32*AM26^3+BMILMS!$E$32*AM26^2+BMILMS!$F$32*AM26+BMILMS!$G$32)))))))</f>
        <v>12.568967990000001</v>
      </c>
      <c r="AL26" s="4">
        <f>IF(D26="M",(IF(AM26&lt;90,BMILMS!$D$14*AM26^3+BMILMS!$E$14*AM26^2+BMILMS!$F$14*AM26+BMILMS!$G$14,BMILMS!$D$15*AM26^3+BMILMS!$E$15*AM26^2+BMILMS!$F$15*AM26+BMILMS!$G$15)),(IF(AM26&lt;90,BMILMS!$D$17*AM26^3+BMILMS!$E$17*AM26^2+BMILMS!$F$17*AM26+BMILMS!$G$17,BMILMS!$D$18*AM26^3+BMILMS!$E$18*AM26^2+BMILMS!$F$18*AM26+BMILMS!$G$18)))</f>
        <v>8.8969350000000003E-2</v>
      </c>
      <c r="AM26" s="4">
        <f t="shared" si="20"/>
        <v>0</v>
      </c>
      <c r="AO26" s="56">
        <f>IF(D26="M",WeightSDS!P$5*$AM26^7+WeightSDS!Q$5*$AM26^6+WeightSDS!R$5*$AM26^5+WeightSDS!S$5*$AM26^4+WeightSDS!T$5*$AM26^3+WeightSDS!U$5*$AM26^2+WeightSDS!V$5*$AM26+WeightSDS!W$5,IF($AM26&lt;186,WeightSDS!P$8*$AM26^7+WeightSDS!Q$8*$AM26^6+WeightSDS!R$8*$AM26^5+WeightSDS!S$8*$AM26^4+WeightSDS!T$8*$AM26^3+WeightSDS!U$8*$AM26^2+WeightSDS!V$8*$AM26+WeightSDS!W$8,WeightSDS!$U$9+WeightSDS!$V$9*($AM26-WeightSDS!$W$9)))</f>
        <v>0.75407122999999998</v>
      </c>
      <c r="AP26" s="4">
        <f>IF(D26="M",IF($AM26&lt;45,WeightSDS!M$23*$AM26^10+WeightSDS!N$23*$AM26^9+WeightSDS!O$23*$AM26^8+WeightSDS!P$23*$AM26^7+WeightSDS!Q$23*$AM26^6+WeightSDS!R$23*$AM26^5+WeightSDS!S$23*$AM26^4+WeightSDS!T$23*$AM26^3+WeightSDS!U$23*$AM26^2+WeightSDS!V$23*$AM26+WeightSDS!W$23,IF($AM26&lt;153,WeightSDS!M$25*$AM26^10+WeightSDS!N$25*$AM26^9+WeightSDS!O$25*$AM26^8+WeightSDS!P$25*$AM26^7+WeightSDS!Q$25*$AM26^6+WeightSDS!R$25*$AM26^5+WeightSDS!S$25*$AM26^4+WeightSDS!T$25*$AM26^3+WeightSDS!U$25*$AM26^2+WeightSDS!V$25*$AM26+WeightSDS!W$25,WeightSDS!M$27+WeightSDS!N$27/(1+EXP(WeightSDS!O$27+WeightSDS!P$27*$AM26)))),IF($AM26&lt;43.8,WeightSDS!M$29*$AM26^10+WeightSDS!N$29*$AM26^9+WeightSDS!O$29*$AM26^8+WeightSDS!P$29*$AM26^7+WeightSDS!Q$29*$AM26^6+WeightSDS!R$29*$AM26^5+WeightSDS!S$29*$AM26^4+WeightSDS!T$29*$AM26^3+WeightSDS!U$29*$AM26^2+WeightSDS!V$29*$AM26+WeightSDS!W$29-0.010431*(1-$AM26/210),IF($AM26&lt;123,WeightSDS!M$30*$AM26^10+WeightSDS!N$30*$AM26^9+WeightSDS!O$30*$AM26^8+WeightSDS!P$30*$AM26^7+WeightSDS!Q$30*$AM26^6+WeightSDS!R$30*$AM26^5+WeightSDS!S$30*$AM26^4+WeightSDS!T$30*$AM26^3+WeightSDS!U$30*$AM26^2+WeightSDS!V$30*$AM26+WeightSDS!W$30-0.010431*(1-1/$AM26),WeightSDS!M$32+WeightSDS!N$32/(1+EXP(WeightSDS!O$32+WeightSDS!P$32*$AM26))-0.010431*(1-$AM26/210))))</f>
        <v>2.9500001032655536</v>
      </c>
      <c r="AQ26" s="4">
        <f>IF(D26="M",IF($AM26&lt;162,WeightSDS!P$12*$AM26^7+WeightSDS!Q$12*$AM26^6+WeightSDS!R$12*$AM26^5+WeightSDS!S$12*$AM26^4+WeightSDS!T$12*$AM26^3+WeightSDS!U$12*$AM26^2+WeightSDS!V$12*$AM26+WeightSDS!W$12,WeightSDS!P$14*$AM26^7+WeightSDS!Q$14*$AM26^6+WeightSDS!R$14*$AM26^5+WeightSDS!S$14*$AM26^4+WeightSDS!T$14*$AM26^3+WeightSDS!U$14*$AM26^2+WeightSDS!V$14*$AM26+WeightSDS!W$14),IF($AM26&lt;156,WeightSDS!O$17*$AM26^8+WeightSDS!P$17*$AM26^7+WeightSDS!Q$17*$AM26^6+WeightSDS!R$17*$AM26^5+WeightSDS!S$17*$AM26^4+WeightSDS!T$17*$AM26^3+WeightSDS!U$17*$AM26^2+WeightSDS!V$17*$AM26+WeightSDS!W$17,IF($AM26&lt;186,WeightSDS!$U$18+(WeightSDS!$V$18-WeightSDS!$U$18)/24*($AM26-186)+WeightSDS!$W$18*(-$AM26+186)^2-0.005,WeightSDS!$U$18+(WeightSDS!$V$18-WeightSDS!$U$18)/24*($AM26-186)-0.005)))</f>
        <v>0.14604529399999999</v>
      </c>
      <c r="AT26" s="4">
        <f t="shared" si="16"/>
        <v>0.56299999999999994</v>
      </c>
      <c r="AU26" s="4">
        <f t="shared" si="17"/>
        <v>69</v>
      </c>
      <c r="AV26" s="4">
        <f t="shared" si="18"/>
        <v>0.51</v>
      </c>
    </row>
    <row r="27" spans="1:48" x14ac:dyDescent="0.15">
      <c r="A27" s="4"/>
      <c r="B27" s="21"/>
      <c r="C27" s="21"/>
      <c r="D27" s="21"/>
      <c r="E27" s="22"/>
      <c r="F27" s="22"/>
      <c r="G27" s="23"/>
      <c r="H27" s="23"/>
      <c r="I27" s="181"/>
      <c r="J27" s="8" t="str">
        <f t="shared" si="3"/>
        <v/>
      </c>
      <c r="K27" s="2" t="str">
        <f t="shared" si="4"/>
        <v/>
      </c>
      <c r="L27" s="2" t="str">
        <f t="shared" si="0"/>
        <v/>
      </c>
      <c r="M27" s="2" t="str">
        <f t="shared" si="5"/>
        <v/>
      </c>
      <c r="N27" s="2" t="str">
        <f t="shared" si="19"/>
        <v/>
      </c>
      <c r="O27" s="2" t="str">
        <f t="shared" si="6"/>
        <v/>
      </c>
      <c r="P27" s="8" t="str">
        <f t="shared" si="7"/>
        <v/>
      </c>
      <c r="Q27" s="8" t="str">
        <f t="shared" si="8"/>
        <v/>
      </c>
      <c r="R27" s="111" t="str">
        <f t="shared" si="9"/>
        <v/>
      </c>
      <c r="S27" s="44" t="str">
        <f t="shared" si="10"/>
        <v/>
      </c>
      <c r="T27" s="37" t="str">
        <f t="shared" si="11"/>
        <v/>
      </c>
      <c r="U27" s="44" t="str">
        <f t="shared" si="12"/>
        <v/>
      </c>
      <c r="V27" s="26"/>
      <c r="W27" s="26"/>
      <c r="X27" s="26"/>
      <c r="Y27" s="26"/>
      <c r="Z27" s="24"/>
      <c r="AA27" s="169">
        <f t="shared" si="13"/>
        <v>0</v>
      </c>
      <c r="AB27" s="4">
        <f t="shared" si="14"/>
        <v>0</v>
      </c>
      <c r="AC27" s="170">
        <f t="shared" si="15"/>
        <v>0</v>
      </c>
      <c r="AD27" s="58"/>
      <c r="AE27" s="58"/>
      <c r="AF27" s="58"/>
      <c r="AG27" s="59">
        <f t="shared" si="1"/>
        <v>9.0359999999999996</v>
      </c>
      <c r="AH27" s="59">
        <f t="shared" si="2"/>
        <v>-184.49199999999999</v>
      </c>
      <c r="AJ27" s="4">
        <f>IF(D27="M",IF(AM27&lt;78,BMILMS!$D$5*AM27^3+BMILMS!$E$5*AM27^2+BMILMS!$F$5*AM27+BMILMS!$G$5,IF(AM27&lt;150,BMILMS!$D$6*AM27^3+BMILMS!$E$6*AM27^2+BMILMS!$F$6*AM27+BMILMS!$G$6,BMILMS!$D$7*AM27^3+BMILMS!$E$7*AM27^2+BMILMS!$F$7*AM27+BMILMS!$G$7)),IF(AM27&lt;69,BMILMS!$D$9*AM27^3+BMILMS!$E$9*AM27^2+BMILMS!$F$9*AM27+BMILMS!$G$9,IF(AM27&lt;150,BMILMS!$D$10*AM27^3+BMILMS!$E$10*AM27^2+BMILMS!$F$10*AM27+BMILMS!$G$10,BMILMS!$D$11*AM27^3+BMILMS!$E$11*AM27^2+BMILMS!$F$11*AM27+BMILMS!$G$11)))</f>
        <v>0.79584630099999998</v>
      </c>
      <c r="AK27" s="4">
        <f>IF(D27="M",(IF(AM27&lt;2.5,BMILMS!$D$21*AM27^3+BMILMS!$E$21*AM27^2+BMILMS!$F$21*AM27+BMILMS!$G$21,IF(AM27&lt;9.5,BMILMS!$D$22*AM27^3+BMILMS!$E$22*AM27^2+BMILMS!$F$22*AM27+BMILMS!$G$22,IF(AM27&lt;26.75,BMILMS!$D$23*AM27^3+BMILMS!$E$23*AM27^2+BMILMS!$F$23*AM27+BMILMS!$G$23,IF(AM27&lt;90,BMILMS!$D$24*AM27^3+BMILMS!$E$24*AM27^2+BMILMS!$F$24*AM27+BMILMS!$G$24,BMILMS!$D$25*AM27^3+BMILMS!$E$25*AM27^2+BMILMS!$F$25*AM27+BMILMS!$G$25))))),(IF(AM27&lt;2.5,BMILMS!$D$27*AM27^3+BMILMS!$E$27*AM27^2+BMILMS!$F$27*AM27+BMILMS!$G$27,IF(AM27&lt;9.5,BMILMS!$D$28*AM27^3+BMILMS!$E$28*AM27^2+BMILMS!$F$28*AM27+BMILMS!$G$28,IF(AM27&lt;26.75,BMILMS!$D$29*AM27^3+BMILMS!$E$29*AM27^2+BMILMS!$F$29*AM27+BMILMS!$G$29,IF(AM27&lt;90,BMILMS!$D$30*AM27^3+BMILMS!$E$30*AM27^2+BMILMS!$F$30*AM27+BMILMS!$G$30,IF(AM27&lt;150,BMILMS!$D$31*AM27^3+BMILMS!$E$31*AM27^2+BMILMS!$F$31*AM27+BMILMS!$G$31,BMILMS!$D$32*AM27^3+BMILMS!$E$32*AM27^2+BMILMS!$F$32*AM27+BMILMS!$G$32)))))))</f>
        <v>12.568967990000001</v>
      </c>
      <c r="AL27" s="4">
        <f>IF(D27="M",(IF(AM27&lt;90,BMILMS!$D$14*AM27^3+BMILMS!$E$14*AM27^2+BMILMS!$F$14*AM27+BMILMS!$G$14,BMILMS!$D$15*AM27^3+BMILMS!$E$15*AM27^2+BMILMS!$F$15*AM27+BMILMS!$G$15)),(IF(AM27&lt;90,BMILMS!$D$17*AM27^3+BMILMS!$E$17*AM27^2+BMILMS!$F$17*AM27+BMILMS!$G$17,BMILMS!$D$18*AM27^3+BMILMS!$E$18*AM27^2+BMILMS!$F$18*AM27+BMILMS!$G$18)))</f>
        <v>8.8969350000000003E-2</v>
      </c>
      <c r="AM27" s="4">
        <f t="shared" si="20"/>
        <v>0</v>
      </c>
      <c r="AO27" s="56">
        <f>IF(D27="M",WeightSDS!P$5*$AM27^7+WeightSDS!Q$5*$AM27^6+WeightSDS!R$5*$AM27^5+WeightSDS!S$5*$AM27^4+WeightSDS!T$5*$AM27^3+WeightSDS!U$5*$AM27^2+WeightSDS!V$5*$AM27+WeightSDS!W$5,IF($AM27&lt;186,WeightSDS!P$8*$AM27^7+WeightSDS!Q$8*$AM27^6+WeightSDS!R$8*$AM27^5+WeightSDS!S$8*$AM27^4+WeightSDS!T$8*$AM27^3+WeightSDS!U$8*$AM27^2+WeightSDS!V$8*$AM27+WeightSDS!W$8,WeightSDS!$U$9+WeightSDS!$V$9*($AM27-WeightSDS!$W$9)))</f>
        <v>0.75407122999999998</v>
      </c>
      <c r="AP27" s="4">
        <f>IF(D27="M",IF($AM27&lt;45,WeightSDS!M$23*$AM27^10+WeightSDS!N$23*$AM27^9+WeightSDS!O$23*$AM27^8+WeightSDS!P$23*$AM27^7+WeightSDS!Q$23*$AM27^6+WeightSDS!R$23*$AM27^5+WeightSDS!S$23*$AM27^4+WeightSDS!T$23*$AM27^3+WeightSDS!U$23*$AM27^2+WeightSDS!V$23*$AM27+WeightSDS!W$23,IF($AM27&lt;153,WeightSDS!M$25*$AM27^10+WeightSDS!N$25*$AM27^9+WeightSDS!O$25*$AM27^8+WeightSDS!P$25*$AM27^7+WeightSDS!Q$25*$AM27^6+WeightSDS!R$25*$AM27^5+WeightSDS!S$25*$AM27^4+WeightSDS!T$25*$AM27^3+WeightSDS!U$25*$AM27^2+WeightSDS!V$25*$AM27+WeightSDS!W$25,WeightSDS!M$27+WeightSDS!N$27/(1+EXP(WeightSDS!O$27+WeightSDS!P$27*$AM27)))),IF($AM27&lt;43.8,WeightSDS!M$29*$AM27^10+WeightSDS!N$29*$AM27^9+WeightSDS!O$29*$AM27^8+WeightSDS!P$29*$AM27^7+WeightSDS!Q$29*$AM27^6+WeightSDS!R$29*$AM27^5+WeightSDS!S$29*$AM27^4+WeightSDS!T$29*$AM27^3+WeightSDS!U$29*$AM27^2+WeightSDS!V$29*$AM27+WeightSDS!W$29-0.010431*(1-$AM27/210),IF($AM27&lt;123,WeightSDS!M$30*$AM27^10+WeightSDS!N$30*$AM27^9+WeightSDS!O$30*$AM27^8+WeightSDS!P$30*$AM27^7+WeightSDS!Q$30*$AM27^6+WeightSDS!R$30*$AM27^5+WeightSDS!S$30*$AM27^4+WeightSDS!T$30*$AM27^3+WeightSDS!U$30*$AM27^2+WeightSDS!V$30*$AM27+WeightSDS!W$30-0.010431*(1-1/$AM27),WeightSDS!M$32+WeightSDS!N$32/(1+EXP(WeightSDS!O$32+WeightSDS!P$32*$AM27))-0.010431*(1-$AM27/210))))</f>
        <v>2.9500001032655536</v>
      </c>
      <c r="AQ27" s="4">
        <f>IF(D27="M",IF($AM27&lt;162,WeightSDS!P$12*$AM27^7+WeightSDS!Q$12*$AM27^6+WeightSDS!R$12*$AM27^5+WeightSDS!S$12*$AM27^4+WeightSDS!T$12*$AM27^3+WeightSDS!U$12*$AM27^2+WeightSDS!V$12*$AM27+WeightSDS!W$12,WeightSDS!P$14*$AM27^7+WeightSDS!Q$14*$AM27^6+WeightSDS!R$14*$AM27^5+WeightSDS!S$14*$AM27^4+WeightSDS!T$14*$AM27^3+WeightSDS!U$14*$AM27^2+WeightSDS!V$14*$AM27+WeightSDS!W$14),IF($AM27&lt;156,WeightSDS!O$17*$AM27^8+WeightSDS!P$17*$AM27^7+WeightSDS!Q$17*$AM27^6+WeightSDS!R$17*$AM27^5+WeightSDS!S$17*$AM27^4+WeightSDS!T$17*$AM27^3+WeightSDS!U$17*$AM27^2+WeightSDS!V$17*$AM27+WeightSDS!W$17,IF($AM27&lt;186,WeightSDS!$U$18+(WeightSDS!$V$18-WeightSDS!$U$18)/24*($AM27-186)+WeightSDS!$W$18*(-$AM27+186)^2-0.005,WeightSDS!$U$18+(WeightSDS!$V$18-WeightSDS!$U$18)/24*($AM27-186)-0.005)))</f>
        <v>0.14604529399999999</v>
      </c>
      <c r="AT27" s="4">
        <f t="shared" si="16"/>
        <v>0.56299999999999994</v>
      </c>
      <c r="AU27" s="4">
        <f t="shared" si="17"/>
        <v>69</v>
      </c>
      <c r="AV27" s="4">
        <f t="shared" si="18"/>
        <v>0.51</v>
      </c>
    </row>
    <row r="28" spans="1:48" x14ac:dyDescent="0.15">
      <c r="A28" s="4"/>
      <c r="B28" s="21"/>
      <c r="C28" s="21"/>
      <c r="D28" s="21"/>
      <c r="E28" s="22"/>
      <c r="F28" s="22"/>
      <c r="G28" s="23"/>
      <c r="H28" s="23"/>
      <c r="I28" s="181"/>
      <c r="J28" s="8" t="str">
        <f t="shared" si="3"/>
        <v/>
      </c>
      <c r="K28" s="2" t="str">
        <f t="shared" si="4"/>
        <v/>
      </c>
      <c r="L28" s="2" t="str">
        <f t="shared" si="0"/>
        <v/>
      </c>
      <c r="M28" s="2" t="str">
        <f t="shared" si="5"/>
        <v/>
      </c>
      <c r="N28" s="2" t="str">
        <f t="shared" si="19"/>
        <v/>
      </c>
      <c r="O28" s="2" t="str">
        <f t="shared" si="6"/>
        <v/>
      </c>
      <c r="P28" s="8" t="str">
        <f t="shared" si="7"/>
        <v/>
      </c>
      <c r="Q28" s="8" t="str">
        <f t="shared" si="8"/>
        <v/>
      </c>
      <c r="R28" s="111" t="str">
        <f t="shared" si="9"/>
        <v/>
      </c>
      <c r="S28" s="44" t="str">
        <f t="shared" si="10"/>
        <v/>
      </c>
      <c r="T28" s="37" t="str">
        <f t="shared" si="11"/>
        <v/>
      </c>
      <c r="U28" s="44" t="str">
        <f t="shared" si="12"/>
        <v/>
      </c>
      <c r="V28" s="173"/>
      <c r="W28" s="173"/>
      <c r="X28" s="173"/>
      <c r="Y28" s="173"/>
      <c r="Z28" s="24"/>
      <c r="AA28" s="169">
        <f t="shared" si="13"/>
        <v>0</v>
      </c>
      <c r="AB28" s="4">
        <f t="shared" si="14"/>
        <v>0</v>
      </c>
      <c r="AC28" s="170">
        <f>DATEDIF(E28,F28,"Y")+(F28-(DATE(YEAR(E28)+DATEDIF(E28,F28,"Y"),MONTH(E28),DAY(E28))))/(365+IF(MOD(YEAR((DATE(YEAR(F28)-1,MONTH(E28),DAY(E28)))),4)=0,IF((DATE(YEAR(F28)-1,MONTH(E28),DAY(E28)))&gt;DATE(YEAR((DATE(YEAR(F28)-1,MONTH(E28),DAY(E28)))),2,29),0,1),0)+IF(MOD(YEAR(F28),4)=0,IF(F28&gt;DATE(YEAR(F28),2,29),1,0),0))</f>
        <v>0</v>
      </c>
      <c r="AD28" s="58"/>
      <c r="AE28" s="58"/>
      <c r="AF28" s="58"/>
      <c r="AG28" s="59">
        <f t="shared" si="1"/>
        <v>9.0359999999999996</v>
      </c>
      <c r="AH28" s="59">
        <f t="shared" si="2"/>
        <v>-184.49199999999999</v>
      </c>
      <c r="AJ28" s="4">
        <f>IF(D28="M",IF(AM28&lt;78,BMILMS!$D$5*AM28^3+BMILMS!$E$5*AM28^2+BMILMS!$F$5*AM28+BMILMS!$G$5,IF(AM28&lt;150,BMILMS!$D$6*AM28^3+BMILMS!$E$6*AM28^2+BMILMS!$F$6*AM28+BMILMS!$G$6,BMILMS!$D$7*AM28^3+BMILMS!$E$7*AM28^2+BMILMS!$F$7*AM28+BMILMS!$G$7)),IF(AM28&lt;69,BMILMS!$D$9*AM28^3+BMILMS!$E$9*AM28^2+BMILMS!$F$9*AM28+BMILMS!$G$9,IF(AM28&lt;150,BMILMS!$D$10*AM28^3+BMILMS!$E$10*AM28^2+BMILMS!$F$10*AM28+BMILMS!$G$10,BMILMS!$D$11*AM28^3+BMILMS!$E$11*AM28^2+BMILMS!$F$11*AM28+BMILMS!$G$11)))</f>
        <v>0.79584630099999998</v>
      </c>
      <c r="AK28" s="4">
        <f>IF(D28="M",(IF(AM28&lt;2.5,BMILMS!$D$21*AM28^3+BMILMS!$E$21*AM28^2+BMILMS!$F$21*AM28+BMILMS!$G$21,IF(AM28&lt;9.5,BMILMS!$D$22*AM28^3+BMILMS!$E$22*AM28^2+BMILMS!$F$22*AM28+BMILMS!$G$22,IF(AM28&lt;26.75,BMILMS!$D$23*AM28^3+BMILMS!$E$23*AM28^2+BMILMS!$F$23*AM28+BMILMS!$G$23,IF(AM28&lt;90,BMILMS!$D$24*AM28^3+BMILMS!$E$24*AM28^2+BMILMS!$F$24*AM28+BMILMS!$G$24,BMILMS!$D$25*AM28^3+BMILMS!$E$25*AM28^2+BMILMS!$F$25*AM28+BMILMS!$G$25))))),(IF(AM28&lt;2.5,BMILMS!$D$27*AM28^3+BMILMS!$E$27*AM28^2+BMILMS!$F$27*AM28+BMILMS!$G$27,IF(AM28&lt;9.5,BMILMS!$D$28*AM28^3+BMILMS!$E$28*AM28^2+BMILMS!$F$28*AM28+BMILMS!$G$28,IF(AM28&lt;26.75,BMILMS!$D$29*AM28^3+BMILMS!$E$29*AM28^2+BMILMS!$F$29*AM28+BMILMS!$G$29,IF(AM28&lt;90,BMILMS!$D$30*AM28^3+BMILMS!$E$30*AM28^2+BMILMS!$F$30*AM28+BMILMS!$G$30,IF(AM28&lt;150,BMILMS!$D$31*AM28^3+BMILMS!$E$31*AM28^2+BMILMS!$F$31*AM28+BMILMS!$G$31,BMILMS!$D$32*AM28^3+BMILMS!$E$32*AM28^2+BMILMS!$F$32*AM28+BMILMS!$G$32)))))))</f>
        <v>12.568967990000001</v>
      </c>
      <c r="AL28" s="4">
        <f>IF(D28="M",(IF(AM28&lt;90,BMILMS!$D$14*AM28^3+BMILMS!$E$14*AM28^2+BMILMS!$F$14*AM28+BMILMS!$G$14,BMILMS!$D$15*AM28^3+BMILMS!$E$15*AM28^2+BMILMS!$F$15*AM28+BMILMS!$G$15)),(IF(AM28&lt;90,BMILMS!$D$17*AM28^3+BMILMS!$E$17*AM28^2+BMILMS!$F$17*AM28+BMILMS!$G$17,BMILMS!$D$18*AM28^3+BMILMS!$E$18*AM28^2+BMILMS!$F$18*AM28+BMILMS!$G$18)))</f>
        <v>8.8969350000000003E-2</v>
      </c>
      <c r="AM28" s="4">
        <f t="shared" si="20"/>
        <v>0</v>
      </c>
      <c r="AO28" s="56">
        <f>IF(D28="M",WeightSDS!P$5*$AM28^7+WeightSDS!Q$5*$AM28^6+WeightSDS!R$5*$AM28^5+WeightSDS!S$5*$AM28^4+WeightSDS!T$5*$AM28^3+WeightSDS!U$5*$AM28^2+WeightSDS!V$5*$AM28+WeightSDS!W$5,IF($AM28&lt;186,WeightSDS!P$8*$AM28^7+WeightSDS!Q$8*$AM28^6+WeightSDS!R$8*$AM28^5+WeightSDS!S$8*$AM28^4+WeightSDS!T$8*$AM28^3+WeightSDS!U$8*$AM28^2+WeightSDS!V$8*$AM28+WeightSDS!W$8,WeightSDS!$U$9+WeightSDS!$V$9*($AM28-WeightSDS!$W$9)))</f>
        <v>0.75407122999999998</v>
      </c>
      <c r="AP28" s="4">
        <f>IF(D28="M",IF($AM28&lt;45,WeightSDS!M$23*$AM28^10+WeightSDS!N$23*$AM28^9+WeightSDS!O$23*$AM28^8+WeightSDS!P$23*$AM28^7+WeightSDS!Q$23*$AM28^6+WeightSDS!R$23*$AM28^5+WeightSDS!S$23*$AM28^4+WeightSDS!T$23*$AM28^3+WeightSDS!U$23*$AM28^2+WeightSDS!V$23*$AM28+WeightSDS!W$23,IF($AM28&lt;153,WeightSDS!M$25*$AM28^10+WeightSDS!N$25*$AM28^9+WeightSDS!O$25*$AM28^8+WeightSDS!P$25*$AM28^7+WeightSDS!Q$25*$AM28^6+WeightSDS!R$25*$AM28^5+WeightSDS!S$25*$AM28^4+WeightSDS!T$25*$AM28^3+WeightSDS!U$25*$AM28^2+WeightSDS!V$25*$AM28+WeightSDS!W$25,WeightSDS!M$27+WeightSDS!N$27/(1+EXP(WeightSDS!O$27+WeightSDS!P$27*$AM28)))),IF($AM28&lt;43.8,WeightSDS!M$29*$AM28^10+WeightSDS!N$29*$AM28^9+WeightSDS!O$29*$AM28^8+WeightSDS!P$29*$AM28^7+WeightSDS!Q$29*$AM28^6+WeightSDS!R$29*$AM28^5+WeightSDS!S$29*$AM28^4+WeightSDS!T$29*$AM28^3+WeightSDS!U$29*$AM28^2+WeightSDS!V$29*$AM28+WeightSDS!W$29-0.010431*(1-$AM28/210),IF($AM28&lt;123,WeightSDS!M$30*$AM28^10+WeightSDS!N$30*$AM28^9+WeightSDS!O$30*$AM28^8+WeightSDS!P$30*$AM28^7+WeightSDS!Q$30*$AM28^6+WeightSDS!R$30*$AM28^5+WeightSDS!S$30*$AM28^4+WeightSDS!T$30*$AM28^3+WeightSDS!U$30*$AM28^2+WeightSDS!V$30*$AM28+WeightSDS!W$30-0.010431*(1-1/$AM28),WeightSDS!M$32+WeightSDS!N$32/(1+EXP(WeightSDS!O$32+WeightSDS!P$32*$AM28))-0.010431*(1-$AM28/210))))</f>
        <v>2.9500001032655536</v>
      </c>
      <c r="AQ28" s="4">
        <f>IF(D28="M",IF($AM28&lt;162,WeightSDS!P$12*$AM28^7+WeightSDS!Q$12*$AM28^6+WeightSDS!R$12*$AM28^5+WeightSDS!S$12*$AM28^4+WeightSDS!T$12*$AM28^3+WeightSDS!U$12*$AM28^2+WeightSDS!V$12*$AM28+WeightSDS!W$12,WeightSDS!P$14*$AM28^7+WeightSDS!Q$14*$AM28^6+WeightSDS!R$14*$AM28^5+WeightSDS!S$14*$AM28^4+WeightSDS!T$14*$AM28^3+WeightSDS!U$14*$AM28^2+WeightSDS!V$14*$AM28+WeightSDS!W$14),IF($AM28&lt;156,WeightSDS!O$17*$AM28^8+WeightSDS!P$17*$AM28^7+WeightSDS!Q$17*$AM28^6+WeightSDS!R$17*$AM28^5+WeightSDS!S$17*$AM28^4+WeightSDS!T$17*$AM28^3+WeightSDS!U$17*$AM28^2+WeightSDS!V$17*$AM28+WeightSDS!W$17,IF($AM28&lt;186,WeightSDS!$U$18+(WeightSDS!$V$18-WeightSDS!$U$18)/24*($AM28-186)+WeightSDS!$W$18*(-$AM28+186)^2-0.005,WeightSDS!$U$18+(WeightSDS!$V$18-WeightSDS!$U$18)/24*($AM28-186)-0.005)))</f>
        <v>0.14604529399999999</v>
      </c>
      <c r="AT28" s="4">
        <f t="shared" si="16"/>
        <v>0.56299999999999994</v>
      </c>
      <c r="AU28" s="4">
        <f t="shared" si="17"/>
        <v>69</v>
      </c>
      <c r="AV28" s="4">
        <f t="shared" si="18"/>
        <v>0.51</v>
      </c>
    </row>
    <row r="29" spans="1:48" x14ac:dyDescent="0.15">
      <c r="A29" s="4"/>
      <c r="B29" s="21"/>
      <c r="C29" s="21"/>
      <c r="D29" s="21"/>
      <c r="E29" s="22"/>
      <c r="F29" s="22"/>
      <c r="G29" s="23"/>
      <c r="H29" s="23"/>
      <c r="I29" s="181"/>
      <c r="J29" s="8" t="str">
        <f t="shared" si="3"/>
        <v/>
      </c>
      <c r="K29" s="2" t="str">
        <f t="shared" si="4"/>
        <v/>
      </c>
      <c r="L29" s="2" t="str">
        <f t="shared" si="0"/>
        <v/>
      </c>
      <c r="M29" s="2" t="str">
        <f t="shared" si="5"/>
        <v/>
      </c>
      <c r="N29" s="2" t="str">
        <f t="shared" si="19"/>
        <v/>
      </c>
      <c r="O29" s="2" t="str">
        <f t="shared" si="6"/>
        <v/>
      </c>
      <c r="P29" s="8" t="str">
        <f t="shared" si="7"/>
        <v/>
      </c>
      <c r="Q29" s="8" t="str">
        <f t="shared" si="8"/>
        <v/>
      </c>
      <c r="R29" s="111" t="str">
        <f t="shared" si="9"/>
        <v/>
      </c>
      <c r="S29" s="44" t="str">
        <f t="shared" si="10"/>
        <v/>
      </c>
      <c r="T29" s="37" t="str">
        <f t="shared" si="11"/>
        <v/>
      </c>
      <c r="U29" s="44" t="str">
        <f t="shared" si="12"/>
        <v/>
      </c>
      <c r="V29" s="38"/>
      <c r="W29" s="38"/>
      <c r="X29" s="38"/>
      <c r="Y29" s="38"/>
      <c r="Z29" s="24"/>
      <c r="AA29" s="169">
        <f t="shared" si="13"/>
        <v>0</v>
      </c>
      <c r="AB29" s="4">
        <f t="shared" si="14"/>
        <v>0</v>
      </c>
      <c r="AC29" s="172">
        <f>DATEDIF(E29,F29,"Y")+(F29-(DATE(YEAR(E29)+DATEDIF(E29,F29,"Y"),MONTH(E29),DAY(E29))))/(365+IF(MOD(YEAR((DATE(YEAR(F29)-1,MONTH(E29),DAY(E29)))),4)=0,IF((DATE(YEAR(F29)-1,MONTH(E29),DAY(E29)))&gt;DATE(YEAR((DATE(YEAR(F29)-1,MONTH(E29),DAY(E29)))),2,29),0,1),0)+IF(MOD(YEAR(F29),4)=0,IF(F29&gt;DATE(YEAR(F29),2,29),1,0),0))</f>
        <v>0</v>
      </c>
      <c r="AD29" s="58"/>
      <c r="AE29" s="58"/>
      <c r="AF29" s="58"/>
      <c r="AG29" s="59">
        <f t="shared" si="1"/>
        <v>9.0359999999999996</v>
      </c>
      <c r="AH29" s="59">
        <f t="shared" si="2"/>
        <v>-184.49199999999999</v>
      </c>
      <c r="AJ29" s="4">
        <f>IF(D29="M",IF(AM29&lt;78,BMILMS!$D$5*AM29^3+BMILMS!$E$5*AM29^2+BMILMS!$F$5*AM29+BMILMS!$G$5,IF(AM29&lt;150,BMILMS!$D$6*AM29^3+BMILMS!$E$6*AM29^2+BMILMS!$F$6*AM29+BMILMS!$G$6,BMILMS!$D$7*AM29^3+BMILMS!$E$7*AM29^2+BMILMS!$F$7*AM29+BMILMS!$G$7)),IF(AM29&lt;69,BMILMS!$D$9*AM29^3+BMILMS!$E$9*AM29^2+BMILMS!$F$9*AM29+BMILMS!$G$9,IF(AM29&lt;150,BMILMS!$D$10*AM29^3+BMILMS!$E$10*AM29^2+BMILMS!$F$10*AM29+BMILMS!$G$10,BMILMS!$D$11*AM29^3+BMILMS!$E$11*AM29^2+BMILMS!$F$11*AM29+BMILMS!$G$11)))</f>
        <v>0.79584630099999998</v>
      </c>
      <c r="AK29" s="4">
        <f>IF(D29="M",(IF(AM29&lt;2.5,BMILMS!$D$21*AM29^3+BMILMS!$E$21*AM29^2+BMILMS!$F$21*AM29+BMILMS!$G$21,IF(AM29&lt;9.5,BMILMS!$D$22*AM29^3+BMILMS!$E$22*AM29^2+BMILMS!$F$22*AM29+BMILMS!$G$22,IF(AM29&lt;26.75,BMILMS!$D$23*AM29^3+BMILMS!$E$23*AM29^2+BMILMS!$F$23*AM29+BMILMS!$G$23,IF(AM29&lt;90,BMILMS!$D$24*AM29^3+BMILMS!$E$24*AM29^2+BMILMS!$F$24*AM29+BMILMS!$G$24,BMILMS!$D$25*AM29^3+BMILMS!$E$25*AM29^2+BMILMS!$F$25*AM29+BMILMS!$G$25))))),(IF(AM29&lt;2.5,BMILMS!$D$27*AM29^3+BMILMS!$E$27*AM29^2+BMILMS!$F$27*AM29+BMILMS!$G$27,IF(AM29&lt;9.5,BMILMS!$D$28*AM29^3+BMILMS!$E$28*AM29^2+BMILMS!$F$28*AM29+BMILMS!$G$28,IF(AM29&lt;26.75,BMILMS!$D$29*AM29^3+BMILMS!$E$29*AM29^2+BMILMS!$F$29*AM29+BMILMS!$G$29,IF(AM29&lt;90,BMILMS!$D$30*AM29^3+BMILMS!$E$30*AM29^2+BMILMS!$F$30*AM29+BMILMS!$G$30,IF(AM29&lt;150,BMILMS!$D$31*AM29^3+BMILMS!$E$31*AM29^2+BMILMS!$F$31*AM29+BMILMS!$G$31,BMILMS!$D$32*AM29^3+BMILMS!$E$32*AM29^2+BMILMS!$F$32*AM29+BMILMS!$G$32)))))))</f>
        <v>12.568967990000001</v>
      </c>
      <c r="AL29" s="4">
        <f>IF(D29="M",(IF(AM29&lt;90,BMILMS!$D$14*AM29^3+BMILMS!$E$14*AM29^2+BMILMS!$F$14*AM29+BMILMS!$G$14,BMILMS!$D$15*AM29^3+BMILMS!$E$15*AM29^2+BMILMS!$F$15*AM29+BMILMS!$G$15)),(IF(AM29&lt;90,BMILMS!$D$17*AM29^3+BMILMS!$E$17*AM29^2+BMILMS!$F$17*AM29+BMILMS!$G$17,BMILMS!$D$18*AM29^3+BMILMS!$E$18*AM29^2+BMILMS!$F$18*AM29+BMILMS!$G$18)))</f>
        <v>8.8969350000000003E-2</v>
      </c>
      <c r="AM29" s="4">
        <f t="shared" si="20"/>
        <v>0</v>
      </c>
      <c r="AO29" s="56">
        <f>IF(D29="M",WeightSDS!P$5*$AM29^7+WeightSDS!Q$5*$AM29^6+WeightSDS!R$5*$AM29^5+WeightSDS!S$5*$AM29^4+WeightSDS!T$5*$AM29^3+WeightSDS!U$5*$AM29^2+WeightSDS!V$5*$AM29+WeightSDS!W$5,IF($AM29&lt;186,WeightSDS!P$8*$AM29^7+WeightSDS!Q$8*$AM29^6+WeightSDS!R$8*$AM29^5+WeightSDS!S$8*$AM29^4+WeightSDS!T$8*$AM29^3+WeightSDS!U$8*$AM29^2+WeightSDS!V$8*$AM29+WeightSDS!W$8,WeightSDS!$U$9+WeightSDS!$V$9*($AM29-WeightSDS!$W$9)))</f>
        <v>0.75407122999999998</v>
      </c>
      <c r="AP29" s="4">
        <f>IF(D29="M",IF($AM29&lt;45,WeightSDS!M$23*$AM29^10+WeightSDS!N$23*$AM29^9+WeightSDS!O$23*$AM29^8+WeightSDS!P$23*$AM29^7+WeightSDS!Q$23*$AM29^6+WeightSDS!R$23*$AM29^5+WeightSDS!S$23*$AM29^4+WeightSDS!T$23*$AM29^3+WeightSDS!U$23*$AM29^2+WeightSDS!V$23*$AM29+WeightSDS!W$23,IF($AM29&lt;153,WeightSDS!M$25*$AM29^10+WeightSDS!N$25*$AM29^9+WeightSDS!O$25*$AM29^8+WeightSDS!P$25*$AM29^7+WeightSDS!Q$25*$AM29^6+WeightSDS!R$25*$AM29^5+WeightSDS!S$25*$AM29^4+WeightSDS!T$25*$AM29^3+WeightSDS!U$25*$AM29^2+WeightSDS!V$25*$AM29+WeightSDS!W$25,WeightSDS!M$27+WeightSDS!N$27/(1+EXP(WeightSDS!O$27+WeightSDS!P$27*$AM29)))),IF($AM29&lt;43.8,WeightSDS!M$29*$AM29^10+WeightSDS!N$29*$AM29^9+WeightSDS!O$29*$AM29^8+WeightSDS!P$29*$AM29^7+WeightSDS!Q$29*$AM29^6+WeightSDS!R$29*$AM29^5+WeightSDS!S$29*$AM29^4+WeightSDS!T$29*$AM29^3+WeightSDS!U$29*$AM29^2+WeightSDS!V$29*$AM29+WeightSDS!W$29-0.010431*(1-$AM29/210),IF($AM29&lt;123,WeightSDS!M$30*$AM29^10+WeightSDS!N$30*$AM29^9+WeightSDS!O$30*$AM29^8+WeightSDS!P$30*$AM29^7+WeightSDS!Q$30*$AM29^6+WeightSDS!R$30*$AM29^5+WeightSDS!S$30*$AM29^4+WeightSDS!T$30*$AM29^3+WeightSDS!U$30*$AM29^2+WeightSDS!V$30*$AM29+WeightSDS!W$30-0.010431*(1-1/$AM29),WeightSDS!M$32+WeightSDS!N$32/(1+EXP(WeightSDS!O$32+WeightSDS!P$32*$AM29))-0.010431*(1-$AM29/210))))</f>
        <v>2.9500001032655536</v>
      </c>
      <c r="AQ29" s="4">
        <f>IF(D29="M",IF($AM29&lt;162,WeightSDS!P$12*$AM29^7+WeightSDS!Q$12*$AM29^6+WeightSDS!R$12*$AM29^5+WeightSDS!S$12*$AM29^4+WeightSDS!T$12*$AM29^3+WeightSDS!U$12*$AM29^2+WeightSDS!V$12*$AM29+WeightSDS!W$12,WeightSDS!P$14*$AM29^7+WeightSDS!Q$14*$AM29^6+WeightSDS!R$14*$AM29^5+WeightSDS!S$14*$AM29^4+WeightSDS!T$14*$AM29^3+WeightSDS!U$14*$AM29^2+WeightSDS!V$14*$AM29+WeightSDS!W$14),IF($AM29&lt;156,WeightSDS!O$17*$AM29^8+WeightSDS!P$17*$AM29^7+WeightSDS!Q$17*$AM29^6+WeightSDS!R$17*$AM29^5+WeightSDS!S$17*$AM29^4+WeightSDS!T$17*$AM29^3+WeightSDS!U$17*$AM29^2+WeightSDS!V$17*$AM29+WeightSDS!W$17,IF($AM29&lt;186,WeightSDS!$U$18+(WeightSDS!$V$18-WeightSDS!$U$18)/24*($AM29-186)+WeightSDS!$W$18*(-$AM29+186)^2-0.005,WeightSDS!$U$18+(WeightSDS!$V$18-WeightSDS!$U$18)/24*($AM29-186)-0.005)))</f>
        <v>0.14604529399999999</v>
      </c>
      <c r="AT29" s="4">
        <f t="shared" si="16"/>
        <v>0.56299999999999994</v>
      </c>
      <c r="AU29" s="4">
        <f t="shared" si="17"/>
        <v>69</v>
      </c>
      <c r="AV29" s="4">
        <f t="shared" si="18"/>
        <v>0.51</v>
      </c>
    </row>
    <row r="30" spans="1:48" x14ac:dyDescent="0.15">
      <c r="A30" s="4"/>
      <c r="B30" s="21"/>
      <c r="C30" s="21"/>
      <c r="D30" s="21"/>
      <c r="E30" s="22"/>
      <c r="F30" s="22"/>
      <c r="G30" s="23"/>
      <c r="H30" s="23"/>
      <c r="I30" s="181"/>
      <c r="J30" s="8" t="str">
        <f t="shared" si="3"/>
        <v/>
      </c>
      <c r="K30" s="2" t="str">
        <f t="shared" si="4"/>
        <v/>
      </c>
      <c r="L30" s="2" t="str">
        <f t="shared" si="0"/>
        <v/>
      </c>
      <c r="M30" s="2" t="str">
        <f t="shared" si="5"/>
        <v/>
      </c>
      <c r="N30" s="2" t="str">
        <f t="shared" si="19"/>
        <v/>
      </c>
      <c r="O30" s="2" t="str">
        <f t="shared" si="6"/>
        <v/>
      </c>
      <c r="P30" s="8" t="str">
        <f t="shared" si="7"/>
        <v/>
      </c>
      <c r="Q30" s="8" t="str">
        <f t="shared" si="8"/>
        <v/>
      </c>
      <c r="R30" s="111" t="str">
        <f t="shared" si="9"/>
        <v/>
      </c>
      <c r="S30" s="44" t="str">
        <f t="shared" si="10"/>
        <v/>
      </c>
      <c r="T30" s="37" t="str">
        <f t="shared" si="11"/>
        <v/>
      </c>
      <c r="U30" s="44" t="str">
        <f t="shared" si="12"/>
        <v/>
      </c>
      <c r="V30" s="39"/>
      <c r="W30" s="39"/>
      <c r="X30" s="39"/>
      <c r="Y30" s="39"/>
      <c r="Z30" s="24"/>
      <c r="AA30" s="169">
        <f t="shared" si="13"/>
        <v>0</v>
      </c>
      <c r="AB30" s="4">
        <f t="shared" si="14"/>
        <v>0</v>
      </c>
      <c r="AC30" s="170">
        <f t="shared" ref="AC30:AC93" si="21">DATEDIF(E30,F30,"Y")+(F30-(DATE(YEAR(E30)+DATEDIF(E30,F30,"Y"),MONTH(E30),DAY(E30))))/(365+IF(MOD(YEAR((DATE(YEAR(F30)-1,MONTH(E30),DAY(E30)))),4)=0,IF((DATE(YEAR(F30)-1,MONTH(E30),DAY(E30)))&gt;DATE(YEAR((DATE(YEAR(F30)-1,MONTH(E30),DAY(E30)))),2,29),0,1),0)+IF(MOD(YEAR(F30),4)=0,IF(F30&gt;DATE(YEAR(F30),2,29),1,0),0))</f>
        <v>0</v>
      </c>
      <c r="AD30" s="58"/>
      <c r="AE30" s="58"/>
      <c r="AF30" s="58"/>
      <c r="AG30" s="59">
        <f t="shared" si="1"/>
        <v>9.0359999999999996</v>
      </c>
      <c r="AH30" s="59">
        <f t="shared" si="2"/>
        <v>-184.49199999999999</v>
      </c>
      <c r="AJ30" s="4">
        <f>IF(D30="M",IF(AM30&lt;78,BMILMS!$D$5*AM30^3+BMILMS!$E$5*AM30^2+BMILMS!$F$5*AM30+BMILMS!$G$5,IF(AM30&lt;150,BMILMS!$D$6*AM30^3+BMILMS!$E$6*AM30^2+BMILMS!$F$6*AM30+BMILMS!$G$6,BMILMS!$D$7*AM30^3+BMILMS!$E$7*AM30^2+BMILMS!$F$7*AM30+BMILMS!$G$7)),IF(AM30&lt;69,BMILMS!$D$9*AM30^3+BMILMS!$E$9*AM30^2+BMILMS!$F$9*AM30+BMILMS!$G$9,IF(AM30&lt;150,BMILMS!$D$10*AM30^3+BMILMS!$E$10*AM30^2+BMILMS!$F$10*AM30+BMILMS!$G$10,BMILMS!$D$11*AM30^3+BMILMS!$E$11*AM30^2+BMILMS!$F$11*AM30+BMILMS!$G$11)))</f>
        <v>0.79584630099999998</v>
      </c>
      <c r="AK30" s="4">
        <f>IF(D30="M",(IF(AM30&lt;2.5,BMILMS!$D$21*AM30^3+BMILMS!$E$21*AM30^2+BMILMS!$F$21*AM30+BMILMS!$G$21,IF(AM30&lt;9.5,BMILMS!$D$22*AM30^3+BMILMS!$E$22*AM30^2+BMILMS!$F$22*AM30+BMILMS!$G$22,IF(AM30&lt;26.75,BMILMS!$D$23*AM30^3+BMILMS!$E$23*AM30^2+BMILMS!$F$23*AM30+BMILMS!$G$23,IF(AM30&lt;90,BMILMS!$D$24*AM30^3+BMILMS!$E$24*AM30^2+BMILMS!$F$24*AM30+BMILMS!$G$24,BMILMS!$D$25*AM30^3+BMILMS!$E$25*AM30^2+BMILMS!$F$25*AM30+BMILMS!$G$25))))),(IF(AM30&lt;2.5,BMILMS!$D$27*AM30^3+BMILMS!$E$27*AM30^2+BMILMS!$F$27*AM30+BMILMS!$G$27,IF(AM30&lt;9.5,BMILMS!$D$28*AM30^3+BMILMS!$E$28*AM30^2+BMILMS!$F$28*AM30+BMILMS!$G$28,IF(AM30&lt;26.75,BMILMS!$D$29*AM30^3+BMILMS!$E$29*AM30^2+BMILMS!$F$29*AM30+BMILMS!$G$29,IF(AM30&lt;90,BMILMS!$D$30*AM30^3+BMILMS!$E$30*AM30^2+BMILMS!$F$30*AM30+BMILMS!$G$30,IF(AM30&lt;150,BMILMS!$D$31*AM30^3+BMILMS!$E$31*AM30^2+BMILMS!$F$31*AM30+BMILMS!$G$31,BMILMS!$D$32*AM30^3+BMILMS!$E$32*AM30^2+BMILMS!$F$32*AM30+BMILMS!$G$32)))))))</f>
        <v>12.568967990000001</v>
      </c>
      <c r="AL30" s="4">
        <f>IF(D30="M",(IF(AM30&lt;90,BMILMS!$D$14*AM30^3+BMILMS!$E$14*AM30^2+BMILMS!$F$14*AM30+BMILMS!$G$14,BMILMS!$D$15*AM30^3+BMILMS!$E$15*AM30^2+BMILMS!$F$15*AM30+BMILMS!$G$15)),(IF(AM30&lt;90,BMILMS!$D$17*AM30^3+BMILMS!$E$17*AM30^2+BMILMS!$F$17*AM30+BMILMS!$G$17,BMILMS!$D$18*AM30^3+BMILMS!$E$18*AM30^2+BMILMS!$F$18*AM30+BMILMS!$G$18)))</f>
        <v>8.8969350000000003E-2</v>
      </c>
      <c r="AM30" s="4">
        <f t="shared" si="20"/>
        <v>0</v>
      </c>
      <c r="AO30" s="56">
        <f>IF(D30="M",WeightSDS!P$5*$AM30^7+WeightSDS!Q$5*$AM30^6+WeightSDS!R$5*$AM30^5+WeightSDS!S$5*$AM30^4+WeightSDS!T$5*$AM30^3+WeightSDS!U$5*$AM30^2+WeightSDS!V$5*$AM30+WeightSDS!W$5,IF($AM30&lt;186,WeightSDS!P$8*$AM30^7+WeightSDS!Q$8*$AM30^6+WeightSDS!R$8*$AM30^5+WeightSDS!S$8*$AM30^4+WeightSDS!T$8*$AM30^3+WeightSDS!U$8*$AM30^2+WeightSDS!V$8*$AM30+WeightSDS!W$8,WeightSDS!$U$9+WeightSDS!$V$9*($AM30-WeightSDS!$W$9)))</f>
        <v>0.75407122999999998</v>
      </c>
      <c r="AP30" s="4">
        <f>IF(D30="M",IF($AM30&lt;45,WeightSDS!M$23*$AM30^10+WeightSDS!N$23*$AM30^9+WeightSDS!O$23*$AM30^8+WeightSDS!P$23*$AM30^7+WeightSDS!Q$23*$AM30^6+WeightSDS!R$23*$AM30^5+WeightSDS!S$23*$AM30^4+WeightSDS!T$23*$AM30^3+WeightSDS!U$23*$AM30^2+WeightSDS!V$23*$AM30+WeightSDS!W$23,IF($AM30&lt;153,WeightSDS!M$25*$AM30^10+WeightSDS!N$25*$AM30^9+WeightSDS!O$25*$AM30^8+WeightSDS!P$25*$AM30^7+WeightSDS!Q$25*$AM30^6+WeightSDS!R$25*$AM30^5+WeightSDS!S$25*$AM30^4+WeightSDS!T$25*$AM30^3+WeightSDS!U$25*$AM30^2+WeightSDS!V$25*$AM30+WeightSDS!W$25,WeightSDS!M$27+WeightSDS!N$27/(1+EXP(WeightSDS!O$27+WeightSDS!P$27*$AM30)))),IF($AM30&lt;43.8,WeightSDS!M$29*$AM30^10+WeightSDS!N$29*$AM30^9+WeightSDS!O$29*$AM30^8+WeightSDS!P$29*$AM30^7+WeightSDS!Q$29*$AM30^6+WeightSDS!R$29*$AM30^5+WeightSDS!S$29*$AM30^4+WeightSDS!T$29*$AM30^3+WeightSDS!U$29*$AM30^2+WeightSDS!V$29*$AM30+WeightSDS!W$29-0.010431*(1-$AM30/210),IF($AM30&lt;123,WeightSDS!M$30*$AM30^10+WeightSDS!N$30*$AM30^9+WeightSDS!O$30*$AM30^8+WeightSDS!P$30*$AM30^7+WeightSDS!Q$30*$AM30^6+WeightSDS!R$30*$AM30^5+WeightSDS!S$30*$AM30^4+WeightSDS!T$30*$AM30^3+WeightSDS!U$30*$AM30^2+WeightSDS!V$30*$AM30+WeightSDS!W$30-0.010431*(1-1/$AM30),WeightSDS!M$32+WeightSDS!N$32/(1+EXP(WeightSDS!O$32+WeightSDS!P$32*$AM30))-0.010431*(1-$AM30/210))))</f>
        <v>2.9500001032655536</v>
      </c>
      <c r="AQ30" s="4">
        <f>IF(D30="M",IF($AM30&lt;162,WeightSDS!P$12*$AM30^7+WeightSDS!Q$12*$AM30^6+WeightSDS!R$12*$AM30^5+WeightSDS!S$12*$AM30^4+WeightSDS!T$12*$AM30^3+WeightSDS!U$12*$AM30^2+WeightSDS!V$12*$AM30+WeightSDS!W$12,WeightSDS!P$14*$AM30^7+WeightSDS!Q$14*$AM30^6+WeightSDS!R$14*$AM30^5+WeightSDS!S$14*$AM30^4+WeightSDS!T$14*$AM30^3+WeightSDS!U$14*$AM30^2+WeightSDS!V$14*$AM30+WeightSDS!W$14),IF($AM30&lt;156,WeightSDS!O$17*$AM30^8+WeightSDS!P$17*$AM30^7+WeightSDS!Q$17*$AM30^6+WeightSDS!R$17*$AM30^5+WeightSDS!S$17*$AM30^4+WeightSDS!T$17*$AM30^3+WeightSDS!U$17*$AM30^2+WeightSDS!V$17*$AM30+WeightSDS!W$17,IF($AM30&lt;186,WeightSDS!$U$18+(WeightSDS!$V$18-WeightSDS!$U$18)/24*($AM30-186)+WeightSDS!$W$18*(-$AM30+186)^2-0.005,WeightSDS!$U$18+(WeightSDS!$V$18-WeightSDS!$U$18)/24*($AM30-186)-0.005)))</f>
        <v>0.14604529399999999</v>
      </c>
      <c r="AT30" s="4">
        <f t="shared" si="16"/>
        <v>0.56299999999999994</v>
      </c>
      <c r="AU30" s="4">
        <f t="shared" si="17"/>
        <v>69</v>
      </c>
      <c r="AV30" s="4">
        <f t="shared" si="18"/>
        <v>0.51</v>
      </c>
    </row>
    <row r="31" spans="1:48" x14ac:dyDescent="0.15">
      <c r="A31" s="4"/>
      <c r="B31" s="21"/>
      <c r="C31" s="21"/>
      <c r="D31" s="21"/>
      <c r="E31" s="22"/>
      <c r="F31" s="22"/>
      <c r="G31" s="23"/>
      <c r="H31" s="23"/>
      <c r="I31" s="181"/>
      <c r="J31" s="8" t="str">
        <f t="shared" si="3"/>
        <v/>
      </c>
      <c r="K31" s="2" t="str">
        <f t="shared" si="4"/>
        <v/>
      </c>
      <c r="L31" s="2" t="str">
        <f t="shared" si="0"/>
        <v/>
      </c>
      <c r="M31" s="2" t="str">
        <f t="shared" si="5"/>
        <v/>
      </c>
      <c r="N31" s="2" t="str">
        <f t="shared" si="19"/>
        <v/>
      </c>
      <c r="O31" s="2" t="str">
        <f t="shared" si="6"/>
        <v/>
      </c>
      <c r="P31" s="8" t="str">
        <f t="shared" si="7"/>
        <v/>
      </c>
      <c r="Q31" s="8" t="str">
        <f t="shared" si="8"/>
        <v/>
      </c>
      <c r="R31" s="111" t="str">
        <f t="shared" si="9"/>
        <v/>
      </c>
      <c r="S31" s="44" t="str">
        <f t="shared" si="10"/>
        <v/>
      </c>
      <c r="T31" s="37" t="str">
        <f t="shared" si="11"/>
        <v/>
      </c>
      <c r="U31" s="44" t="str">
        <f t="shared" si="12"/>
        <v/>
      </c>
      <c r="V31" s="39"/>
      <c r="W31" s="39"/>
      <c r="X31" s="39"/>
      <c r="Y31" s="39"/>
      <c r="Z31" s="24"/>
      <c r="AA31" s="169">
        <f t="shared" si="13"/>
        <v>0</v>
      </c>
      <c r="AB31" s="4">
        <f t="shared" si="14"/>
        <v>0</v>
      </c>
      <c r="AC31" s="170">
        <f t="shared" si="21"/>
        <v>0</v>
      </c>
      <c r="AD31" s="58"/>
      <c r="AE31" s="58"/>
      <c r="AF31" s="58"/>
      <c r="AG31" s="59">
        <f t="shared" si="1"/>
        <v>9.0359999999999996</v>
      </c>
      <c r="AH31" s="59">
        <f t="shared" si="2"/>
        <v>-184.49199999999999</v>
      </c>
      <c r="AJ31" s="4">
        <f>IF(D31="M",IF(AM31&lt;78,BMILMS!$D$5*AM31^3+BMILMS!$E$5*AM31^2+BMILMS!$F$5*AM31+BMILMS!$G$5,IF(AM31&lt;150,BMILMS!$D$6*AM31^3+BMILMS!$E$6*AM31^2+BMILMS!$F$6*AM31+BMILMS!$G$6,BMILMS!$D$7*AM31^3+BMILMS!$E$7*AM31^2+BMILMS!$F$7*AM31+BMILMS!$G$7)),IF(AM31&lt;69,BMILMS!$D$9*AM31^3+BMILMS!$E$9*AM31^2+BMILMS!$F$9*AM31+BMILMS!$G$9,IF(AM31&lt;150,BMILMS!$D$10*AM31^3+BMILMS!$E$10*AM31^2+BMILMS!$F$10*AM31+BMILMS!$G$10,BMILMS!$D$11*AM31^3+BMILMS!$E$11*AM31^2+BMILMS!$F$11*AM31+BMILMS!$G$11)))</f>
        <v>0.79584630099999998</v>
      </c>
      <c r="AK31" s="4">
        <f>IF(D31="M",(IF(AM31&lt;2.5,BMILMS!$D$21*AM31^3+BMILMS!$E$21*AM31^2+BMILMS!$F$21*AM31+BMILMS!$G$21,IF(AM31&lt;9.5,BMILMS!$D$22*AM31^3+BMILMS!$E$22*AM31^2+BMILMS!$F$22*AM31+BMILMS!$G$22,IF(AM31&lt;26.75,BMILMS!$D$23*AM31^3+BMILMS!$E$23*AM31^2+BMILMS!$F$23*AM31+BMILMS!$G$23,IF(AM31&lt;90,BMILMS!$D$24*AM31^3+BMILMS!$E$24*AM31^2+BMILMS!$F$24*AM31+BMILMS!$G$24,BMILMS!$D$25*AM31^3+BMILMS!$E$25*AM31^2+BMILMS!$F$25*AM31+BMILMS!$G$25))))),(IF(AM31&lt;2.5,BMILMS!$D$27*AM31^3+BMILMS!$E$27*AM31^2+BMILMS!$F$27*AM31+BMILMS!$G$27,IF(AM31&lt;9.5,BMILMS!$D$28*AM31^3+BMILMS!$E$28*AM31^2+BMILMS!$F$28*AM31+BMILMS!$G$28,IF(AM31&lt;26.75,BMILMS!$D$29*AM31^3+BMILMS!$E$29*AM31^2+BMILMS!$F$29*AM31+BMILMS!$G$29,IF(AM31&lt;90,BMILMS!$D$30*AM31^3+BMILMS!$E$30*AM31^2+BMILMS!$F$30*AM31+BMILMS!$G$30,IF(AM31&lt;150,BMILMS!$D$31*AM31^3+BMILMS!$E$31*AM31^2+BMILMS!$F$31*AM31+BMILMS!$G$31,BMILMS!$D$32*AM31^3+BMILMS!$E$32*AM31^2+BMILMS!$F$32*AM31+BMILMS!$G$32)))))))</f>
        <v>12.568967990000001</v>
      </c>
      <c r="AL31" s="4">
        <f>IF(D31="M",(IF(AM31&lt;90,BMILMS!$D$14*AM31^3+BMILMS!$E$14*AM31^2+BMILMS!$F$14*AM31+BMILMS!$G$14,BMILMS!$D$15*AM31^3+BMILMS!$E$15*AM31^2+BMILMS!$F$15*AM31+BMILMS!$G$15)),(IF(AM31&lt;90,BMILMS!$D$17*AM31^3+BMILMS!$E$17*AM31^2+BMILMS!$F$17*AM31+BMILMS!$G$17,BMILMS!$D$18*AM31^3+BMILMS!$E$18*AM31^2+BMILMS!$F$18*AM31+BMILMS!$G$18)))</f>
        <v>8.8969350000000003E-2</v>
      </c>
      <c r="AM31" s="4">
        <f t="shared" si="20"/>
        <v>0</v>
      </c>
      <c r="AO31" s="56">
        <f>IF(D31="M",WeightSDS!P$5*$AM31^7+WeightSDS!Q$5*$AM31^6+WeightSDS!R$5*$AM31^5+WeightSDS!S$5*$AM31^4+WeightSDS!T$5*$AM31^3+WeightSDS!U$5*$AM31^2+WeightSDS!V$5*$AM31+WeightSDS!W$5,IF($AM31&lt;186,WeightSDS!P$8*$AM31^7+WeightSDS!Q$8*$AM31^6+WeightSDS!R$8*$AM31^5+WeightSDS!S$8*$AM31^4+WeightSDS!T$8*$AM31^3+WeightSDS!U$8*$AM31^2+WeightSDS!V$8*$AM31+WeightSDS!W$8,WeightSDS!$U$9+WeightSDS!$V$9*($AM31-WeightSDS!$W$9)))</f>
        <v>0.75407122999999998</v>
      </c>
      <c r="AP31" s="4">
        <f>IF(D31="M",IF($AM31&lt;45,WeightSDS!M$23*$AM31^10+WeightSDS!N$23*$AM31^9+WeightSDS!O$23*$AM31^8+WeightSDS!P$23*$AM31^7+WeightSDS!Q$23*$AM31^6+WeightSDS!R$23*$AM31^5+WeightSDS!S$23*$AM31^4+WeightSDS!T$23*$AM31^3+WeightSDS!U$23*$AM31^2+WeightSDS!V$23*$AM31+WeightSDS!W$23,IF($AM31&lt;153,WeightSDS!M$25*$AM31^10+WeightSDS!N$25*$AM31^9+WeightSDS!O$25*$AM31^8+WeightSDS!P$25*$AM31^7+WeightSDS!Q$25*$AM31^6+WeightSDS!R$25*$AM31^5+WeightSDS!S$25*$AM31^4+WeightSDS!T$25*$AM31^3+WeightSDS!U$25*$AM31^2+WeightSDS!V$25*$AM31+WeightSDS!W$25,WeightSDS!M$27+WeightSDS!N$27/(1+EXP(WeightSDS!O$27+WeightSDS!P$27*$AM31)))),IF($AM31&lt;43.8,WeightSDS!M$29*$AM31^10+WeightSDS!N$29*$AM31^9+WeightSDS!O$29*$AM31^8+WeightSDS!P$29*$AM31^7+WeightSDS!Q$29*$AM31^6+WeightSDS!R$29*$AM31^5+WeightSDS!S$29*$AM31^4+WeightSDS!T$29*$AM31^3+WeightSDS!U$29*$AM31^2+WeightSDS!V$29*$AM31+WeightSDS!W$29-0.010431*(1-$AM31/210),IF($AM31&lt;123,WeightSDS!M$30*$AM31^10+WeightSDS!N$30*$AM31^9+WeightSDS!O$30*$AM31^8+WeightSDS!P$30*$AM31^7+WeightSDS!Q$30*$AM31^6+WeightSDS!R$30*$AM31^5+WeightSDS!S$30*$AM31^4+WeightSDS!T$30*$AM31^3+WeightSDS!U$30*$AM31^2+WeightSDS!V$30*$AM31+WeightSDS!W$30-0.010431*(1-1/$AM31),WeightSDS!M$32+WeightSDS!N$32/(1+EXP(WeightSDS!O$32+WeightSDS!P$32*$AM31))-0.010431*(1-$AM31/210))))</f>
        <v>2.9500001032655536</v>
      </c>
      <c r="AQ31" s="4">
        <f>IF(D31="M",IF($AM31&lt;162,WeightSDS!P$12*$AM31^7+WeightSDS!Q$12*$AM31^6+WeightSDS!R$12*$AM31^5+WeightSDS!S$12*$AM31^4+WeightSDS!T$12*$AM31^3+WeightSDS!U$12*$AM31^2+WeightSDS!V$12*$AM31+WeightSDS!W$12,WeightSDS!P$14*$AM31^7+WeightSDS!Q$14*$AM31^6+WeightSDS!R$14*$AM31^5+WeightSDS!S$14*$AM31^4+WeightSDS!T$14*$AM31^3+WeightSDS!U$14*$AM31^2+WeightSDS!V$14*$AM31+WeightSDS!W$14),IF($AM31&lt;156,WeightSDS!O$17*$AM31^8+WeightSDS!P$17*$AM31^7+WeightSDS!Q$17*$AM31^6+WeightSDS!R$17*$AM31^5+WeightSDS!S$17*$AM31^4+WeightSDS!T$17*$AM31^3+WeightSDS!U$17*$AM31^2+WeightSDS!V$17*$AM31+WeightSDS!W$17,IF($AM31&lt;186,WeightSDS!$U$18+(WeightSDS!$V$18-WeightSDS!$U$18)/24*($AM31-186)+WeightSDS!$W$18*(-$AM31+186)^2-0.005,WeightSDS!$U$18+(WeightSDS!$V$18-WeightSDS!$U$18)/24*($AM31-186)-0.005)))</f>
        <v>0.14604529399999999</v>
      </c>
      <c r="AT31" s="4">
        <f t="shared" si="16"/>
        <v>0.56299999999999994</v>
      </c>
      <c r="AU31" s="4">
        <f t="shared" si="17"/>
        <v>69</v>
      </c>
      <c r="AV31" s="4">
        <f t="shared" si="18"/>
        <v>0.51</v>
      </c>
    </row>
    <row r="32" spans="1:48" x14ac:dyDescent="0.15">
      <c r="A32" s="4"/>
      <c r="B32" s="21"/>
      <c r="C32" s="21"/>
      <c r="D32" s="21"/>
      <c r="E32" s="22"/>
      <c r="F32" s="22"/>
      <c r="G32" s="23"/>
      <c r="H32" s="23"/>
      <c r="I32" s="181"/>
      <c r="J32" s="8" t="str">
        <f t="shared" si="3"/>
        <v/>
      </c>
      <c r="K32" s="2" t="str">
        <f t="shared" si="4"/>
        <v/>
      </c>
      <c r="L32" s="2" t="str">
        <f t="shared" si="0"/>
        <v/>
      </c>
      <c r="M32" s="2" t="str">
        <f t="shared" si="5"/>
        <v/>
      </c>
      <c r="N32" s="2" t="str">
        <f t="shared" si="19"/>
        <v/>
      </c>
      <c r="O32" s="2" t="str">
        <f t="shared" si="6"/>
        <v/>
      </c>
      <c r="P32" s="8" t="str">
        <f t="shared" si="7"/>
        <v/>
      </c>
      <c r="Q32" s="8" t="str">
        <f t="shared" si="8"/>
        <v/>
      </c>
      <c r="R32" s="111" t="str">
        <f t="shared" si="9"/>
        <v/>
      </c>
      <c r="S32" s="44" t="str">
        <f t="shared" si="10"/>
        <v/>
      </c>
      <c r="T32" s="37" t="str">
        <f t="shared" si="11"/>
        <v/>
      </c>
      <c r="U32" s="44" t="str">
        <f t="shared" si="12"/>
        <v/>
      </c>
      <c r="V32" s="39"/>
      <c r="W32" s="39"/>
      <c r="X32" s="39"/>
      <c r="Y32" s="39"/>
      <c r="Z32" s="24"/>
      <c r="AA32" s="169">
        <f t="shared" si="13"/>
        <v>0</v>
      </c>
      <c r="AB32" s="4">
        <f t="shared" si="14"/>
        <v>0</v>
      </c>
      <c r="AC32" s="170">
        <f t="shared" si="21"/>
        <v>0</v>
      </c>
      <c r="AD32" s="58"/>
      <c r="AE32" s="58"/>
      <c r="AF32" s="58"/>
      <c r="AG32" s="59">
        <f t="shared" si="1"/>
        <v>9.0359999999999996</v>
      </c>
      <c r="AH32" s="59">
        <f t="shared" si="2"/>
        <v>-184.49199999999999</v>
      </c>
      <c r="AJ32" s="4">
        <f>IF(D32="M",IF(AM32&lt;78,BMILMS!$D$5*AM32^3+BMILMS!$E$5*AM32^2+BMILMS!$F$5*AM32+BMILMS!$G$5,IF(AM32&lt;150,BMILMS!$D$6*AM32^3+BMILMS!$E$6*AM32^2+BMILMS!$F$6*AM32+BMILMS!$G$6,BMILMS!$D$7*AM32^3+BMILMS!$E$7*AM32^2+BMILMS!$F$7*AM32+BMILMS!$G$7)),IF(AM32&lt;69,BMILMS!$D$9*AM32^3+BMILMS!$E$9*AM32^2+BMILMS!$F$9*AM32+BMILMS!$G$9,IF(AM32&lt;150,BMILMS!$D$10*AM32^3+BMILMS!$E$10*AM32^2+BMILMS!$F$10*AM32+BMILMS!$G$10,BMILMS!$D$11*AM32^3+BMILMS!$E$11*AM32^2+BMILMS!$F$11*AM32+BMILMS!$G$11)))</f>
        <v>0.79584630099999998</v>
      </c>
      <c r="AK32" s="4">
        <f>IF(D32="M",(IF(AM32&lt;2.5,BMILMS!$D$21*AM32^3+BMILMS!$E$21*AM32^2+BMILMS!$F$21*AM32+BMILMS!$G$21,IF(AM32&lt;9.5,BMILMS!$D$22*AM32^3+BMILMS!$E$22*AM32^2+BMILMS!$F$22*AM32+BMILMS!$G$22,IF(AM32&lt;26.75,BMILMS!$D$23*AM32^3+BMILMS!$E$23*AM32^2+BMILMS!$F$23*AM32+BMILMS!$G$23,IF(AM32&lt;90,BMILMS!$D$24*AM32^3+BMILMS!$E$24*AM32^2+BMILMS!$F$24*AM32+BMILMS!$G$24,BMILMS!$D$25*AM32^3+BMILMS!$E$25*AM32^2+BMILMS!$F$25*AM32+BMILMS!$G$25))))),(IF(AM32&lt;2.5,BMILMS!$D$27*AM32^3+BMILMS!$E$27*AM32^2+BMILMS!$F$27*AM32+BMILMS!$G$27,IF(AM32&lt;9.5,BMILMS!$D$28*AM32^3+BMILMS!$E$28*AM32^2+BMILMS!$F$28*AM32+BMILMS!$G$28,IF(AM32&lt;26.75,BMILMS!$D$29*AM32^3+BMILMS!$E$29*AM32^2+BMILMS!$F$29*AM32+BMILMS!$G$29,IF(AM32&lt;90,BMILMS!$D$30*AM32^3+BMILMS!$E$30*AM32^2+BMILMS!$F$30*AM32+BMILMS!$G$30,IF(AM32&lt;150,BMILMS!$D$31*AM32^3+BMILMS!$E$31*AM32^2+BMILMS!$F$31*AM32+BMILMS!$G$31,BMILMS!$D$32*AM32^3+BMILMS!$E$32*AM32^2+BMILMS!$F$32*AM32+BMILMS!$G$32)))))))</f>
        <v>12.568967990000001</v>
      </c>
      <c r="AL32" s="4">
        <f>IF(D32="M",(IF(AM32&lt;90,BMILMS!$D$14*AM32^3+BMILMS!$E$14*AM32^2+BMILMS!$F$14*AM32+BMILMS!$G$14,BMILMS!$D$15*AM32^3+BMILMS!$E$15*AM32^2+BMILMS!$F$15*AM32+BMILMS!$G$15)),(IF(AM32&lt;90,BMILMS!$D$17*AM32^3+BMILMS!$E$17*AM32^2+BMILMS!$F$17*AM32+BMILMS!$G$17,BMILMS!$D$18*AM32^3+BMILMS!$E$18*AM32^2+BMILMS!$F$18*AM32+BMILMS!$G$18)))</f>
        <v>8.8969350000000003E-2</v>
      </c>
      <c r="AM32" s="4">
        <f t="shared" si="20"/>
        <v>0</v>
      </c>
      <c r="AO32" s="56">
        <f>IF(D32="M",WeightSDS!P$5*$AM32^7+WeightSDS!Q$5*$AM32^6+WeightSDS!R$5*$AM32^5+WeightSDS!S$5*$AM32^4+WeightSDS!T$5*$AM32^3+WeightSDS!U$5*$AM32^2+WeightSDS!V$5*$AM32+WeightSDS!W$5,IF($AM32&lt;186,WeightSDS!P$8*$AM32^7+WeightSDS!Q$8*$AM32^6+WeightSDS!R$8*$AM32^5+WeightSDS!S$8*$AM32^4+WeightSDS!T$8*$AM32^3+WeightSDS!U$8*$AM32^2+WeightSDS!V$8*$AM32+WeightSDS!W$8,WeightSDS!$U$9+WeightSDS!$V$9*($AM32-WeightSDS!$W$9)))</f>
        <v>0.75407122999999998</v>
      </c>
      <c r="AP32" s="4">
        <f>IF(D32="M",IF($AM32&lt;45,WeightSDS!M$23*$AM32^10+WeightSDS!N$23*$AM32^9+WeightSDS!O$23*$AM32^8+WeightSDS!P$23*$AM32^7+WeightSDS!Q$23*$AM32^6+WeightSDS!R$23*$AM32^5+WeightSDS!S$23*$AM32^4+WeightSDS!T$23*$AM32^3+WeightSDS!U$23*$AM32^2+WeightSDS!V$23*$AM32+WeightSDS!W$23,IF($AM32&lt;153,WeightSDS!M$25*$AM32^10+WeightSDS!N$25*$AM32^9+WeightSDS!O$25*$AM32^8+WeightSDS!P$25*$AM32^7+WeightSDS!Q$25*$AM32^6+WeightSDS!R$25*$AM32^5+WeightSDS!S$25*$AM32^4+WeightSDS!T$25*$AM32^3+WeightSDS!U$25*$AM32^2+WeightSDS!V$25*$AM32+WeightSDS!W$25,WeightSDS!M$27+WeightSDS!N$27/(1+EXP(WeightSDS!O$27+WeightSDS!P$27*$AM32)))),IF($AM32&lt;43.8,WeightSDS!M$29*$AM32^10+WeightSDS!N$29*$AM32^9+WeightSDS!O$29*$AM32^8+WeightSDS!P$29*$AM32^7+WeightSDS!Q$29*$AM32^6+WeightSDS!R$29*$AM32^5+WeightSDS!S$29*$AM32^4+WeightSDS!T$29*$AM32^3+WeightSDS!U$29*$AM32^2+WeightSDS!V$29*$AM32+WeightSDS!W$29-0.010431*(1-$AM32/210),IF($AM32&lt;123,WeightSDS!M$30*$AM32^10+WeightSDS!N$30*$AM32^9+WeightSDS!O$30*$AM32^8+WeightSDS!P$30*$AM32^7+WeightSDS!Q$30*$AM32^6+WeightSDS!R$30*$AM32^5+WeightSDS!S$30*$AM32^4+WeightSDS!T$30*$AM32^3+WeightSDS!U$30*$AM32^2+WeightSDS!V$30*$AM32+WeightSDS!W$30-0.010431*(1-1/$AM32),WeightSDS!M$32+WeightSDS!N$32/(1+EXP(WeightSDS!O$32+WeightSDS!P$32*$AM32))-0.010431*(1-$AM32/210))))</f>
        <v>2.9500001032655536</v>
      </c>
      <c r="AQ32" s="4">
        <f>IF(D32="M",IF($AM32&lt;162,WeightSDS!P$12*$AM32^7+WeightSDS!Q$12*$AM32^6+WeightSDS!R$12*$AM32^5+WeightSDS!S$12*$AM32^4+WeightSDS!T$12*$AM32^3+WeightSDS!U$12*$AM32^2+WeightSDS!V$12*$AM32+WeightSDS!W$12,WeightSDS!P$14*$AM32^7+WeightSDS!Q$14*$AM32^6+WeightSDS!R$14*$AM32^5+WeightSDS!S$14*$AM32^4+WeightSDS!T$14*$AM32^3+WeightSDS!U$14*$AM32^2+WeightSDS!V$14*$AM32+WeightSDS!W$14),IF($AM32&lt;156,WeightSDS!O$17*$AM32^8+WeightSDS!P$17*$AM32^7+WeightSDS!Q$17*$AM32^6+WeightSDS!R$17*$AM32^5+WeightSDS!S$17*$AM32^4+WeightSDS!T$17*$AM32^3+WeightSDS!U$17*$AM32^2+WeightSDS!V$17*$AM32+WeightSDS!W$17,IF($AM32&lt;186,WeightSDS!$U$18+(WeightSDS!$V$18-WeightSDS!$U$18)/24*($AM32-186)+WeightSDS!$W$18*(-$AM32+186)^2-0.005,WeightSDS!$U$18+(WeightSDS!$V$18-WeightSDS!$U$18)/24*($AM32-186)-0.005)))</f>
        <v>0.14604529399999999</v>
      </c>
      <c r="AT32" s="4">
        <f t="shared" si="16"/>
        <v>0.56299999999999994</v>
      </c>
      <c r="AU32" s="4">
        <f t="shared" si="17"/>
        <v>69</v>
      </c>
      <c r="AV32" s="4">
        <f t="shared" si="18"/>
        <v>0.51</v>
      </c>
    </row>
    <row r="33" spans="1:48" x14ac:dyDescent="0.15">
      <c r="A33" s="4"/>
      <c r="B33" s="21"/>
      <c r="C33" s="21"/>
      <c r="D33" s="21"/>
      <c r="E33" s="22"/>
      <c r="F33" s="22"/>
      <c r="G33" s="23"/>
      <c r="H33" s="23"/>
      <c r="I33" s="181"/>
      <c r="J33" s="8" t="str">
        <f t="shared" si="3"/>
        <v/>
      </c>
      <c r="K33" s="2" t="str">
        <f t="shared" si="4"/>
        <v/>
      </c>
      <c r="L33" s="2" t="str">
        <f t="shared" si="0"/>
        <v/>
      </c>
      <c r="M33" s="2" t="str">
        <f t="shared" si="5"/>
        <v/>
      </c>
      <c r="N33" s="2" t="str">
        <f t="shared" si="19"/>
        <v/>
      </c>
      <c r="O33" s="2" t="str">
        <f t="shared" si="6"/>
        <v/>
      </c>
      <c r="P33" s="8" t="str">
        <f t="shared" si="7"/>
        <v/>
      </c>
      <c r="Q33" s="8" t="str">
        <f t="shared" si="8"/>
        <v/>
      </c>
      <c r="R33" s="111" t="str">
        <f t="shared" si="9"/>
        <v/>
      </c>
      <c r="S33" s="44" t="str">
        <f t="shared" si="10"/>
        <v/>
      </c>
      <c r="T33" s="37" t="str">
        <f t="shared" si="11"/>
        <v/>
      </c>
      <c r="U33" s="44" t="str">
        <f t="shared" si="12"/>
        <v/>
      </c>
      <c r="V33" s="174"/>
      <c r="W33" s="174"/>
      <c r="X33" s="174"/>
      <c r="Y33" s="174"/>
      <c r="Z33" s="24"/>
      <c r="AA33" s="169">
        <f t="shared" si="13"/>
        <v>0</v>
      </c>
      <c r="AB33" s="4">
        <f t="shared" si="14"/>
        <v>0</v>
      </c>
      <c r="AC33" s="170">
        <f t="shared" si="21"/>
        <v>0</v>
      </c>
      <c r="AD33" s="58"/>
      <c r="AE33" s="58"/>
      <c r="AF33" s="58"/>
      <c r="AG33" s="59">
        <f t="shared" si="1"/>
        <v>9.0359999999999996</v>
      </c>
      <c r="AH33" s="59">
        <f t="shared" si="2"/>
        <v>-184.49199999999999</v>
      </c>
      <c r="AJ33" s="4">
        <f>IF(D33="M",IF(AM33&lt;78,BMILMS!$D$5*AM33^3+BMILMS!$E$5*AM33^2+BMILMS!$F$5*AM33+BMILMS!$G$5,IF(AM33&lt;150,BMILMS!$D$6*AM33^3+BMILMS!$E$6*AM33^2+BMILMS!$F$6*AM33+BMILMS!$G$6,BMILMS!$D$7*AM33^3+BMILMS!$E$7*AM33^2+BMILMS!$F$7*AM33+BMILMS!$G$7)),IF(AM33&lt;69,BMILMS!$D$9*AM33^3+BMILMS!$E$9*AM33^2+BMILMS!$F$9*AM33+BMILMS!$G$9,IF(AM33&lt;150,BMILMS!$D$10*AM33^3+BMILMS!$E$10*AM33^2+BMILMS!$F$10*AM33+BMILMS!$G$10,BMILMS!$D$11*AM33^3+BMILMS!$E$11*AM33^2+BMILMS!$F$11*AM33+BMILMS!$G$11)))</f>
        <v>0.79584630099999998</v>
      </c>
      <c r="AK33" s="4">
        <f>IF(D33="M",(IF(AM33&lt;2.5,BMILMS!$D$21*AM33^3+BMILMS!$E$21*AM33^2+BMILMS!$F$21*AM33+BMILMS!$G$21,IF(AM33&lt;9.5,BMILMS!$D$22*AM33^3+BMILMS!$E$22*AM33^2+BMILMS!$F$22*AM33+BMILMS!$G$22,IF(AM33&lt;26.75,BMILMS!$D$23*AM33^3+BMILMS!$E$23*AM33^2+BMILMS!$F$23*AM33+BMILMS!$G$23,IF(AM33&lt;90,BMILMS!$D$24*AM33^3+BMILMS!$E$24*AM33^2+BMILMS!$F$24*AM33+BMILMS!$G$24,BMILMS!$D$25*AM33^3+BMILMS!$E$25*AM33^2+BMILMS!$F$25*AM33+BMILMS!$G$25))))),(IF(AM33&lt;2.5,BMILMS!$D$27*AM33^3+BMILMS!$E$27*AM33^2+BMILMS!$F$27*AM33+BMILMS!$G$27,IF(AM33&lt;9.5,BMILMS!$D$28*AM33^3+BMILMS!$E$28*AM33^2+BMILMS!$F$28*AM33+BMILMS!$G$28,IF(AM33&lt;26.75,BMILMS!$D$29*AM33^3+BMILMS!$E$29*AM33^2+BMILMS!$F$29*AM33+BMILMS!$G$29,IF(AM33&lt;90,BMILMS!$D$30*AM33^3+BMILMS!$E$30*AM33^2+BMILMS!$F$30*AM33+BMILMS!$G$30,IF(AM33&lt;150,BMILMS!$D$31*AM33^3+BMILMS!$E$31*AM33^2+BMILMS!$F$31*AM33+BMILMS!$G$31,BMILMS!$D$32*AM33^3+BMILMS!$E$32*AM33^2+BMILMS!$F$32*AM33+BMILMS!$G$32)))))))</f>
        <v>12.568967990000001</v>
      </c>
      <c r="AL33" s="4">
        <f>IF(D33="M",(IF(AM33&lt;90,BMILMS!$D$14*AM33^3+BMILMS!$E$14*AM33^2+BMILMS!$F$14*AM33+BMILMS!$G$14,BMILMS!$D$15*AM33^3+BMILMS!$E$15*AM33^2+BMILMS!$F$15*AM33+BMILMS!$G$15)),(IF(AM33&lt;90,BMILMS!$D$17*AM33^3+BMILMS!$E$17*AM33^2+BMILMS!$F$17*AM33+BMILMS!$G$17,BMILMS!$D$18*AM33^3+BMILMS!$E$18*AM33^2+BMILMS!$F$18*AM33+BMILMS!$G$18)))</f>
        <v>8.8969350000000003E-2</v>
      </c>
      <c r="AM33" s="4">
        <f t="shared" si="20"/>
        <v>0</v>
      </c>
      <c r="AO33" s="56">
        <f>IF(D33="M",WeightSDS!P$5*$AM33^7+WeightSDS!Q$5*$AM33^6+WeightSDS!R$5*$AM33^5+WeightSDS!S$5*$AM33^4+WeightSDS!T$5*$AM33^3+WeightSDS!U$5*$AM33^2+WeightSDS!V$5*$AM33+WeightSDS!W$5,IF($AM33&lt;186,WeightSDS!P$8*$AM33^7+WeightSDS!Q$8*$AM33^6+WeightSDS!R$8*$AM33^5+WeightSDS!S$8*$AM33^4+WeightSDS!T$8*$AM33^3+WeightSDS!U$8*$AM33^2+WeightSDS!V$8*$AM33+WeightSDS!W$8,WeightSDS!$U$9+WeightSDS!$V$9*($AM33-WeightSDS!$W$9)))</f>
        <v>0.75407122999999998</v>
      </c>
      <c r="AP33" s="4">
        <f>IF(D33="M",IF($AM33&lt;45,WeightSDS!M$23*$AM33^10+WeightSDS!N$23*$AM33^9+WeightSDS!O$23*$AM33^8+WeightSDS!P$23*$AM33^7+WeightSDS!Q$23*$AM33^6+WeightSDS!R$23*$AM33^5+WeightSDS!S$23*$AM33^4+WeightSDS!T$23*$AM33^3+WeightSDS!U$23*$AM33^2+WeightSDS!V$23*$AM33+WeightSDS!W$23,IF($AM33&lt;153,WeightSDS!M$25*$AM33^10+WeightSDS!N$25*$AM33^9+WeightSDS!O$25*$AM33^8+WeightSDS!P$25*$AM33^7+WeightSDS!Q$25*$AM33^6+WeightSDS!R$25*$AM33^5+WeightSDS!S$25*$AM33^4+WeightSDS!T$25*$AM33^3+WeightSDS!U$25*$AM33^2+WeightSDS!V$25*$AM33+WeightSDS!W$25,WeightSDS!M$27+WeightSDS!N$27/(1+EXP(WeightSDS!O$27+WeightSDS!P$27*$AM33)))),IF($AM33&lt;43.8,WeightSDS!M$29*$AM33^10+WeightSDS!N$29*$AM33^9+WeightSDS!O$29*$AM33^8+WeightSDS!P$29*$AM33^7+WeightSDS!Q$29*$AM33^6+WeightSDS!R$29*$AM33^5+WeightSDS!S$29*$AM33^4+WeightSDS!T$29*$AM33^3+WeightSDS!U$29*$AM33^2+WeightSDS!V$29*$AM33+WeightSDS!W$29-0.010431*(1-$AM33/210),IF($AM33&lt;123,WeightSDS!M$30*$AM33^10+WeightSDS!N$30*$AM33^9+WeightSDS!O$30*$AM33^8+WeightSDS!P$30*$AM33^7+WeightSDS!Q$30*$AM33^6+WeightSDS!R$30*$AM33^5+WeightSDS!S$30*$AM33^4+WeightSDS!T$30*$AM33^3+WeightSDS!U$30*$AM33^2+WeightSDS!V$30*$AM33+WeightSDS!W$30-0.010431*(1-1/$AM33),WeightSDS!M$32+WeightSDS!N$32/(1+EXP(WeightSDS!O$32+WeightSDS!P$32*$AM33))-0.010431*(1-$AM33/210))))</f>
        <v>2.9500001032655536</v>
      </c>
      <c r="AQ33" s="4">
        <f>IF(D33="M",IF($AM33&lt;162,WeightSDS!P$12*$AM33^7+WeightSDS!Q$12*$AM33^6+WeightSDS!R$12*$AM33^5+WeightSDS!S$12*$AM33^4+WeightSDS!T$12*$AM33^3+WeightSDS!U$12*$AM33^2+WeightSDS!V$12*$AM33+WeightSDS!W$12,WeightSDS!P$14*$AM33^7+WeightSDS!Q$14*$AM33^6+WeightSDS!R$14*$AM33^5+WeightSDS!S$14*$AM33^4+WeightSDS!T$14*$AM33^3+WeightSDS!U$14*$AM33^2+WeightSDS!V$14*$AM33+WeightSDS!W$14),IF($AM33&lt;156,WeightSDS!O$17*$AM33^8+WeightSDS!P$17*$AM33^7+WeightSDS!Q$17*$AM33^6+WeightSDS!R$17*$AM33^5+WeightSDS!S$17*$AM33^4+WeightSDS!T$17*$AM33^3+WeightSDS!U$17*$AM33^2+WeightSDS!V$17*$AM33+WeightSDS!W$17,IF($AM33&lt;186,WeightSDS!$U$18+(WeightSDS!$V$18-WeightSDS!$U$18)/24*($AM33-186)+WeightSDS!$W$18*(-$AM33+186)^2-0.005,WeightSDS!$U$18+(WeightSDS!$V$18-WeightSDS!$U$18)/24*($AM33-186)-0.005)))</f>
        <v>0.14604529399999999</v>
      </c>
      <c r="AT33" s="4">
        <f t="shared" si="16"/>
        <v>0.56299999999999994</v>
      </c>
      <c r="AU33" s="4">
        <f t="shared" si="17"/>
        <v>69</v>
      </c>
      <c r="AV33" s="4">
        <f t="shared" si="18"/>
        <v>0.51</v>
      </c>
    </row>
    <row r="34" spans="1:48" x14ac:dyDescent="0.15">
      <c r="A34" s="4"/>
      <c r="B34" s="21"/>
      <c r="C34" s="21"/>
      <c r="D34" s="21"/>
      <c r="E34" s="22"/>
      <c r="F34" s="22"/>
      <c r="G34" s="23"/>
      <c r="H34" s="23"/>
      <c r="I34" s="181"/>
      <c r="J34" s="8" t="str">
        <f t="shared" si="3"/>
        <v/>
      </c>
      <c r="K34" s="2" t="str">
        <f t="shared" si="4"/>
        <v/>
      </c>
      <c r="L34" s="2" t="str">
        <f t="shared" si="0"/>
        <v/>
      </c>
      <c r="M34" s="2" t="str">
        <f t="shared" si="5"/>
        <v/>
      </c>
      <c r="N34" s="2" t="str">
        <f t="shared" si="19"/>
        <v/>
      </c>
      <c r="O34" s="2" t="str">
        <f t="shared" si="6"/>
        <v/>
      </c>
      <c r="P34" s="8" t="str">
        <f t="shared" si="7"/>
        <v/>
      </c>
      <c r="Q34" s="8" t="str">
        <f t="shared" si="8"/>
        <v/>
      </c>
      <c r="R34" s="111" t="str">
        <f t="shared" si="9"/>
        <v/>
      </c>
      <c r="S34" s="44" t="str">
        <f t="shared" si="10"/>
        <v/>
      </c>
      <c r="T34" s="37" t="str">
        <f t="shared" si="11"/>
        <v/>
      </c>
      <c r="U34" s="44" t="str">
        <f t="shared" si="12"/>
        <v/>
      </c>
      <c r="V34" s="174"/>
      <c r="W34" s="174"/>
      <c r="X34" s="174"/>
      <c r="Y34" s="174"/>
      <c r="Z34" s="24"/>
      <c r="AA34" s="169">
        <f t="shared" si="13"/>
        <v>0</v>
      </c>
      <c r="AB34" s="4">
        <f t="shared" si="14"/>
        <v>0</v>
      </c>
      <c r="AC34" s="170">
        <f t="shared" si="21"/>
        <v>0</v>
      </c>
      <c r="AD34" s="58"/>
      <c r="AE34" s="58"/>
      <c r="AF34" s="58"/>
      <c r="AG34" s="59">
        <f t="shared" si="1"/>
        <v>9.0359999999999996</v>
      </c>
      <c r="AH34" s="59">
        <f t="shared" si="2"/>
        <v>-184.49199999999999</v>
      </c>
      <c r="AJ34" s="4">
        <f>IF(D34="M",IF(AM34&lt;78,BMILMS!$D$5*AM34^3+BMILMS!$E$5*AM34^2+BMILMS!$F$5*AM34+BMILMS!$G$5,IF(AM34&lt;150,BMILMS!$D$6*AM34^3+BMILMS!$E$6*AM34^2+BMILMS!$F$6*AM34+BMILMS!$G$6,BMILMS!$D$7*AM34^3+BMILMS!$E$7*AM34^2+BMILMS!$F$7*AM34+BMILMS!$G$7)),IF(AM34&lt;69,BMILMS!$D$9*AM34^3+BMILMS!$E$9*AM34^2+BMILMS!$F$9*AM34+BMILMS!$G$9,IF(AM34&lt;150,BMILMS!$D$10*AM34^3+BMILMS!$E$10*AM34^2+BMILMS!$F$10*AM34+BMILMS!$G$10,BMILMS!$D$11*AM34^3+BMILMS!$E$11*AM34^2+BMILMS!$F$11*AM34+BMILMS!$G$11)))</f>
        <v>0.79584630099999998</v>
      </c>
      <c r="AK34" s="4">
        <f>IF(D34="M",(IF(AM34&lt;2.5,BMILMS!$D$21*AM34^3+BMILMS!$E$21*AM34^2+BMILMS!$F$21*AM34+BMILMS!$G$21,IF(AM34&lt;9.5,BMILMS!$D$22*AM34^3+BMILMS!$E$22*AM34^2+BMILMS!$F$22*AM34+BMILMS!$G$22,IF(AM34&lt;26.75,BMILMS!$D$23*AM34^3+BMILMS!$E$23*AM34^2+BMILMS!$F$23*AM34+BMILMS!$G$23,IF(AM34&lt;90,BMILMS!$D$24*AM34^3+BMILMS!$E$24*AM34^2+BMILMS!$F$24*AM34+BMILMS!$G$24,BMILMS!$D$25*AM34^3+BMILMS!$E$25*AM34^2+BMILMS!$F$25*AM34+BMILMS!$G$25))))),(IF(AM34&lt;2.5,BMILMS!$D$27*AM34^3+BMILMS!$E$27*AM34^2+BMILMS!$F$27*AM34+BMILMS!$G$27,IF(AM34&lt;9.5,BMILMS!$D$28*AM34^3+BMILMS!$E$28*AM34^2+BMILMS!$F$28*AM34+BMILMS!$G$28,IF(AM34&lt;26.75,BMILMS!$D$29*AM34^3+BMILMS!$E$29*AM34^2+BMILMS!$F$29*AM34+BMILMS!$G$29,IF(AM34&lt;90,BMILMS!$D$30*AM34^3+BMILMS!$E$30*AM34^2+BMILMS!$F$30*AM34+BMILMS!$G$30,IF(AM34&lt;150,BMILMS!$D$31*AM34^3+BMILMS!$E$31*AM34^2+BMILMS!$F$31*AM34+BMILMS!$G$31,BMILMS!$D$32*AM34^3+BMILMS!$E$32*AM34^2+BMILMS!$F$32*AM34+BMILMS!$G$32)))))))</f>
        <v>12.568967990000001</v>
      </c>
      <c r="AL34" s="4">
        <f>IF(D34="M",(IF(AM34&lt;90,BMILMS!$D$14*AM34^3+BMILMS!$E$14*AM34^2+BMILMS!$F$14*AM34+BMILMS!$G$14,BMILMS!$D$15*AM34^3+BMILMS!$E$15*AM34^2+BMILMS!$F$15*AM34+BMILMS!$G$15)),(IF(AM34&lt;90,BMILMS!$D$17*AM34^3+BMILMS!$E$17*AM34^2+BMILMS!$F$17*AM34+BMILMS!$G$17,BMILMS!$D$18*AM34^3+BMILMS!$E$18*AM34^2+BMILMS!$F$18*AM34+BMILMS!$G$18)))</f>
        <v>8.8969350000000003E-2</v>
      </c>
      <c r="AM34" s="4">
        <f t="shared" si="20"/>
        <v>0</v>
      </c>
      <c r="AO34" s="56">
        <f>IF(D34="M",WeightSDS!P$5*$AM34^7+WeightSDS!Q$5*$AM34^6+WeightSDS!R$5*$AM34^5+WeightSDS!S$5*$AM34^4+WeightSDS!T$5*$AM34^3+WeightSDS!U$5*$AM34^2+WeightSDS!V$5*$AM34+WeightSDS!W$5,IF($AM34&lt;186,WeightSDS!P$8*$AM34^7+WeightSDS!Q$8*$AM34^6+WeightSDS!R$8*$AM34^5+WeightSDS!S$8*$AM34^4+WeightSDS!T$8*$AM34^3+WeightSDS!U$8*$AM34^2+WeightSDS!V$8*$AM34+WeightSDS!W$8,WeightSDS!$U$9+WeightSDS!$V$9*($AM34-WeightSDS!$W$9)))</f>
        <v>0.75407122999999998</v>
      </c>
      <c r="AP34" s="4">
        <f>IF(D34="M",IF($AM34&lt;45,WeightSDS!M$23*$AM34^10+WeightSDS!N$23*$AM34^9+WeightSDS!O$23*$AM34^8+WeightSDS!P$23*$AM34^7+WeightSDS!Q$23*$AM34^6+WeightSDS!R$23*$AM34^5+WeightSDS!S$23*$AM34^4+WeightSDS!T$23*$AM34^3+WeightSDS!U$23*$AM34^2+WeightSDS!V$23*$AM34+WeightSDS!W$23,IF($AM34&lt;153,WeightSDS!M$25*$AM34^10+WeightSDS!N$25*$AM34^9+WeightSDS!O$25*$AM34^8+WeightSDS!P$25*$AM34^7+WeightSDS!Q$25*$AM34^6+WeightSDS!R$25*$AM34^5+WeightSDS!S$25*$AM34^4+WeightSDS!T$25*$AM34^3+WeightSDS!U$25*$AM34^2+WeightSDS!V$25*$AM34+WeightSDS!W$25,WeightSDS!M$27+WeightSDS!N$27/(1+EXP(WeightSDS!O$27+WeightSDS!P$27*$AM34)))),IF($AM34&lt;43.8,WeightSDS!M$29*$AM34^10+WeightSDS!N$29*$AM34^9+WeightSDS!O$29*$AM34^8+WeightSDS!P$29*$AM34^7+WeightSDS!Q$29*$AM34^6+WeightSDS!R$29*$AM34^5+WeightSDS!S$29*$AM34^4+WeightSDS!T$29*$AM34^3+WeightSDS!U$29*$AM34^2+WeightSDS!V$29*$AM34+WeightSDS!W$29-0.010431*(1-$AM34/210),IF($AM34&lt;123,WeightSDS!M$30*$AM34^10+WeightSDS!N$30*$AM34^9+WeightSDS!O$30*$AM34^8+WeightSDS!P$30*$AM34^7+WeightSDS!Q$30*$AM34^6+WeightSDS!R$30*$AM34^5+WeightSDS!S$30*$AM34^4+WeightSDS!T$30*$AM34^3+WeightSDS!U$30*$AM34^2+WeightSDS!V$30*$AM34+WeightSDS!W$30-0.010431*(1-1/$AM34),WeightSDS!M$32+WeightSDS!N$32/(1+EXP(WeightSDS!O$32+WeightSDS!P$32*$AM34))-0.010431*(1-$AM34/210))))</f>
        <v>2.9500001032655536</v>
      </c>
      <c r="AQ34" s="4">
        <f>IF(D34="M",IF($AM34&lt;162,WeightSDS!P$12*$AM34^7+WeightSDS!Q$12*$AM34^6+WeightSDS!R$12*$AM34^5+WeightSDS!S$12*$AM34^4+WeightSDS!T$12*$AM34^3+WeightSDS!U$12*$AM34^2+WeightSDS!V$12*$AM34+WeightSDS!W$12,WeightSDS!P$14*$AM34^7+WeightSDS!Q$14*$AM34^6+WeightSDS!R$14*$AM34^5+WeightSDS!S$14*$AM34^4+WeightSDS!T$14*$AM34^3+WeightSDS!U$14*$AM34^2+WeightSDS!V$14*$AM34+WeightSDS!W$14),IF($AM34&lt;156,WeightSDS!O$17*$AM34^8+WeightSDS!P$17*$AM34^7+WeightSDS!Q$17*$AM34^6+WeightSDS!R$17*$AM34^5+WeightSDS!S$17*$AM34^4+WeightSDS!T$17*$AM34^3+WeightSDS!U$17*$AM34^2+WeightSDS!V$17*$AM34+WeightSDS!W$17,IF($AM34&lt;186,WeightSDS!$U$18+(WeightSDS!$V$18-WeightSDS!$U$18)/24*($AM34-186)+WeightSDS!$W$18*(-$AM34+186)^2-0.005,WeightSDS!$U$18+(WeightSDS!$V$18-WeightSDS!$U$18)/24*($AM34-186)-0.005)))</f>
        <v>0.14604529399999999</v>
      </c>
      <c r="AT34" s="4">
        <f t="shared" si="16"/>
        <v>0.56299999999999994</v>
      </c>
      <c r="AU34" s="4">
        <f t="shared" si="17"/>
        <v>69</v>
      </c>
      <c r="AV34" s="4">
        <f t="shared" si="18"/>
        <v>0.51</v>
      </c>
    </row>
    <row r="35" spans="1:48" x14ac:dyDescent="0.15">
      <c r="A35" s="4"/>
      <c r="B35" s="21"/>
      <c r="C35" s="21"/>
      <c r="D35" s="21"/>
      <c r="E35" s="22"/>
      <c r="F35" s="22"/>
      <c r="G35" s="23"/>
      <c r="H35" s="23"/>
      <c r="I35" s="181"/>
      <c r="J35" s="8" t="str">
        <f t="shared" si="3"/>
        <v/>
      </c>
      <c r="K35" s="2" t="str">
        <f t="shared" si="4"/>
        <v/>
      </c>
      <c r="L35" s="2" t="str">
        <f t="shared" si="0"/>
        <v/>
      </c>
      <c r="M35" s="2" t="str">
        <f t="shared" si="5"/>
        <v/>
      </c>
      <c r="N35" s="2" t="str">
        <f t="shared" si="19"/>
        <v/>
      </c>
      <c r="O35" s="2" t="str">
        <f t="shared" si="6"/>
        <v/>
      </c>
      <c r="P35" s="8" t="str">
        <f t="shared" si="7"/>
        <v/>
      </c>
      <c r="Q35" s="8" t="str">
        <f t="shared" si="8"/>
        <v/>
      </c>
      <c r="R35" s="111" t="str">
        <f t="shared" si="9"/>
        <v/>
      </c>
      <c r="S35" s="44" t="str">
        <f t="shared" si="10"/>
        <v/>
      </c>
      <c r="T35" s="37" t="str">
        <f t="shared" si="11"/>
        <v/>
      </c>
      <c r="U35" s="44" t="str">
        <f t="shared" si="12"/>
        <v/>
      </c>
      <c r="V35" s="26"/>
      <c r="W35" s="26"/>
      <c r="X35" s="26"/>
      <c r="Y35" s="26"/>
      <c r="Z35" s="24"/>
      <c r="AA35" s="169">
        <f t="shared" si="13"/>
        <v>0</v>
      </c>
      <c r="AB35" s="4">
        <f t="shared" si="14"/>
        <v>0</v>
      </c>
      <c r="AC35" s="170">
        <f t="shared" si="21"/>
        <v>0</v>
      </c>
      <c r="AD35" s="58"/>
      <c r="AE35" s="58"/>
      <c r="AF35" s="58"/>
      <c r="AG35" s="59">
        <f t="shared" si="1"/>
        <v>9.0359999999999996</v>
      </c>
      <c r="AH35" s="59">
        <f t="shared" si="2"/>
        <v>-184.49199999999999</v>
      </c>
      <c r="AJ35" s="4">
        <f>IF(D35="M",IF(AM35&lt;78,BMILMS!$D$5*AM35^3+BMILMS!$E$5*AM35^2+BMILMS!$F$5*AM35+BMILMS!$G$5,IF(AM35&lt;150,BMILMS!$D$6*AM35^3+BMILMS!$E$6*AM35^2+BMILMS!$F$6*AM35+BMILMS!$G$6,BMILMS!$D$7*AM35^3+BMILMS!$E$7*AM35^2+BMILMS!$F$7*AM35+BMILMS!$G$7)),IF(AM35&lt;69,BMILMS!$D$9*AM35^3+BMILMS!$E$9*AM35^2+BMILMS!$F$9*AM35+BMILMS!$G$9,IF(AM35&lt;150,BMILMS!$D$10*AM35^3+BMILMS!$E$10*AM35^2+BMILMS!$F$10*AM35+BMILMS!$G$10,BMILMS!$D$11*AM35^3+BMILMS!$E$11*AM35^2+BMILMS!$F$11*AM35+BMILMS!$G$11)))</f>
        <v>0.79584630099999998</v>
      </c>
      <c r="AK35" s="4">
        <f>IF(D35="M",(IF(AM35&lt;2.5,BMILMS!$D$21*AM35^3+BMILMS!$E$21*AM35^2+BMILMS!$F$21*AM35+BMILMS!$G$21,IF(AM35&lt;9.5,BMILMS!$D$22*AM35^3+BMILMS!$E$22*AM35^2+BMILMS!$F$22*AM35+BMILMS!$G$22,IF(AM35&lt;26.75,BMILMS!$D$23*AM35^3+BMILMS!$E$23*AM35^2+BMILMS!$F$23*AM35+BMILMS!$G$23,IF(AM35&lt;90,BMILMS!$D$24*AM35^3+BMILMS!$E$24*AM35^2+BMILMS!$F$24*AM35+BMILMS!$G$24,BMILMS!$D$25*AM35^3+BMILMS!$E$25*AM35^2+BMILMS!$F$25*AM35+BMILMS!$G$25))))),(IF(AM35&lt;2.5,BMILMS!$D$27*AM35^3+BMILMS!$E$27*AM35^2+BMILMS!$F$27*AM35+BMILMS!$G$27,IF(AM35&lt;9.5,BMILMS!$D$28*AM35^3+BMILMS!$E$28*AM35^2+BMILMS!$F$28*AM35+BMILMS!$G$28,IF(AM35&lt;26.75,BMILMS!$D$29*AM35^3+BMILMS!$E$29*AM35^2+BMILMS!$F$29*AM35+BMILMS!$G$29,IF(AM35&lt;90,BMILMS!$D$30*AM35^3+BMILMS!$E$30*AM35^2+BMILMS!$F$30*AM35+BMILMS!$G$30,IF(AM35&lt;150,BMILMS!$D$31*AM35^3+BMILMS!$E$31*AM35^2+BMILMS!$F$31*AM35+BMILMS!$G$31,BMILMS!$D$32*AM35^3+BMILMS!$E$32*AM35^2+BMILMS!$F$32*AM35+BMILMS!$G$32)))))))</f>
        <v>12.568967990000001</v>
      </c>
      <c r="AL35" s="4">
        <f>IF(D35="M",(IF(AM35&lt;90,BMILMS!$D$14*AM35^3+BMILMS!$E$14*AM35^2+BMILMS!$F$14*AM35+BMILMS!$G$14,BMILMS!$D$15*AM35^3+BMILMS!$E$15*AM35^2+BMILMS!$F$15*AM35+BMILMS!$G$15)),(IF(AM35&lt;90,BMILMS!$D$17*AM35^3+BMILMS!$E$17*AM35^2+BMILMS!$F$17*AM35+BMILMS!$G$17,BMILMS!$D$18*AM35^3+BMILMS!$E$18*AM35^2+BMILMS!$F$18*AM35+BMILMS!$G$18)))</f>
        <v>8.8969350000000003E-2</v>
      </c>
      <c r="AM35" s="4">
        <f t="shared" si="20"/>
        <v>0</v>
      </c>
      <c r="AO35" s="56">
        <f>IF(D35="M",WeightSDS!P$5*$AM35^7+WeightSDS!Q$5*$AM35^6+WeightSDS!R$5*$AM35^5+WeightSDS!S$5*$AM35^4+WeightSDS!T$5*$AM35^3+WeightSDS!U$5*$AM35^2+WeightSDS!V$5*$AM35+WeightSDS!W$5,IF($AM35&lt;186,WeightSDS!P$8*$AM35^7+WeightSDS!Q$8*$AM35^6+WeightSDS!R$8*$AM35^5+WeightSDS!S$8*$AM35^4+WeightSDS!T$8*$AM35^3+WeightSDS!U$8*$AM35^2+WeightSDS!V$8*$AM35+WeightSDS!W$8,WeightSDS!$U$9+WeightSDS!$V$9*($AM35-WeightSDS!$W$9)))</f>
        <v>0.75407122999999998</v>
      </c>
      <c r="AP35" s="4">
        <f>IF(D35="M",IF($AM35&lt;45,WeightSDS!M$23*$AM35^10+WeightSDS!N$23*$AM35^9+WeightSDS!O$23*$AM35^8+WeightSDS!P$23*$AM35^7+WeightSDS!Q$23*$AM35^6+WeightSDS!R$23*$AM35^5+WeightSDS!S$23*$AM35^4+WeightSDS!T$23*$AM35^3+WeightSDS!U$23*$AM35^2+WeightSDS!V$23*$AM35+WeightSDS!W$23,IF($AM35&lt;153,WeightSDS!M$25*$AM35^10+WeightSDS!N$25*$AM35^9+WeightSDS!O$25*$AM35^8+WeightSDS!P$25*$AM35^7+WeightSDS!Q$25*$AM35^6+WeightSDS!R$25*$AM35^5+WeightSDS!S$25*$AM35^4+WeightSDS!T$25*$AM35^3+WeightSDS!U$25*$AM35^2+WeightSDS!V$25*$AM35+WeightSDS!W$25,WeightSDS!M$27+WeightSDS!N$27/(1+EXP(WeightSDS!O$27+WeightSDS!P$27*$AM35)))),IF($AM35&lt;43.8,WeightSDS!M$29*$AM35^10+WeightSDS!N$29*$AM35^9+WeightSDS!O$29*$AM35^8+WeightSDS!P$29*$AM35^7+WeightSDS!Q$29*$AM35^6+WeightSDS!R$29*$AM35^5+WeightSDS!S$29*$AM35^4+WeightSDS!T$29*$AM35^3+WeightSDS!U$29*$AM35^2+WeightSDS!V$29*$AM35+WeightSDS!W$29-0.010431*(1-$AM35/210),IF($AM35&lt;123,WeightSDS!M$30*$AM35^10+WeightSDS!N$30*$AM35^9+WeightSDS!O$30*$AM35^8+WeightSDS!P$30*$AM35^7+WeightSDS!Q$30*$AM35^6+WeightSDS!R$30*$AM35^5+WeightSDS!S$30*$AM35^4+WeightSDS!T$30*$AM35^3+WeightSDS!U$30*$AM35^2+WeightSDS!V$30*$AM35+WeightSDS!W$30-0.010431*(1-1/$AM35),WeightSDS!M$32+WeightSDS!N$32/(1+EXP(WeightSDS!O$32+WeightSDS!P$32*$AM35))-0.010431*(1-$AM35/210))))</f>
        <v>2.9500001032655536</v>
      </c>
      <c r="AQ35" s="4">
        <f>IF(D35="M",IF($AM35&lt;162,WeightSDS!P$12*$AM35^7+WeightSDS!Q$12*$AM35^6+WeightSDS!R$12*$AM35^5+WeightSDS!S$12*$AM35^4+WeightSDS!T$12*$AM35^3+WeightSDS!U$12*$AM35^2+WeightSDS!V$12*$AM35+WeightSDS!W$12,WeightSDS!P$14*$AM35^7+WeightSDS!Q$14*$AM35^6+WeightSDS!R$14*$AM35^5+WeightSDS!S$14*$AM35^4+WeightSDS!T$14*$AM35^3+WeightSDS!U$14*$AM35^2+WeightSDS!V$14*$AM35+WeightSDS!W$14),IF($AM35&lt;156,WeightSDS!O$17*$AM35^8+WeightSDS!P$17*$AM35^7+WeightSDS!Q$17*$AM35^6+WeightSDS!R$17*$AM35^5+WeightSDS!S$17*$AM35^4+WeightSDS!T$17*$AM35^3+WeightSDS!U$17*$AM35^2+WeightSDS!V$17*$AM35+WeightSDS!W$17,IF($AM35&lt;186,WeightSDS!$U$18+(WeightSDS!$V$18-WeightSDS!$U$18)/24*($AM35-186)+WeightSDS!$W$18*(-$AM35+186)^2-0.005,WeightSDS!$U$18+(WeightSDS!$V$18-WeightSDS!$U$18)/24*($AM35-186)-0.005)))</f>
        <v>0.14604529399999999</v>
      </c>
      <c r="AT35" s="4">
        <f t="shared" si="16"/>
        <v>0.56299999999999994</v>
      </c>
      <c r="AU35" s="4">
        <f t="shared" si="17"/>
        <v>69</v>
      </c>
      <c r="AV35" s="4">
        <f t="shared" si="18"/>
        <v>0.51</v>
      </c>
    </row>
    <row r="36" spans="1:48" x14ac:dyDescent="0.15">
      <c r="A36" s="4"/>
      <c r="B36" s="21"/>
      <c r="C36" s="21"/>
      <c r="D36" s="21"/>
      <c r="E36" s="22"/>
      <c r="F36" s="22"/>
      <c r="G36" s="23"/>
      <c r="H36" s="23"/>
      <c r="I36" s="181"/>
      <c r="J36" s="8" t="str">
        <f t="shared" si="3"/>
        <v/>
      </c>
      <c r="K36" s="2" t="str">
        <f t="shared" si="4"/>
        <v/>
      </c>
      <c r="L36" s="2" t="str">
        <f t="shared" si="0"/>
        <v/>
      </c>
      <c r="M36" s="2" t="str">
        <f t="shared" si="5"/>
        <v/>
      </c>
      <c r="N36" s="2" t="str">
        <f t="shared" si="19"/>
        <v/>
      </c>
      <c r="O36" s="2" t="str">
        <f t="shared" si="6"/>
        <v/>
      </c>
      <c r="P36" s="8" t="str">
        <f t="shared" si="7"/>
        <v/>
      </c>
      <c r="Q36" s="8" t="str">
        <f t="shared" si="8"/>
        <v/>
      </c>
      <c r="R36" s="111" t="str">
        <f t="shared" si="9"/>
        <v/>
      </c>
      <c r="S36" s="44" t="str">
        <f t="shared" si="10"/>
        <v/>
      </c>
      <c r="T36" s="37" t="str">
        <f t="shared" si="11"/>
        <v/>
      </c>
      <c r="U36" s="44" t="str">
        <f t="shared" si="12"/>
        <v/>
      </c>
      <c r="V36" s="26"/>
      <c r="W36" s="26"/>
      <c r="X36" s="26"/>
      <c r="Y36" s="26"/>
      <c r="Z36" s="24"/>
      <c r="AA36" s="169">
        <f t="shared" si="13"/>
        <v>0</v>
      </c>
      <c r="AB36" s="4">
        <f t="shared" si="14"/>
        <v>0</v>
      </c>
      <c r="AC36" s="170">
        <f t="shared" si="21"/>
        <v>0</v>
      </c>
      <c r="AD36" s="58"/>
      <c r="AE36" s="58"/>
      <c r="AF36" s="58"/>
      <c r="AG36" s="59">
        <f t="shared" si="1"/>
        <v>9.0359999999999996</v>
      </c>
      <c r="AH36" s="59">
        <f t="shared" si="2"/>
        <v>-184.49199999999999</v>
      </c>
      <c r="AJ36" s="4">
        <f>IF(D36="M",IF(AM36&lt;78,BMILMS!$D$5*AM36^3+BMILMS!$E$5*AM36^2+BMILMS!$F$5*AM36+BMILMS!$G$5,IF(AM36&lt;150,BMILMS!$D$6*AM36^3+BMILMS!$E$6*AM36^2+BMILMS!$F$6*AM36+BMILMS!$G$6,BMILMS!$D$7*AM36^3+BMILMS!$E$7*AM36^2+BMILMS!$F$7*AM36+BMILMS!$G$7)),IF(AM36&lt;69,BMILMS!$D$9*AM36^3+BMILMS!$E$9*AM36^2+BMILMS!$F$9*AM36+BMILMS!$G$9,IF(AM36&lt;150,BMILMS!$D$10*AM36^3+BMILMS!$E$10*AM36^2+BMILMS!$F$10*AM36+BMILMS!$G$10,BMILMS!$D$11*AM36^3+BMILMS!$E$11*AM36^2+BMILMS!$F$11*AM36+BMILMS!$G$11)))</f>
        <v>0.79584630099999998</v>
      </c>
      <c r="AK36" s="4">
        <f>IF(D36="M",(IF(AM36&lt;2.5,BMILMS!$D$21*AM36^3+BMILMS!$E$21*AM36^2+BMILMS!$F$21*AM36+BMILMS!$G$21,IF(AM36&lt;9.5,BMILMS!$D$22*AM36^3+BMILMS!$E$22*AM36^2+BMILMS!$F$22*AM36+BMILMS!$G$22,IF(AM36&lt;26.75,BMILMS!$D$23*AM36^3+BMILMS!$E$23*AM36^2+BMILMS!$F$23*AM36+BMILMS!$G$23,IF(AM36&lt;90,BMILMS!$D$24*AM36^3+BMILMS!$E$24*AM36^2+BMILMS!$F$24*AM36+BMILMS!$G$24,BMILMS!$D$25*AM36^3+BMILMS!$E$25*AM36^2+BMILMS!$F$25*AM36+BMILMS!$G$25))))),(IF(AM36&lt;2.5,BMILMS!$D$27*AM36^3+BMILMS!$E$27*AM36^2+BMILMS!$F$27*AM36+BMILMS!$G$27,IF(AM36&lt;9.5,BMILMS!$D$28*AM36^3+BMILMS!$E$28*AM36^2+BMILMS!$F$28*AM36+BMILMS!$G$28,IF(AM36&lt;26.75,BMILMS!$D$29*AM36^3+BMILMS!$E$29*AM36^2+BMILMS!$F$29*AM36+BMILMS!$G$29,IF(AM36&lt;90,BMILMS!$D$30*AM36^3+BMILMS!$E$30*AM36^2+BMILMS!$F$30*AM36+BMILMS!$G$30,IF(AM36&lt;150,BMILMS!$D$31*AM36^3+BMILMS!$E$31*AM36^2+BMILMS!$F$31*AM36+BMILMS!$G$31,BMILMS!$D$32*AM36^3+BMILMS!$E$32*AM36^2+BMILMS!$F$32*AM36+BMILMS!$G$32)))))))</f>
        <v>12.568967990000001</v>
      </c>
      <c r="AL36" s="4">
        <f>IF(D36="M",(IF(AM36&lt;90,BMILMS!$D$14*AM36^3+BMILMS!$E$14*AM36^2+BMILMS!$F$14*AM36+BMILMS!$G$14,BMILMS!$D$15*AM36^3+BMILMS!$E$15*AM36^2+BMILMS!$F$15*AM36+BMILMS!$G$15)),(IF(AM36&lt;90,BMILMS!$D$17*AM36^3+BMILMS!$E$17*AM36^2+BMILMS!$F$17*AM36+BMILMS!$G$17,BMILMS!$D$18*AM36^3+BMILMS!$E$18*AM36^2+BMILMS!$F$18*AM36+BMILMS!$G$18)))</f>
        <v>8.8969350000000003E-2</v>
      </c>
      <c r="AM36" s="4">
        <f t="shared" si="20"/>
        <v>0</v>
      </c>
      <c r="AO36" s="56">
        <f>IF(D36="M",WeightSDS!P$5*$AM36^7+WeightSDS!Q$5*$AM36^6+WeightSDS!R$5*$AM36^5+WeightSDS!S$5*$AM36^4+WeightSDS!T$5*$AM36^3+WeightSDS!U$5*$AM36^2+WeightSDS!V$5*$AM36+WeightSDS!W$5,IF($AM36&lt;186,WeightSDS!P$8*$AM36^7+WeightSDS!Q$8*$AM36^6+WeightSDS!R$8*$AM36^5+WeightSDS!S$8*$AM36^4+WeightSDS!T$8*$AM36^3+WeightSDS!U$8*$AM36^2+WeightSDS!V$8*$AM36+WeightSDS!W$8,WeightSDS!$U$9+WeightSDS!$V$9*($AM36-WeightSDS!$W$9)))</f>
        <v>0.75407122999999998</v>
      </c>
      <c r="AP36" s="4">
        <f>IF(D36="M",IF($AM36&lt;45,WeightSDS!M$23*$AM36^10+WeightSDS!N$23*$AM36^9+WeightSDS!O$23*$AM36^8+WeightSDS!P$23*$AM36^7+WeightSDS!Q$23*$AM36^6+WeightSDS!R$23*$AM36^5+WeightSDS!S$23*$AM36^4+WeightSDS!T$23*$AM36^3+WeightSDS!U$23*$AM36^2+WeightSDS!V$23*$AM36+WeightSDS!W$23,IF($AM36&lt;153,WeightSDS!M$25*$AM36^10+WeightSDS!N$25*$AM36^9+WeightSDS!O$25*$AM36^8+WeightSDS!P$25*$AM36^7+WeightSDS!Q$25*$AM36^6+WeightSDS!R$25*$AM36^5+WeightSDS!S$25*$AM36^4+WeightSDS!T$25*$AM36^3+WeightSDS!U$25*$AM36^2+WeightSDS!V$25*$AM36+WeightSDS!W$25,WeightSDS!M$27+WeightSDS!N$27/(1+EXP(WeightSDS!O$27+WeightSDS!P$27*$AM36)))),IF($AM36&lt;43.8,WeightSDS!M$29*$AM36^10+WeightSDS!N$29*$AM36^9+WeightSDS!O$29*$AM36^8+WeightSDS!P$29*$AM36^7+WeightSDS!Q$29*$AM36^6+WeightSDS!R$29*$AM36^5+WeightSDS!S$29*$AM36^4+WeightSDS!T$29*$AM36^3+WeightSDS!U$29*$AM36^2+WeightSDS!V$29*$AM36+WeightSDS!W$29-0.010431*(1-$AM36/210),IF($AM36&lt;123,WeightSDS!M$30*$AM36^10+WeightSDS!N$30*$AM36^9+WeightSDS!O$30*$AM36^8+WeightSDS!P$30*$AM36^7+WeightSDS!Q$30*$AM36^6+WeightSDS!R$30*$AM36^5+WeightSDS!S$30*$AM36^4+WeightSDS!T$30*$AM36^3+WeightSDS!U$30*$AM36^2+WeightSDS!V$30*$AM36+WeightSDS!W$30-0.010431*(1-1/$AM36),WeightSDS!M$32+WeightSDS!N$32/(1+EXP(WeightSDS!O$32+WeightSDS!P$32*$AM36))-0.010431*(1-$AM36/210))))</f>
        <v>2.9500001032655536</v>
      </c>
      <c r="AQ36" s="4">
        <f>IF(D36="M",IF($AM36&lt;162,WeightSDS!P$12*$AM36^7+WeightSDS!Q$12*$AM36^6+WeightSDS!R$12*$AM36^5+WeightSDS!S$12*$AM36^4+WeightSDS!T$12*$AM36^3+WeightSDS!U$12*$AM36^2+WeightSDS!V$12*$AM36+WeightSDS!W$12,WeightSDS!P$14*$AM36^7+WeightSDS!Q$14*$AM36^6+WeightSDS!R$14*$AM36^5+WeightSDS!S$14*$AM36^4+WeightSDS!T$14*$AM36^3+WeightSDS!U$14*$AM36^2+WeightSDS!V$14*$AM36+WeightSDS!W$14),IF($AM36&lt;156,WeightSDS!O$17*$AM36^8+WeightSDS!P$17*$AM36^7+WeightSDS!Q$17*$AM36^6+WeightSDS!R$17*$AM36^5+WeightSDS!S$17*$AM36^4+WeightSDS!T$17*$AM36^3+WeightSDS!U$17*$AM36^2+WeightSDS!V$17*$AM36+WeightSDS!W$17,IF($AM36&lt;186,WeightSDS!$U$18+(WeightSDS!$V$18-WeightSDS!$U$18)/24*($AM36-186)+WeightSDS!$W$18*(-$AM36+186)^2-0.005,WeightSDS!$U$18+(WeightSDS!$V$18-WeightSDS!$U$18)/24*($AM36-186)-0.005)))</f>
        <v>0.14604529399999999</v>
      </c>
      <c r="AT36" s="4">
        <f t="shared" si="16"/>
        <v>0.56299999999999994</v>
      </c>
      <c r="AU36" s="4">
        <f t="shared" si="17"/>
        <v>69</v>
      </c>
      <c r="AV36" s="4">
        <f t="shared" si="18"/>
        <v>0.51</v>
      </c>
    </row>
    <row r="37" spans="1:48" x14ac:dyDescent="0.15">
      <c r="A37" s="4"/>
      <c r="B37" s="21"/>
      <c r="C37" s="21"/>
      <c r="D37" s="21"/>
      <c r="E37" s="22"/>
      <c r="F37" s="22"/>
      <c r="G37" s="23"/>
      <c r="H37" s="23"/>
      <c r="I37" s="181"/>
      <c r="J37" s="8" t="str">
        <f t="shared" si="3"/>
        <v/>
      </c>
      <c r="K37" s="2" t="str">
        <f t="shared" si="4"/>
        <v/>
      </c>
      <c r="L37" s="2" t="str">
        <f t="shared" si="0"/>
        <v/>
      </c>
      <c r="M37" s="2" t="str">
        <f t="shared" si="5"/>
        <v/>
      </c>
      <c r="N37" s="2" t="str">
        <f t="shared" si="19"/>
        <v/>
      </c>
      <c r="O37" s="2" t="str">
        <f t="shared" si="6"/>
        <v/>
      </c>
      <c r="P37" s="8" t="str">
        <f t="shared" si="7"/>
        <v/>
      </c>
      <c r="Q37" s="8" t="str">
        <f t="shared" si="8"/>
        <v/>
      </c>
      <c r="R37" s="111" t="str">
        <f t="shared" si="9"/>
        <v/>
      </c>
      <c r="S37" s="44" t="str">
        <f t="shared" si="10"/>
        <v/>
      </c>
      <c r="T37" s="37" t="str">
        <f t="shared" si="11"/>
        <v/>
      </c>
      <c r="U37" s="44" t="str">
        <f t="shared" si="12"/>
        <v/>
      </c>
      <c r="V37" s="26"/>
      <c r="W37" s="26"/>
      <c r="X37" s="26"/>
      <c r="Y37" s="26"/>
      <c r="Z37" s="24"/>
      <c r="AA37" s="169">
        <f t="shared" si="13"/>
        <v>0</v>
      </c>
      <c r="AB37" s="4">
        <f t="shared" si="14"/>
        <v>0</v>
      </c>
      <c r="AC37" s="170">
        <f t="shared" si="21"/>
        <v>0</v>
      </c>
      <c r="AD37" s="58"/>
      <c r="AE37" s="58"/>
      <c r="AF37" s="58"/>
      <c r="AG37" s="59">
        <f t="shared" si="1"/>
        <v>9.0359999999999996</v>
      </c>
      <c r="AH37" s="59">
        <f t="shared" si="2"/>
        <v>-184.49199999999999</v>
      </c>
      <c r="AJ37" s="4">
        <f>IF(D37="M",IF(AM37&lt;78,BMILMS!$D$5*AM37^3+BMILMS!$E$5*AM37^2+BMILMS!$F$5*AM37+BMILMS!$G$5,IF(AM37&lt;150,BMILMS!$D$6*AM37^3+BMILMS!$E$6*AM37^2+BMILMS!$F$6*AM37+BMILMS!$G$6,BMILMS!$D$7*AM37^3+BMILMS!$E$7*AM37^2+BMILMS!$F$7*AM37+BMILMS!$G$7)),IF(AM37&lt;69,BMILMS!$D$9*AM37^3+BMILMS!$E$9*AM37^2+BMILMS!$F$9*AM37+BMILMS!$G$9,IF(AM37&lt;150,BMILMS!$D$10*AM37^3+BMILMS!$E$10*AM37^2+BMILMS!$F$10*AM37+BMILMS!$G$10,BMILMS!$D$11*AM37^3+BMILMS!$E$11*AM37^2+BMILMS!$F$11*AM37+BMILMS!$G$11)))</f>
        <v>0.79584630099999998</v>
      </c>
      <c r="AK37" s="4">
        <f>IF(D37="M",(IF(AM37&lt;2.5,BMILMS!$D$21*AM37^3+BMILMS!$E$21*AM37^2+BMILMS!$F$21*AM37+BMILMS!$G$21,IF(AM37&lt;9.5,BMILMS!$D$22*AM37^3+BMILMS!$E$22*AM37^2+BMILMS!$F$22*AM37+BMILMS!$G$22,IF(AM37&lt;26.75,BMILMS!$D$23*AM37^3+BMILMS!$E$23*AM37^2+BMILMS!$F$23*AM37+BMILMS!$G$23,IF(AM37&lt;90,BMILMS!$D$24*AM37^3+BMILMS!$E$24*AM37^2+BMILMS!$F$24*AM37+BMILMS!$G$24,BMILMS!$D$25*AM37^3+BMILMS!$E$25*AM37^2+BMILMS!$F$25*AM37+BMILMS!$G$25))))),(IF(AM37&lt;2.5,BMILMS!$D$27*AM37^3+BMILMS!$E$27*AM37^2+BMILMS!$F$27*AM37+BMILMS!$G$27,IF(AM37&lt;9.5,BMILMS!$D$28*AM37^3+BMILMS!$E$28*AM37^2+BMILMS!$F$28*AM37+BMILMS!$G$28,IF(AM37&lt;26.75,BMILMS!$D$29*AM37^3+BMILMS!$E$29*AM37^2+BMILMS!$F$29*AM37+BMILMS!$G$29,IF(AM37&lt;90,BMILMS!$D$30*AM37^3+BMILMS!$E$30*AM37^2+BMILMS!$F$30*AM37+BMILMS!$G$30,IF(AM37&lt;150,BMILMS!$D$31*AM37^3+BMILMS!$E$31*AM37^2+BMILMS!$F$31*AM37+BMILMS!$G$31,BMILMS!$D$32*AM37^3+BMILMS!$E$32*AM37^2+BMILMS!$F$32*AM37+BMILMS!$G$32)))))))</f>
        <v>12.568967990000001</v>
      </c>
      <c r="AL37" s="4">
        <f>IF(D37="M",(IF(AM37&lt;90,BMILMS!$D$14*AM37^3+BMILMS!$E$14*AM37^2+BMILMS!$F$14*AM37+BMILMS!$G$14,BMILMS!$D$15*AM37^3+BMILMS!$E$15*AM37^2+BMILMS!$F$15*AM37+BMILMS!$G$15)),(IF(AM37&lt;90,BMILMS!$D$17*AM37^3+BMILMS!$E$17*AM37^2+BMILMS!$F$17*AM37+BMILMS!$G$17,BMILMS!$D$18*AM37^3+BMILMS!$E$18*AM37^2+BMILMS!$F$18*AM37+BMILMS!$G$18)))</f>
        <v>8.8969350000000003E-2</v>
      </c>
      <c r="AM37" s="4">
        <f t="shared" si="20"/>
        <v>0</v>
      </c>
      <c r="AO37" s="56">
        <f>IF(D37="M",WeightSDS!P$5*$AM37^7+WeightSDS!Q$5*$AM37^6+WeightSDS!R$5*$AM37^5+WeightSDS!S$5*$AM37^4+WeightSDS!T$5*$AM37^3+WeightSDS!U$5*$AM37^2+WeightSDS!V$5*$AM37+WeightSDS!W$5,IF($AM37&lt;186,WeightSDS!P$8*$AM37^7+WeightSDS!Q$8*$AM37^6+WeightSDS!R$8*$AM37^5+WeightSDS!S$8*$AM37^4+WeightSDS!T$8*$AM37^3+WeightSDS!U$8*$AM37^2+WeightSDS!V$8*$AM37+WeightSDS!W$8,WeightSDS!$U$9+WeightSDS!$V$9*($AM37-WeightSDS!$W$9)))</f>
        <v>0.75407122999999998</v>
      </c>
      <c r="AP37" s="4">
        <f>IF(D37="M",IF($AM37&lt;45,WeightSDS!M$23*$AM37^10+WeightSDS!N$23*$AM37^9+WeightSDS!O$23*$AM37^8+WeightSDS!P$23*$AM37^7+WeightSDS!Q$23*$AM37^6+WeightSDS!R$23*$AM37^5+WeightSDS!S$23*$AM37^4+WeightSDS!T$23*$AM37^3+WeightSDS!U$23*$AM37^2+WeightSDS!V$23*$AM37+WeightSDS!W$23,IF($AM37&lt;153,WeightSDS!M$25*$AM37^10+WeightSDS!N$25*$AM37^9+WeightSDS!O$25*$AM37^8+WeightSDS!P$25*$AM37^7+WeightSDS!Q$25*$AM37^6+WeightSDS!R$25*$AM37^5+WeightSDS!S$25*$AM37^4+WeightSDS!T$25*$AM37^3+WeightSDS!U$25*$AM37^2+WeightSDS!V$25*$AM37+WeightSDS!W$25,WeightSDS!M$27+WeightSDS!N$27/(1+EXP(WeightSDS!O$27+WeightSDS!P$27*$AM37)))),IF($AM37&lt;43.8,WeightSDS!M$29*$AM37^10+WeightSDS!N$29*$AM37^9+WeightSDS!O$29*$AM37^8+WeightSDS!P$29*$AM37^7+WeightSDS!Q$29*$AM37^6+WeightSDS!R$29*$AM37^5+WeightSDS!S$29*$AM37^4+WeightSDS!T$29*$AM37^3+WeightSDS!U$29*$AM37^2+WeightSDS!V$29*$AM37+WeightSDS!W$29-0.010431*(1-$AM37/210),IF($AM37&lt;123,WeightSDS!M$30*$AM37^10+WeightSDS!N$30*$AM37^9+WeightSDS!O$30*$AM37^8+WeightSDS!P$30*$AM37^7+WeightSDS!Q$30*$AM37^6+WeightSDS!R$30*$AM37^5+WeightSDS!S$30*$AM37^4+WeightSDS!T$30*$AM37^3+WeightSDS!U$30*$AM37^2+WeightSDS!V$30*$AM37+WeightSDS!W$30-0.010431*(1-1/$AM37),WeightSDS!M$32+WeightSDS!N$32/(1+EXP(WeightSDS!O$32+WeightSDS!P$32*$AM37))-0.010431*(1-$AM37/210))))</f>
        <v>2.9500001032655536</v>
      </c>
      <c r="AQ37" s="4">
        <f>IF(D37="M",IF($AM37&lt;162,WeightSDS!P$12*$AM37^7+WeightSDS!Q$12*$AM37^6+WeightSDS!R$12*$AM37^5+WeightSDS!S$12*$AM37^4+WeightSDS!T$12*$AM37^3+WeightSDS!U$12*$AM37^2+WeightSDS!V$12*$AM37+WeightSDS!W$12,WeightSDS!P$14*$AM37^7+WeightSDS!Q$14*$AM37^6+WeightSDS!R$14*$AM37^5+WeightSDS!S$14*$AM37^4+WeightSDS!T$14*$AM37^3+WeightSDS!U$14*$AM37^2+WeightSDS!V$14*$AM37+WeightSDS!W$14),IF($AM37&lt;156,WeightSDS!O$17*$AM37^8+WeightSDS!P$17*$AM37^7+WeightSDS!Q$17*$AM37^6+WeightSDS!R$17*$AM37^5+WeightSDS!S$17*$AM37^4+WeightSDS!T$17*$AM37^3+WeightSDS!U$17*$AM37^2+WeightSDS!V$17*$AM37+WeightSDS!W$17,IF($AM37&lt;186,WeightSDS!$U$18+(WeightSDS!$V$18-WeightSDS!$U$18)/24*($AM37-186)+WeightSDS!$W$18*(-$AM37+186)^2-0.005,WeightSDS!$U$18+(WeightSDS!$V$18-WeightSDS!$U$18)/24*($AM37-186)-0.005)))</f>
        <v>0.14604529399999999</v>
      </c>
      <c r="AT37" s="4">
        <f t="shared" si="16"/>
        <v>0.56299999999999994</v>
      </c>
      <c r="AU37" s="4">
        <f t="shared" si="17"/>
        <v>69</v>
      </c>
      <c r="AV37" s="4">
        <f t="shared" si="18"/>
        <v>0.51</v>
      </c>
    </row>
    <row r="38" spans="1:48" x14ac:dyDescent="0.15">
      <c r="A38" s="4"/>
      <c r="B38" s="21"/>
      <c r="C38" s="21"/>
      <c r="D38" s="21"/>
      <c r="E38" s="22"/>
      <c r="F38" s="22"/>
      <c r="G38" s="23"/>
      <c r="H38" s="23"/>
      <c r="I38" s="181"/>
      <c r="J38" s="8" t="str">
        <f t="shared" si="3"/>
        <v/>
      </c>
      <c r="K38" s="2" t="str">
        <f t="shared" si="4"/>
        <v/>
      </c>
      <c r="L38" s="2" t="str">
        <f t="shared" si="0"/>
        <v/>
      </c>
      <c r="M38" s="2" t="str">
        <f t="shared" si="5"/>
        <v/>
      </c>
      <c r="N38" s="2" t="str">
        <f t="shared" si="19"/>
        <v/>
      </c>
      <c r="O38" s="2" t="str">
        <f t="shared" si="6"/>
        <v/>
      </c>
      <c r="P38" s="8" t="str">
        <f t="shared" si="7"/>
        <v/>
      </c>
      <c r="Q38" s="8" t="str">
        <f t="shared" si="8"/>
        <v/>
      </c>
      <c r="R38" s="111" t="str">
        <f t="shared" si="9"/>
        <v/>
      </c>
      <c r="S38" s="44" t="str">
        <f t="shared" si="10"/>
        <v/>
      </c>
      <c r="T38" s="37" t="str">
        <f t="shared" si="11"/>
        <v/>
      </c>
      <c r="U38" s="44" t="str">
        <f t="shared" si="12"/>
        <v/>
      </c>
      <c r="V38" s="26"/>
      <c r="W38" s="26"/>
      <c r="X38" s="26"/>
      <c r="Y38" s="26"/>
      <c r="Z38" s="24"/>
      <c r="AA38" s="169">
        <f t="shared" si="13"/>
        <v>0</v>
      </c>
      <c r="AB38" s="4">
        <f t="shared" si="14"/>
        <v>0</v>
      </c>
      <c r="AC38" s="170">
        <f t="shared" si="21"/>
        <v>0</v>
      </c>
      <c r="AD38" s="58"/>
      <c r="AE38" s="58"/>
      <c r="AF38" s="58"/>
      <c r="AG38" s="59">
        <f t="shared" si="1"/>
        <v>9.0359999999999996</v>
      </c>
      <c r="AH38" s="59">
        <f t="shared" si="2"/>
        <v>-184.49199999999999</v>
      </c>
      <c r="AJ38" s="4">
        <f>IF(D38="M",IF(AM38&lt;78,BMILMS!$D$5*AM38^3+BMILMS!$E$5*AM38^2+BMILMS!$F$5*AM38+BMILMS!$G$5,IF(AM38&lt;150,BMILMS!$D$6*AM38^3+BMILMS!$E$6*AM38^2+BMILMS!$F$6*AM38+BMILMS!$G$6,BMILMS!$D$7*AM38^3+BMILMS!$E$7*AM38^2+BMILMS!$F$7*AM38+BMILMS!$G$7)),IF(AM38&lt;69,BMILMS!$D$9*AM38^3+BMILMS!$E$9*AM38^2+BMILMS!$F$9*AM38+BMILMS!$G$9,IF(AM38&lt;150,BMILMS!$D$10*AM38^3+BMILMS!$E$10*AM38^2+BMILMS!$F$10*AM38+BMILMS!$G$10,BMILMS!$D$11*AM38^3+BMILMS!$E$11*AM38^2+BMILMS!$F$11*AM38+BMILMS!$G$11)))</f>
        <v>0.79584630099999998</v>
      </c>
      <c r="AK38" s="4">
        <f>IF(D38="M",(IF(AM38&lt;2.5,BMILMS!$D$21*AM38^3+BMILMS!$E$21*AM38^2+BMILMS!$F$21*AM38+BMILMS!$G$21,IF(AM38&lt;9.5,BMILMS!$D$22*AM38^3+BMILMS!$E$22*AM38^2+BMILMS!$F$22*AM38+BMILMS!$G$22,IF(AM38&lt;26.75,BMILMS!$D$23*AM38^3+BMILMS!$E$23*AM38^2+BMILMS!$F$23*AM38+BMILMS!$G$23,IF(AM38&lt;90,BMILMS!$D$24*AM38^3+BMILMS!$E$24*AM38^2+BMILMS!$F$24*AM38+BMILMS!$G$24,BMILMS!$D$25*AM38^3+BMILMS!$E$25*AM38^2+BMILMS!$F$25*AM38+BMILMS!$G$25))))),(IF(AM38&lt;2.5,BMILMS!$D$27*AM38^3+BMILMS!$E$27*AM38^2+BMILMS!$F$27*AM38+BMILMS!$G$27,IF(AM38&lt;9.5,BMILMS!$D$28*AM38^3+BMILMS!$E$28*AM38^2+BMILMS!$F$28*AM38+BMILMS!$G$28,IF(AM38&lt;26.75,BMILMS!$D$29*AM38^3+BMILMS!$E$29*AM38^2+BMILMS!$F$29*AM38+BMILMS!$G$29,IF(AM38&lt;90,BMILMS!$D$30*AM38^3+BMILMS!$E$30*AM38^2+BMILMS!$F$30*AM38+BMILMS!$G$30,IF(AM38&lt;150,BMILMS!$D$31*AM38^3+BMILMS!$E$31*AM38^2+BMILMS!$F$31*AM38+BMILMS!$G$31,BMILMS!$D$32*AM38^3+BMILMS!$E$32*AM38^2+BMILMS!$F$32*AM38+BMILMS!$G$32)))))))</f>
        <v>12.568967990000001</v>
      </c>
      <c r="AL38" s="4">
        <f>IF(D38="M",(IF(AM38&lt;90,BMILMS!$D$14*AM38^3+BMILMS!$E$14*AM38^2+BMILMS!$F$14*AM38+BMILMS!$G$14,BMILMS!$D$15*AM38^3+BMILMS!$E$15*AM38^2+BMILMS!$F$15*AM38+BMILMS!$G$15)),(IF(AM38&lt;90,BMILMS!$D$17*AM38^3+BMILMS!$E$17*AM38^2+BMILMS!$F$17*AM38+BMILMS!$G$17,BMILMS!$D$18*AM38^3+BMILMS!$E$18*AM38^2+BMILMS!$F$18*AM38+BMILMS!$G$18)))</f>
        <v>8.8969350000000003E-2</v>
      </c>
      <c r="AM38" s="4">
        <f t="shared" si="20"/>
        <v>0</v>
      </c>
      <c r="AO38" s="56">
        <f>IF(D38="M",WeightSDS!P$5*$AM38^7+WeightSDS!Q$5*$AM38^6+WeightSDS!R$5*$AM38^5+WeightSDS!S$5*$AM38^4+WeightSDS!T$5*$AM38^3+WeightSDS!U$5*$AM38^2+WeightSDS!V$5*$AM38+WeightSDS!W$5,IF($AM38&lt;186,WeightSDS!P$8*$AM38^7+WeightSDS!Q$8*$AM38^6+WeightSDS!R$8*$AM38^5+WeightSDS!S$8*$AM38^4+WeightSDS!T$8*$AM38^3+WeightSDS!U$8*$AM38^2+WeightSDS!V$8*$AM38+WeightSDS!W$8,WeightSDS!$U$9+WeightSDS!$V$9*($AM38-WeightSDS!$W$9)))</f>
        <v>0.75407122999999998</v>
      </c>
      <c r="AP38" s="4">
        <f>IF(D38="M",IF($AM38&lt;45,WeightSDS!M$23*$AM38^10+WeightSDS!N$23*$AM38^9+WeightSDS!O$23*$AM38^8+WeightSDS!P$23*$AM38^7+WeightSDS!Q$23*$AM38^6+WeightSDS!R$23*$AM38^5+WeightSDS!S$23*$AM38^4+WeightSDS!T$23*$AM38^3+WeightSDS!U$23*$AM38^2+WeightSDS!V$23*$AM38+WeightSDS!W$23,IF($AM38&lt;153,WeightSDS!M$25*$AM38^10+WeightSDS!N$25*$AM38^9+WeightSDS!O$25*$AM38^8+WeightSDS!P$25*$AM38^7+WeightSDS!Q$25*$AM38^6+WeightSDS!R$25*$AM38^5+WeightSDS!S$25*$AM38^4+WeightSDS!T$25*$AM38^3+WeightSDS!U$25*$AM38^2+WeightSDS!V$25*$AM38+WeightSDS!W$25,WeightSDS!M$27+WeightSDS!N$27/(1+EXP(WeightSDS!O$27+WeightSDS!P$27*$AM38)))),IF($AM38&lt;43.8,WeightSDS!M$29*$AM38^10+WeightSDS!N$29*$AM38^9+WeightSDS!O$29*$AM38^8+WeightSDS!P$29*$AM38^7+WeightSDS!Q$29*$AM38^6+WeightSDS!R$29*$AM38^5+WeightSDS!S$29*$AM38^4+WeightSDS!T$29*$AM38^3+WeightSDS!U$29*$AM38^2+WeightSDS!V$29*$AM38+WeightSDS!W$29-0.010431*(1-$AM38/210),IF($AM38&lt;123,WeightSDS!M$30*$AM38^10+WeightSDS!N$30*$AM38^9+WeightSDS!O$30*$AM38^8+WeightSDS!P$30*$AM38^7+WeightSDS!Q$30*$AM38^6+WeightSDS!R$30*$AM38^5+WeightSDS!S$30*$AM38^4+WeightSDS!T$30*$AM38^3+WeightSDS!U$30*$AM38^2+WeightSDS!V$30*$AM38+WeightSDS!W$30-0.010431*(1-1/$AM38),WeightSDS!M$32+WeightSDS!N$32/(1+EXP(WeightSDS!O$32+WeightSDS!P$32*$AM38))-0.010431*(1-$AM38/210))))</f>
        <v>2.9500001032655536</v>
      </c>
      <c r="AQ38" s="4">
        <f>IF(D38="M",IF($AM38&lt;162,WeightSDS!P$12*$AM38^7+WeightSDS!Q$12*$AM38^6+WeightSDS!R$12*$AM38^5+WeightSDS!S$12*$AM38^4+WeightSDS!T$12*$AM38^3+WeightSDS!U$12*$AM38^2+WeightSDS!V$12*$AM38+WeightSDS!W$12,WeightSDS!P$14*$AM38^7+WeightSDS!Q$14*$AM38^6+WeightSDS!R$14*$AM38^5+WeightSDS!S$14*$AM38^4+WeightSDS!T$14*$AM38^3+WeightSDS!U$14*$AM38^2+WeightSDS!V$14*$AM38+WeightSDS!W$14),IF($AM38&lt;156,WeightSDS!O$17*$AM38^8+WeightSDS!P$17*$AM38^7+WeightSDS!Q$17*$AM38^6+WeightSDS!R$17*$AM38^5+WeightSDS!S$17*$AM38^4+WeightSDS!T$17*$AM38^3+WeightSDS!U$17*$AM38^2+WeightSDS!V$17*$AM38+WeightSDS!W$17,IF($AM38&lt;186,WeightSDS!$U$18+(WeightSDS!$V$18-WeightSDS!$U$18)/24*($AM38-186)+WeightSDS!$W$18*(-$AM38+186)^2-0.005,WeightSDS!$U$18+(WeightSDS!$V$18-WeightSDS!$U$18)/24*($AM38-186)-0.005)))</f>
        <v>0.14604529399999999</v>
      </c>
      <c r="AT38" s="4">
        <f t="shared" si="16"/>
        <v>0.56299999999999994</v>
      </c>
      <c r="AU38" s="4">
        <f t="shared" si="17"/>
        <v>69</v>
      </c>
      <c r="AV38" s="4">
        <f t="shared" si="18"/>
        <v>0.51</v>
      </c>
    </row>
    <row r="39" spans="1:48" x14ac:dyDescent="0.15">
      <c r="A39" s="4"/>
      <c r="B39" s="21"/>
      <c r="C39" s="21"/>
      <c r="D39" s="21"/>
      <c r="E39" s="22"/>
      <c r="F39" s="22"/>
      <c r="G39" s="23"/>
      <c r="H39" s="23"/>
      <c r="I39" s="181"/>
      <c r="J39" s="8" t="str">
        <f t="shared" si="3"/>
        <v/>
      </c>
      <c r="K39" s="2" t="str">
        <f t="shared" si="4"/>
        <v/>
      </c>
      <c r="L39" s="2" t="str">
        <f t="shared" si="0"/>
        <v/>
      </c>
      <c r="M39" s="2" t="str">
        <f t="shared" si="5"/>
        <v/>
      </c>
      <c r="N39" s="2" t="str">
        <f t="shared" si="19"/>
        <v/>
      </c>
      <c r="O39" s="2" t="str">
        <f t="shared" si="6"/>
        <v/>
      </c>
      <c r="P39" s="8" t="str">
        <f t="shared" si="7"/>
        <v/>
      </c>
      <c r="Q39" s="8" t="str">
        <f t="shared" si="8"/>
        <v/>
      </c>
      <c r="R39" s="111" t="str">
        <f t="shared" si="9"/>
        <v/>
      </c>
      <c r="S39" s="44" t="str">
        <f t="shared" si="10"/>
        <v/>
      </c>
      <c r="T39" s="37" t="str">
        <f t="shared" si="11"/>
        <v/>
      </c>
      <c r="U39" s="44" t="str">
        <f t="shared" si="12"/>
        <v/>
      </c>
      <c r="V39" s="26"/>
      <c r="W39" s="26"/>
      <c r="X39" s="26"/>
      <c r="Y39" s="26"/>
      <c r="Z39" s="24"/>
      <c r="AA39" s="169">
        <f t="shared" si="13"/>
        <v>0</v>
      </c>
      <c r="AB39" s="4">
        <f t="shared" si="14"/>
        <v>0</v>
      </c>
      <c r="AC39" s="170">
        <f t="shared" si="21"/>
        <v>0</v>
      </c>
      <c r="AD39" s="58"/>
      <c r="AE39" s="58"/>
      <c r="AF39" s="58"/>
      <c r="AG39" s="59">
        <f t="shared" si="1"/>
        <v>9.0359999999999996</v>
      </c>
      <c r="AH39" s="59">
        <f t="shared" si="2"/>
        <v>-184.49199999999999</v>
      </c>
      <c r="AJ39" s="4">
        <f>IF(D39="M",IF(AM39&lt;78,BMILMS!$D$5*AM39^3+BMILMS!$E$5*AM39^2+BMILMS!$F$5*AM39+BMILMS!$G$5,IF(AM39&lt;150,BMILMS!$D$6*AM39^3+BMILMS!$E$6*AM39^2+BMILMS!$F$6*AM39+BMILMS!$G$6,BMILMS!$D$7*AM39^3+BMILMS!$E$7*AM39^2+BMILMS!$F$7*AM39+BMILMS!$G$7)),IF(AM39&lt;69,BMILMS!$D$9*AM39^3+BMILMS!$E$9*AM39^2+BMILMS!$F$9*AM39+BMILMS!$G$9,IF(AM39&lt;150,BMILMS!$D$10*AM39^3+BMILMS!$E$10*AM39^2+BMILMS!$F$10*AM39+BMILMS!$G$10,BMILMS!$D$11*AM39^3+BMILMS!$E$11*AM39^2+BMILMS!$F$11*AM39+BMILMS!$G$11)))</f>
        <v>0.79584630099999998</v>
      </c>
      <c r="AK39" s="4">
        <f>IF(D39="M",(IF(AM39&lt;2.5,BMILMS!$D$21*AM39^3+BMILMS!$E$21*AM39^2+BMILMS!$F$21*AM39+BMILMS!$G$21,IF(AM39&lt;9.5,BMILMS!$D$22*AM39^3+BMILMS!$E$22*AM39^2+BMILMS!$F$22*AM39+BMILMS!$G$22,IF(AM39&lt;26.75,BMILMS!$D$23*AM39^3+BMILMS!$E$23*AM39^2+BMILMS!$F$23*AM39+BMILMS!$G$23,IF(AM39&lt;90,BMILMS!$D$24*AM39^3+BMILMS!$E$24*AM39^2+BMILMS!$F$24*AM39+BMILMS!$G$24,BMILMS!$D$25*AM39^3+BMILMS!$E$25*AM39^2+BMILMS!$F$25*AM39+BMILMS!$G$25))))),(IF(AM39&lt;2.5,BMILMS!$D$27*AM39^3+BMILMS!$E$27*AM39^2+BMILMS!$F$27*AM39+BMILMS!$G$27,IF(AM39&lt;9.5,BMILMS!$D$28*AM39^3+BMILMS!$E$28*AM39^2+BMILMS!$F$28*AM39+BMILMS!$G$28,IF(AM39&lt;26.75,BMILMS!$D$29*AM39^3+BMILMS!$E$29*AM39^2+BMILMS!$F$29*AM39+BMILMS!$G$29,IF(AM39&lt;90,BMILMS!$D$30*AM39^3+BMILMS!$E$30*AM39^2+BMILMS!$F$30*AM39+BMILMS!$G$30,IF(AM39&lt;150,BMILMS!$D$31*AM39^3+BMILMS!$E$31*AM39^2+BMILMS!$F$31*AM39+BMILMS!$G$31,BMILMS!$D$32*AM39^3+BMILMS!$E$32*AM39^2+BMILMS!$F$32*AM39+BMILMS!$G$32)))))))</f>
        <v>12.568967990000001</v>
      </c>
      <c r="AL39" s="4">
        <f>IF(D39="M",(IF(AM39&lt;90,BMILMS!$D$14*AM39^3+BMILMS!$E$14*AM39^2+BMILMS!$F$14*AM39+BMILMS!$G$14,BMILMS!$D$15*AM39^3+BMILMS!$E$15*AM39^2+BMILMS!$F$15*AM39+BMILMS!$G$15)),(IF(AM39&lt;90,BMILMS!$D$17*AM39^3+BMILMS!$E$17*AM39^2+BMILMS!$F$17*AM39+BMILMS!$G$17,BMILMS!$D$18*AM39^3+BMILMS!$E$18*AM39^2+BMILMS!$F$18*AM39+BMILMS!$G$18)))</f>
        <v>8.8969350000000003E-2</v>
      </c>
      <c r="AM39" s="4">
        <f t="shared" si="20"/>
        <v>0</v>
      </c>
      <c r="AO39" s="56">
        <f>IF(D39="M",WeightSDS!P$5*$AM39^7+WeightSDS!Q$5*$AM39^6+WeightSDS!R$5*$AM39^5+WeightSDS!S$5*$AM39^4+WeightSDS!T$5*$AM39^3+WeightSDS!U$5*$AM39^2+WeightSDS!V$5*$AM39+WeightSDS!W$5,IF($AM39&lt;186,WeightSDS!P$8*$AM39^7+WeightSDS!Q$8*$AM39^6+WeightSDS!R$8*$AM39^5+WeightSDS!S$8*$AM39^4+WeightSDS!T$8*$AM39^3+WeightSDS!U$8*$AM39^2+WeightSDS!V$8*$AM39+WeightSDS!W$8,WeightSDS!$U$9+WeightSDS!$V$9*($AM39-WeightSDS!$W$9)))</f>
        <v>0.75407122999999998</v>
      </c>
      <c r="AP39" s="4">
        <f>IF(D39="M",IF($AM39&lt;45,WeightSDS!M$23*$AM39^10+WeightSDS!N$23*$AM39^9+WeightSDS!O$23*$AM39^8+WeightSDS!P$23*$AM39^7+WeightSDS!Q$23*$AM39^6+WeightSDS!R$23*$AM39^5+WeightSDS!S$23*$AM39^4+WeightSDS!T$23*$AM39^3+WeightSDS!U$23*$AM39^2+WeightSDS!V$23*$AM39+WeightSDS!W$23,IF($AM39&lt;153,WeightSDS!M$25*$AM39^10+WeightSDS!N$25*$AM39^9+WeightSDS!O$25*$AM39^8+WeightSDS!P$25*$AM39^7+WeightSDS!Q$25*$AM39^6+WeightSDS!R$25*$AM39^5+WeightSDS!S$25*$AM39^4+WeightSDS!T$25*$AM39^3+WeightSDS!U$25*$AM39^2+WeightSDS!V$25*$AM39+WeightSDS!W$25,WeightSDS!M$27+WeightSDS!N$27/(1+EXP(WeightSDS!O$27+WeightSDS!P$27*$AM39)))),IF($AM39&lt;43.8,WeightSDS!M$29*$AM39^10+WeightSDS!N$29*$AM39^9+WeightSDS!O$29*$AM39^8+WeightSDS!P$29*$AM39^7+WeightSDS!Q$29*$AM39^6+WeightSDS!R$29*$AM39^5+WeightSDS!S$29*$AM39^4+WeightSDS!T$29*$AM39^3+WeightSDS!U$29*$AM39^2+WeightSDS!V$29*$AM39+WeightSDS!W$29-0.010431*(1-$AM39/210),IF($AM39&lt;123,WeightSDS!M$30*$AM39^10+WeightSDS!N$30*$AM39^9+WeightSDS!O$30*$AM39^8+WeightSDS!P$30*$AM39^7+WeightSDS!Q$30*$AM39^6+WeightSDS!R$30*$AM39^5+WeightSDS!S$30*$AM39^4+WeightSDS!T$30*$AM39^3+WeightSDS!U$30*$AM39^2+WeightSDS!V$30*$AM39+WeightSDS!W$30-0.010431*(1-1/$AM39),WeightSDS!M$32+WeightSDS!N$32/(1+EXP(WeightSDS!O$32+WeightSDS!P$32*$AM39))-0.010431*(1-$AM39/210))))</f>
        <v>2.9500001032655536</v>
      </c>
      <c r="AQ39" s="4">
        <f>IF(D39="M",IF($AM39&lt;162,WeightSDS!P$12*$AM39^7+WeightSDS!Q$12*$AM39^6+WeightSDS!R$12*$AM39^5+WeightSDS!S$12*$AM39^4+WeightSDS!T$12*$AM39^3+WeightSDS!U$12*$AM39^2+WeightSDS!V$12*$AM39+WeightSDS!W$12,WeightSDS!P$14*$AM39^7+WeightSDS!Q$14*$AM39^6+WeightSDS!R$14*$AM39^5+WeightSDS!S$14*$AM39^4+WeightSDS!T$14*$AM39^3+WeightSDS!U$14*$AM39^2+WeightSDS!V$14*$AM39+WeightSDS!W$14),IF($AM39&lt;156,WeightSDS!O$17*$AM39^8+WeightSDS!P$17*$AM39^7+WeightSDS!Q$17*$AM39^6+WeightSDS!R$17*$AM39^5+WeightSDS!S$17*$AM39^4+WeightSDS!T$17*$AM39^3+WeightSDS!U$17*$AM39^2+WeightSDS!V$17*$AM39+WeightSDS!W$17,IF($AM39&lt;186,WeightSDS!$U$18+(WeightSDS!$V$18-WeightSDS!$U$18)/24*($AM39-186)+WeightSDS!$W$18*(-$AM39+186)^2-0.005,WeightSDS!$U$18+(WeightSDS!$V$18-WeightSDS!$U$18)/24*($AM39-186)-0.005)))</f>
        <v>0.14604529399999999</v>
      </c>
      <c r="AT39" s="4">
        <f t="shared" si="16"/>
        <v>0.56299999999999994</v>
      </c>
      <c r="AU39" s="4">
        <f t="shared" si="17"/>
        <v>69</v>
      </c>
      <c r="AV39" s="4">
        <f t="shared" si="18"/>
        <v>0.51</v>
      </c>
    </row>
    <row r="40" spans="1:48" x14ac:dyDescent="0.15">
      <c r="A40" s="4"/>
      <c r="B40" s="21"/>
      <c r="C40" s="21"/>
      <c r="D40" s="21"/>
      <c r="E40" s="22"/>
      <c r="F40" s="22"/>
      <c r="G40" s="23"/>
      <c r="H40" s="23"/>
      <c r="I40" s="181"/>
      <c r="J40" s="8" t="str">
        <f t="shared" si="3"/>
        <v/>
      </c>
      <c r="K40" s="2" t="str">
        <f t="shared" si="4"/>
        <v/>
      </c>
      <c r="L40" s="2" t="str">
        <f t="shared" si="0"/>
        <v/>
      </c>
      <c r="M40" s="2" t="str">
        <f t="shared" si="5"/>
        <v/>
      </c>
      <c r="N40" s="2" t="str">
        <f t="shared" si="19"/>
        <v/>
      </c>
      <c r="O40" s="2" t="str">
        <f t="shared" si="6"/>
        <v/>
      </c>
      <c r="P40" s="8" t="str">
        <f t="shared" si="7"/>
        <v/>
      </c>
      <c r="Q40" s="8" t="str">
        <f t="shared" si="8"/>
        <v/>
      </c>
      <c r="R40" s="111" t="str">
        <f t="shared" si="9"/>
        <v/>
      </c>
      <c r="S40" s="44" t="str">
        <f t="shared" si="10"/>
        <v/>
      </c>
      <c r="T40" s="37" t="str">
        <f t="shared" si="11"/>
        <v/>
      </c>
      <c r="U40" s="44" t="str">
        <f t="shared" si="12"/>
        <v/>
      </c>
      <c r="V40" s="26"/>
      <c r="W40" s="26"/>
      <c r="X40" s="26"/>
      <c r="Y40" s="26"/>
      <c r="Z40" s="24"/>
      <c r="AA40" s="169">
        <f t="shared" si="13"/>
        <v>0</v>
      </c>
      <c r="AB40" s="4">
        <f t="shared" si="14"/>
        <v>0</v>
      </c>
      <c r="AC40" s="170">
        <f t="shared" si="21"/>
        <v>0</v>
      </c>
      <c r="AD40" s="58"/>
      <c r="AE40" s="58"/>
      <c r="AF40" s="58"/>
      <c r="AG40" s="59">
        <f t="shared" si="1"/>
        <v>9.0359999999999996</v>
      </c>
      <c r="AH40" s="59">
        <f t="shared" si="2"/>
        <v>-184.49199999999999</v>
      </c>
      <c r="AJ40" s="4">
        <f>IF(D40="M",IF(AM40&lt;78,BMILMS!$D$5*AM40^3+BMILMS!$E$5*AM40^2+BMILMS!$F$5*AM40+BMILMS!$G$5,IF(AM40&lt;150,BMILMS!$D$6*AM40^3+BMILMS!$E$6*AM40^2+BMILMS!$F$6*AM40+BMILMS!$G$6,BMILMS!$D$7*AM40^3+BMILMS!$E$7*AM40^2+BMILMS!$F$7*AM40+BMILMS!$G$7)),IF(AM40&lt;69,BMILMS!$D$9*AM40^3+BMILMS!$E$9*AM40^2+BMILMS!$F$9*AM40+BMILMS!$G$9,IF(AM40&lt;150,BMILMS!$D$10*AM40^3+BMILMS!$E$10*AM40^2+BMILMS!$F$10*AM40+BMILMS!$G$10,BMILMS!$D$11*AM40^3+BMILMS!$E$11*AM40^2+BMILMS!$F$11*AM40+BMILMS!$G$11)))</f>
        <v>0.79584630099999998</v>
      </c>
      <c r="AK40" s="4">
        <f>IF(D40="M",(IF(AM40&lt;2.5,BMILMS!$D$21*AM40^3+BMILMS!$E$21*AM40^2+BMILMS!$F$21*AM40+BMILMS!$G$21,IF(AM40&lt;9.5,BMILMS!$D$22*AM40^3+BMILMS!$E$22*AM40^2+BMILMS!$F$22*AM40+BMILMS!$G$22,IF(AM40&lt;26.75,BMILMS!$D$23*AM40^3+BMILMS!$E$23*AM40^2+BMILMS!$F$23*AM40+BMILMS!$G$23,IF(AM40&lt;90,BMILMS!$D$24*AM40^3+BMILMS!$E$24*AM40^2+BMILMS!$F$24*AM40+BMILMS!$G$24,BMILMS!$D$25*AM40^3+BMILMS!$E$25*AM40^2+BMILMS!$F$25*AM40+BMILMS!$G$25))))),(IF(AM40&lt;2.5,BMILMS!$D$27*AM40^3+BMILMS!$E$27*AM40^2+BMILMS!$F$27*AM40+BMILMS!$G$27,IF(AM40&lt;9.5,BMILMS!$D$28*AM40^3+BMILMS!$E$28*AM40^2+BMILMS!$F$28*AM40+BMILMS!$G$28,IF(AM40&lt;26.75,BMILMS!$D$29*AM40^3+BMILMS!$E$29*AM40^2+BMILMS!$F$29*AM40+BMILMS!$G$29,IF(AM40&lt;90,BMILMS!$D$30*AM40^3+BMILMS!$E$30*AM40^2+BMILMS!$F$30*AM40+BMILMS!$G$30,IF(AM40&lt;150,BMILMS!$D$31*AM40^3+BMILMS!$E$31*AM40^2+BMILMS!$F$31*AM40+BMILMS!$G$31,BMILMS!$D$32*AM40^3+BMILMS!$E$32*AM40^2+BMILMS!$F$32*AM40+BMILMS!$G$32)))))))</f>
        <v>12.568967990000001</v>
      </c>
      <c r="AL40" s="4">
        <f>IF(D40="M",(IF(AM40&lt;90,BMILMS!$D$14*AM40^3+BMILMS!$E$14*AM40^2+BMILMS!$F$14*AM40+BMILMS!$G$14,BMILMS!$D$15*AM40^3+BMILMS!$E$15*AM40^2+BMILMS!$F$15*AM40+BMILMS!$G$15)),(IF(AM40&lt;90,BMILMS!$D$17*AM40^3+BMILMS!$E$17*AM40^2+BMILMS!$F$17*AM40+BMILMS!$G$17,BMILMS!$D$18*AM40^3+BMILMS!$E$18*AM40^2+BMILMS!$F$18*AM40+BMILMS!$G$18)))</f>
        <v>8.8969350000000003E-2</v>
      </c>
      <c r="AM40" s="4">
        <f t="shared" si="20"/>
        <v>0</v>
      </c>
      <c r="AO40" s="56">
        <f>IF(D40="M",WeightSDS!P$5*$AM40^7+WeightSDS!Q$5*$AM40^6+WeightSDS!R$5*$AM40^5+WeightSDS!S$5*$AM40^4+WeightSDS!T$5*$AM40^3+WeightSDS!U$5*$AM40^2+WeightSDS!V$5*$AM40+WeightSDS!W$5,IF($AM40&lt;186,WeightSDS!P$8*$AM40^7+WeightSDS!Q$8*$AM40^6+WeightSDS!R$8*$AM40^5+WeightSDS!S$8*$AM40^4+WeightSDS!T$8*$AM40^3+WeightSDS!U$8*$AM40^2+WeightSDS!V$8*$AM40+WeightSDS!W$8,WeightSDS!$U$9+WeightSDS!$V$9*($AM40-WeightSDS!$W$9)))</f>
        <v>0.75407122999999998</v>
      </c>
      <c r="AP40" s="4">
        <f>IF(D40="M",IF($AM40&lt;45,WeightSDS!M$23*$AM40^10+WeightSDS!N$23*$AM40^9+WeightSDS!O$23*$AM40^8+WeightSDS!P$23*$AM40^7+WeightSDS!Q$23*$AM40^6+WeightSDS!R$23*$AM40^5+WeightSDS!S$23*$AM40^4+WeightSDS!T$23*$AM40^3+WeightSDS!U$23*$AM40^2+WeightSDS!V$23*$AM40+WeightSDS!W$23,IF($AM40&lt;153,WeightSDS!M$25*$AM40^10+WeightSDS!N$25*$AM40^9+WeightSDS!O$25*$AM40^8+WeightSDS!P$25*$AM40^7+WeightSDS!Q$25*$AM40^6+WeightSDS!R$25*$AM40^5+WeightSDS!S$25*$AM40^4+WeightSDS!T$25*$AM40^3+WeightSDS!U$25*$AM40^2+WeightSDS!V$25*$AM40+WeightSDS!W$25,WeightSDS!M$27+WeightSDS!N$27/(1+EXP(WeightSDS!O$27+WeightSDS!P$27*$AM40)))),IF($AM40&lt;43.8,WeightSDS!M$29*$AM40^10+WeightSDS!N$29*$AM40^9+WeightSDS!O$29*$AM40^8+WeightSDS!P$29*$AM40^7+WeightSDS!Q$29*$AM40^6+WeightSDS!R$29*$AM40^5+WeightSDS!S$29*$AM40^4+WeightSDS!T$29*$AM40^3+WeightSDS!U$29*$AM40^2+WeightSDS!V$29*$AM40+WeightSDS!W$29-0.010431*(1-$AM40/210),IF($AM40&lt;123,WeightSDS!M$30*$AM40^10+WeightSDS!N$30*$AM40^9+WeightSDS!O$30*$AM40^8+WeightSDS!P$30*$AM40^7+WeightSDS!Q$30*$AM40^6+WeightSDS!R$30*$AM40^5+WeightSDS!S$30*$AM40^4+WeightSDS!T$30*$AM40^3+WeightSDS!U$30*$AM40^2+WeightSDS!V$30*$AM40+WeightSDS!W$30-0.010431*(1-1/$AM40),WeightSDS!M$32+WeightSDS!N$32/(1+EXP(WeightSDS!O$32+WeightSDS!P$32*$AM40))-0.010431*(1-$AM40/210))))</f>
        <v>2.9500001032655536</v>
      </c>
      <c r="AQ40" s="4">
        <f>IF(D40="M",IF($AM40&lt;162,WeightSDS!P$12*$AM40^7+WeightSDS!Q$12*$AM40^6+WeightSDS!R$12*$AM40^5+WeightSDS!S$12*$AM40^4+WeightSDS!T$12*$AM40^3+WeightSDS!U$12*$AM40^2+WeightSDS!V$12*$AM40+WeightSDS!W$12,WeightSDS!P$14*$AM40^7+WeightSDS!Q$14*$AM40^6+WeightSDS!R$14*$AM40^5+WeightSDS!S$14*$AM40^4+WeightSDS!T$14*$AM40^3+WeightSDS!U$14*$AM40^2+WeightSDS!V$14*$AM40+WeightSDS!W$14),IF($AM40&lt;156,WeightSDS!O$17*$AM40^8+WeightSDS!P$17*$AM40^7+WeightSDS!Q$17*$AM40^6+WeightSDS!R$17*$AM40^5+WeightSDS!S$17*$AM40^4+WeightSDS!T$17*$AM40^3+WeightSDS!U$17*$AM40^2+WeightSDS!V$17*$AM40+WeightSDS!W$17,IF($AM40&lt;186,WeightSDS!$U$18+(WeightSDS!$V$18-WeightSDS!$U$18)/24*($AM40-186)+WeightSDS!$W$18*(-$AM40+186)^2-0.005,WeightSDS!$U$18+(WeightSDS!$V$18-WeightSDS!$U$18)/24*($AM40-186)-0.005)))</f>
        <v>0.14604529399999999</v>
      </c>
      <c r="AT40" s="4">
        <f t="shared" si="16"/>
        <v>0.56299999999999994</v>
      </c>
      <c r="AU40" s="4">
        <f t="shared" si="17"/>
        <v>69</v>
      </c>
      <c r="AV40" s="4">
        <f t="shared" si="18"/>
        <v>0.51</v>
      </c>
    </row>
    <row r="41" spans="1:48" x14ac:dyDescent="0.15">
      <c r="A41" s="4"/>
      <c r="B41" s="21"/>
      <c r="C41" s="21"/>
      <c r="D41" s="21"/>
      <c r="E41" s="22"/>
      <c r="F41" s="22"/>
      <c r="G41" s="23"/>
      <c r="H41" s="23"/>
      <c r="I41" s="181"/>
      <c r="J41" s="8" t="str">
        <f t="shared" si="3"/>
        <v/>
      </c>
      <c r="K41" s="2" t="str">
        <f t="shared" si="4"/>
        <v/>
      </c>
      <c r="L41" s="2" t="str">
        <f t="shared" si="0"/>
        <v/>
      </c>
      <c r="M41" s="2" t="str">
        <f t="shared" si="5"/>
        <v/>
      </c>
      <c r="N41" s="2" t="str">
        <f t="shared" si="19"/>
        <v/>
      </c>
      <c r="O41" s="2" t="str">
        <f t="shared" si="6"/>
        <v/>
      </c>
      <c r="P41" s="8" t="str">
        <f t="shared" si="7"/>
        <v/>
      </c>
      <c r="Q41" s="8" t="str">
        <f t="shared" si="8"/>
        <v/>
      </c>
      <c r="R41" s="111" t="str">
        <f t="shared" si="9"/>
        <v/>
      </c>
      <c r="S41" s="44" t="str">
        <f t="shared" si="10"/>
        <v/>
      </c>
      <c r="T41" s="37" t="str">
        <f t="shared" si="11"/>
        <v/>
      </c>
      <c r="U41" s="44" t="str">
        <f t="shared" si="12"/>
        <v/>
      </c>
      <c r="V41" s="26"/>
      <c r="W41" s="26"/>
      <c r="X41" s="26"/>
      <c r="Y41" s="26"/>
      <c r="Z41" s="24"/>
      <c r="AA41" s="169">
        <f t="shared" si="13"/>
        <v>0</v>
      </c>
      <c r="AB41" s="4">
        <f t="shared" si="14"/>
        <v>0</v>
      </c>
      <c r="AC41" s="170">
        <f t="shared" si="21"/>
        <v>0</v>
      </c>
      <c r="AD41" s="58"/>
      <c r="AE41" s="58"/>
      <c r="AF41" s="58"/>
      <c r="AG41" s="59">
        <f t="shared" si="1"/>
        <v>9.0359999999999996</v>
      </c>
      <c r="AH41" s="59">
        <f t="shared" si="2"/>
        <v>-184.49199999999999</v>
      </c>
      <c r="AJ41" s="4">
        <f>IF(D41="M",IF(AM41&lt;78,BMILMS!$D$5*AM41^3+BMILMS!$E$5*AM41^2+BMILMS!$F$5*AM41+BMILMS!$G$5,IF(AM41&lt;150,BMILMS!$D$6*AM41^3+BMILMS!$E$6*AM41^2+BMILMS!$F$6*AM41+BMILMS!$G$6,BMILMS!$D$7*AM41^3+BMILMS!$E$7*AM41^2+BMILMS!$F$7*AM41+BMILMS!$G$7)),IF(AM41&lt;69,BMILMS!$D$9*AM41^3+BMILMS!$E$9*AM41^2+BMILMS!$F$9*AM41+BMILMS!$G$9,IF(AM41&lt;150,BMILMS!$D$10*AM41^3+BMILMS!$E$10*AM41^2+BMILMS!$F$10*AM41+BMILMS!$G$10,BMILMS!$D$11*AM41^3+BMILMS!$E$11*AM41^2+BMILMS!$F$11*AM41+BMILMS!$G$11)))</f>
        <v>0.79584630099999998</v>
      </c>
      <c r="AK41" s="4">
        <f>IF(D41="M",(IF(AM41&lt;2.5,BMILMS!$D$21*AM41^3+BMILMS!$E$21*AM41^2+BMILMS!$F$21*AM41+BMILMS!$G$21,IF(AM41&lt;9.5,BMILMS!$D$22*AM41^3+BMILMS!$E$22*AM41^2+BMILMS!$F$22*AM41+BMILMS!$G$22,IF(AM41&lt;26.75,BMILMS!$D$23*AM41^3+BMILMS!$E$23*AM41^2+BMILMS!$F$23*AM41+BMILMS!$G$23,IF(AM41&lt;90,BMILMS!$D$24*AM41^3+BMILMS!$E$24*AM41^2+BMILMS!$F$24*AM41+BMILMS!$G$24,BMILMS!$D$25*AM41^3+BMILMS!$E$25*AM41^2+BMILMS!$F$25*AM41+BMILMS!$G$25))))),(IF(AM41&lt;2.5,BMILMS!$D$27*AM41^3+BMILMS!$E$27*AM41^2+BMILMS!$F$27*AM41+BMILMS!$G$27,IF(AM41&lt;9.5,BMILMS!$D$28*AM41^3+BMILMS!$E$28*AM41^2+BMILMS!$F$28*AM41+BMILMS!$G$28,IF(AM41&lt;26.75,BMILMS!$D$29*AM41^3+BMILMS!$E$29*AM41^2+BMILMS!$F$29*AM41+BMILMS!$G$29,IF(AM41&lt;90,BMILMS!$D$30*AM41^3+BMILMS!$E$30*AM41^2+BMILMS!$F$30*AM41+BMILMS!$G$30,IF(AM41&lt;150,BMILMS!$D$31*AM41^3+BMILMS!$E$31*AM41^2+BMILMS!$F$31*AM41+BMILMS!$G$31,BMILMS!$D$32*AM41^3+BMILMS!$E$32*AM41^2+BMILMS!$F$32*AM41+BMILMS!$G$32)))))))</f>
        <v>12.568967990000001</v>
      </c>
      <c r="AL41" s="4">
        <f>IF(D41="M",(IF(AM41&lt;90,BMILMS!$D$14*AM41^3+BMILMS!$E$14*AM41^2+BMILMS!$F$14*AM41+BMILMS!$G$14,BMILMS!$D$15*AM41^3+BMILMS!$E$15*AM41^2+BMILMS!$F$15*AM41+BMILMS!$G$15)),(IF(AM41&lt;90,BMILMS!$D$17*AM41^3+BMILMS!$E$17*AM41^2+BMILMS!$F$17*AM41+BMILMS!$G$17,BMILMS!$D$18*AM41^3+BMILMS!$E$18*AM41^2+BMILMS!$F$18*AM41+BMILMS!$G$18)))</f>
        <v>8.8969350000000003E-2</v>
      </c>
      <c r="AM41" s="4">
        <f t="shared" si="20"/>
        <v>0</v>
      </c>
      <c r="AO41" s="56">
        <f>IF(D41="M",WeightSDS!P$5*$AM41^7+WeightSDS!Q$5*$AM41^6+WeightSDS!R$5*$AM41^5+WeightSDS!S$5*$AM41^4+WeightSDS!T$5*$AM41^3+WeightSDS!U$5*$AM41^2+WeightSDS!V$5*$AM41+WeightSDS!W$5,IF($AM41&lt;186,WeightSDS!P$8*$AM41^7+WeightSDS!Q$8*$AM41^6+WeightSDS!R$8*$AM41^5+WeightSDS!S$8*$AM41^4+WeightSDS!T$8*$AM41^3+WeightSDS!U$8*$AM41^2+WeightSDS!V$8*$AM41+WeightSDS!W$8,WeightSDS!$U$9+WeightSDS!$V$9*($AM41-WeightSDS!$W$9)))</f>
        <v>0.75407122999999998</v>
      </c>
      <c r="AP41" s="4">
        <f>IF(D41="M",IF($AM41&lt;45,WeightSDS!M$23*$AM41^10+WeightSDS!N$23*$AM41^9+WeightSDS!O$23*$AM41^8+WeightSDS!P$23*$AM41^7+WeightSDS!Q$23*$AM41^6+WeightSDS!R$23*$AM41^5+WeightSDS!S$23*$AM41^4+WeightSDS!T$23*$AM41^3+WeightSDS!U$23*$AM41^2+WeightSDS!V$23*$AM41+WeightSDS!W$23,IF($AM41&lt;153,WeightSDS!M$25*$AM41^10+WeightSDS!N$25*$AM41^9+WeightSDS!O$25*$AM41^8+WeightSDS!P$25*$AM41^7+WeightSDS!Q$25*$AM41^6+WeightSDS!R$25*$AM41^5+WeightSDS!S$25*$AM41^4+WeightSDS!T$25*$AM41^3+WeightSDS!U$25*$AM41^2+WeightSDS!V$25*$AM41+WeightSDS!W$25,WeightSDS!M$27+WeightSDS!N$27/(1+EXP(WeightSDS!O$27+WeightSDS!P$27*$AM41)))),IF($AM41&lt;43.8,WeightSDS!M$29*$AM41^10+WeightSDS!N$29*$AM41^9+WeightSDS!O$29*$AM41^8+WeightSDS!P$29*$AM41^7+WeightSDS!Q$29*$AM41^6+WeightSDS!R$29*$AM41^5+WeightSDS!S$29*$AM41^4+WeightSDS!T$29*$AM41^3+WeightSDS!U$29*$AM41^2+WeightSDS!V$29*$AM41+WeightSDS!W$29-0.010431*(1-$AM41/210),IF($AM41&lt;123,WeightSDS!M$30*$AM41^10+WeightSDS!N$30*$AM41^9+WeightSDS!O$30*$AM41^8+WeightSDS!P$30*$AM41^7+WeightSDS!Q$30*$AM41^6+WeightSDS!R$30*$AM41^5+WeightSDS!S$30*$AM41^4+WeightSDS!T$30*$AM41^3+WeightSDS!U$30*$AM41^2+WeightSDS!V$30*$AM41+WeightSDS!W$30-0.010431*(1-1/$AM41),WeightSDS!M$32+WeightSDS!N$32/(1+EXP(WeightSDS!O$32+WeightSDS!P$32*$AM41))-0.010431*(1-$AM41/210))))</f>
        <v>2.9500001032655536</v>
      </c>
      <c r="AQ41" s="4">
        <f>IF(D41="M",IF($AM41&lt;162,WeightSDS!P$12*$AM41^7+WeightSDS!Q$12*$AM41^6+WeightSDS!R$12*$AM41^5+WeightSDS!S$12*$AM41^4+WeightSDS!T$12*$AM41^3+WeightSDS!U$12*$AM41^2+WeightSDS!V$12*$AM41+WeightSDS!W$12,WeightSDS!P$14*$AM41^7+WeightSDS!Q$14*$AM41^6+WeightSDS!R$14*$AM41^5+WeightSDS!S$14*$AM41^4+WeightSDS!T$14*$AM41^3+WeightSDS!U$14*$AM41^2+WeightSDS!V$14*$AM41+WeightSDS!W$14),IF($AM41&lt;156,WeightSDS!O$17*$AM41^8+WeightSDS!P$17*$AM41^7+WeightSDS!Q$17*$AM41^6+WeightSDS!R$17*$AM41^5+WeightSDS!S$17*$AM41^4+WeightSDS!T$17*$AM41^3+WeightSDS!U$17*$AM41^2+WeightSDS!V$17*$AM41+WeightSDS!W$17,IF($AM41&lt;186,WeightSDS!$U$18+(WeightSDS!$V$18-WeightSDS!$U$18)/24*($AM41-186)+WeightSDS!$W$18*(-$AM41+186)^2-0.005,WeightSDS!$U$18+(WeightSDS!$V$18-WeightSDS!$U$18)/24*($AM41-186)-0.005)))</f>
        <v>0.14604529399999999</v>
      </c>
      <c r="AT41" s="4">
        <f t="shared" si="16"/>
        <v>0.56299999999999994</v>
      </c>
      <c r="AU41" s="4">
        <f t="shared" si="17"/>
        <v>69</v>
      </c>
      <c r="AV41" s="4">
        <f t="shared" si="18"/>
        <v>0.51</v>
      </c>
    </row>
    <row r="42" spans="1:48" x14ac:dyDescent="0.15">
      <c r="A42" s="4"/>
      <c r="B42" s="21"/>
      <c r="C42" s="21"/>
      <c r="D42" s="21"/>
      <c r="E42" s="22"/>
      <c r="F42" s="22"/>
      <c r="G42" s="23"/>
      <c r="H42" s="23"/>
      <c r="I42" s="181"/>
      <c r="J42" s="8" t="str">
        <f t="shared" si="3"/>
        <v/>
      </c>
      <c r="K42" s="2" t="str">
        <f t="shared" si="4"/>
        <v/>
      </c>
      <c r="L42" s="2" t="str">
        <f t="shared" si="0"/>
        <v/>
      </c>
      <c r="M42" s="2" t="str">
        <f t="shared" si="5"/>
        <v/>
      </c>
      <c r="N42" s="2" t="str">
        <f t="shared" si="19"/>
        <v/>
      </c>
      <c r="O42" s="2" t="str">
        <f t="shared" si="6"/>
        <v/>
      </c>
      <c r="P42" s="8" t="str">
        <f t="shared" si="7"/>
        <v/>
      </c>
      <c r="Q42" s="8" t="str">
        <f t="shared" si="8"/>
        <v/>
      </c>
      <c r="R42" s="111" t="str">
        <f t="shared" si="9"/>
        <v/>
      </c>
      <c r="S42" s="44" t="str">
        <f t="shared" si="10"/>
        <v/>
      </c>
      <c r="T42" s="37" t="str">
        <f t="shared" si="11"/>
        <v/>
      </c>
      <c r="U42" s="44" t="str">
        <f t="shared" si="12"/>
        <v/>
      </c>
      <c r="V42" s="26"/>
      <c r="W42" s="26"/>
      <c r="X42" s="26"/>
      <c r="Y42" s="26"/>
      <c r="Z42" s="24"/>
      <c r="AA42" s="169">
        <f t="shared" si="13"/>
        <v>0</v>
      </c>
      <c r="AB42" s="4">
        <f t="shared" si="14"/>
        <v>0</v>
      </c>
      <c r="AC42" s="170">
        <f t="shared" si="21"/>
        <v>0</v>
      </c>
      <c r="AD42" s="58"/>
      <c r="AE42" s="58"/>
      <c r="AF42" s="58"/>
      <c r="AG42" s="59">
        <f t="shared" si="1"/>
        <v>9.0359999999999996</v>
      </c>
      <c r="AH42" s="59">
        <f t="shared" si="2"/>
        <v>-184.49199999999999</v>
      </c>
      <c r="AJ42" s="4">
        <f>IF(D42="M",IF(AM42&lt;78,BMILMS!$D$5*AM42^3+BMILMS!$E$5*AM42^2+BMILMS!$F$5*AM42+BMILMS!$G$5,IF(AM42&lt;150,BMILMS!$D$6*AM42^3+BMILMS!$E$6*AM42^2+BMILMS!$F$6*AM42+BMILMS!$G$6,BMILMS!$D$7*AM42^3+BMILMS!$E$7*AM42^2+BMILMS!$F$7*AM42+BMILMS!$G$7)),IF(AM42&lt;69,BMILMS!$D$9*AM42^3+BMILMS!$E$9*AM42^2+BMILMS!$F$9*AM42+BMILMS!$G$9,IF(AM42&lt;150,BMILMS!$D$10*AM42^3+BMILMS!$E$10*AM42^2+BMILMS!$F$10*AM42+BMILMS!$G$10,BMILMS!$D$11*AM42^3+BMILMS!$E$11*AM42^2+BMILMS!$F$11*AM42+BMILMS!$G$11)))</f>
        <v>0.79584630099999998</v>
      </c>
      <c r="AK42" s="4">
        <f>IF(D42="M",(IF(AM42&lt;2.5,BMILMS!$D$21*AM42^3+BMILMS!$E$21*AM42^2+BMILMS!$F$21*AM42+BMILMS!$G$21,IF(AM42&lt;9.5,BMILMS!$D$22*AM42^3+BMILMS!$E$22*AM42^2+BMILMS!$F$22*AM42+BMILMS!$G$22,IF(AM42&lt;26.75,BMILMS!$D$23*AM42^3+BMILMS!$E$23*AM42^2+BMILMS!$F$23*AM42+BMILMS!$G$23,IF(AM42&lt;90,BMILMS!$D$24*AM42^3+BMILMS!$E$24*AM42^2+BMILMS!$F$24*AM42+BMILMS!$G$24,BMILMS!$D$25*AM42^3+BMILMS!$E$25*AM42^2+BMILMS!$F$25*AM42+BMILMS!$G$25))))),(IF(AM42&lt;2.5,BMILMS!$D$27*AM42^3+BMILMS!$E$27*AM42^2+BMILMS!$F$27*AM42+BMILMS!$G$27,IF(AM42&lt;9.5,BMILMS!$D$28*AM42^3+BMILMS!$E$28*AM42^2+BMILMS!$F$28*AM42+BMILMS!$G$28,IF(AM42&lt;26.75,BMILMS!$D$29*AM42^3+BMILMS!$E$29*AM42^2+BMILMS!$F$29*AM42+BMILMS!$G$29,IF(AM42&lt;90,BMILMS!$D$30*AM42^3+BMILMS!$E$30*AM42^2+BMILMS!$F$30*AM42+BMILMS!$G$30,IF(AM42&lt;150,BMILMS!$D$31*AM42^3+BMILMS!$E$31*AM42^2+BMILMS!$F$31*AM42+BMILMS!$G$31,BMILMS!$D$32*AM42^3+BMILMS!$E$32*AM42^2+BMILMS!$F$32*AM42+BMILMS!$G$32)))))))</f>
        <v>12.568967990000001</v>
      </c>
      <c r="AL42" s="4">
        <f>IF(D42="M",(IF(AM42&lt;90,BMILMS!$D$14*AM42^3+BMILMS!$E$14*AM42^2+BMILMS!$F$14*AM42+BMILMS!$G$14,BMILMS!$D$15*AM42^3+BMILMS!$E$15*AM42^2+BMILMS!$F$15*AM42+BMILMS!$G$15)),(IF(AM42&lt;90,BMILMS!$D$17*AM42^3+BMILMS!$E$17*AM42^2+BMILMS!$F$17*AM42+BMILMS!$G$17,BMILMS!$D$18*AM42^3+BMILMS!$E$18*AM42^2+BMILMS!$F$18*AM42+BMILMS!$G$18)))</f>
        <v>8.8969350000000003E-2</v>
      </c>
      <c r="AM42" s="4">
        <f t="shared" si="20"/>
        <v>0</v>
      </c>
      <c r="AO42" s="56">
        <f>IF(D42="M",WeightSDS!P$5*$AM42^7+WeightSDS!Q$5*$AM42^6+WeightSDS!R$5*$AM42^5+WeightSDS!S$5*$AM42^4+WeightSDS!T$5*$AM42^3+WeightSDS!U$5*$AM42^2+WeightSDS!V$5*$AM42+WeightSDS!W$5,IF($AM42&lt;186,WeightSDS!P$8*$AM42^7+WeightSDS!Q$8*$AM42^6+WeightSDS!R$8*$AM42^5+WeightSDS!S$8*$AM42^4+WeightSDS!T$8*$AM42^3+WeightSDS!U$8*$AM42^2+WeightSDS!V$8*$AM42+WeightSDS!W$8,WeightSDS!$U$9+WeightSDS!$V$9*($AM42-WeightSDS!$W$9)))</f>
        <v>0.75407122999999998</v>
      </c>
      <c r="AP42" s="4">
        <f>IF(D42="M",IF($AM42&lt;45,WeightSDS!M$23*$AM42^10+WeightSDS!N$23*$AM42^9+WeightSDS!O$23*$AM42^8+WeightSDS!P$23*$AM42^7+WeightSDS!Q$23*$AM42^6+WeightSDS!R$23*$AM42^5+WeightSDS!S$23*$AM42^4+WeightSDS!T$23*$AM42^3+WeightSDS!U$23*$AM42^2+WeightSDS!V$23*$AM42+WeightSDS!W$23,IF($AM42&lt;153,WeightSDS!M$25*$AM42^10+WeightSDS!N$25*$AM42^9+WeightSDS!O$25*$AM42^8+WeightSDS!P$25*$AM42^7+WeightSDS!Q$25*$AM42^6+WeightSDS!R$25*$AM42^5+WeightSDS!S$25*$AM42^4+WeightSDS!T$25*$AM42^3+WeightSDS!U$25*$AM42^2+WeightSDS!V$25*$AM42+WeightSDS!W$25,WeightSDS!M$27+WeightSDS!N$27/(1+EXP(WeightSDS!O$27+WeightSDS!P$27*$AM42)))),IF($AM42&lt;43.8,WeightSDS!M$29*$AM42^10+WeightSDS!N$29*$AM42^9+WeightSDS!O$29*$AM42^8+WeightSDS!P$29*$AM42^7+WeightSDS!Q$29*$AM42^6+WeightSDS!R$29*$AM42^5+WeightSDS!S$29*$AM42^4+WeightSDS!T$29*$AM42^3+WeightSDS!U$29*$AM42^2+WeightSDS!V$29*$AM42+WeightSDS!W$29-0.010431*(1-$AM42/210),IF($AM42&lt;123,WeightSDS!M$30*$AM42^10+WeightSDS!N$30*$AM42^9+WeightSDS!O$30*$AM42^8+WeightSDS!P$30*$AM42^7+WeightSDS!Q$30*$AM42^6+WeightSDS!R$30*$AM42^5+WeightSDS!S$30*$AM42^4+WeightSDS!T$30*$AM42^3+WeightSDS!U$30*$AM42^2+WeightSDS!V$30*$AM42+WeightSDS!W$30-0.010431*(1-1/$AM42),WeightSDS!M$32+WeightSDS!N$32/(1+EXP(WeightSDS!O$32+WeightSDS!P$32*$AM42))-0.010431*(1-$AM42/210))))</f>
        <v>2.9500001032655536</v>
      </c>
      <c r="AQ42" s="4">
        <f>IF(D42="M",IF($AM42&lt;162,WeightSDS!P$12*$AM42^7+WeightSDS!Q$12*$AM42^6+WeightSDS!R$12*$AM42^5+WeightSDS!S$12*$AM42^4+WeightSDS!T$12*$AM42^3+WeightSDS!U$12*$AM42^2+WeightSDS!V$12*$AM42+WeightSDS!W$12,WeightSDS!P$14*$AM42^7+WeightSDS!Q$14*$AM42^6+WeightSDS!R$14*$AM42^5+WeightSDS!S$14*$AM42^4+WeightSDS!T$14*$AM42^3+WeightSDS!U$14*$AM42^2+WeightSDS!V$14*$AM42+WeightSDS!W$14),IF($AM42&lt;156,WeightSDS!O$17*$AM42^8+WeightSDS!P$17*$AM42^7+WeightSDS!Q$17*$AM42^6+WeightSDS!R$17*$AM42^5+WeightSDS!S$17*$AM42^4+WeightSDS!T$17*$AM42^3+WeightSDS!U$17*$AM42^2+WeightSDS!V$17*$AM42+WeightSDS!W$17,IF($AM42&lt;186,WeightSDS!$U$18+(WeightSDS!$V$18-WeightSDS!$U$18)/24*($AM42-186)+WeightSDS!$W$18*(-$AM42+186)^2-0.005,WeightSDS!$U$18+(WeightSDS!$V$18-WeightSDS!$U$18)/24*($AM42-186)-0.005)))</f>
        <v>0.14604529399999999</v>
      </c>
      <c r="AT42" s="4">
        <f t="shared" si="16"/>
        <v>0.56299999999999994</v>
      </c>
      <c r="AU42" s="4">
        <f t="shared" si="17"/>
        <v>69</v>
      </c>
      <c r="AV42" s="4">
        <f t="shared" si="18"/>
        <v>0.51</v>
      </c>
    </row>
    <row r="43" spans="1:48" x14ac:dyDescent="0.15">
      <c r="A43" s="4"/>
      <c r="B43" s="21"/>
      <c r="C43" s="21"/>
      <c r="D43" s="21"/>
      <c r="E43" s="22"/>
      <c r="F43" s="22"/>
      <c r="G43" s="23"/>
      <c r="H43" s="23"/>
      <c r="I43" s="181"/>
      <c r="J43" s="8" t="str">
        <f t="shared" si="3"/>
        <v/>
      </c>
      <c r="K43" s="2" t="str">
        <f t="shared" si="4"/>
        <v/>
      </c>
      <c r="L43" s="2" t="str">
        <f t="shared" si="0"/>
        <v/>
      </c>
      <c r="M43" s="2" t="str">
        <f t="shared" si="5"/>
        <v/>
      </c>
      <c r="N43" s="2" t="str">
        <f t="shared" si="19"/>
        <v/>
      </c>
      <c r="O43" s="2" t="str">
        <f t="shared" si="6"/>
        <v/>
      </c>
      <c r="P43" s="8" t="str">
        <f t="shared" si="7"/>
        <v/>
      </c>
      <c r="Q43" s="8" t="str">
        <f t="shared" si="8"/>
        <v/>
      </c>
      <c r="R43" s="111" t="str">
        <f t="shared" si="9"/>
        <v/>
      </c>
      <c r="S43" s="44" t="str">
        <f t="shared" si="10"/>
        <v/>
      </c>
      <c r="T43" s="37" t="str">
        <f t="shared" si="11"/>
        <v/>
      </c>
      <c r="U43" s="44" t="str">
        <f t="shared" si="12"/>
        <v/>
      </c>
      <c r="V43" s="26"/>
      <c r="W43" s="26"/>
      <c r="X43" s="26"/>
      <c r="Y43" s="26"/>
      <c r="Z43" s="24"/>
      <c r="AA43" s="169">
        <f t="shared" si="13"/>
        <v>0</v>
      </c>
      <c r="AB43" s="4">
        <f t="shared" si="14"/>
        <v>0</v>
      </c>
      <c r="AC43" s="170">
        <f t="shared" si="21"/>
        <v>0</v>
      </c>
      <c r="AD43" s="58"/>
      <c r="AE43" s="58"/>
      <c r="AF43" s="58"/>
      <c r="AG43" s="59">
        <f t="shared" si="1"/>
        <v>9.0359999999999996</v>
      </c>
      <c r="AH43" s="59">
        <f t="shared" si="2"/>
        <v>-184.49199999999999</v>
      </c>
      <c r="AJ43" s="4">
        <f>IF(D43="M",IF(AM43&lt;78,BMILMS!$D$5*AM43^3+BMILMS!$E$5*AM43^2+BMILMS!$F$5*AM43+BMILMS!$G$5,IF(AM43&lt;150,BMILMS!$D$6*AM43^3+BMILMS!$E$6*AM43^2+BMILMS!$F$6*AM43+BMILMS!$G$6,BMILMS!$D$7*AM43^3+BMILMS!$E$7*AM43^2+BMILMS!$F$7*AM43+BMILMS!$G$7)),IF(AM43&lt;69,BMILMS!$D$9*AM43^3+BMILMS!$E$9*AM43^2+BMILMS!$F$9*AM43+BMILMS!$G$9,IF(AM43&lt;150,BMILMS!$D$10*AM43^3+BMILMS!$E$10*AM43^2+BMILMS!$F$10*AM43+BMILMS!$G$10,BMILMS!$D$11*AM43^3+BMILMS!$E$11*AM43^2+BMILMS!$F$11*AM43+BMILMS!$G$11)))</f>
        <v>0.79584630099999998</v>
      </c>
      <c r="AK43" s="4">
        <f>IF(D43="M",(IF(AM43&lt;2.5,BMILMS!$D$21*AM43^3+BMILMS!$E$21*AM43^2+BMILMS!$F$21*AM43+BMILMS!$G$21,IF(AM43&lt;9.5,BMILMS!$D$22*AM43^3+BMILMS!$E$22*AM43^2+BMILMS!$F$22*AM43+BMILMS!$G$22,IF(AM43&lt;26.75,BMILMS!$D$23*AM43^3+BMILMS!$E$23*AM43^2+BMILMS!$F$23*AM43+BMILMS!$G$23,IF(AM43&lt;90,BMILMS!$D$24*AM43^3+BMILMS!$E$24*AM43^2+BMILMS!$F$24*AM43+BMILMS!$G$24,BMILMS!$D$25*AM43^3+BMILMS!$E$25*AM43^2+BMILMS!$F$25*AM43+BMILMS!$G$25))))),(IF(AM43&lt;2.5,BMILMS!$D$27*AM43^3+BMILMS!$E$27*AM43^2+BMILMS!$F$27*AM43+BMILMS!$G$27,IF(AM43&lt;9.5,BMILMS!$D$28*AM43^3+BMILMS!$E$28*AM43^2+BMILMS!$F$28*AM43+BMILMS!$G$28,IF(AM43&lt;26.75,BMILMS!$D$29*AM43^3+BMILMS!$E$29*AM43^2+BMILMS!$F$29*AM43+BMILMS!$G$29,IF(AM43&lt;90,BMILMS!$D$30*AM43^3+BMILMS!$E$30*AM43^2+BMILMS!$F$30*AM43+BMILMS!$G$30,IF(AM43&lt;150,BMILMS!$D$31*AM43^3+BMILMS!$E$31*AM43^2+BMILMS!$F$31*AM43+BMILMS!$G$31,BMILMS!$D$32*AM43^3+BMILMS!$E$32*AM43^2+BMILMS!$F$32*AM43+BMILMS!$G$32)))))))</f>
        <v>12.568967990000001</v>
      </c>
      <c r="AL43" s="4">
        <f>IF(D43="M",(IF(AM43&lt;90,BMILMS!$D$14*AM43^3+BMILMS!$E$14*AM43^2+BMILMS!$F$14*AM43+BMILMS!$G$14,BMILMS!$D$15*AM43^3+BMILMS!$E$15*AM43^2+BMILMS!$F$15*AM43+BMILMS!$G$15)),(IF(AM43&lt;90,BMILMS!$D$17*AM43^3+BMILMS!$E$17*AM43^2+BMILMS!$F$17*AM43+BMILMS!$G$17,BMILMS!$D$18*AM43^3+BMILMS!$E$18*AM43^2+BMILMS!$F$18*AM43+BMILMS!$G$18)))</f>
        <v>8.8969350000000003E-2</v>
      </c>
      <c r="AM43" s="4">
        <f t="shared" si="20"/>
        <v>0</v>
      </c>
      <c r="AO43" s="56">
        <f>IF(D43="M",WeightSDS!P$5*$AM43^7+WeightSDS!Q$5*$AM43^6+WeightSDS!R$5*$AM43^5+WeightSDS!S$5*$AM43^4+WeightSDS!T$5*$AM43^3+WeightSDS!U$5*$AM43^2+WeightSDS!V$5*$AM43+WeightSDS!W$5,IF($AM43&lt;186,WeightSDS!P$8*$AM43^7+WeightSDS!Q$8*$AM43^6+WeightSDS!R$8*$AM43^5+WeightSDS!S$8*$AM43^4+WeightSDS!T$8*$AM43^3+WeightSDS!U$8*$AM43^2+WeightSDS!V$8*$AM43+WeightSDS!W$8,WeightSDS!$U$9+WeightSDS!$V$9*($AM43-WeightSDS!$W$9)))</f>
        <v>0.75407122999999998</v>
      </c>
      <c r="AP43" s="4">
        <f>IF(D43="M",IF($AM43&lt;45,WeightSDS!M$23*$AM43^10+WeightSDS!N$23*$AM43^9+WeightSDS!O$23*$AM43^8+WeightSDS!P$23*$AM43^7+WeightSDS!Q$23*$AM43^6+WeightSDS!R$23*$AM43^5+WeightSDS!S$23*$AM43^4+WeightSDS!T$23*$AM43^3+WeightSDS!U$23*$AM43^2+WeightSDS!V$23*$AM43+WeightSDS!W$23,IF($AM43&lt;153,WeightSDS!M$25*$AM43^10+WeightSDS!N$25*$AM43^9+WeightSDS!O$25*$AM43^8+WeightSDS!P$25*$AM43^7+WeightSDS!Q$25*$AM43^6+WeightSDS!R$25*$AM43^5+WeightSDS!S$25*$AM43^4+WeightSDS!T$25*$AM43^3+WeightSDS!U$25*$AM43^2+WeightSDS!V$25*$AM43+WeightSDS!W$25,WeightSDS!M$27+WeightSDS!N$27/(1+EXP(WeightSDS!O$27+WeightSDS!P$27*$AM43)))),IF($AM43&lt;43.8,WeightSDS!M$29*$AM43^10+WeightSDS!N$29*$AM43^9+WeightSDS!O$29*$AM43^8+WeightSDS!P$29*$AM43^7+WeightSDS!Q$29*$AM43^6+WeightSDS!R$29*$AM43^5+WeightSDS!S$29*$AM43^4+WeightSDS!T$29*$AM43^3+WeightSDS!U$29*$AM43^2+WeightSDS!V$29*$AM43+WeightSDS!W$29-0.010431*(1-$AM43/210),IF($AM43&lt;123,WeightSDS!M$30*$AM43^10+WeightSDS!N$30*$AM43^9+WeightSDS!O$30*$AM43^8+WeightSDS!P$30*$AM43^7+WeightSDS!Q$30*$AM43^6+WeightSDS!R$30*$AM43^5+WeightSDS!S$30*$AM43^4+WeightSDS!T$30*$AM43^3+WeightSDS!U$30*$AM43^2+WeightSDS!V$30*$AM43+WeightSDS!W$30-0.010431*(1-1/$AM43),WeightSDS!M$32+WeightSDS!N$32/(1+EXP(WeightSDS!O$32+WeightSDS!P$32*$AM43))-0.010431*(1-$AM43/210))))</f>
        <v>2.9500001032655536</v>
      </c>
      <c r="AQ43" s="4">
        <f>IF(D43="M",IF($AM43&lt;162,WeightSDS!P$12*$AM43^7+WeightSDS!Q$12*$AM43^6+WeightSDS!R$12*$AM43^5+WeightSDS!S$12*$AM43^4+WeightSDS!T$12*$AM43^3+WeightSDS!U$12*$AM43^2+WeightSDS!V$12*$AM43+WeightSDS!W$12,WeightSDS!P$14*$AM43^7+WeightSDS!Q$14*$AM43^6+WeightSDS!R$14*$AM43^5+WeightSDS!S$14*$AM43^4+WeightSDS!T$14*$AM43^3+WeightSDS!U$14*$AM43^2+WeightSDS!V$14*$AM43+WeightSDS!W$14),IF($AM43&lt;156,WeightSDS!O$17*$AM43^8+WeightSDS!P$17*$AM43^7+WeightSDS!Q$17*$AM43^6+WeightSDS!R$17*$AM43^5+WeightSDS!S$17*$AM43^4+WeightSDS!T$17*$AM43^3+WeightSDS!U$17*$AM43^2+WeightSDS!V$17*$AM43+WeightSDS!W$17,IF($AM43&lt;186,WeightSDS!$U$18+(WeightSDS!$V$18-WeightSDS!$U$18)/24*($AM43-186)+WeightSDS!$W$18*(-$AM43+186)^2-0.005,WeightSDS!$U$18+(WeightSDS!$V$18-WeightSDS!$U$18)/24*($AM43-186)-0.005)))</f>
        <v>0.14604529399999999</v>
      </c>
      <c r="AT43" s="4">
        <f t="shared" si="16"/>
        <v>0.56299999999999994</v>
      </c>
      <c r="AU43" s="4">
        <f t="shared" si="17"/>
        <v>69</v>
      </c>
      <c r="AV43" s="4">
        <f t="shared" si="18"/>
        <v>0.51</v>
      </c>
    </row>
    <row r="44" spans="1:48" x14ac:dyDescent="0.15">
      <c r="A44" s="4"/>
      <c r="B44" s="21"/>
      <c r="C44" s="21"/>
      <c r="D44" s="21"/>
      <c r="E44" s="22"/>
      <c r="F44" s="22"/>
      <c r="G44" s="23"/>
      <c r="H44" s="23"/>
      <c r="I44" s="181"/>
      <c r="J44" s="8" t="str">
        <f t="shared" si="3"/>
        <v/>
      </c>
      <c r="K44" s="2" t="str">
        <f t="shared" si="4"/>
        <v/>
      </c>
      <c r="L44" s="2" t="str">
        <f t="shared" si="0"/>
        <v/>
      </c>
      <c r="M44" s="2" t="str">
        <f t="shared" si="5"/>
        <v/>
      </c>
      <c r="N44" s="2" t="str">
        <f t="shared" si="19"/>
        <v/>
      </c>
      <c r="O44" s="2" t="str">
        <f t="shared" si="6"/>
        <v/>
      </c>
      <c r="P44" s="8" t="str">
        <f t="shared" si="7"/>
        <v/>
      </c>
      <c r="Q44" s="8" t="str">
        <f t="shared" si="8"/>
        <v/>
      </c>
      <c r="R44" s="111" t="str">
        <f t="shared" si="9"/>
        <v/>
      </c>
      <c r="S44" s="44" t="str">
        <f t="shared" si="10"/>
        <v/>
      </c>
      <c r="T44" s="37" t="str">
        <f t="shared" si="11"/>
        <v/>
      </c>
      <c r="U44" s="44" t="str">
        <f t="shared" si="12"/>
        <v/>
      </c>
      <c r="V44" s="26"/>
      <c r="W44" s="26"/>
      <c r="X44" s="26"/>
      <c r="Y44" s="26"/>
      <c r="Z44" s="24"/>
      <c r="AA44" s="169">
        <f t="shared" si="13"/>
        <v>0</v>
      </c>
      <c r="AB44" s="4">
        <f t="shared" si="14"/>
        <v>0</v>
      </c>
      <c r="AC44" s="170">
        <f t="shared" si="21"/>
        <v>0</v>
      </c>
      <c r="AD44" s="58"/>
      <c r="AE44" s="58"/>
      <c r="AF44" s="58"/>
      <c r="AG44" s="59">
        <f t="shared" si="1"/>
        <v>9.0359999999999996</v>
      </c>
      <c r="AH44" s="59">
        <f t="shared" si="2"/>
        <v>-184.49199999999999</v>
      </c>
      <c r="AJ44" s="4">
        <f>IF(D44="M",IF(AM44&lt;78,BMILMS!$D$5*AM44^3+BMILMS!$E$5*AM44^2+BMILMS!$F$5*AM44+BMILMS!$G$5,IF(AM44&lt;150,BMILMS!$D$6*AM44^3+BMILMS!$E$6*AM44^2+BMILMS!$F$6*AM44+BMILMS!$G$6,BMILMS!$D$7*AM44^3+BMILMS!$E$7*AM44^2+BMILMS!$F$7*AM44+BMILMS!$G$7)),IF(AM44&lt;69,BMILMS!$D$9*AM44^3+BMILMS!$E$9*AM44^2+BMILMS!$F$9*AM44+BMILMS!$G$9,IF(AM44&lt;150,BMILMS!$D$10*AM44^3+BMILMS!$E$10*AM44^2+BMILMS!$F$10*AM44+BMILMS!$G$10,BMILMS!$D$11*AM44^3+BMILMS!$E$11*AM44^2+BMILMS!$F$11*AM44+BMILMS!$G$11)))</f>
        <v>0.79584630099999998</v>
      </c>
      <c r="AK44" s="4">
        <f>IF(D44="M",(IF(AM44&lt;2.5,BMILMS!$D$21*AM44^3+BMILMS!$E$21*AM44^2+BMILMS!$F$21*AM44+BMILMS!$G$21,IF(AM44&lt;9.5,BMILMS!$D$22*AM44^3+BMILMS!$E$22*AM44^2+BMILMS!$F$22*AM44+BMILMS!$G$22,IF(AM44&lt;26.75,BMILMS!$D$23*AM44^3+BMILMS!$E$23*AM44^2+BMILMS!$F$23*AM44+BMILMS!$G$23,IF(AM44&lt;90,BMILMS!$D$24*AM44^3+BMILMS!$E$24*AM44^2+BMILMS!$F$24*AM44+BMILMS!$G$24,BMILMS!$D$25*AM44^3+BMILMS!$E$25*AM44^2+BMILMS!$F$25*AM44+BMILMS!$G$25))))),(IF(AM44&lt;2.5,BMILMS!$D$27*AM44^3+BMILMS!$E$27*AM44^2+BMILMS!$F$27*AM44+BMILMS!$G$27,IF(AM44&lt;9.5,BMILMS!$D$28*AM44^3+BMILMS!$E$28*AM44^2+BMILMS!$F$28*AM44+BMILMS!$G$28,IF(AM44&lt;26.75,BMILMS!$D$29*AM44^3+BMILMS!$E$29*AM44^2+BMILMS!$F$29*AM44+BMILMS!$G$29,IF(AM44&lt;90,BMILMS!$D$30*AM44^3+BMILMS!$E$30*AM44^2+BMILMS!$F$30*AM44+BMILMS!$G$30,IF(AM44&lt;150,BMILMS!$D$31*AM44^3+BMILMS!$E$31*AM44^2+BMILMS!$F$31*AM44+BMILMS!$G$31,BMILMS!$D$32*AM44^3+BMILMS!$E$32*AM44^2+BMILMS!$F$32*AM44+BMILMS!$G$32)))))))</f>
        <v>12.568967990000001</v>
      </c>
      <c r="AL44" s="4">
        <f>IF(D44="M",(IF(AM44&lt;90,BMILMS!$D$14*AM44^3+BMILMS!$E$14*AM44^2+BMILMS!$F$14*AM44+BMILMS!$G$14,BMILMS!$D$15*AM44^3+BMILMS!$E$15*AM44^2+BMILMS!$F$15*AM44+BMILMS!$G$15)),(IF(AM44&lt;90,BMILMS!$D$17*AM44^3+BMILMS!$E$17*AM44^2+BMILMS!$F$17*AM44+BMILMS!$G$17,BMILMS!$D$18*AM44^3+BMILMS!$E$18*AM44^2+BMILMS!$F$18*AM44+BMILMS!$G$18)))</f>
        <v>8.8969350000000003E-2</v>
      </c>
      <c r="AM44" s="4">
        <f t="shared" si="20"/>
        <v>0</v>
      </c>
      <c r="AO44" s="56">
        <f>IF(D44="M",WeightSDS!P$5*$AM44^7+WeightSDS!Q$5*$AM44^6+WeightSDS!R$5*$AM44^5+WeightSDS!S$5*$AM44^4+WeightSDS!T$5*$AM44^3+WeightSDS!U$5*$AM44^2+WeightSDS!V$5*$AM44+WeightSDS!W$5,IF($AM44&lt;186,WeightSDS!P$8*$AM44^7+WeightSDS!Q$8*$AM44^6+WeightSDS!R$8*$AM44^5+WeightSDS!S$8*$AM44^4+WeightSDS!T$8*$AM44^3+WeightSDS!U$8*$AM44^2+WeightSDS!V$8*$AM44+WeightSDS!W$8,WeightSDS!$U$9+WeightSDS!$V$9*($AM44-WeightSDS!$W$9)))</f>
        <v>0.75407122999999998</v>
      </c>
      <c r="AP44" s="4">
        <f>IF(D44="M",IF($AM44&lt;45,WeightSDS!M$23*$AM44^10+WeightSDS!N$23*$AM44^9+WeightSDS!O$23*$AM44^8+WeightSDS!P$23*$AM44^7+WeightSDS!Q$23*$AM44^6+WeightSDS!R$23*$AM44^5+WeightSDS!S$23*$AM44^4+WeightSDS!T$23*$AM44^3+WeightSDS!U$23*$AM44^2+WeightSDS!V$23*$AM44+WeightSDS!W$23,IF($AM44&lt;153,WeightSDS!M$25*$AM44^10+WeightSDS!N$25*$AM44^9+WeightSDS!O$25*$AM44^8+WeightSDS!P$25*$AM44^7+WeightSDS!Q$25*$AM44^6+WeightSDS!R$25*$AM44^5+WeightSDS!S$25*$AM44^4+WeightSDS!T$25*$AM44^3+WeightSDS!U$25*$AM44^2+WeightSDS!V$25*$AM44+WeightSDS!W$25,WeightSDS!M$27+WeightSDS!N$27/(1+EXP(WeightSDS!O$27+WeightSDS!P$27*$AM44)))),IF($AM44&lt;43.8,WeightSDS!M$29*$AM44^10+WeightSDS!N$29*$AM44^9+WeightSDS!O$29*$AM44^8+WeightSDS!P$29*$AM44^7+WeightSDS!Q$29*$AM44^6+WeightSDS!R$29*$AM44^5+WeightSDS!S$29*$AM44^4+WeightSDS!T$29*$AM44^3+WeightSDS!U$29*$AM44^2+WeightSDS!V$29*$AM44+WeightSDS!W$29-0.010431*(1-$AM44/210),IF($AM44&lt;123,WeightSDS!M$30*$AM44^10+WeightSDS!N$30*$AM44^9+WeightSDS!O$30*$AM44^8+WeightSDS!P$30*$AM44^7+WeightSDS!Q$30*$AM44^6+WeightSDS!R$30*$AM44^5+WeightSDS!S$30*$AM44^4+WeightSDS!T$30*$AM44^3+WeightSDS!U$30*$AM44^2+WeightSDS!V$30*$AM44+WeightSDS!W$30-0.010431*(1-1/$AM44),WeightSDS!M$32+WeightSDS!N$32/(1+EXP(WeightSDS!O$32+WeightSDS!P$32*$AM44))-0.010431*(1-$AM44/210))))</f>
        <v>2.9500001032655536</v>
      </c>
      <c r="AQ44" s="4">
        <f>IF(D44="M",IF($AM44&lt;162,WeightSDS!P$12*$AM44^7+WeightSDS!Q$12*$AM44^6+WeightSDS!R$12*$AM44^5+WeightSDS!S$12*$AM44^4+WeightSDS!T$12*$AM44^3+WeightSDS!U$12*$AM44^2+WeightSDS!V$12*$AM44+WeightSDS!W$12,WeightSDS!P$14*$AM44^7+WeightSDS!Q$14*$AM44^6+WeightSDS!R$14*$AM44^5+WeightSDS!S$14*$AM44^4+WeightSDS!T$14*$AM44^3+WeightSDS!U$14*$AM44^2+WeightSDS!V$14*$AM44+WeightSDS!W$14),IF($AM44&lt;156,WeightSDS!O$17*$AM44^8+WeightSDS!P$17*$AM44^7+WeightSDS!Q$17*$AM44^6+WeightSDS!R$17*$AM44^5+WeightSDS!S$17*$AM44^4+WeightSDS!T$17*$AM44^3+WeightSDS!U$17*$AM44^2+WeightSDS!V$17*$AM44+WeightSDS!W$17,IF($AM44&lt;186,WeightSDS!$U$18+(WeightSDS!$V$18-WeightSDS!$U$18)/24*($AM44-186)+WeightSDS!$W$18*(-$AM44+186)^2-0.005,WeightSDS!$U$18+(WeightSDS!$V$18-WeightSDS!$U$18)/24*($AM44-186)-0.005)))</f>
        <v>0.14604529399999999</v>
      </c>
      <c r="AT44" s="4">
        <f t="shared" si="16"/>
        <v>0.56299999999999994</v>
      </c>
      <c r="AU44" s="4">
        <f t="shared" si="17"/>
        <v>69</v>
      </c>
      <c r="AV44" s="4">
        <f t="shared" si="18"/>
        <v>0.51</v>
      </c>
    </row>
    <row r="45" spans="1:48" x14ac:dyDescent="0.15">
      <c r="A45" s="4"/>
      <c r="B45" s="21"/>
      <c r="C45" s="21"/>
      <c r="D45" s="21"/>
      <c r="E45" s="22"/>
      <c r="F45" s="22"/>
      <c r="G45" s="23"/>
      <c r="H45" s="23"/>
      <c r="I45" s="181"/>
      <c r="J45" s="8" t="str">
        <f t="shared" si="3"/>
        <v/>
      </c>
      <c r="K45" s="2" t="str">
        <f t="shared" si="4"/>
        <v/>
      </c>
      <c r="L45" s="2" t="str">
        <f t="shared" si="0"/>
        <v/>
      </c>
      <c r="M45" s="2" t="str">
        <f t="shared" si="5"/>
        <v/>
      </c>
      <c r="N45" s="2" t="str">
        <f t="shared" si="19"/>
        <v/>
      </c>
      <c r="O45" s="2" t="str">
        <f t="shared" si="6"/>
        <v/>
      </c>
      <c r="P45" s="8" t="str">
        <f t="shared" si="7"/>
        <v/>
      </c>
      <c r="Q45" s="8" t="str">
        <f t="shared" si="8"/>
        <v/>
      </c>
      <c r="R45" s="111" t="str">
        <f t="shared" si="9"/>
        <v/>
      </c>
      <c r="S45" s="44" t="str">
        <f t="shared" si="10"/>
        <v/>
      </c>
      <c r="T45" s="37" t="str">
        <f t="shared" si="11"/>
        <v/>
      </c>
      <c r="U45" s="44" t="str">
        <f t="shared" si="12"/>
        <v/>
      </c>
      <c r="V45" s="26"/>
      <c r="W45" s="26"/>
      <c r="X45" s="26"/>
      <c r="Y45" s="26"/>
      <c r="Z45" s="24"/>
      <c r="AA45" s="169">
        <f t="shared" si="13"/>
        <v>0</v>
      </c>
      <c r="AB45" s="4">
        <f t="shared" si="14"/>
        <v>0</v>
      </c>
      <c r="AC45" s="170">
        <f t="shared" si="21"/>
        <v>0</v>
      </c>
      <c r="AD45" s="58"/>
      <c r="AE45" s="58"/>
      <c r="AF45" s="58"/>
      <c r="AG45" s="59">
        <f t="shared" si="1"/>
        <v>9.0359999999999996</v>
      </c>
      <c r="AH45" s="59">
        <f t="shared" si="2"/>
        <v>-184.49199999999999</v>
      </c>
      <c r="AJ45" s="4">
        <f>IF(D45="M",IF(AM45&lt;78,BMILMS!$D$5*AM45^3+BMILMS!$E$5*AM45^2+BMILMS!$F$5*AM45+BMILMS!$G$5,IF(AM45&lt;150,BMILMS!$D$6*AM45^3+BMILMS!$E$6*AM45^2+BMILMS!$F$6*AM45+BMILMS!$G$6,BMILMS!$D$7*AM45^3+BMILMS!$E$7*AM45^2+BMILMS!$F$7*AM45+BMILMS!$G$7)),IF(AM45&lt;69,BMILMS!$D$9*AM45^3+BMILMS!$E$9*AM45^2+BMILMS!$F$9*AM45+BMILMS!$G$9,IF(AM45&lt;150,BMILMS!$D$10*AM45^3+BMILMS!$E$10*AM45^2+BMILMS!$F$10*AM45+BMILMS!$G$10,BMILMS!$D$11*AM45^3+BMILMS!$E$11*AM45^2+BMILMS!$F$11*AM45+BMILMS!$G$11)))</f>
        <v>0.79584630099999998</v>
      </c>
      <c r="AK45" s="4">
        <f>IF(D45="M",(IF(AM45&lt;2.5,BMILMS!$D$21*AM45^3+BMILMS!$E$21*AM45^2+BMILMS!$F$21*AM45+BMILMS!$G$21,IF(AM45&lt;9.5,BMILMS!$D$22*AM45^3+BMILMS!$E$22*AM45^2+BMILMS!$F$22*AM45+BMILMS!$G$22,IF(AM45&lt;26.75,BMILMS!$D$23*AM45^3+BMILMS!$E$23*AM45^2+BMILMS!$F$23*AM45+BMILMS!$G$23,IF(AM45&lt;90,BMILMS!$D$24*AM45^3+BMILMS!$E$24*AM45^2+BMILMS!$F$24*AM45+BMILMS!$G$24,BMILMS!$D$25*AM45^3+BMILMS!$E$25*AM45^2+BMILMS!$F$25*AM45+BMILMS!$G$25))))),(IF(AM45&lt;2.5,BMILMS!$D$27*AM45^3+BMILMS!$E$27*AM45^2+BMILMS!$F$27*AM45+BMILMS!$G$27,IF(AM45&lt;9.5,BMILMS!$D$28*AM45^3+BMILMS!$E$28*AM45^2+BMILMS!$F$28*AM45+BMILMS!$G$28,IF(AM45&lt;26.75,BMILMS!$D$29*AM45^3+BMILMS!$E$29*AM45^2+BMILMS!$F$29*AM45+BMILMS!$G$29,IF(AM45&lt;90,BMILMS!$D$30*AM45^3+BMILMS!$E$30*AM45^2+BMILMS!$F$30*AM45+BMILMS!$G$30,IF(AM45&lt;150,BMILMS!$D$31*AM45^3+BMILMS!$E$31*AM45^2+BMILMS!$F$31*AM45+BMILMS!$G$31,BMILMS!$D$32*AM45^3+BMILMS!$E$32*AM45^2+BMILMS!$F$32*AM45+BMILMS!$G$32)))))))</f>
        <v>12.568967990000001</v>
      </c>
      <c r="AL45" s="4">
        <f>IF(D45="M",(IF(AM45&lt;90,BMILMS!$D$14*AM45^3+BMILMS!$E$14*AM45^2+BMILMS!$F$14*AM45+BMILMS!$G$14,BMILMS!$D$15*AM45^3+BMILMS!$E$15*AM45^2+BMILMS!$F$15*AM45+BMILMS!$G$15)),(IF(AM45&lt;90,BMILMS!$D$17*AM45^3+BMILMS!$E$17*AM45^2+BMILMS!$F$17*AM45+BMILMS!$G$17,BMILMS!$D$18*AM45^3+BMILMS!$E$18*AM45^2+BMILMS!$F$18*AM45+BMILMS!$G$18)))</f>
        <v>8.8969350000000003E-2</v>
      </c>
      <c r="AM45" s="4">
        <f t="shared" si="20"/>
        <v>0</v>
      </c>
      <c r="AO45" s="56">
        <f>IF(D45="M",WeightSDS!P$5*$AM45^7+WeightSDS!Q$5*$AM45^6+WeightSDS!R$5*$AM45^5+WeightSDS!S$5*$AM45^4+WeightSDS!T$5*$AM45^3+WeightSDS!U$5*$AM45^2+WeightSDS!V$5*$AM45+WeightSDS!W$5,IF($AM45&lt;186,WeightSDS!P$8*$AM45^7+WeightSDS!Q$8*$AM45^6+WeightSDS!R$8*$AM45^5+WeightSDS!S$8*$AM45^4+WeightSDS!T$8*$AM45^3+WeightSDS!U$8*$AM45^2+WeightSDS!V$8*$AM45+WeightSDS!W$8,WeightSDS!$U$9+WeightSDS!$V$9*($AM45-WeightSDS!$W$9)))</f>
        <v>0.75407122999999998</v>
      </c>
      <c r="AP45" s="4">
        <f>IF(D45="M",IF($AM45&lt;45,WeightSDS!M$23*$AM45^10+WeightSDS!N$23*$AM45^9+WeightSDS!O$23*$AM45^8+WeightSDS!P$23*$AM45^7+WeightSDS!Q$23*$AM45^6+WeightSDS!R$23*$AM45^5+WeightSDS!S$23*$AM45^4+WeightSDS!T$23*$AM45^3+WeightSDS!U$23*$AM45^2+WeightSDS!V$23*$AM45+WeightSDS!W$23,IF($AM45&lt;153,WeightSDS!M$25*$AM45^10+WeightSDS!N$25*$AM45^9+WeightSDS!O$25*$AM45^8+WeightSDS!P$25*$AM45^7+WeightSDS!Q$25*$AM45^6+WeightSDS!R$25*$AM45^5+WeightSDS!S$25*$AM45^4+WeightSDS!T$25*$AM45^3+WeightSDS!U$25*$AM45^2+WeightSDS!V$25*$AM45+WeightSDS!W$25,WeightSDS!M$27+WeightSDS!N$27/(1+EXP(WeightSDS!O$27+WeightSDS!P$27*$AM45)))),IF($AM45&lt;43.8,WeightSDS!M$29*$AM45^10+WeightSDS!N$29*$AM45^9+WeightSDS!O$29*$AM45^8+WeightSDS!P$29*$AM45^7+WeightSDS!Q$29*$AM45^6+WeightSDS!R$29*$AM45^5+WeightSDS!S$29*$AM45^4+WeightSDS!T$29*$AM45^3+WeightSDS!U$29*$AM45^2+WeightSDS!V$29*$AM45+WeightSDS!W$29-0.010431*(1-$AM45/210),IF($AM45&lt;123,WeightSDS!M$30*$AM45^10+WeightSDS!N$30*$AM45^9+WeightSDS!O$30*$AM45^8+WeightSDS!P$30*$AM45^7+WeightSDS!Q$30*$AM45^6+WeightSDS!R$30*$AM45^5+WeightSDS!S$30*$AM45^4+WeightSDS!T$30*$AM45^3+WeightSDS!U$30*$AM45^2+WeightSDS!V$30*$AM45+WeightSDS!W$30-0.010431*(1-1/$AM45),WeightSDS!M$32+WeightSDS!N$32/(1+EXP(WeightSDS!O$32+WeightSDS!P$32*$AM45))-0.010431*(1-$AM45/210))))</f>
        <v>2.9500001032655536</v>
      </c>
      <c r="AQ45" s="4">
        <f>IF(D45="M",IF($AM45&lt;162,WeightSDS!P$12*$AM45^7+WeightSDS!Q$12*$AM45^6+WeightSDS!R$12*$AM45^5+WeightSDS!S$12*$AM45^4+WeightSDS!T$12*$AM45^3+WeightSDS!U$12*$AM45^2+WeightSDS!V$12*$AM45+WeightSDS!W$12,WeightSDS!P$14*$AM45^7+WeightSDS!Q$14*$AM45^6+WeightSDS!R$14*$AM45^5+WeightSDS!S$14*$AM45^4+WeightSDS!T$14*$AM45^3+WeightSDS!U$14*$AM45^2+WeightSDS!V$14*$AM45+WeightSDS!W$14),IF($AM45&lt;156,WeightSDS!O$17*$AM45^8+WeightSDS!P$17*$AM45^7+WeightSDS!Q$17*$AM45^6+WeightSDS!R$17*$AM45^5+WeightSDS!S$17*$AM45^4+WeightSDS!T$17*$AM45^3+WeightSDS!U$17*$AM45^2+WeightSDS!V$17*$AM45+WeightSDS!W$17,IF($AM45&lt;186,WeightSDS!$U$18+(WeightSDS!$V$18-WeightSDS!$U$18)/24*($AM45-186)+WeightSDS!$W$18*(-$AM45+186)^2-0.005,WeightSDS!$U$18+(WeightSDS!$V$18-WeightSDS!$U$18)/24*($AM45-186)-0.005)))</f>
        <v>0.14604529399999999</v>
      </c>
      <c r="AT45" s="4">
        <f t="shared" si="16"/>
        <v>0.56299999999999994</v>
      </c>
      <c r="AU45" s="4">
        <f t="shared" si="17"/>
        <v>69</v>
      </c>
      <c r="AV45" s="4">
        <f t="shared" si="18"/>
        <v>0.51</v>
      </c>
    </row>
    <row r="46" spans="1:48" x14ac:dyDescent="0.15">
      <c r="A46" s="4"/>
      <c r="B46" s="21"/>
      <c r="C46" s="21"/>
      <c r="D46" s="21"/>
      <c r="E46" s="22"/>
      <c r="F46" s="22"/>
      <c r="G46" s="23"/>
      <c r="H46" s="23"/>
      <c r="I46" s="181"/>
      <c r="J46" s="8" t="str">
        <f t="shared" si="3"/>
        <v/>
      </c>
      <c r="K46" s="2" t="str">
        <f t="shared" si="4"/>
        <v/>
      </c>
      <c r="L46" s="2" t="str">
        <f t="shared" si="0"/>
        <v/>
      </c>
      <c r="M46" s="2" t="str">
        <f t="shared" si="5"/>
        <v/>
      </c>
      <c r="N46" s="2" t="str">
        <f t="shared" si="19"/>
        <v/>
      </c>
      <c r="O46" s="2" t="str">
        <f t="shared" si="6"/>
        <v/>
      </c>
      <c r="P46" s="8" t="str">
        <f t="shared" si="7"/>
        <v/>
      </c>
      <c r="Q46" s="8" t="str">
        <f t="shared" si="8"/>
        <v/>
      </c>
      <c r="R46" s="111" t="str">
        <f t="shared" si="9"/>
        <v/>
      </c>
      <c r="S46" s="44" t="str">
        <f t="shared" si="10"/>
        <v/>
      </c>
      <c r="T46" s="37" t="str">
        <f t="shared" si="11"/>
        <v/>
      </c>
      <c r="U46" s="44" t="str">
        <f t="shared" si="12"/>
        <v/>
      </c>
      <c r="V46" s="26"/>
      <c r="W46" s="26"/>
      <c r="X46" s="26"/>
      <c r="Y46" s="26"/>
      <c r="Z46" s="24"/>
      <c r="AA46" s="169">
        <f t="shared" si="13"/>
        <v>0</v>
      </c>
      <c r="AB46" s="4">
        <f t="shared" si="14"/>
        <v>0</v>
      </c>
      <c r="AC46" s="170">
        <f t="shared" si="21"/>
        <v>0</v>
      </c>
      <c r="AD46" s="58"/>
      <c r="AE46" s="58"/>
      <c r="AF46" s="58"/>
      <c r="AG46" s="59">
        <f t="shared" si="1"/>
        <v>9.0359999999999996</v>
      </c>
      <c r="AH46" s="59">
        <f t="shared" si="2"/>
        <v>-184.49199999999999</v>
      </c>
      <c r="AJ46" s="4">
        <f>IF(D46="M",IF(AM46&lt;78,BMILMS!$D$5*AM46^3+BMILMS!$E$5*AM46^2+BMILMS!$F$5*AM46+BMILMS!$G$5,IF(AM46&lt;150,BMILMS!$D$6*AM46^3+BMILMS!$E$6*AM46^2+BMILMS!$F$6*AM46+BMILMS!$G$6,BMILMS!$D$7*AM46^3+BMILMS!$E$7*AM46^2+BMILMS!$F$7*AM46+BMILMS!$G$7)),IF(AM46&lt;69,BMILMS!$D$9*AM46^3+BMILMS!$E$9*AM46^2+BMILMS!$F$9*AM46+BMILMS!$G$9,IF(AM46&lt;150,BMILMS!$D$10*AM46^3+BMILMS!$E$10*AM46^2+BMILMS!$F$10*AM46+BMILMS!$G$10,BMILMS!$D$11*AM46^3+BMILMS!$E$11*AM46^2+BMILMS!$F$11*AM46+BMILMS!$G$11)))</f>
        <v>0.79584630099999998</v>
      </c>
      <c r="AK46" s="4">
        <f>IF(D46="M",(IF(AM46&lt;2.5,BMILMS!$D$21*AM46^3+BMILMS!$E$21*AM46^2+BMILMS!$F$21*AM46+BMILMS!$G$21,IF(AM46&lt;9.5,BMILMS!$D$22*AM46^3+BMILMS!$E$22*AM46^2+BMILMS!$F$22*AM46+BMILMS!$G$22,IF(AM46&lt;26.75,BMILMS!$D$23*AM46^3+BMILMS!$E$23*AM46^2+BMILMS!$F$23*AM46+BMILMS!$G$23,IF(AM46&lt;90,BMILMS!$D$24*AM46^3+BMILMS!$E$24*AM46^2+BMILMS!$F$24*AM46+BMILMS!$G$24,BMILMS!$D$25*AM46^3+BMILMS!$E$25*AM46^2+BMILMS!$F$25*AM46+BMILMS!$G$25))))),(IF(AM46&lt;2.5,BMILMS!$D$27*AM46^3+BMILMS!$E$27*AM46^2+BMILMS!$F$27*AM46+BMILMS!$G$27,IF(AM46&lt;9.5,BMILMS!$D$28*AM46^3+BMILMS!$E$28*AM46^2+BMILMS!$F$28*AM46+BMILMS!$G$28,IF(AM46&lt;26.75,BMILMS!$D$29*AM46^3+BMILMS!$E$29*AM46^2+BMILMS!$F$29*AM46+BMILMS!$G$29,IF(AM46&lt;90,BMILMS!$D$30*AM46^3+BMILMS!$E$30*AM46^2+BMILMS!$F$30*AM46+BMILMS!$G$30,IF(AM46&lt;150,BMILMS!$D$31*AM46^3+BMILMS!$E$31*AM46^2+BMILMS!$F$31*AM46+BMILMS!$G$31,BMILMS!$D$32*AM46^3+BMILMS!$E$32*AM46^2+BMILMS!$F$32*AM46+BMILMS!$G$32)))))))</f>
        <v>12.568967990000001</v>
      </c>
      <c r="AL46" s="4">
        <f>IF(D46="M",(IF(AM46&lt;90,BMILMS!$D$14*AM46^3+BMILMS!$E$14*AM46^2+BMILMS!$F$14*AM46+BMILMS!$G$14,BMILMS!$D$15*AM46^3+BMILMS!$E$15*AM46^2+BMILMS!$F$15*AM46+BMILMS!$G$15)),(IF(AM46&lt;90,BMILMS!$D$17*AM46^3+BMILMS!$E$17*AM46^2+BMILMS!$F$17*AM46+BMILMS!$G$17,BMILMS!$D$18*AM46^3+BMILMS!$E$18*AM46^2+BMILMS!$F$18*AM46+BMILMS!$G$18)))</f>
        <v>8.8969350000000003E-2</v>
      </c>
      <c r="AM46" s="4">
        <f t="shared" si="20"/>
        <v>0</v>
      </c>
      <c r="AO46" s="56">
        <f>IF(D46="M",WeightSDS!P$5*$AM46^7+WeightSDS!Q$5*$AM46^6+WeightSDS!R$5*$AM46^5+WeightSDS!S$5*$AM46^4+WeightSDS!T$5*$AM46^3+WeightSDS!U$5*$AM46^2+WeightSDS!V$5*$AM46+WeightSDS!W$5,IF($AM46&lt;186,WeightSDS!P$8*$AM46^7+WeightSDS!Q$8*$AM46^6+WeightSDS!R$8*$AM46^5+WeightSDS!S$8*$AM46^4+WeightSDS!T$8*$AM46^3+WeightSDS!U$8*$AM46^2+WeightSDS!V$8*$AM46+WeightSDS!W$8,WeightSDS!$U$9+WeightSDS!$V$9*($AM46-WeightSDS!$W$9)))</f>
        <v>0.75407122999999998</v>
      </c>
      <c r="AP46" s="4">
        <f>IF(D46="M",IF($AM46&lt;45,WeightSDS!M$23*$AM46^10+WeightSDS!N$23*$AM46^9+WeightSDS!O$23*$AM46^8+WeightSDS!P$23*$AM46^7+WeightSDS!Q$23*$AM46^6+WeightSDS!R$23*$AM46^5+WeightSDS!S$23*$AM46^4+WeightSDS!T$23*$AM46^3+WeightSDS!U$23*$AM46^2+WeightSDS!V$23*$AM46+WeightSDS!W$23,IF($AM46&lt;153,WeightSDS!M$25*$AM46^10+WeightSDS!N$25*$AM46^9+WeightSDS!O$25*$AM46^8+WeightSDS!P$25*$AM46^7+WeightSDS!Q$25*$AM46^6+WeightSDS!R$25*$AM46^5+WeightSDS!S$25*$AM46^4+WeightSDS!T$25*$AM46^3+WeightSDS!U$25*$AM46^2+WeightSDS!V$25*$AM46+WeightSDS!W$25,WeightSDS!M$27+WeightSDS!N$27/(1+EXP(WeightSDS!O$27+WeightSDS!P$27*$AM46)))),IF($AM46&lt;43.8,WeightSDS!M$29*$AM46^10+WeightSDS!N$29*$AM46^9+WeightSDS!O$29*$AM46^8+WeightSDS!P$29*$AM46^7+WeightSDS!Q$29*$AM46^6+WeightSDS!R$29*$AM46^5+WeightSDS!S$29*$AM46^4+WeightSDS!T$29*$AM46^3+WeightSDS!U$29*$AM46^2+WeightSDS!V$29*$AM46+WeightSDS!W$29-0.010431*(1-$AM46/210),IF($AM46&lt;123,WeightSDS!M$30*$AM46^10+WeightSDS!N$30*$AM46^9+WeightSDS!O$30*$AM46^8+WeightSDS!P$30*$AM46^7+WeightSDS!Q$30*$AM46^6+WeightSDS!R$30*$AM46^5+WeightSDS!S$30*$AM46^4+WeightSDS!T$30*$AM46^3+WeightSDS!U$30*$AM46^2+WeightSDS!V$30*$AM46+WeightSDS!W$30-0.010431*(1-1/$AM46),WeightSDS!M$32+WeightSDS!N$32/(1+EXP(WeightSDS!O$32+WeightSDS!P$32*$AM46))-0.010431*(1-$AM46/210))))</f>
        <v>2.9500001032655536</v>
      </c>
      <c r="AQ46" s="4">
        <f>IF(D46="M",IF($AM46&lt;162,WeightSDS!P$12*$AM46^7+WeightSDS!Q$12*$AM46^6+WeightSDS!R$12*$AM46^5+WeightSDS!S$12*$AM46^4+WeightSDS!T$12*$AM46^3+WeightSDS!U$12*$AM46^2+WeightSDS!V$12*$AM46+WeightSDS!W$12,WeightSDS!P$14*$AM46^7+WeightSDS!Q$14*$AM46^6+WeightSDS!R$14*$AM46^5+WeightSDS!S$14*$AM46^4+WeightSDS!T$14*$AM46^3+WeightSDS!U$14*$AM46^2+WeightSDS!V$14*$AM46+WeightSDS!W$14),IF($AM46&lt;156,WeightSDS!O$17*$AM46^8+WeightSDS!P$17*$AM46^7+WeightSDS!Q$17*$AM46^6+WeightSDS!R$17*$AM46^5+WeightSDS!S$17*$AM46^4+WeightSDS!T$17*$AM46^3+WeightSDS!U$17*$AM46^2+WeightSDS!V$17*$AM46+WeightSDS!W$17,IF($AM46&lt;186,WeightSDS!$U$18+(WeightSDS!$V$18-WeightSDS!$U$18)/24*($AM46-186)+WeightSDS!$W$18*(-$AM46+186)^2-0.005,WeightSDS!$U$18+(WeightSDS!$V$18-WeightSDS!$U$18)/24*($AM46-186)-0.005)))</f>
        <v>0.14604529399999999</v>
      </c>
      <c r="AT46" s="4">
        <f t="shared" si="16"/>
        <v>0.56299999999999994</v>
      </c>
      <c r="AU46" s="4">
        <f t="shared" si="17"/>
        <v>69</v>
      </c>
      <c r="AV46" s="4">
        <f t="shared" si="18"/>
        <v>0.51</v>
      </c>
    </row>
    <row r="47" spans="1:48" x14ac:dyDescent="0.15">
      <c r="A47" s="4"/>
      <c r="B47" s="21"/>
      <c r="C47" s="21"/>
      <c r="D47" s="21"/>
      <c r="E47" s="22"/>
      <c r="F47" s="22"/>
      <c r="G47" s="23"/>
      <c r="H47" s="23"/>
      <c r="I47" s="181"/>
      <c r="J47" s="8" t="str">
        <f t="shared" si="3"/>
        <v/>
      </c>
      <c r="K47" s="2" t="str">
        <f t="shared" si="4"/>
        <v/>
      </c>
      <c r="L47" s="2" t="str">
        <f t="shared" si="0"/>
        <v/>
      </c>
      <c r="M47" s="2" t="str">
        <f t="shared" si="5"/>
        <v/>
      </c>
      <c r="N47" s="2" t="str">
        <f t="shared" si="19"/>
        <v/>
      </c>
      <c r="O47" s="2" t="str">
        <f t="shared" si="6"/>
        <v/>
      </c>
      <c r="P47" s="8" t="str">
        <f t="shared" si="7"/>
        <v/>
      </c>
      <c r="Q47" s="8" t="str">
        <f t="shared" si="8"/>
        <v/>
      </c>
      <c r="R47" s="111" t="str">
        <f t="shared" si="9"/>
        <v/>
      </c>
      <c r="S47" s="44" t="str">
        <f t="shared" si="10"/>
        <v/>
      </c>
      <c r="T47" s="37" t="str">
        <f t="shared" si="11"/>
        <v/>
      </c>
      <c r="U47" s="44" t="str">
        <f t="shared" si="12"/>
        <v/>
      </c>
      <c r="V47" s="26"/>
      <c r="W47" s="26"/>
      <c r="X47" s="26"/>
      <c r="Y47" s="26"/>
      <c r="Z47" s="24"/>
      <c r="AA47" s="169">
        <f t="shared" si="13"/>
        <v>0</v>
      </c>
      <c r="AB47" s="4">
        <f t="shared" si="14"/>
        <v>0</v>
      </c>
      <c r="AC47" s="170">
        <f t="shared" si="21"/>
        <v>0</v>
      </c>
      <c r="AD47" s="58"/>
      <c r="AE47" s="58"/>
      <c r="AF47" s="58"/>
      <c r="AG47" s="59">
        <f t="shared" si="1"/>
        <v>9.0359999999999996</v>
      </c>
      <c r="AH47" s="59">
        <f t="shared" si="2"/>
        <v>-184.49199999999999</v>
      </c>
      <c r="AJ47" s="4">
        <f>IF(D47="M",IF(AM47&lt;78,BMILMS!$D$5*AM47^3+BMILMS!$E$5*AM47^2+BMILMS!$F$5*AM47+BMILMS!$G$5,IF(AM47&lt;150,BMILMS!$D$6*AM47^3+BMILMS!$E$6*AM47^2+BMILMS!$F$6*AM47+BMILMS!$G$6,BMILMS!$D$7*AM47^3+BMILMS!$E$7*AM47^2+BMILMS!$F$7*AM47+BMILMS!$G$7)),IF(AM47&lt;69,BMILMS!$D$9*AM47^3+BMILMS!$E$9*AM47^2+BMILMS!$F$9*AM47+BMILMS!$G$9,IF(AM47&lt;150,BMILMS!$D$10*AM47^3+BMILMS!$E$10*AM47^2+BMILMS!$F$10*AM47+BMILMS!$G$10,BMILMS!$D$11*AM47^3+BMILMS!$E$11*AM47^2+BMILMS!$F$11*AM47+BMILMS!$G$11)))</f>
        <v>0.79584630099999998</v>
      </c>
      <c r="AK47" s="4">
        <f>IF(D47="M",(IF(AM47&lt;2.5,BMILMS!$D$21*AM47^3+BMILMS!$E$21*AM47^2+BMILMS!$F$21*AM47+BMILMS!$G$21,IF(AM47&lt;9.5,BMILMS!$D$22*AM47^3+BMILMS!$E$22*AM47^2+BMILMS!$F$22*AM47+BMILMS!$G$22,IF(AM47&lt;26.75,BMILMS!$D$23*AM47^3+BMILMS!$E$23*AM47^2+BMILMS!$F$23*AM47+BMILMS!$G$23,IF(AM47&lt;90,BMILMS!$D$24*AM47^3+BMILMS!$E$24*AM47^2+BMILMS!$F$24*AM47+BMILMS!$G$24,BMILMS!$D$25*AM47^3+BMILMS!$E$25*AM47^2+BMILMS!$F$25*AM47+BMILMS!$G$25))))),(IF(AM47&lt;2.5,BMILMS!$D$27*AM47^3+BMILMS!$E$27*AM47^2+BMILMS!$F$27*AM47+BMILMS!$G$27,IF(AM47&lt;9.5,BMILMS!$D$28*AM47^3+BMILMS!$E$28*AM47^2+BMILMS!$F$28*AM47+BMILMS!$G$28,IF(AM47&lt;26.75,BMILMS!$D$29*AM47^3+BMILMS!$E$29*AM47^2+BMILMS!$F$29*AM47+BMILMS!$G$29,IF(AM47&lt;90,BMILMS!$D$30*AM47^3+BMILMS!$E$30*AM47^2+BMILMS!$F$30*AM47+BMILMS!$G$30,IF(AM47&lt;150,BMILMS!$D$31*AM47^3+BMILMS!$E$31*AM47^2+BMILMS!$F$31*AM47+BMILMS!$G$31,BMILMS!$D$32*AM47^3+BMILMS!$E$32*AM47^2+BMILMS!$F$32*AM47+BMILMS!$G$32)))))))</f>
        <v>12.568967990000001</v>
      </c>
      <c r="AL47" s="4">
        <f>IF(D47="M",(IF(AM47&lt;90,BMILMS!$D$14*AM47^3+BMILMS!$E$14*AM47^2+BMILMS!$F$14*AM47+BMILMS!$G$14,BMILMS!$D$15*AM47^3+BMILMS!$E$15*AM47^2+BMILMS!$F$15*AM47+BMILMS!$G$15)),(IF(AM47&lt;90,BMILMS!$D$17*AM47^3+BMILMS!$E$17*AM47^2+BMILMS!$F$17*AM47+BMILMS!$G$17,BMILMS!$D$18*AM47^3+BMILMS!$E$18*AM47^2+BMILMS!$F$18*AM47+BMILMS!$G$18)))</f>
        <v>8.8969350000000003E-2</v>
      </c>
      <c r="AM47" s="4">
        <f t="shared" si="20"/>
        <v>0</v>
      </c>
      <c r="AO47" s="56">
        <f>IF(D47="M",WeightSDS!P$5*$AM47^7+WeightSDS!Q$5*$AM47^6+WeightSDS!R$5*$AM47^5+WeightSDS!S$5*$AM47^4+WeightSDS!T$5*$AM47^3+WeightSDS!U$5*$AM47^2+WeightSDS!V$5*$AM47+WeightSDS!W$5,IF($AM47&lt;186,WeightSDS!P$8*$AM47^7+WeightSDS!Q$8*$AM47^6+WeightSDS!R$8*$AM47^5+WeightSDS!S$8*$AM47^4+WeightSDS!T$8*$AM47^3+WeightSDS!U$8*$AM47^2+WeightSDS!V$8*$AM47+WeightSDS!W$8,WeightSDS!$U$9+WeightSDS!$V$9*($AM47-WeightSDS!$W$9)))</f>
        <v>0.75407122999999998</v>
      </c>
      <c r="AP47" s="4">
        <f>IF(D47="M",IF($AM47&lt;45,WeightSDS!M$23*$AM47^10+WeightSDS!N$23*$AM47^9+WeightSDS!O$23*$AM47^8+WeightSDS!P$23*$AM47^7+WeightSDS!Q$23*$AM47^6+WeightSDS!R$23*$AM47^5+WeightSDS!S$23*$AM47^4+WeightSDS!T$23*$AM47^3+WeightSDS!U$23*$AM47^2+WeightSDS!V$23*$AM47+WeightSDS!W$23,IF($AM47&lt;153,WeightSDS!M$25*$AM47^10+WeightSDS!N$25*$AM47^9+WeightSDS!O$25*$AM47^8+WeightSDS!P$25*$AM47^7+WeightSDS!Q$25*$AM47^6+WeightSDS!R$25*$AM47^5+WeightSDS!S$25*$AM47^4+WeightSDS!T$25*$AM47^3+WeightSDS!U$25*$AM47^2+WeightSDS!V$25*$AM47+WeightSDS!W$25,WeightSDS!M$27+WeightSDS!N$27/(1+EXP(WeightSDS!O$27+WeightSDS!P$27*$AM47)))),IF($AM47&lt;43.8,WeightSDS!M$29*$AM47^10+WeightSDS!N$29*$AM47^9+WeightSDS!O$29*$AM47^8+WeightSDS!P$29*$AM47^7+WeightSDS!Q$29*$AM47^6+WeightSDS!R$29*$AM47^5+WeightSDS!S$29*$AM47^4+WeightSDS!T$29*$AM47^3+WeightSDS!U$29*$AM47^2+WeightSDS!V$29*$AM47+WeightSDS!W$29-0.010431*(1-$AM47/210),IF($AM47&lt;123,WeightSDS!M$30*$AM47^10+WeightSDS!N$30*$AM47^9+WeightSDS!O$30*$AM47^8+WeightSDS!P$30*$AM47^7+WeightSDS!Q$30*$AM47^6+WeightSDS!R$30*$AM47^5+WeightSDS!S$30*$AM47^4+WeightSDS!T$30*$AM47^3+WeightSDS!U$30*$AM47^2+WeightSDS!V$30*$AM47+WeightSDS!W$30-0.010431*(1-1/$AM47),WeightSDS!M$32+WeightSDS!N$32/(1+EXP(WeightSDS!O$32+WeightSDS!P$32*$AM47))-0.010431*(1-$AM47/210))))</f>
        <v>2.9500001032655536</v>
      </c>
      <c r="AQ47" s="4">
        <f>IF(D47="M",IF($AM47&lt;162,WeightSDS!P$12*$AM47^7+WeightSDS!Q$12*$AM47^6+WeightSDS!R$12*$AM47^5+WeightSDS!S$12*$AM47^4+WeightSDS!T$12*$AM47^3+WeightSDS!U$12*$AM47^2+WeightSDS!V$12*$AM47+WeightSDS!W$12,WeightSDS!P$14*$AM47^7+WeightSDS!Q$14*$AM47^6+WeightSDS!R$14*$AM47^5+WeightSDS!S$14*$AM47^4+WeightSDS!T$14*$AM47^3+WeightSDS!U$14*$AM47^2+WeightSDS!V$14*$AM47+WeightSDS!W$14),IF($AM47&lt;156,WeightSDS!O$17*$AM47^8+WeightSDS!P$17*$AM47^7+WeightSDS!Q$17*$AM47^6+WeightSDS!R$17*$AM47^5+WeightSDS!S$17*$AM47^4+WeightSDS!T$17*$AM47^3+WeightSDS!U$17*$AM47^2+WeightSDS!V$17*$AM47+WeightSDS!W$17,IF($AM47&lt;186,WeightSDS!$U$18+(WeightSDS!$V$18-WeightSDS!$U$18)/24*($AM47-186)+WeightSDS!$W$18*(-$AM47+186)^2-0.005,WeightSDS!$U$18+(WeightSDS!$V$18-WeightSDS!$U$18)/24*($AM47-186)-0.005)))</f>
        <v>0.14604529399999999</v>
      </c>
      <c r="AT47" s="4">
        <f t="shared" si="16"/>
        <v>0.56299999999999994</v>
      </c>
      <c r="AU47" s="4">
        <f t="shared" si="17"/>
        <v>69</v>
      </c>
      <c r="AV47" s="4">
        <f t="shared" si="18"/>
        <v>0.51</v>
      </c>
    </row>
    <row r="48" spans="1:48" x14ac:dyDescent="0.15">
      <c r="A48" s="4"/>
      <c r="B48" s="21"/>
      <c r="C48" s="21"/>
      <c r="D48" s="21"/>
      <c r="E48" s="22"/>
      <c r="F48" s="22"/>
      <c r="G48" s="23"/>
      <c r="H48" s="23"/>
      <c r="I48" s="181"/>
      <c r="J48" s="8" t="str">
        <f t="shared" si="3"/>
        <v/>
      </c>
      <c r="K48" s="2" t="str">
        <f t="shared" si="4"/>
        <v/>
      </c>
      <c r="L48" s="2" t="str">
        <f t="shared" si="0"/>
        <v/>
      </c>
      <c r="M48" s="2" t="str">
        <f t="shared" si="5"/>
        <v/>
      </c>
      <c r="N48" s="2" t="str">
        <f t="shared" si="19"/>
        <v/>
      </c>
      <c r="O48" s="2" t="str">
        <f t="shared" si="6"/>
        <v/>
      </c>
      <c r="P48" s="8" t="str">
        <f t="shared" si="7"/>
        <v/>
      </c>
      <c r="Q48" s="8" t="str">
        <f t="shared" si="8"/>
        <v/>
      </c>
      <c r="R48" s="111" t="str">
        <f t="shared" si="9"/>
        <v/>
      </c>
      <c r="S48" s="44" t="str">
        <f t="shared" si="10"/>
        <v/>
      </c>
      <c r="T48" s="37" t="str">
        <f t="shared" si="11"/>
        <v/>
      </c>
      <c r="U48" s="44" t="str">
        <f t="shared" si="12"/>
        <v/>
      </c>
      <c r="V48" s="26"/>
      <c r="W48" s="26"/>
      <c r="X48" s="26"/>
      <c r="Y48" s="26"/>
      <c r="Z48" s="24"/>
      <c r="AA48" s="169">
        <f t="shared" si="13"/>
        <v>0</v>
      </c>
      <c r="AB48" s="4">
        <f t="shared" si="14"/>
        <v>0</v>
      </c>
      <c r="AC48" s="170">
        <f t="shared" si="21"/>
        <v>0</v>
      </c>
      <c r="AD48" s="58"/>
      <c r="AE48" s="58"/>
      <c r="AF48" s="58"/>
      <c r="AG48" s="59">
        <f t="shared" si="1"/>
        <v>9.0359999999999996</v>
      </c>
      <c r="AH48" s="59">
        <f t="shared" si="2"/>
        <v>-184.49199999999999</v>
      </c>
      <c r="AJ48" s="4">
        <f>IF(D48="M",IF(AM48&lt;78,BMILMS!$D$5*AM48^3+BMILMS!$E$5*AM48^2+BMILMS!$F$5*AM48+BMILMS!$G$5,IF(AM48&lt;150,BMILMS!$D$6*AM48^3+BMILMS!$E$6*AM48^2+BMILMS!$F$6*AM48+BMILMS!$G$6,BMILMS!$D$7*AM48^3+BMILMS!$E$7*AM48^2+BMILMS!$F$7*AM48+BMILMS!$G$7)),IF(AM48&lt;69,BMILMS!$D$9*AM48^3+BMILMS!$E$9*AM48^2+BMILMS!$F$9*AM48+BMILMS!$G$9,IF(AM48&lt;150,BMILMS!$D$10*AM48^3+BMILMS!$E$10*AM48^2+BMILMS!$F$10*AM48+BMILMS!$G$10,BMILMS!$D$11*AM48^3+BMILMS!$E$11*AM48^2+BMILMS!$F$11*AM48+BMILMS!$G$11)))</f>
        <v>0.79584630099999998</v>
      </c>
      <c r="AK48" s="4">
        <f>IF(D48="M",(IF(AM48&lt;2.5,BMILMS!$D$21*AM48^3+BMILMS!$E$21*AM48^2+BMILMS!$F$21*AM48+BMILMS!$G$21,IF(AM48&lt;9.5,BMILMS!$D$22*AM48^3+BMILMS!$E$22*AM48^2+BMILMS!$F$22*AM48+BMILMS!$G$22,IF(AM48&lt;26.75,BMILMS!$D$23*AM48^3+BMILMS!$E$23*AM48^2+BMILMS!$F$23*AM48+BMILMS!$G$23,IF(AM48&lt;90,BMILMS!$D$24*AM48^3+BMILMS!$E$24*AM48^2+BMILMS!$F$24*AM48+BMILMS!$G$24,BMILMS!$D$25*AM48^3+BMILMS!$E$25*AM48^2+BMILMS!$F$25*AM48+BMILMS!$G$25))))),(IF(AM48&lt;2.5,BMILMS!$D$27*AM48^3+BMILMS!$E$27*AM48^2+BMILMS!$F$27*AM48+BMILMS!$G$27,IF(AM48&lt;9.5,BMILMS!$D$28*AM48^3+BMILMS!$E$28*AM48^2+BMILMS!$F$28*AM48+BMILMS!$G$28,IF(AM48&lt;26.75,BMILMS!$D$29*AM48^3+BMILMS!$E$29*AM48^2+BMILMS!$F$29*AM48+BMILMS!$G$29,IF(AM48&lt;90,BMILMS!$D$30*AM48^3+BMILMS!$E$30*AM48^2+BMILMS!$F$30*AM48+BMILMS!$G$30,IF(AM48&lt;150,BMILMS!$D$31*AM48^3+BMILMS!$E$31*AM48^2+BMILMS!$F$31*AM48+BMILMS!$G$31,BMILMS!$D$32*AM48^3+BMILMS!$E$32*AM48^2+BMILMS!$F$32*AM48+BMILMS!$G$32)))))))</f>
        <v>12.568967990000001</v>
      </c>
      <c r="AL48" s="4">
        <f>IF(D48="M",(IF(AM48&lt;90,BMILMS!$D$14*AM48^3+BMILMS!$E$14*AM48^2+BMILMS!$F$14*AM48+BMILMS!$G$14,BMILMS!$D$15*AM48^3+BMILMS!$E$15*AM48^2+BMILMS!$F$15*AM48+BMILMS!$G$15)),(IF(AM48&lt;90,BMILMS!$D$17*AM48^3+BMILMS!$E$17*AM48^2+BMILMS!$F$17*AM48+BMILMS!$G$17,BMILMS!$D$18*AM48^3+BMILMS!$E$18*AM48^2+BMILMS!$F$18*AM48+BMILMS!$G$18)))</f>
        <v>8.8969350000000003E-2</v>
      </c>
      <c r="AM48" s="4">
        <f t="shared" si="20"/>
        <v>0</v>
      </c>
      <c r="AO48" s="56">
        <f>IF(D48="M",WeightSDS!P$5*$AM48^7+WeightSDS!Q$5*$AM48^6+WeightSDS!R$5*$AM48^5+WeightSDS!S$5*$AM48^4+WeightSDS!T$5*$AM48^3+WeightSDS!U$5*$AM48^2+WeightSDS!V$5*$AM48+WeightSDS!W$5,IF($AM48&lt;186,WeightSDS!P$8*$AM48^7+WeightSDS!Q$8*$AM48^6+WeightSDS!R$8*$AM48^5+WeightSDS!S$8*$AM48^4+WeightSDS!T$8*$AM48^3+WeightSDS!U$8*$AM48^2+WeightSDS!V$8*$AM48+WeightSDS!W$8,WeightSDS!$U$9+WeightSDS!$V$9*($AM48-WeightSDS!$W$9)))</f>
        <v>0.75407122999999998</v>
      </c>
      <c r="AP48" s="4">
        <f>IF(D48="M",IF($AM48&lt;45,WeightSDS!M$23*$AM48^10+WeightSDS!N$23*$AM48^9+WeightSDS!O$23*$AM48^8+WeightSDS!P$23*$AM48^7+WeightSDS!Q$23*$AM48^6+WeightSDS!R$23*$AM48^5+WeightSDS!S$23*$AM48^4+WeightSDS!T$23*$AM48^3+WeightSDS!U$23*$AM48^2+WeightSDS!V$23*$AM48+WeightSDS!W$23,IF($AM48&lt;153,WeightSDS!M$25*$AM48^10+WeightSDS!N$25*$AM48^9+WeightSDS!O$25*$AM48^8+WeightSDS!P$25*$AM48^7+WeightSDS!Q$25*$AM48^6+WeightSDS!R$25*$AM48^5+WeightSDS!S$25*$AM48^4+WeightSDS!T$25*$AM48^3+WeightSDS!U$25*$AM48^2+WeightSDS!V$25*$AM48+WeightSDS!W$25,WeightSDS!M$27+WeightSDS!N$27/(1+EXP(WeightSDS!O$27+WeightSDS!P$27*$AM48)))),IF($AM48&lt;43.8,WeightSDS!M$29*$AM48^10+WeightSDS!N$29*$AM48^9+WeightSDS!O$29*$AM48^8+WeightSDS!P$29*$AM48^7+WeightSDS!Q$29*$AM48^6+WeightSDS!R$29*$AM48^5+WeightSDS!S$29*$AM48^4+WeightSDS!T$29*$AM48^3+WeightSDS!U$29*$AM48^2+WeightSDS!V$29*$AM48+WeightSDS!W$29-0.010431*(1-$AM48/210),IF($AM48&lt;123,WeightSDS!M$30*$AM48^10+WeightSDS!N$30*$AM48^9+WeightSDS!O$30*$AM48^8+WeightSDS!P$30*$AM48^7+WeightSDS!Q$30*$AM48^6+WeightSDS!R$30*$AM48^5+WeightSDS!S$30*$AM48^4+WeightSDS!T$30*$AM48^3+WeightSDS!U$30*$AM48^2+WeightSDS!V$30*$AM48+WeightSDS!W$30-0.010431*(1-1/$AM48),WeightSDS!M$32+WeightSDS!N$32/(1+EXP(WeightSDS!O$32+WeightSDS!P$32*$AM48))-0.010431*(1-$AM48/210))))</f>
        <v>2.9500001032655536</v>
      </c>
      <c r="AQ48" s="4">
        <f>IF(D48="M",IF($AM48&lt;162,WeightSDS!P$12*$AM48^7+WeightSDS!Q$12*$AM48^6+WeightSDS!R$12*$AM48^5+WeightSDS!S$12*$AM48^4+WeightSDS!T$12*$AM48^3+WeightSDS!U$12*$AM48^2+WeightSDS!V$12*$AM48+WeightSDS!W$12,WeightSDS!P$14*$AM48^7+WeightSDS!Q$14*$AM48^6+WeightSDS!R$14*$AM48^5+WeightSDS!S$14*$AM48^4+WeightSDS!T$14*$AM48^3+WeightSDS!U$14*$AM48^2+WeightSDS!V$14*$AM48+WeightSDS!W$14),IF($AM48&lt;156,WeightSDS!O$17*$AM48^8+WeightSDS!P$17*$AM48^7+WeightSDS!Q$17*$AM48^6+WeightSDS!R$17*$AM48^5+WeightSDS!S$17*$AM48^4+WeightSDS!T$17*$AM48^3+WeightSDS!U$17*$AM48^2+WeightSDS!V$17*$AM48+WeightSDS!W$17,IF($AM48&lt;186,WeightSDS!$U$18+(WeightSDS!$V$18-WeightSDS!$U$18)/24*($AM48-186)+WeightSDS!$W$18*(-$AM48+186)^2-0.005,WeightSDS!$U$18+(WeightSDS!$V$18-WeightSDS!$U$18)/24*($AM48-186)-0.005)))</f>
        <v>0.14604529399999999</v>
      </c>
      <c r="AT48" s="4">
        <f t="shared" si="16"/>
        <v>0.56299999999999994</v>
      </c>
      <c r="AU48" s="4">
        <f t="shared" si="17"/>
        <v>69</v>
      </c>
      <c r="AV48" s="4">
        <f t="shared" si="18"/>
        <v>0.51</v>
      </c>
    </row>
    <row r="49" spans="1:48" x14ac:dyDescent="0.15">
      <c r="A49" s="4"/>
      <c r="B49" s="21"/>
      <c r="C49" s="21"/>
      <c r="D49" s="21"/>
      <c r="E49" s="22"/>
      <c r="F49" s="22"/>
      <c r="G49" s="23"/>
      <c r="H49" s="23"/>
      <c r="I49" s="181"/>
      <c r="J49" s="8" t="str">
        <f t="shared" si="3"/>
        <v/>
      </c>
      <c r="K49" s="2" t="str">
        <f t="shared" si="4"/>
        <v/>
      </c>
      <c r="L49" s="2" t="str">
        <f t="shared" si="0"/>
        <v/>
      </c>
      <c r="M49" s="2" t="str">
        <f t="shared" si="5"/>
        <v/>
      </c>
      <c r="N49" s="2" t="str">
        <f t="shared" si="19"/>
        <v/>
      </c>
      <c r="O49" s="2" t="str">
        <f t="shared" si="6"/>
        <v/>
      </c>
      <c r="P49" s="8" t="str">
        <f t="shared" si="7"/>
        <v/>
      </c>
      <c r="Q49" s="8" t="str">
        <f t="shared" si="8"/>
        <v/>
      </c>
      <c r="R49" s="111" t="str">
        <f t="shared" si="9"/>
        <v/>
      </c>
      <c r="S49" s="44" t="str">
        <f t="shared" si="10"/>
        <v/>
      </c>
      <c r="T49" s="37" t="str">
        <f t="shared" si="11"/>
        <v/>
      </c>
      <c r="U49" s="44" t="str">
        <f t="shared" si="12"/>
        <v/>
      </c>
      <c r="V49" s="26"/>
      <c r="W49" s="26"/>
      <c r="X49" s="26"/>
      <c r="Y49" s="26"/>
      <c r="Z49" s="24"/>
      <c r="AA49" s="169">
        <f t="shared" si="13"/>
        <v>0</v>
      </c>
      <c r="AB49" s="4">
        <f t="shared" si="14"/>
        <v>0</v>
      </c>
      <c r="AC49" s="170">
        <f t="shared" si="21"/>
        <v>0</v>
      </c>
      <c r="AD49" s="58"/>
      <c r="AE49" s="58"/>
      <c r="AF49" s="58"/>
      <c r="AG49" s="59">
        <f t="shared" si="1"/>
        <v>9.0359999999999996</v>
      </c>
      <c r="AH49" s="59">
        <f t="shared" si="2"/>
        <v>-184.49199999999999</v>
      </c>
      <c r="AJ49" s="4">
        <f>IF(D49="M",IF(AM49&lt;78,BMILMS!$D$5*AM49^3+BMILMS!$E$5*AM49^2+BMILMS!$F$5*AM49+BMILMS!$G$5,IF(AM49&lt;150,BMILMS!$D$6*AM49^3+BMILMS!$E$6*AM49^2+BMILMS!$F$6*AM49+BMILMS!$G$6,BMILMS!$D$7*AM49^3+BMILMS!$E$7*AM49^2+BMILMS!$F$7*AM49+BMILMS!$G$7)),IF(AM49&lt;69,BMILMS!$D$9*AM49^3+BMILMS!$E$9*AM49^2+BMILMS!$F$9*AM49+BMILMS!$G$9,IF(AM49&lt;150,BMILMS!$D$10*AM49^3+BMILMS!$E$10*AM49^2+BMILMS!$F$10*AM49+BMILMS!$G$10,BMILMS!$D$11*AM49^3+BMILMS!$E$11*AM49^2+BMILMS!$F$11*AM49+BMILMS!$G$11)))</f>
        <v>0.79584630099999998</v>
      </c>
      <c r="AK49" s="4">
        <f>IF(D49="M",(IF(AM49&lt;2.5,BMILMS!$D$21*AM49^3+BMILMS!$E$21*AM49^2+BMILMS!$F$21*AM49+BMILMS!$G$21,IF(AM49&lt;9.5,BMILMS!$D$22*AM49^3+BMILMS!$E$22*AM49^2+BMILMS!$F$22*AM49+BMILMS!$G$22,IF(AM49&lt;26.75,BMILMS!$D$23*AM49^3+BMILMS!$E$23*AM49^2+BMILMS!$F$23*AM49+BMILMS!$G$23,IF(AM49&lt;90,BMILMS!$D$24*AM49^3+BMILMS!$E$24*AM49^2+BMILMS!$F$24*AM49+BMILMS!$G$24,BMILMS!$D$25*AM49^3+BMILMS!$E$25*AM49^2+BMILMS!$F$25*AM49+BMILMS!$G$25))))),(IF(AM49&lt;2.5,BMILMS!$D$27*AM49^3+BMILMS!$E$27*AM49^2+BMILMS!$F$27*AM49+BMILMS!$G$27,IF(AM49&lt;9.5,BMILMS!$D$28*AM49^3+BMILMS!$E$28*AM49^2+BMILMS!$F$28*AM49+BMILMS!$G$28,IF(AM49&lt;26.75,BMILMS!$D$29*AM49^3+BMILMS!$E$29*AM49^2+BMILMS!$F$29*AM49+BMILMS!$G$29,IF(AM49&lt;90,BMILMS!$D$30*AM49^3+BMILMS!$E$30*AM49^2+BMILMS!$F$30*AM49+BMILMS!$G$30,IF(AM49&lt;150,BMILMS!$D$31*AM49^3+BMILMS!$E$31*AM49^2+BMILMS!$F$31*AM49+BMILMS!$G$31,BMILMS!$D$32*AM49^3+BMILMS!$E$32*AM49^2+BMILMS!$F$32*AM49+BMILMS!$G$32)))))))</f>
        <v>12.568967990000001</v>
      </c>
      <c r="AL49" s="4">
        <f>IF(D49="M",(IF(AM49&lt;90,BMILMS!$D$14*AM49^3+BMILMS!$E$14*AM49^2+BMILMS!$F$14*AM49+BMILMS!$G$14,BMILMS!$D$15*AM49^3+BMILMS!$E$15*AM49^2+BMILMS!$F$15*AM49+BMILMS!$G$15)),(IF(AM49&lt;90,BMILMS!$D$17*AM49^3+BMILMS!$E$17*AM49^2+BMILMS!$F$17*AM49+BMILMS!$G$17,BMILMS!$D$18*AM49^3+BMILMS!$E$18*AM49^2+BMILMS!$F$18*AM49+BMILMS!$G$18)))</f>
        <v>8.8969350000000003E-2</v>
      </c>
      <c r="AM49" s="4">
        <f t="shared" si="20"/>
        <v>0</v>
      </c>
      <c r="AO49" s="56">
        <f>IF(D49="M",WeightSDS!P$5*$AM49^7+WeightSDS!Q$5*$AM49^6+WeightSDS!R$5*$AM49^5+WeightSDS!S$5*$AM49^4+WeightSDS!T$5*$AM49^3+WeightSDS!U$5*$AM49^2+WeightSDS!V$5*$AM49+WeightSDS!W$5,IF($AM49&lt;186,WeightSDS!P$8*$AM49^7+WeightSDS!Q$8*$AM49^6+WeightSDS!R$8*$AM49^5+WeightSDS!S$8*$AM49^4+WeightSDS!T$8*$AM49^3+WeightSDS!U$8*$AM49^2+WeightSDS!V$8*$AM49+WeightSDS!W$8,WeightSDS!$U$9+WeightSDS!$V$9*($AM49-WeightSDS!$W$9)))</f>
        <v>0.75407122999999998</v>
      </c>
      <c r="AP49" s="4">
        <f>IF(D49="M",IF($AM49&lt;45,WeightSDS!M$23*$AM49^10+WeightSDS!N$23*$AM49^9+WeightSDS!O$23*$AM49^8+WeightSDS!P$23*$AM49^7+WeightSDS!Q$23*$AM49^6+WeightSDS!R$23*$AM49^5+WeightSDS!S$23*$AM49^4+WeightSDS!T$23*$AM49^3+WeightSDS!U$23*$AM49^2+WeightSDS!V$23*$AM49+WeightSDS!W$23,IF($AM49&lt;153,WeightSDS!M$25*$AM49^10+WeightSDS!N$25*$AM49^9+WeightSDS!O$25*$AM49^8+WeightSDS!P$25*$AM49^7+WeightSDS!Q$25*$AM49^6+WeightSDS!R$25*$AM49^5+WeightSDS!S$25*$AM49^4+WeightSDS!T$25*$AM49^3+WeightSDS!U$25*$AM49^2+WeightSDS!V$25*$AM49+WeightSDS!W$25,WeightSDS!M$27+WeightSDS!N$27/(1+EXP(WeightSDS!O$27+WeightSDS!P$27*$AM49)))),IF($AM49&lt;43.8,WeightSDS!M$29*$AM49^10+WeightSDS!N$29*$AM49^9+WeightSDS!O$29*$AM49^8+WeightSDS!P$29*$AM49^7+WeightSDS!Q$29*$AM49^6+WeightSDS!R$29*$AM49^5+WeightSDS!S$29*$AM49^4+WeightSDS!T$29*$AM49^3+WeightSDS!U$29*$AM49^2+WeightSDS!V$29*$AM49+WeightSDS!W$29-0.010431*(1-$AM49/210),IF($AM49&lt;123,WeightSDS!M$30*$AM49^10+WeightSDS!N$30*$AM49^9+WeightSDS!O$30*$AM49^8+WeightSDS!P$30*$AM49^7+WeightSDS!Q$30*$AM49^6+WeightSDS!R$30*$AM49^5+WeightSDS!S$30*$AM49^4+WeightSDS!T$30*$AM49^3+WeightSDS!U$30*$AM49^2+WeightSDS!V$30*$AM49+WeightSDS!W$30-0.010431*(1-1/$AM49),WeightSDS!M$32+WeightSDS!N$32/(1+EXP(WeightSDS!O$32+WeightSDS!P$32*$AM49))-0.010431*(1-$AM49/210))))</f>
        <v>2.9500001032655536</v>
      </c>
      <c r="AQ49" s="4">
        <f>IF(D49="M",IF($AM49&lt;162,WeightSDS!P$12*$AM49^7+WeightSDS!Q$12*$AM49^6+WeightSDS!R$12*$AM49^5+WeightSDS!S$12*$AM49^4+WeightSDS!T$12*$AM49^3+WeightSDS!U$12*$AM49^2+WeightSDS!V$12*$AM49+WeightSDS!W$12,WeightSDS!P$14*$AM49^7+WeightSDS!Q$14*$AM49^6+WeightSDS!R$14*$AM49^5+WeightSDS!S$14*$AM49^4+WeightSDS!T$14*$AM49^3+WeightSDS!U$14*$AM49^2+WeightSDS!V$14*$AM49+WeightSDS!W$14),IF($AM49&lt;156,WeightSDS!O$17*$AM49^8+WeightSDS!P$17*$AM49^7+WeightSDS!Q$17*$AM49^6+WeightSDS!R$17*$AM49^5+WeightSDS!S$17*$AM49^4+WeightSDS!T$17*$AM49^3+WeightSDS!U$17*$AM49^2+WeightSDS!V$17*$AM49+WeightSDS!W$17,IF($AM49&lt;186,WeightSDS!$U$18+(WeightSDS!$V$18-WeightSDS!$U$18)/24*($AM49-186)+WeightSDS!$W$18*(-$AM49+186)^2-0.005,WeightSDS!$U$18+(WeightSDS!$V$18-WeightSDS!$U$18)/24*($AM49-186)-0.005)))</f>
        <v>0.14604529399999999</v>
      </c>
      <c r="AT49" s="4">
        <f t="shared" si="16"/>
        <v>0.56299999999999994</v>
      </c>
      <c r="AU49" s="4">
        <f t="shared" si="17"/>
        <v>69</v>
      </c>
      <c r="AV49" s="4">
        <f t="shared" si="18"/>
        <v>0.51</v>
      </c>
    </row>
    <row r="50" spans="1:48" x14ac:dyDescent="0.15">
      <c r="A50" s="4"/>
      <c r="B50" s="21"/>
      <c r="C50" s="21"/>
      <c r="D50" s="21"/>
      <c r="E50" s="22"/>
      <c r="F50" s="22"/>
      <c r="G50" s="23"/>
      <c r="H50" s="23"/>
      <c r="I50" s="181"/>
      <c r="J50" s="8" t="str">
        <f t="shared" si="3"/>
        <v/>
      </c>
      <c r="K50" s="2" t="str">
        <f t="shared" si="4"/>
        <v/>
      </c>
      <c r="L50" s="2" t="str">
        <f t="shared" si="0"/>
        <v/>
      </c>
      <c r="M50" s="2" t="str">
        <f t="shared" si="5"/>
        <v/>
      </c>
      <c r="N50" s="2" t="str">
        <f t="shared" si="19"/>
        <v/>
      </c>
      <c r="O50" s="2" t="str">
        <f t="shared" si="6"/>
        <v/>
      </c>
      <c r="P50" s="8" t="str">
        <f t="shared" si="7"/>
        <v/>
      </c>
      <c r="Q50" s="8" t="str">
        <f t="shared" si="8"/>
        <v/>
      </c>
      <c r="R50" s="111" t="str">
        <f t="shared" si="9"/>
        <v/>
      </c>
      <c r="S50" s="44" t="str">
        <f t="shared" si="10"/>
        <v/>
      </c>
      <c r="T50" s="37" t="str">
        <f t="shared" si="11"/>
        <v/>
      </c>
      <c r="U50" s="44" t="str">
        <f t="shared" si="12"/>
        <v/>
      </c>
      <c r="V50" s="26"/>
      <c r="W50" s="26"/>
      <c r="X50" s="26"/>
      <c r="Y50" s="26"/>
      <c r="Z50" s="24"/>
      <c r="AA50" s="169">
        <f t="shared" si="13"/>
        <v>0</v>
      </c>
      <c r="AB50" s="4">
        <f t="shared" si="14"/>
        <v>0</v>
      </c>
      <c r="AC50" s="170">
        <f t="shared" si="21"/>
        <v>0</v>
      </c>
      <c r="AD50" s="58"/>
      <c r="AE50" s="58"/>
      <c r="AF50" s="58"/>
      <c r="AG50" s="59">
        <f t="shared" si="1"/>
        <v>9.0359999999999996</v>
      </c>
      <c r="AH50" s="59">
        <f t="shared" si="2"/>
        <v>-184.49199999999999</v>
      </c>
      <c r="AJ50" s="4">
        <f>IF(D50="M",IF(AM50&lt;78,BMILMS!$D$5*AM50^3+BMILMS!$E$5*AM50^2+BMILMS!$F$5*AM50+BMILMS!$G$5,IF(AM50&lt;150,BMILMS!$D$6*AM50^3+BMILMS!$E$6*AM50^2+BMILMS!$F$6*AM50+BMILMS!$G$6,BMILMS!$D$7*AM50^3+BMILMS!$E$7*AM50^2+BMILMS!$F$7*AM50+BMILMS!$G$7)),IF(AM50&lt;69,BMILMS!$D$9*AM50^3+BMILMS!$E$9*AM50^2+BMILMS!$F$9*AM50+BMILMS!$G$9,IF(AM50&lt;150,BMILMS!$D$10*AM50^3+BMILMS!$E$10*AM50^2+BMILMS!$F$10*AM50+BMILMS!$G$10,BMILMS!$D$11*AM50^3+BMILMS!$E$11*AM50^2+BMILMS!$F$11*AM50+BMILMS!$G$11)))</f>
        <v>0.79584630099999998</v>
      </c>
      <c r="AK50" s="4">
        <f>IF(D50="M",(IF(AM50&lt;2.5,BMILMS!$D$21*AM50^3+BMILMS!$E$21*AM50^2+BMILMS!$F$21*AM50+BMILMS!$G$21,IF(AM50&lt;9.5,BMILMS!$D$22*AM50^3+BMILMS!$E$22*AM50^2+BMILMS!$F$22*AM50+BMILMS!$G$22,IF(AM50&lt;26.75,BMILMS!$D$23*AM50^3+BMILMS!$E$23*AM50^2+BMILMS!$F$23*AM50+BMILMS!$G$23,IF(AM50&lt;90,BMILMS!$D$24*AM50^3+BMILMS!$E$24*AM50^2+BMILMS!$F$24*AM50+BMILMS!$G$24,BMILMS!$D$25*AM50^3+BMILMS!$E$25*AM50^2+BMILMS!$F$25*AM50+BMILMS!$G$25))))),(IF(AM50&lt;2.5,BMILMS!$D$27*AM50^3+BMILMS!$E$27*AM50^2+BMILMS!$F$27*AM50+BMILMS!$G$27,IF(AM50&lt;9.5,BMILMS!$D$28*AM50^3+BMILMS!$E$28*AM50^2+BMILMS!$F$28*AM50+BMILMS!$G$28,IF(AM50&lt;26.75,BMILMS!$D$29*AM50^3+BMILMS!$E$29*AM50^2+BMILMS!$F$29*AM50+BMILMS!$G$29,IF(AM50&lt;90,BMILMS!$D$30*AM50^3+BMILMS!$E$30*AM50^2+BMILMS!$F$30*AM50+BMILMS!$G$30,IF(AM50&lt;150,BMILMS!$D$31*AM50^3+BMILMS!$E$31*AM50^2+BMILMS!$F$31*AM50+BMILMS!$G$31,BMILMS!$D$32*AM50^3+BMILMS!$E$32*AM50^2+BMILMS!$F$32*AM50+BMILMS!$G$32)))))))</f>
        <v>12.568967990000001</v>
      </c>
      <c r="AL50" s="4">
        <f>IF(D50="M",(IF(AM50&lt;90,BMILMS!$D$14*AM50^3+BMILMS!$E$14*AM50^2+BMILMS!$F$14*AM50+BMILMS!$G$14,BMILMS!$D$15*AM50^3+BMILMS!$E$15*AM50^2+BMILMS!$F$15*AM50+BMILMS!$G$15)),(IF(AM50&lt;90,BMILMS!$D$17*AM50^3+BMILMS!$E$17*AM50^2+BMILMS!$F$17*AM50+BMILMS!$G$17,BMILMS!$D$18*AM50^3+BMILMS!$E$18*AM50^2+BMILMS!$F$18*AM50+BMILMS!$G$18)))</f>
        <v>8.8969350000000003E-2</v>
      </c>
      <c r="AM50" s="4">
        <f t="shared" si="20"/>
        <v>0</v>
      </c>
      <c r="AO50" s="56">
        <f>IF(D50="M",WeightSDS!P$5*$AM50^7+WeightSDS!Q$5*$AM50^6+WeightSDS!R$5*$AM50^5+WeightSDS!S$5*$AM50^4+WeightSDS!T$5*$AM50^3+WeightSDS!U$5*$AM50^2+WeightSDS!V$5*$AM50+WeightSDS!W$5,IF($AM50&lt;186,WeightSDS!P$8*$AM50^7+WeightSDS!Q$8*$AM50^6+WeightSDS!R$8*$AM50^5+WeightSDS!S$8*$AM50^4+WeightSDS!T$8*$AM50^3+WeightSDS!U$8*$AM50^2+WeightSDS!V$8*$AM50+WeightSDS!W$8,WeightSDS!$U$9+WeightSDS!$V$9*($AM50-WeightSDS!$W$9)))</f>
        <v>0.75407122999999998</v>
      </c>
      <c r="AP50" s="4">
        <f>IF(D50="M",IF($AM50&lt;45,WeightSDS!M$23*$AM50^10+WeightSDS!N$23*$AM50^9+WeightSDS!O$23*$AM50^8+WeightSDS!P$23*$AM50^7+WeightSDS!Q$23*$AM50^6+WeightSDS!R$23*$AM50^5+WeightSDS!S$23*$AM50^4+WeightSDS!T$23*$AM50^3+WeightSDS!U$23*$AM50^2+WeightSDS!V$23*$AM50+WeightSDS!W$23,IF($AM50&lt;153,WeightSDS!M$25*$AM50^10+WeightSDS!N$25*$AM50^9+WeightSDS!O$25*$AM50^8+WeightSDS!P$25*$AM50^7+WeightSDS!Q$25*$AM50^6+WeightSDS!R$25*$AM50^5+WeightSDS!S$25*$AM50^4+WeightSDS!T$25*$AM50^3+WeightSDS!U$25*$AM50^2+WeightSDS!V$25*$AM50+WeightSDS!W$25,WeightSDS!M$27+WeightSDS!N$27/(1+EXP(WeightSDS!O$27+WeightSDS!P$27*$AM50)))),IF($AM50&lt;43.8,WeightSDS!M$29*$AM50^10+WeightSDS!N$29*$AM50^9+WeightSDS!O$29*$AM50^8+WeightSDS!P$29*$AM50^7+WeightSDS!Q$29*$AM50^6+WeightSDS!R$29*$AM50^5+WeightSDS!S$29*$AM50^4+WeightSDS!T$29*$AM50^3+WeightSDS!U$29*$AM50^2+WeightSDS!V$29*$AM50+WeightSDS!W$29-0.010431*(1-$AM50/210),IF($AM50&lt;123,WeightSDS!M$30*$AM50^10+WeightSDS!N$30*$AM50^9+WeightSDS!O$30*$AM50^8+WeightSDS!P$30*$AM50^7+WeightSDS!Q$30*$AM50^6+WeightSDS!R$30*$AM50^5+WeightSDS!S$30*$AM50^4+WeightSDS!T$30*$AM50^3+WeightSDS!U$30*$AM50^2+WeightSDS!V$30*$AM50+WeightSDS!W$30-0.010431*(1-1/$AM50),WeightSDS!M$32+WeightSDS!N$32/(1+EXP(WeightSDS!O$32+WeightSDS!P$32*$AM50))-0.010431*(1-$AM50/210))))</f>
        <v>2.9500001032655536</v>
      </c>
      <c r="AQ50" s="4">
        <f>IF(D50="M",IF($AM50&lt;162,WeightSDS!P$12*$AM50^7+WeightSDS!Q$12*$AM50^6+WeightSDS!R$12*$AM50^5+WeightSDS!S$12*$AM50^4+WeightSDS!T$12*$AM50^3+WeightSDS!U$12*$AM50^2+WeightSDS!V$12*$AM50+WeightSDS!W$12,WeightSDS!P$14*$AM50^7+WeightSDS!Q$14*$AM50^6+WeightSDS!R$14*$AM50^5+WeightSDS!S$14*$AM50^4+WeightSDS!T$14*$AM50^3+WeightSDS!U$14*$AM50^2+WeightSDS!V$14*$AM50+WeightSDS!W$14),IF($AM50&lt;156,WeightSDS!O$17*$AM50^8+WeightSDS!P$17*$AM50^7+WeightSDS!Q$17*$AM50^6+WeightSDS!R$17*$AM50^5+WeightSDS!S$17*$AM50^4+WeightSDS!T$17*$AM50^3+WeightSDS!U$17*$AM50^2+WeightSDS!V$17*$AM50+WeightSDS!W$17,IF($AM50&lt;186,WeightSDS!$U$18+(WeightSDS!$V$18-WeightSDS!$U$18)/24*($AM50-186)+WeightSDS!$W$18*(-$AM50+186)^2-0.005,WeightSDS!$U$18+(WeightSDS!$V$18-WeightSDS!$U$18)/24*($AM50-186)-0.005)))</f>
        <v>0.14604529399999999</v>
      </c>
      <c r="AT50" s="4">
        <f t="shared" si="16"/>
        <v>0.56299999999999994</v>
      </c>
      <c r="AU50" s="4">
        <f t="shared" si="17"/>
        <v>69</v>
      </c>
      <c r="AV50" s="4">
        <f t="shared" si="18"/>
        <v>0.51</v>
      </c>
    </row>
    <row r="51" spans="1:48" x14ac:dyDescent="0.15">
      <c r="A51" s="4"/>
      <c r="B51" s="21"/>
      <c r="C51" s="21"/>
      <c r="D51" s="21"/>
      <c r="E51" s="22"/>
      <c r="F51" s="22"/>
      <c r="G51" s="23"/>
      <c r="H51" s="23"/>
      <c r="I51" s="181"/>
      <c r="J51" s="8" t="str">
        <f t="shared" si="3"/>
        <v/>
      </c>
      <c r="K51" s="2" t="str">
        <f t="shared" si="4"/>
        <v/>
      </c>
      <c r="L51" s="2" t="str">
        <f t="shared" si="0"/>
        <v/>
      </c>
      <c r="M51" s="2" t="str">
        <f t="shared" si="5"/>
        <v/>
      </c>
      <c r="N51" s="2" t="str">
        <f t="shared" si="19"/>
        <v/>
      </c>
      <c r="O51" s="2" t="str">
        <f t="shared" si="6"/>
        <v/>
      </c>
      <c r="P51" s="8" t="str">
        <f t="shared" si="7"/>
        <v/>
      </c>
      <c r="Q51" s="8" t="str">
        <f t="shared" si="8"/>
        <v/>
      </c>
      <c r="R51" s="111" t="str">
        <f t="shared" si="9"/>
        <v/>
      </c>
      <c r="S51" s="44" t="str">
        <f t="shared" si="10"/>
        <v/>
      </c>
      <c r="T51" s="37" t="str">
        <f t="shared" si="11"/>
        <v/>
      </c>
      <c r="U51" s="44" t="str">
        <f t="shared" si="12"/>
        <v/>
      </c>
      <c r="V51" s="26"/>
      <c r="W51" s="26"/>
      <c r="X51" s="26"/>
      <c r="Y51" s="26"/>
      <c r="Z51" s="24"/>
      <c r="AA51" s="169">
        <f t="shared" si="13"/>
        <v>0</v>
      </c>
      <c r="AB51" s="4">
        <f t="shared" si="14"/>
        <v>0</v>
      </c>
      <c r="AC51" s="170">
        <f t="shared" si="21"/>
        <v>0</v>
      </c>
      <c r="AD51" s="58"/>
      <c r="AE51" s="58"/>
      <c r="AF51" s="58"/>
      <c r="AG51" s="59">
        <f t="shared" si="1"/>
        <v>9.0359999999999996</v>
      </c>
      <c r="AH51" s="59">
        <f t="shared" si="2"/>
        <v>-184.49199999999999</v>
      </c>
      <c r="AJ51" s="4">
        <f>IF(D51="M",IF(AM51&lt;78,BMILMS!$D$5*AM51^3+BMILMS!$E$5*AM51^2+BMILMS!$F$5*AM51+BMILMS!$G$5,IF(AM51&lt;150,BMILMS!$D$6*AM51^3+BMILMS!$E$6*AM51^2+BMILMS!$F$6*AM51+BMILMS!$G$6,BMILMS!$D$7*AM51^3+BMILMS!$E$7*AM51^2+BMILMS!$F$7*AM51+BMILMS!$G$7)),IF(AM51&lt;69,BMILMS!$D$9*AM51^3+BMILMS!$E$9*AM51^2+BMILMS!$F$9*AM51+BMILMS!$G$9,IF(AM51&lt;150,BMILMS!$D$10*AM51^3+BMILMS!$E$10*AM51^2+BMILMS!$F$10*AM51+BMILMS!$G$10,BMILMS!$D$11*AM51^3+BMILMS!$E$11*AM51^2+BMILMS!$F$11*AM51+BMILMS!$G$11)))</f>
        <v>0.79584630099999998</v>
      </c>
      <c r="AK51" s="4">
        <f>IF(D51="M",(IF(AM51&lt;2.5,BMILMS!$D$21*AM51^3+BMILMS!$E$21*AM51^2+BMILMS!$F$21*AM51+BMILMS!$G$21,IF(AM51&lt;9.5,BMILMS!$D$22*AM51^3+BMILMS!$E$22*AM51^2+BMILMS!$F$22*AM51+BMILMS!$G$22,IF(AM51&lt;26.75,BMILMS!$D$23*AM51^3+BMILMS!$E$23*AM51^2+BMILMS!$F$23*AM51+BMILMS!$G$23,IF(AM51&lt;90,BMILMS!$D$24*AM51^3+BMILMS!$E$24*AM51^2+BMILMS!$F$24*AM51+BMILMS!$G$24,BMILMS!$D$25*AM51^3+BMILMS!$E$25*AM51^2+BMILMS!$F$25*AM51+BMILMS!$G$25))))),(IF(AM51&lt;2.5,BMILMS!$D$27*AM51^3+BMILMS!$E$27*AM51^2+BMILMS!$F$27*AM51+BMILMS!$G$27,IF(AM51&lt;9.5,BMILMS!$D$28*AM51^3+BMILMS!$E$28*AM51^2+BMILMS!$F$28*AM51+BMILMS!$G$28,IF(AM51&lt;26.75,BMILMS!$D$29*AM51^3+BMILMS!$E$29*AM51^2+BMILMS!$F$29*AM51+BMILMS!$G$29,IF(AM51&lt;90,BMILMS!$D$30*AM51^3+BMILMS!$E$30*AM51^2+BMILMS!$F$30*AM51+BMILMS!$G$30,IF(AM51&lt;150,BMILMS!$D$31*AM51^3+BMILMS!$E$31*AM51^2+BMILMS!$F$31*AM51+BMILMS!$G$31,BMILMS!$D$32*AM51^3+BMILMS!$E$32*AM51^2+BMILMS!$F$32*AM51+BMILMS!$G$32)))))))</f>
        <v>12.568967990000001</v>
      </c>
      <c r="AL51" s="4">
        <f>IF(D51="M",(IF(AM51&lt;90,BMILMS!$D$14*AM51^3+BMILMS!$E$14*AM51^2+BMILMS!$F$14*AM51+BMILMS!$G$14,BMILMS!$D$15*AM51^3+BMILMS!$E$15*AM51^2+BMILMS!$F$15*AM51+BMILMS!$G$15)),(IF(AM51&lt;90,BMILMS!$D$17*AM51^3+BMILMS!$E$17*AM51^2+BMILMS!$F$17*AM51+BMILMS!$G$17,BMILMS!$D$18*AM51^3+BMILMS!$E$18*AM51^2+BMILMS!$F$18*AM51+BMILMS!$G$18)))</f>
        <v>8.8969350000000003E-2</v>
      </c>
      <c r="AM51" s="4">
        <f t="shared" si="20"/>
        <v>0</v>
      </c>
      <c r="AO51" s="56">
        <f>IF(D51="M",WeightSDS!P$5*$AM51^7+WeightSDS!Q$5*$AM51^6+WeightSDS!R$5*$AM51^5+WeightSDS!S$5*$AM51^4+WeightSDS!T$5*$AM51^3+WeightSDS!U$5*$AM51^2+WeightSDS!V$5*$AM51+WeightSDS!W$5,IF($AM51&lt;186,WeightSDS!P$8*$AM51^7+WeightSDS!Q$8*$AM51^6+WeightSDS!R$8*$AM51^5+WeightSDS!S$8*$AM51^4+WeightSDS!T$8*$AM51^3+WeightSDS!U$8*$AM51^2+WeightSDS!V$8*$AM51+WeightSDS!W$8,WeightSDS!$U$9+WeightSDS!$V$9*($AM51-WeightSDS!$W$9)))</f>
        <v>0.75407122999999998</v>
      </c>
      <c r="AP51" s="4">
        <f>IF(D51="M",IF($AM51&lt;45,WeightSDS!M$23*$AM51^10+WeightSDS!N$23*$AM51^9+WeightSDS!O$23*$AM51^8+WeightSDS!P$23*$AM51^7+WeightSDS!Q$23*$AM51^6+WeightSDS!R$23*$AM51^5+WeightSDS!S$23*$AM51^4+WeightSDS!T$23*$AM51^3+WeightSDS!U$23*$AM51^2+WeightSDS!V$23*$AM51+WeightSDS!W$23,IF($AM51&lt;153,WeightSDS!M$25*$AM51^10+WeightSDS!N$25*$AM51^9+WeightSDS!O$25*$AM51^8+WeightSDS!P$25*$AM51^7+WeightSDS!Q$25*$AM51^6+WeightSDS!R$25*$AM51^5+WeightSDS!S$25*$AM51^4+WeightSDS!T$25*$AM51^3+WeightSDS!U$25*$AM51^2+WeightSDS!V$25*$AM51+WeightSDS!W$25,WeightSDS!M$27+WeightSDS!N$27/(1+EXP(WeightSDS!O$27+WeightSDS!P$27*$AM51)))),IF($AM51&lt;43.8,WeightSDS!M$29*$AM51^10+WeightSDS!N$29*$AM51^9+WeightSDS!O$29*$AM51^8+WeightSDS!P$29*$AM51^7+WeightSDS!Q$29*$AM51^6+WeightSDS!R$29*$AM51^5+WeightSDS!S$29*$AM51^4+WeightSDS!T$29*$AM51^3+WeightSDS!U$29*$AM51^2+WeightSDS!V$29*$AM51+WeightSDS!W$29-0.010431*(1-$AM51/210),IF($AM51&lt;123,WeightSDS!M$30*$AM51^10+WeightSDS!N$30*$AM51^9+WeightSDS!O$30*$AM51^8+WeightSDS!P$30*$AM51^7+WeightSDS!Q$30*$AM51^6+WeightSDS!R$30*$AM51^5+WeightSDS!S$30*$AM51^4+WeightSDS!T$30*$AM51^3+WeightSDS!U$30*$AM51^2+WeightSDS!V$30*$AM51+WeightSDS!W$30-0.010431*(1-1/$AM51),WeightSDS!M$32+WeightSDS!N$32/(1+EXP(WeightSDS!O$32+WeightSDS!P$32*$AM51))-0.010431*(1-$AM51/210))))</f>
        <v>2.9500001032655536</v>
      </c>
      <c r="AQ51" s="4">
        <f>IF(D51="M",IF($AM51&lt;162,WeightSDS!P$12*$AM51^7+WeightSDS!Q$12*$AM51^6+WeightSDS!R$12*$AM51^5+WeightSDS!S$12*$AM51^4+WeightSDS!T$12*$AM51^3+WeightSDS!U$12*$AM51^2+WeightSDS!V$12*$AM51+WeightSDS!W$12,WeightSDS!P$14*$AM51^7+WeightSDS!Q$14*$AM51^6+WeightSDS!R$14*$AM51^5+WeightSDS!S$14*$AM51^4+WeightSDS!T$14*$AM51^3+WeightSDS!U$14*$AM51^2+WeightSDS!V$14*$AM51+WeightSDS!W$14),IF($AM51&lt;156,WeightSDS!O$17*$AM51^8+WeightSDS!P$17*$AM51^7+WeightSDS!Q$17*$AM51^6+WeightSDS!R$17*$AM51^5+WeightSDS!S$17*$AM51^4+WeightSDS!T$17*$AM51^3+WeightSDS!U$17*$AM51^2+WeightSDS!V$17*$AM51+WeightSDS!W$17,IF($AM51&lt;186,WeightSDS!$U$18+(WeightSDS!$V$18-WeightSDS!$U$18)/24*($AM51-186)+WeightSDS!$W$18*(-$AM51+186)^2-0.005,WeightSDS!$U$18+(WeightSDS!$V$18-WeightSDS!$U$18)/24*($AM51-186)-0.005)))</f>
        <v>0.14604529399999999</v>
      </c>
      <c r="AT51" s="4">
        <f t="shared" si="16"/>
        <v>0.56299999999999994</v>
      </c>
      <c r="AU51" s="4">
        <f t="shared" si="17"/>
        <v>69</v>
      </c>
      <c r="AV51" s="4">
        <f t="shared" si="18"/>
        <v>0.51</v>
      </c>
    </row>
    <row r="52" spans="1:48" x14ac:dyDescent="0.15">
      <c r="A52" s="4"/>
      <c r="B52" s="21"/>
      <c r="C52" s="21"/>
      <c r="D52" s="21"/>
      <c r="E52" s="22"/>
      <c r="F52" s="22"/>
      <c r="G52" s="23"/>
      <c r="H52" s="23"/>
      <c r="I52" s="181"/>
      <c r="J52" s="8" t="str">
        <f t="shared" si="3"/>
        <v/>
      </c>
      <c r="K52" s="2" t="str">
        <f t="shared" si="4"/>
        <v/>
      </c>
      <c r="L52" s="2" t="str">
        <f t="shared" si="0"/>
        <v/>
      </c>
      <c r="M52" s="2" t="str">
        <f t="shared" si="5"/>
        <v/>
      </c>
      <c r="N52" s="2" t="str">
        <f t="shared" si="19"/>
        <v/>
      </c>
      <c r="O52" s="2" t="str">
        <f t="shared" si="6"/>
        <v/>
      </c>
      <c r="P52" s="8" t="str">
        <f t="shared" si="7"/>
        <v/>
      </c>
      <c r="Q52" s="8" t="str">
        <f t="shared" si="8"/>
        <v/>
      </c>
      <c r="R52" s="111" t="str">
        <f t="shared" si="9"/>
        <v/>
      </c>
      <c r="S52" s="44" t="str">
        <f t="shared" si="10"/>
        <v/>
      </c>
      <c r="T52" s="37" t="str">
        <f t="shared" si="11"/>
        <v/>
      </c>
      <c r="U52" s="44" t="str">
        <f t="shared" si="12"/>
        <v/>
      </c>
      <c r="V52" s="26"/>
      <c r="W52" s="26"/>
      <c r="X52" s="26"/>
      <c r="Y52" s="26"/>
      <c r="Z52" s="24"/>
      <c r="AA52" s="169">
        <f t="shared" si="13"/>
        <v>0</v>
      </c>
      <c r="AB52" s="4">
        <f t="shared" si="14"/>
        <v>0</v>
      </c>
      <c r="AC52" s="170">
        <f t="shared" si="21"/>
        <v>0</v>
      </c>
      <c r="AD52" s="58"/>
      <c r="AE52" s="58"/>
      <c r="AF52" s="58"/>
      <c r="AG52" s="59">
        <f t="shared" si="1"/>
        <v>9.0359999999999996</v>
      </c>
      <c r="AH52" s="59">
        <f t="shared" si="2"/>
        <v>-184.49199999999999</v>
      </c>
      <c r="AJ52" s="4">
        <f>IF(D52="M",IF(AM52&lt;78,BMILMS!$D$5*AM52^3+BMILMS!$E$5*AM52^2+BMILMS!$F$5*AM52+BMILMS!$G$5,IF(AM52&lt;150,BMILMS!$D$6*AM52^3+BMILMS!$E$6*AM52^2+BMILMS!$F$6*AM52+BMILMS!$G$6,BMILMS!$D$7*AM52^3+BMILMS!$E$7*AM52^2+BMILMS!$F$7*AM52+BMILMS!$G$7)),IF(AM52&lt;69,BMILMS!$D$9*AM52^3+BMILMS!$E$9*AM52^2+BMILMS!$F$9*AM52+BMILMS!$G$9,IF(AM52&lt;150,BMILMS!$D$10*AM52^3+BMILMS!$E$10*AM52^2+BMILMS!$F$10*AM52+BMILMS!$G$10,BMILMS!$D$11*AM52^3+BMILMS!$E$11*AM52^2+BMILMS!$F$11*AM52+BMILMS!$G$11)))</f>
        <v>0.79584630099999998</v>
      </c>
      <c r="AK52" s="4">
        <f>IF(D52="M",(IF(AM52&lt;2.5,BMILMS!$D$21*AM52^3+BMILMS!$E$21*AM52^2+BMILMS!$F$21*AM52+BMILMS!$G$21,IF(AM52&lt;9.5,BMILMS!$D$22*AM52^3+BMILMS!$E$22*AM52^2+BMILMS!$F$22*AM52+BMILMS!$G$22,IF(AM52&lt;26.75,BMILMS!$D$23*AM52^3+BMILMS!$E$23*AM52^2+BMILMS!$F$23*AM52+BMILMS!$G$23,IF(AM52&lt;90,BMILMS!$D$24*AM52^3+BMILMS!$E$24*AM52^2+BMILMS!$F$24*AM52+BMILMS!$G$24,BMILMS!$D$25*AM52^3+BMILMS!$E$25*AM52^2+BMILMS!$F$25*AM52+BMILMS!$G$25))))),(IF(AM52&lt;2.5,BMILMS!$D$27*AM52^3+BMILMS!$E$27*AM52^2+BMILMS!$F$27*AM52+BMILMS!$G$27,IF(AM52&lt;9.5,BMILMS!$D$28*AM52^3+BMILMS!$E$28*AM52^2+BMILMS!$F$28*AM52+BMILMS!$G$28,IF(AM52&lt;26.75,BMILMS!$D$29*AM52^3+BMILMS!$E$29*AM52^2+BMILMS!$F$29*AM52+BMILMS!$G$29,IF(AM52&lt;90,BMILMS!$D$30*AM52^3+BMILMS!$E$30*AM52^2+BMILMS!$F$30*AM52+BMILMS!$G$30,IF(AM52&lt;150,BMILMS!$D$31*AM52^3+BMILMS!$E$31*AM52^2+BMILMS!$F$31*AM52+BMILMS!$G$31,BMILMS!$D$32*AM52^3+BMILMS!$E$32*AM52^2+BMILMS!$F$32*AM52+BMILMS!$G$32)))))))</f>
        <v>12.568967990000001</v>
      </c>
      <c r="AL52" s="4">
        <f>IF(D52="M",(IF(AM52&lt;90,BMILMS!$D$14*AM52^3+BMILMS!$E$14*AM52^2+BMILMS!$F$14*AM52+BMILMS!$G$14,BMILMS!$D$15*AM52^3+BMILMS!$E$15*AM52^2+BMILMS!$F$15*AM52+BMILMS!$G$15)),(IF(AM52&lt;90,BMILMS!$D$17*AM52^3+BMILMS!$E$17*AM52^2+BMILMS!$F$17*AM52+BMILMS!$G$17,BMILMS!$D$18*AM52^3+BMILMS!$E$18*AM52^2+BMILMS!$F$18*AM52+BMILMS!$G$18)))</f>
        <v>8.8969350000000003E-2</v>
      </c>
      <c r="AM52" s="4">
        <f t="shared" si="20"/>
        <v>0</v>
      </c>
      <c r="AO52" s="56">
        <f>IF(D52="M",WeightSDS!P$5*$AM52^7+WeightSDS!Q$5*$AM52^6+WeightSDS!R$5*$AM52^5+WeightSDS!S$5*$AM52^4+WeightSDS!T$5*$AM52^3+WeightSDS!U$5*$AM52^2+WeightSDS!V$5*$AM52+WeightSDS!W$5,IF($AM52&lt;186,WeightSDS!P$8*$AM52^7+WeightSDS!Q$8*$AM52^6+WeightSDS!R$8*$AM52^5+WeightSDS!S$8*$AM52^4+WeightSDS!T$8*$AM52^3+WeightSDS!U$8*$AM52^2+WeightSDS!V$8*$AM52+WeightSDS!W$8,WeightSDS!$U$9+WeightSDS!$V$9*($AM52-WeightSDS!$W$9)))</f>
        <v>0.75407122999999998</v>
      </c>
      <c r="AP52" s="4">
        <f>IF(D52="M",IF($AM52&lt;45,WeightSDS!M$23*$AM52^10+WeightSDS!N$23*$AM52^9+WeightSDS!O$23*$AM52^8+WeightSDS!P$23*$AM52^7+WeightSDS!Q$23*$AM52^6+WeightSDS!R$23*$AM52^5+WeightSDS!S$23*$AM52^4+WeightSDS!T$23*$AM52^3+WeightSDS!U$23*$AM52^2+WeightSDS!V$23*$AM52+WeightSDS!W$23,IF($AM52&lt;153,WeightSDS!M$25*$AM52^10+WeightSDS!N$25*$AM52^9+WeightSDS!O$25*$AM52^8+WeightSDS!P$25*$AM52^7+WeightSDS!Q$25*$AM52^6+WeightSDS!R$25*$AM52^5+WeightSDS!S$25*$AM52^4+WeightSDS!T$25*$AM52^3+WeightSDS!U$25*$AM52^2+WeightSDS!V$25*$AM52+WeightSDS!W$25,WeightSDS!M$27+WeightSDS!N$27/(1+EXP(WeightSDS!O$27+WeightSDS!P$27*$AM52)))),IF($AM52&lt;43.8,WeightSDS!M$29*$AM52^10+WeightSDS!N$29*$AM52^9+WeightSDS!O$29*$AM52^8+WeightSDS!P$29*$AM52^7+WeightSDS!Q$29*$AM52^6+WeightSDS!R$29*$AM52^5+WeightSDS!S$29*$AM52^4+WeightSDS!T$29*$AM52^3+WeightSDS!U$29*$AM52^2+WeightSDS!V$29*$AM52+WeightSDS!W$29-0.010431*(1-$AM52/210),IF($AM52&lt;123,WeightSDS!M$30*$AM52^10+WeightSDS!N$30*$AM52^9+WeightSDS!O$30*$AM52^8+WeightSDS!P$30*$AM52^7+WeightSDS!Q$30*$AM52^6+WeightSDS!R$30*$AM52^5+WeightSDS!S$30*$AM52^4+WeightSDS!T$30*$AM52^3+WeightSDS!U$30*$AM52^2+WeightSDS!V$30*$AM52+WeightSDS!W$30-0.010431*(1-1/$AM52),WeightSDS!M$32+WeightSDS!N$32/(1+EXP(WeightSDS!O$32+WeightSDS!P$32*$AM52))-0.010431*(1-$AM52/210))))</f>
        <v>2.9500001032655536</v>
      </c>
      <c r="AQ52" s="4">
        <f>IF(D52="M",IF($AM52&lt;162,WeightSDS!P$12*$AM52^7+WeightSDS!Q$12*$AM52^6+WeightSDS!R$12*$AM52^5+WeightSDS!S$12*$AM52^4+WeightSDS!T$12*$AM52^3+WeightSDS!U$12*$AM52^2+WeightSDS!V$12*$AM52+WeightSDS!W$12,WeightSDS!P$14*$AM52^7+WeightSDS!Q$14*$AM52^6+WeightSDS!R$14*$AM52^5+WeightSDS!S$14*$AM52^4+WeightSDS!T$14*$AM52^3+WeightSDS!U$14*$AM52^2+WeightSDS!V$14*$AM52+WeightSDS!W$14),IF($AM52&lt;156,WeightSDS!O$17*$AM52^8+WeightSDS!P$17*$AM52^7+WeightSDS!Q$17*$AM52^6+WeightSDS!R$17*$AM52^5+WeightSDS!S$17*$AM52^4+WeightSDS!T$17*$AM52^3+WeightSDS!U$17*$AM52^2+WeightSDS!V$17*$AM52+WeightSDS!W$17,IF($AM52&lt;186,WeightSDS!$U$18+(WeightSDS!$V$18-WeightSDS!$U$18)/24*($AM52-186)+WeightSDS!$W$18*(-$AM52+186)^2-0.005,WeightSDS!$U$18+(WeightSDS!$V$18-WeightSDS!$U$18)/24*($AM52-186)-0.005)))</f>
        <v>0.14604529399999999</v>
      </c>
      <c r="AT52" s="4">
        <f t="shared" si="16"/>
        <v>0.56299999999999994</v>
      </c>
      <c r="AU52" s="4">
        <f t="shared" si="17"/>
        <v>69</v>
      </c>
      <c r="AV52" s="4">
        <f t="shared" si="18"/>
        <v>0.51</v>
      </c>
    </row>
    <row r="53" spans="1:48" x14ac:dyDescent="0.15">
      <c r="A53" s="4"/>
      <c r="B53" s="21"/>
      <c r="C53" s="21"/>
      <c r="D53" s="21"/>
      <c r="E53" s="22"/>
      <c r="F53" s="22"/>
      <c r="G53" s="23"/>
      <c r="H53" s="23"/>
      <c r="I53" s="181"/>
      <c r="J53" s="8" t="str">
        <f t="shared" si="3"/>
        <v/>
      </c>
      <c r="K53" s="2" t="str">
        <f t="shared" si="4"/>
        <v/>
      </c>
      <c r="L53" s="2" t="str">
        <f t="shared" si="0"/>
        <v/>
      </c>
      <c r="M53" s="2" t="str">
        <f t="shared" si="5"/>
        <v/>
      </c>
      <c r="N53" s="2" t="str">
        <f t="shared" si="19"/>
        <v/>
      </c>
      <c r="O53" s="2" t="str">
        <f t="shared" si="6"/>
        <v/>
      </c>
      <c r="P53" s="8" t="str">
        <f t="shared" si="7"/>
        <v/>
      </c>
      <c r="Q53" s="8" t="str">
        <f t="shared" si="8"/>
        <v/>
      </c>
      <c r="R53" s="111" t="str">
        <f t="shared" si="9"/>
        <v/>
      </c>
      <c r="S53" s="44" t="str">
        <f t="shared" si="10"/>
        <v/>
      </c>
      <c r="T53" s="37" t="str">
        <f t="shared" si="11"/>
        <v/>
      </c>
      <c r="U53" s="44" t="str">
        <f t="shared" si="12"/>
        <v/>
      </c>
      <c r="V53" s="26"/>
      <c r="W53" s="26"/>
      <c r="X53" s="26"/>
      <c r="Y53" s="26"/>
      <c r="Z53" s="24"/>
      <c r="AA53" s="169">
        <f t="shared" si="13"/>
        <v>0</v>
      </c>
      <c r="AB53" s="4">
        <f t="shared" si="14"/>
        <v>0</v>
      </c>
      <c r="AC53" s="170">
        <f t="shared" si="21"/>
        <v>0</v>
      </c>
      <c r="AD53" s="58"/>
      <c r="AE53" s="58"/>
      <c r="AF53" s="58"/>
      <c r="AG53" s="59">
        <f t="shared" si="1"/>
        <v>9.0359999999999996</v>
      </c>
      <c r="AH53" s="59">
        <f t="shared" si="2"/>
        <v>-184.49199999999999</v>
      </c>
      <c r="AJ53" s="4">
        <f>IF(D53="M",IF(AM53&lt;78,BMILMS!$D$5*AM53^3+BMILMS!$E$5*AM53^2+BMILMS!$F$5*AM53+BMILMS!$G$5,IF(AM53&lt;150,BMILMS!$D$6*AM53^3+BMILMS!$E$6*AM53^2+BMILMS!$F$6*AM53+BMILMS!$G$6,BMILMS!$D$7*AM53^3+BMILMS!$E$7*AM53^2+BMILMS!$F$7*AM53+BMILMS!$G$7)),IF(AM53&lt;69,BMILMS!$D$9*AM53^3+BMILMS!$E$9*AM53^2+BMILMS!$F$9*AM53+BMILMS!$G$9,IF(AM53&lt;150,BMILMS!$D$10*AM53^3+BMILMS!$E$10*AM53^2+BMILMS!$F$10*AM53+BMILMS!$G$10,BMILMS!$D$11*AM53^3+BMILMS!$E$11*AM53^2+BMILMS!$F$11*AM53+BMILMS!$G$11)))</f>
        <v>0.79584630099999998</v>
      </c>
      <c r="AK53" s="4">
        <f>IF(D53="M",(IF(AM53&lt;2.5,BMILMS!$D$21*AM53^3+BMILMS!$E$21*AM53^2+BMILMS!$F$21*AM53+BMILMS!$G$21,IF(AM53&lt;9.5,BMILMS!$D$22*AM53^3+BMILMS!$E$22*AM53^2+BMILMS!$F$22*AM53+BMILMS!$G$22,IF(AM53&lt;26.75,BMILMS!$D$23*AM53^3+BMILMS!$E$23*AM53^2+BMILMS!$F$23*AM53+BMILMS!$G$23,IF(AM53&lt;90,BMILMS!$D$24*AM53^3+BMILMS!$E$24*AM53^2+BMILMS!$F$24*AM53+BMILMS!$G$24,BMILMS!$D$25*AM53^3+BMILMS!$E$25*AM53^2+BMILMS!$F$25*AM53+BMILMS!$G$25))))),(IF(AM53&lt;2.5,BMILMS!$D$27*AM53^3+BMILMS!$E$27*AM53^2+BMILMS!$F$27*AM53+BMILMS!$G$27,IF(AM53&lt;9.5,BMILMS!$D$28*AM53^3+BMILMS!$E$28*AM53^2+BMILMS!$F$28*AM53+BMILMS!$G$28,IF(AM53&lt;26.75,BMILMS!$D$29*AM53^3+BMILMS!$E$29*AM53^2+BMILMS!$F$29*AM53+BMILMS!$G$29,IF(AM53&lt;90,BMILMS!$D$30*AM53^3+BMILMS!$E$30*AM53^2+BMILMS!$F$30*AM53+BMILMS!$G$30,IF(AM53&lt;150,BMILMS!$D$31*AM53^3+BMILMS!$E$31*AM53^2+BMILMS!$F$31*AM53+BMILMS!$G$31,BMILMS!$D$32*AM53^3+BMILMS!$E$32*AM53^2+BMILMS!$F$32*AM53+BMILMS!$G$32)))))))</f>
        <v>12.568967990000001</v>
      </c>
      <c r="AL53" s="4">
        <f>IF(D53="M",(IF(AM53&lt;90,BMILMS!$D$14*AM53^3+BMILMS!$E$14*AM53^2+BMILMS!$F$14*AM53+BMILMS!$G$14,BMILMS!$D$15*AM53^3+BMILMS!$E$15*AM53^2+BMILMS!$F$15*AM53+BMILMS!$G$15)),(IF(AM53&lt;90,BMILMS!$D$17*AM53^3+BMILMS!$E$17*AM53^2+BMILMS!$F$17*AM53+BMILMS!$G$17,BMILMS!$D$18*AM53^3+BMILMS!$E$18*AM53^2+BMILMS!$F$18*AM53+BMILMS!$G$18)))</f>
        <v>8.8969350000000003E-2</v>
      </c>
      <c r="AM53" s="4">
        <f t="shared" si="20"/>
        <v>0</v>
      </c>
      <c r="AO53" s="56">
        <f>IF(D53="M",WeightSDS!P$5*$AM53^7+WeightSDS!Q$5*$AM53^6+WeightSDS!R$5*$AM53^5+WeightSDS!S$5*$AM53^4+WeightSDS!T$5*$AM53^3+WeightSDS!U$5*$AM53^2+WeightSDS!V$5*$AM53+WeightSDS!W$5,IF($AM53&lt;186,WeightSDS!P$8*$AM53^7+WeightSDS!Q$8*$AM53^6+WeightSDS!R$8*$AM53^5+WeightSDS!S$8*$AM53^4+WeightSDS!T$8*$AM53^3+WeightSDS!U$8*$AM53^2+WeightSDS!V$8*$AM53+WeightSDS!W$8,WeightSDS!$U$9+WeightSDS!$V$9*($AM53-WeightSDS!$W$9)))</f>
        <v>0.75407122999999998</v>
      </c>
      <c r="AP53" s="4">
        <f>IF(D53="M",IF($AM53&lt;45,WeightSDS!M$23*$AM53^10+WeightSDS!N$23*$AM53^9+WeightSDS!O$23*$AM53^8+WeightSDS!P$23*$AM53^7+WeightSDS!Q$23*$AM53^6+WeightSDS!R$23*$AM53^5+WeightSDS!S$23*$AM53^4+WeightSDS!T$23*$AM53^3+WeightSDS!U$23*$AM53^2+WeightSDS!V$23*$AM53+WeightSDS!W$23,IF($AM53&lt;153,WeightSDS!M$25*$AM53^10+WeightSDS!N$25*$AM53^9+WeightSDS!O$25*$AM53^8+WeightSDS!P$25*$AM53^7+WeightSDS!Q$25*$AM53^6+WeightSDS!R$25*$AM53^5+WeightSDS!S$25*$AM53^4+WeightSDS!T$25*$AM53^3+WeightSDS!U$25*$AM53^2+WeightSDS!V$25*$AM53+WeightSDS!W$25,WeightSDS!M$27+WeightSDS!N$27/(1+EXP(WeightSDS!O$27+WeightSDS!P$27*$AM53)))),IF($AM53&lt;43.8,WeightSDS!M$29*$AM53^10+WeightSDS!N$29*$AM53^9+WeightSDS!O$29*$AM53^8+WeightSDS!P$29*$AM53^7+WeightSDS!Q$29*$AM53^6+WeightSDS!R$29*$AM53^5+WeightSDS!S$29*$AM53^4+WeightSDS!T$29*$AM53^3+WeightSDS!U$29*$AM53^2+WeightSDS!V$29*$AM53+WeightSDS!W$29-0.010431*(1-$AM53/210),IF($AM53&lt;123,WeightSDS!M$30*$AM53^10+WeightSDS!N$30*$AM53^9+WeightSDS!O$30*$AM53^8+WeightSDS!P$30*$AM53^7+WeightSDS!Q$30*$AM53^6+WeightSDS!R$30*$AM53^5+WeightSDS!S$30*$AM53^4+WeightSDS!T$30*$AM53^3+WeightSDS!U$30*$AM53^2+WeightSDS!V$30*$AM53+WeightSDS!W$30-0.010431*(1-1/$AM53),WeightSDS!M$32+WeightSDS!N$32/(1+EXP(WeightSDS!O$32+WeightSDS!P$32*$AM53))-0.010431*(1-$AM53/210))))</f>
        <v>2.9500001032655536</v>
      </c>
      <c r="AQ53" s="4">
        <f>IF(D53="M",IF($AM53&lt;162,WeightSDS!P$12*$AM53^7+WeightSDS!Q$12*$AM53^6+WeightSDS!R$12*$AM53^5+WeightSDS!S$12*$AM53^4+WeightSDS!T$12*$AM53^3+WeightSDS!U$12*$AM53^2+WeightSDS!V$12*$AM53+WeightSDS!W$12,WeightSDS!P$14*$AM53^7+WeightSDS!Q$14*$AM53^6+WeightSDS!R$14*$AM53^5+WeightSDS!S$14*$AM53^4+WeightSDS!T$14*$AM53^3+WeightSDS!U$14*$AM53^2+WeightSDS!V$14*$AM53+WeightSDS!W$14),IF($AM53&lt;156,WeightSDS!O$17*$AM53^8+WeightSDS!P$17*$AM53^7+WeightSDS!Q$17*$AM53^6+WeightSDS!R$17*$AM53^5+WeightSDS!S$17*$AM53^4+WeightSDS!T$17*$AM53^3+WeightSDS!U$17*$AM53^2+WeightSDS!V$17*$AM53+WeightSDS!W$17,IF($AM53&lt;186,WeightSDS!$U$18+(WeightSDS!$V$18-WeightSDS!$U$18)/24*($AM53-186)+WeightSDS!$W$18*(-$AM53+186)^2-0.005,WeightSDS!$U$18+(WeightSDS!$V$18-WeightSDS!$U$18)/24*($AM53-186)-0.005)))</f>
        <v>0.14604529399999999</v>
      </c>
      <c r="AT53" s="4">
        <f t="shared" si="16"/>
        <v>0.56299999999999994</v>
      </c>
      <c r="AU53" s="4">
        <f t="shared" si="17"/>
        <v>69</v>
      </c>
      <c r="AV53" s="4">
        <f t="shared" si="18"/>
        <v>0.51</v>
      </c>
    </row>
    <row r="54" spans="1:48" x14ac:dyDescent="0.15">
      <c r="A54" s="4"/>
      <c r="B54" s="21"/>
      <c r="C54" s="21"/>
      <c r="D54" s="21"/>
      <c r="E54" s="22"/>
      <c r="F54" s="22"/>
      <c r="G54" s="23"/>
      <c r="H54" s="23"/>
      <c r="I54" s="181"/>
      <c r="J54" s="8" t="str">
        <f t="shared" si="3"/>
        <v/>
      </c>
      <c r="K54" s="2" t="str">
        <f t="shared" si="4"/>
        <v/>
      </c>
      <c r="L54" s="2" t="str">
        <f t="shared" si="0"/>
        <v/>
      </c>
      <c r="M54" s="2" t="str">
        <f t="shared" si="5"/>
        <v/>
      </c>
      <c r="N54" s="2" t="str">
        <f t="shared" si="19"/>
        <v/>
      </c>
      <c r="O54" s="2" t="str">
        <f t="shared" si="6"/>
        <v/>
      </c>
      <c r="P54" s="8" t="str">
        <f t="shared" si="7"/>
        <v/>
      </c>
      <c r="Q54" s="8" t="str">
        <f t="shared" si="8"/>
        <v/>
      </c>
      <c r="R54" s="111" t="str">
        <f t="shared" si="9"/>
        <v/>
      </c>
      <c r="S54" s="44" t="str">
        <f t="shared" si="10"/>
        <v/>
      </c>
      <c r="T54" s="37" t="str">
        <f t="shared" si="11"/>
        <v/>
      </c>
      <c r="U54" s="44" t="str">
        <f t="shared" si="12"/>
        <v/>
      </c>
      <c r="V54" s="26"/>
      <c r="W54" s="26"/>
      <c r="X54" s="26"/>
      <c r="Y54" s="26"/>
      <c r="Z54" s="24"/>
      <c r="AA54" s="169">
        <f t="shared" si="13"/>
        <v>0</v>
      </c>
      <c r="AB54" s="4">
        <f t="shared" si="14"/>
        <v>0</v>
      </c>
      <c r="AC54" s="170">
        <f t="shared" si="21"/>
        <v>0</v>
      </c>
      <c r="AD54" s="58"/>
      <c r="AE54" s="58"/>
      <c r="AF54" s="58"/>
      <c r="AG54" s="59">
        <f t="shared" si="1"/>
        <v>9.0359999999999996</v>
      </c>
      <c r="AH54" s="59">
        <f t="shared" si="2"/>
        <v>-184.49199999999999</v>
      </c>
      <c r="AJ54" s="4">
        <f>IF(D54="M",IF(AM54&lt;78,BMILMS!$D$5*AM54^3+BMILMS!$E$5*AM54^2+BMILMS!$F$5*AM54+BMILMS!$G$5,IF(AM54&lt;150,BMILMS!$D$6*AM54^3+BMILMS!$E$6*AM54^2+BMILMS!$F$6*AM54+BMILMS!$G$6,BMILMS!$D$7*AM54^3+BMILMS!$E$7*AM54^2+BMILMS!$F$7*AM54+BMILMS!$G$7)),IF(AM54&lt;69,BMILMS!$D$9*AM54^3+BMILMS!$E$9*AM54^2+BMILMS!$F$9*AM54+BMILMS!$G$9,IF(AM54&lt;150,BMILMS!$D$10*AM54^3+BMILMS!$E$10*AM54^2+BMILMS!$F$10*AM54+BMILMS!$G$10,BMILMS!$D$11*AM54^3+BMILMS!$E$11*AM54^2+BMILMS!$F$11*AM54+BMILMS!$G$11)))</f>
        <v>0.79584630099999998</v>
      </c>
      <c r="AK54" s="4">
        <f>IF(D54="M",(IF(AM54&lt;2.5,BMILMS!$D$21*AM54^3+BMILMS!$E$21*AM54^2+BMILMS!$F$21*AM54+BMILMS!$G$21,IF(AM54&lt;9.5,BMILMS!$D$22*AM54^3+BMILMS!$E$22*AM54^2+BMILMS!$F$22*AM54+BMILMS!$G$22,IF(AM54&lt;26.75,BMILMS!$D$23*AM54^3+BMILMS!$E$23*AM54^2+BMILMS!$F$23*AM54+BMILMS!$G$23,IF(AM54&lt;90,BMILMS!$D$24*AM54^3+BMILMS!$E$24*AM54^2+BMILMS!$F$24*AM54+BMILMS!$G$24,BMILMS!$D$25*AM54^3+BMILMS!$E$25*AM54^2+BMILMS!$F$25*AM54+BMILMS!$G$25))))),(IF(AM54&lt;2.5,BMILMS!$D$27*AM54^3+BMILMS!$E$27*AM54^2+BMILMS!$F$27*AM54+BMILMS!$G$27,IF(AM54&lt;9.5,BMILMS!$D$28*AM54^3+BMILMS!$E$28*AM54^2+BMILMS!$F$28*AM54+BMILMS!$G$28,IF(AM54&lt;26.75,BMILMS!$D$29*AM54^3+BMILMS!$E$29*AM54^2+BMILMS!$F$29*AM54+BMILMS!$G$29,IF(AM54&lt;90,BMILMS!$D$30*AM54^3+BMILMS!$E$30*AM54^2+BMILMS!$F$30*AM54+BMILMS!$G$30,IF(AM54&lt;150,BMILMS!$D$31*AM54^3+BMILMS!$E$31*AM54^2+BMILMS!$F$31*AM54+BMILMS!$G$31,BMILMS!$D$32*AM54^3+BMILMS!$E$32*AM54^2+BMILMS!$F$32*AM54+BMILMS!$G$32)))))))</f>
        <v>12.568967990000001</v>
      </c>
      <c r="AL54" s="4">
        <f>IF(D54="M",(IF(AM54&lt;90,BMILMS!$D$14*AM54^3+BMILMS!$E$14*AM54^2+BMILMS!$F$14*AM54+BMILMS!$G$14,BMILMS!$D$15*AM54^3+BMILMS!$E$15*AM54^2+BMILMS!$F$15*AM54+BMILMS!$G$15)),(IF(AM54&lt;90,BMILMS!$D$17*AM54^3+BMILMS!$E$17*AM54^2+BMILMS!$F$17*AM54+BMILMS!$G$17,BMILMS!$D$18*AM54^3+BMILMS!$E$18*AM54^2+BMILMS!$F$18*AM54+BMILMS!$G$18)))</f>
        <v>8.8969350000000003E-2</v>
      </c>
      <c r="AM54" s="4">
        <f t="shared" si="20"/>
        <v>0</v>
      </c>
      <c r="AO54" s="56">
        <f>IF(D54="M",WeightSDS!P$5*$AM54^7+WeightSDS!Q$5*$AM54^6+WeightSDS!R$5*$AM54^5+WeightSDS!S$5*$AM54^4+WeightSDS!T$5*$AM54^3+WeightSDS!U$5*$AM54^2+WeightSDS!V$5*$AM54+WeightSDS!W$5,IF($AM54&lt;186,WeightSDS!P$8*$AM54^7+WeightSDS!Q$8*$AM54^6+WeightSDS!R$8*$AM54^5+WeightSDS!S$8*$AM54^4+WeightSDS!T$8*$AM54^3+WeightSDS!U$8*$AM54^2+WeightSDS!V$8*$AM54+WeightSDS!W$8,WeightSDS!$U$9+WeightSDS!$V$9*($AM54-WeightSDS!$W$9)))</f>
        <v>0.75407122999999998</v>
      </c>
      <c r="AP54" s="4">
        <f>IF(D54="M",IF($AM54&lt;45,WeightSDS!M$23*$AM54^10+WeightSDS!N$23*$AM54^9+WeightSDS!O$23*$AM54^8+WeightSDS!P$23*$AM54^7+WeightSDS!Q$23*$AM54^6+WeightSDS!R$23*$AM54^5+WeightSDS!S$23*$AM54^4+WeightSDS!T$23*$AM54^3+WeightSDS!U$23*$AM54^2+WeightSDS!V$23*$AM54+WeightSDS!W$23,IF($AM54&lt;153,WeightSDS!M$25*$AM54^10+WeightSDS!N$25*$AM54^9+WeightSDS!O$25*$AM54^8+WeightSDS!P$25*$AM54^7+WeightSDS!Q$25*$AM54^6+WeightSDS!R$25*$AM54^5+WeightSDS!S$25*$AM54^4+WeightSDS!T$25*$AM54^3+WeightSDS!U$25*$AM54^2+WeightSDS!V$25*$AM54+WeightSDS!W$25,WeightSDS!M$27+WeightSDS!N$27/(1+EXP(WeightSDS!O$27+WeightSDS!P$27*$AM54)))),IF($AM54&lt;43.8,WeightSDS!M$29*$AM54^10+WeightSDS!N$29*$AM54^9+WeightSDS!O$29*$AM54^8+WeightSDS!P$29*$AM54^7+WeightSDS!Q$29*$AM54^6+WeightSDS!R$29*$AM54^5+WeightSDS!S$29*$AM54^4+WeightSDS!T$29*$AM54^3+WeightSDS!U$29*$AM54^2+WeightSDS!V$29*$AM54+WeightSDS!W$29-0.010431*(1-$AM54/210),IF($AM54&lt;123,WeightSDS!M$30*$AM54^10+WeightSDS!N$30*$AM54^9+WeightSDS!O$30*$AM54^8+WeightSDS!P$30*$AM54^7+WeightSDS!Q$30*$AM54^6+WeightSDS!R$30*$AM54^5+WeightSDS!S$30*$AM54^4+WeightSDS!T$30*$AM54^3+WeightSDS!U$30*$AM54^2+WeightSDS!V$30*$AM54+WeightSDS!W$30-0.010431*(1-1/$AM54),WeightSDS!M$32+WeightSDS!N$32/(1+EXP(WeightSDS!O$32+WeightSDS!P$32*$AM54))-0.010431*(1-$AM54/210))))</f>
        <v>2.9500001032655536</v>
      </c>
      <c r="AQ54" s="4">
        <f>IF(D54="M",IF($AM54&lt;162,WeightSDS!P$12*$AM54^7+WeightSDS!Q$12*$AM54^6+WeightSDS!R$12*$AM54^5+WeightSDS!S$12*$AM54^4+WeightSDS!T$12*$AM54^3+WeightSDS!U$12*$AM54^2+WeightSDS!V$12*$AM54+WeightSDS!W$12,WeightSDS!P$14*$AM54^7+WeightSDS!Q$14*$AM54^6+WeightSDS!R$14*$AM54^5+WeightSDS!S$14*$AM54^4+WeightSDS!T$14*$AM54^3+WeightSDS!U$14*$AM54^2+WeightSDS!V$14*$AM54+WeightSDS!W$14),IF($AM54&lt;156,WeightSDS!O$17*$AM54^8+WeightSDS!P$17*$AM54^7+WeightSDS!Q$17*$AM54^6+WeightSDS!R$17*$AM54^5+WeightSDS!S$17*$AM54^4+WeightSDS!T$17*$AM54^3+WeightSDS!U$17*$AM54^2+WeightSDS!V$17*$AM54+WeightSDS!W$17,IF($AM54&lt;186,WeightSDS!$U$18+(WeightSDS!$V$18-WeightSDS!$U$18)/24*($AM54-186)+WeightSDS!$W$18*(-$AM54+186)^2-0.005,WeightSDS!$U$18+(WeightSDS!$V$18-WeightSDS!$U$18)/24*($AM54-186)-0.005)))</f>
        <v>0.14604529399999999</v>
      </c>
      <c r="AT54" s="4">
        <f t="shared" si="16"/>
        <v>0.56299999999999994</v>
      </c>
      <c r="AU54" s="4">
        <f t="shared" si="17"/>
        <v>69</v>
      </c>
      <c r="AV54" s="4">
        <f t="shared" si="18"/>
        <v>0.51</v>
      </c>
    </row>
    <row r="55" spans="1:48" x14ac:dyDescent="0.15">
      <c r="A55" s="4"/>
      <c r="B55" s="21"/>
      <c r="C55" s="21"/>
      <c r="D55" s="21"/>
      <c r="E55" s="22"/>
      <c r="F55" s="22"/>
      <c r="G55" s="23"/>
      <c r="H55" s="23"/>
      <c r="I55" s="181"/>
      <c r="J55" s="8" t="str">
        <f t="shared" si="3"/>
        <v/>
      </c>
      <c r="K55" s="2" t="str">
        <f t="shared" si="4"/>
        <v/>
      </c>
      <c r="L55" s="2" t="str">
        <f t="shared" si="0"/>
        <v/>
      </c>
      <c r="M55" s="2" t="str">
        <f t="shared" si="5"/>
        <v/>
      </c>
      <c r="N55" s="2" t="str">
        <f t="shared" si="19"/>
        <v/>
      </c>
      <c r="O55" s="2" t="str">
        <f t="shared" si="6"/>
        <v/>
      </c>
      <c r="P55" s="8" t="str">
        <f t="shared" si="7"/>
        <v/>
      </c>
      <c r="Q55" s="8" t="str">
        <f t="shared" si="8"/>
        <v/>
      </c>
      <c r="R55" s="111" t="str">
        <f t="shared" si="9"/>
        <v/>
      </c>
      <c r="S55" s="44" t="str">
        <f t="shared" si="10"/>
        <v/>
      </c>
      <c r="T55" s="37" t="str">
        <f t="shared" si="11"/>
        <v/>
      </c>
      <c r="U55" s="44" t="str">
        <f t="shared" si="12"/>
        <v/>
      </c>
      <c r="V55" s="26"/>
      <c r="W55" s="26"/>
      <c r="X55" s="26"/>
      <c r="Y55" s="26"/>
      <c r="Z55" s="24"/>
      <c r="AA55" s="169">
        <f t="shared" si="13"/>
        <v>0</v>
      </c>
      <c r="AB55" s="4">
        <f t="shared" si="14"/>
        <v>0</v>
      </c>
      <c r="AC55" s="170">
        <f t="shared" si="21"/>
        <v>0</v>
      </c>
      <c r="AD55" s="58"/>
      <c r="AE55" s="58"/>
      <c r="AF55" s="58"/>
      <c r="AG55" s="59">
        <f t="shared" si="1"/>
        <v>9.0359999999999996</v>
      </c>
      <c r="AH55" s="59">
        <f t="shared" si="2"/>
        <v>-184.49199999999999</v>
      </c>
      <c r="AJ55" s="4">
        <f>IF(D55="M",IF(AM55&lt;78,BMILMS!$D$5*AM55^3+BMILMS!$E$5*AM55^2+BMILMS!$F$5*AM55+BMILMS!$G$5,IF(AM55&lt;150,BMILMS!$D$6*AM55^3+BMILMS!$E$6*AM55^2+BMILMS!$F$6*AM55+BMILMS!$G$6,BMILMS!$D$7*AM55^3+BMILMS!$E$7*AM55^2+BMILMS!$F$7*AM55+BMILMS!$G$7)),IF(AM55&lt;69,BMILMS!$D$9*AM55^3+BMILMS!$E$9*AM55^2+BMILMS!$F$9*AM55+BMILMS!$G$9,IF(AM55&lt;150,BMILMS!$D$10*AM55^3+BMILMS!$E$10*AM55^2+BMILMS!$F$10*AM55+BMILMS!$G$10,BMILMS!$D$11*AM55^3+BMILMS!$E$11*AM55^2+BMILMS!$F$11*AM55+BMILMS!$G$11)))</f>
        <v>0.79584630099999998</v>
      </c>
      <c r="AK55" s="4">
        <f>IF(D55="M",(IF(AM55&lt;2.5,BMILMS!$D$21*AM55^3+BMILMS!$E$21*AM55^2+BMILMS!$F$21*AM55+BMILMS!$G$21,IF(AM55&lt;9.5,BMILMS!$D$22*AM55^3+BMILMS!$E$22*AM55^2+BMILMS!$F$22*AM55+BMILMS!$G$22,IF(AM55&lt;26.75,BMILMS!$D$23*AM55^3+BMILMS!$E$23*AM55^2+BMILMS!$F$23*AM55+BMILMS!$G$23,IF(AM55&lt;90,BMILMS!$D$24*AM55^3+BMILMS!$E$24*AM55^2+BMILMS!$F$24*AM55+BMILMS!$G$24,BMILMS!$D$25*AM55^3+BMILMS!$E$25*AM55^2+BMILMS!$F$25*AM55+BMILMS!$G$25))))),(IF(AM55&lt;2.5,BMILMS!$D$27*AM55^3+BMILMS!$E$27*AM55^2+BMILMS!$F$27*AM55+BMILMS!$G$27,IF(AM55&lt;9.5,BMILMS!$D$28*AM55^3+BMILMS!$E$28*AM55^2+BMILMS!$F$28*AM55+BMILMS!$G$28,IF(AM55&lt;26.75,BMILMS!$D$29*AM55^3+BMILMS!$E$29*AM55^2+BMILMS!$F$29*AM55+BMILMS!$G$29,IF(AM55&lt;90,BMILMS!$D$30*AM55^3+BMILMS!$E$30*AM55^2+BMILMS!$F$30*AM55+BMILMS!$G$30,IF(AM55&lt;150,BMILMS!$D$31*AM55^3+BMILMS!$E$31*AM55^2+BMILMS!$F$31*AM55+BMILMS!$G$31,BMILMS!$D$32*AM55^3+BMILMS!$E$32*AM55^2+BMILMS!$F$32*AM55+BMILMS!$G$32)))))))</f>
        <v>12.568967990000001</v>
      </c>
      <c r="AL55" s="4">
        <f>IF(D55="M",(IF(AM55&lt;90,BMILMS!$D$14*AM55^3+BMILMS!$E$14*AM55^2+BMILMS!$F$14*AM55+BMILMS!$G$14,BMILMS!$D$15*AM55^3+BMILMS!$E$15*AM55^2+BMILMS!$F$15*AM55+BMILMS!$G$15)),(IF(AM55&lt;90,BMILMS!$D$17*AM55^3+BMILMS!$E$17*AM55^2+BMILMS!$F$17*AM55+BMILMS!$G$17,BMILMS!$D$18*AM55^3+BMILMS!$E$18*AM55^2+BMILMS!$F$18*AM55+BMILMS!$G$18)))</f>
        <v>8.8969350000000003E-2</v>
      </c>
      <c r="AM55" s="4">
        <f t="shared" si="20"/>
        <v>0</v>
      </c>
      <c r="AO55" s="56">
        <f>IF(D55="M",WeightSDS!P$5*$AM55^7+WeightSDS!Q$5*$AM55^6+WeightSDS!R$5*$AM55^5+WeightSDS!S$5*$AM55^4+WeightSDS!T$5*$AM55^3+WeightSDS!U$5*$AM55^2+WeightSDS!V$5*$AM55+WeightSDS!W$5,IF($AM55&lt;186,WeightSDS!P$8*$AM55^7+WeightSDS!Q$8*$AM55^6+WeightSDS!R$8*$AM55^5+WeightSDS!S$8*$AM55^4+WeightSDS!T$8*$AM55^3+WeightSDS!U$8*$AM55^2+WeightSDS!V$8*$AM55+WeightSDS!W$8,WeightSDS!$U$9+WeightSDS!$V$9*($AM55-WeightSDS!$W$9)))</f>
        <v>0.75407122999999998</v>
      </c>
      <c r="AP55" s="4">
        <f>IF(D55="M",IF($AM55&lt;45,WeightSDS!M$23*$AM55^10+WeightSDS!N$23*$AM55^9+WeightSDS!O$23*$AM55^8+WeightSDS!P$23*$AM55^7+WeightSDS!Q$23*$AM55^6+WeightSDS!R$23*$AM55^5+WeightSDS!S$23*$AM55^4+WeightSDS!T$23*$AM55^3+WeightSDS!U$23*$AM55^2+WeightSDS!V$23*$AM55+WeightSDS!W$23,IF($AM55&lt;153,WeightSDS!M$25*$AM55^10+WeightSDS!N$25*$AM55^9+WeightSDS!O$25*$AM55^8+WeightSDS!P$25*$AM55^7+WeightSDS!Q$25*$AM55^6+WeightSDS!R$25*$AM55^5+WeightSDS!S$25*$AM55^4+WeightSDS!T$25*$AM55^3+WeightSDS!U$25*$AM55^2+WeightSDS!V$25*$AM55+WeightSDS!W$25,WeightSDS!M$27+WeightSDS!N$27/(1+EXP(WeightSDS!O$27+WeightSDS!P$27*$AM55)))),IF($AM55&lt;43.8,WeightSDS!M$29*$AM55^10+WeightSDS!N$29*$AM55^9+WeightSDS!O$29*$AM55^8+WeightSDS!P$29*$AM55^7+WeightSDS!Q$29*$AM55^6+WeightSDS!R$29*$AM55^5+WeightSDS!S$29*$AM55^4+WeightSDS!T$29*$AM55^3+WeightSDS!U$29*$AM55^2+WeightSDS!V$29*$AM55+WeightSDS!W$29-0.010431*(1-$AM55/210),IF($AM55&lt;123,WeightSDS!M$30*$AM55^10+WeightSDS!N$30*$AM55^9+WeightSDS!O$30*$AM55^8+WeightSDS!P$30*$AM55^7+WeightSDS!Q$30*$AM55^6+WeightSDS!R$30*$AM55^5+WeightSDS!S$30*$AM55^4+WeightSDS!T$30*$AM55^3+WeightSDS!U$30*$AM55^2+WeightSDS!V$30*$AM55+WeightSDS!W$30-0.010431*(1-1/$AM55),WeightSDS!M$32+WeightSDS!N$32/(1+EXP(WeightSDS!O$32+WeightSDS!P$32*$AM55))-0.010431*(1-$AM55/210))))</f>
        <v>2.9500001032655536</v>
      </c>
      <c r="AQ55" s="4">
        <f>IF(D55="M",IF($AM55&lt;162,WeightSDS!P$12*$AM55^7+WeightSDS!Q$12*$AM55^6+WeightSDS!R$12*$AM55^5+WeightSDS!S$12*$AM55^4+WeightSDS!T$12*$AM55^3+WeightSDS!U$12*$AM55^2+WeightSDS!V$12*$AM55+WeightSDS!W$12,WeightSDS!P$14*$AM55^7+WeightSDS!Q$14*$AM55^6+WeightSDS!R$14*$AM55^5+WeightSDS!S$14*$AM55^4+WeightSDS!T$14*$AM55^3+WeightSDS!U$14*$AM55^2+WeightSDS!V$14*$AM55+WeightSDS!W$14),IF($AM55&lt;156,WeightSDS!O$17*$AM55^8+WeightSDS!P$17*$AM55^7+WeightSDS!Q$17*$AM55^6+WeightSDS!R$17*$AM55^5+WeightSDS!S$17*$AM55^4+WeightSDS!T$17*$AM55^3+WeightSDS!U$17*$AM55^2+WeightSDS!V$17*$AM55+WeightSDS!W$17,IF($AM55&lt;186,WeightSDS!$U$18+(WeightSDS!$V$18-WeightSDS!$U$18)/24*($AM55-186)+WeightSDS!$W$18*(-$AM55+186)^2-0.005,WeightSDS!$U$18+(WeightSDS!$V$18-WeightSDS!$U$18)/24*($AM55-186)-0.005)))</f>
        <v>0.14604529399999999</v>
      </c>
      <c r="AT55" s="4">
        <f t="shared" si="16"/>
        <v>0.56299999999999994</v>
      </c>
      <c r="AU55" s="4">
        <f t="shared" si="17"/>
        <v>69</v>
      </c>
      <c r="AV55" s="4">
        <f t="shared" si="18"/>
        <v>0.51</v>
      </c>
    </row>
    <row r="56" spans="1:48" x14ac:dyDescent="0.15">
      <c r="A56" s="4"/>
      <c r="B56" s="21"/>
      <c r="C56" s="21"/>
      <c r="D56" s="21"/>
      <c r="E56" s="22"/>
      <c r="F56" s="22"/>
      <c r="G56" s="23"/>
      <c r="H56" s="23"/>
      <c r="I56" s="181"/>
      <c r="J56" s="8" t="str">
        <f t="shared" si="3"/>
        <v/>
      </c>
      <c r="K56" s="2" t="str">
        <f t="shared" si="4"/>
        <v/>
      </c>
      <c r="L56" s="2" t="str">
        <f t="shared" si="0"/>
        <v/>
      </c>
      <c r="M56" s="2" t="str">
        <f t="shared" si="5"/>
        <v/>
      </c>
      <c r="N56" s="2" t="str">
        <f t="shared" si="19"/>
        <v/>
      </c>
      <c r="O56" s="2" t="str">
        <f t="shared" si="6"/>
        <v/>
      </c>
      <c r="P56" s="8" t="str">
        <f t="shared" si="7"/>
        <v/>
      </c>
      <c r="Q56" s="8" t="str">
        <f t="shared" si="8"/>
        <v/>
      </c>
      <c r="R56" s="111" t="str">
        <f t="shared" si="9"/>
        <v/>
      </c>
      <c r="S56" s="44" t="str">
        <f t="shared" si="10"/>
        <v/>
      </c>
      <c r="T56" s="37" t="str">
        <f t="shared" si="11"/>
        <v/>
      </c>
      <c r="U56" s="44" t="str">
        <f t="shared" si="12"/>
        <v/>
      </c>
      <c r="V56" s="26"/>
      <c r="W56" s="26"/>
      <c r="X56" s="26"/>
      <c r="Y56" s="26"/>
      <c r="Z56" s="24"/>
      <c r="AA56" s="169">
        <f t="shared" si="13"/>
        <v>0</v>
      </c>
      <c r="AB56" s="4">
        <f t="shared" si="14"/>
        <v>0</v>
      </c>
      <c r="AC56" s="170">
        <f t="shared" si="21"/>
        <v>0</v>
      </c>
      <c r="AD56" s="58"/>
      <c r="AE56" s="58"/>
      <c r="AF56" s="58"/>
      <c r="AG56" s="59">
        <f t="shared" si="1"/>
        <v>9.0359999999999996</v>
      </c>
      <c r="AH56" s="59">
        <f t="shared" si="2"/>
        <v>-184.49199999999999</v>
      </c>
      <c r="AJ56" s="4">
        <f>IF(D56="M",IF(AM56&lt;78,BMILMS!$D$5*AM56^3+BMILMS!$E$5*AM56^2+BMILMS!$F$5*AM56+BMILMS!$G$5,IF(AM56&lt;150,BMILMS!$D$6*AM56^3+BMILMS!$E$6*AM56^2+BMILMS!$F$6*AM56+BMILMS!$G$6,BMILMS!$D$7*AM56^3+BMILMS!$E$7*AM56^2+BMILMS!$F$7*AM56+BMILMS!$G$7)),IF(AM56&lt;69,BMILMS!$D$9*AM56^3+BMILMS!$E$9*AM56^2+BMILMS!$F$9*AM56+BMILMS!$G$9,IF(AM56&lt;150,BMILMS!$D$10*AM56^3+BMILMS!$E$10*AM56^2+BMILMS!$F$10*AM56+BMILMS!$G$10,BMILMS!$D$11*AM56^3+BMILMS!$E$11*AM56^2+BMILMS!$F$11*AM56+BMILMS!$G$11)))</f>
        <v>0.79584630099999998</v>
      </c>
      <c r="AK56" s="4">
        <f>IF(D56="M",(IF(AM56&lt;2.5,BMILMS!$D$21*AM56^3+BMILMS!$E$21*AM56^2+BMILMS!$F$21*AM56+BMILMS!$G$21,IF(AM56&lt;9.5,BMILMS!$D$22*AM56^3+BMILMS!$E$22*AM56^2+BMILMS!$F$22*AM56+BMILMS!$G$22,IF(AM56&lt;26.75,BMILMS!$D$23*AM56^3+BMILMS!$E$23*AM56^2+BMILMS!$F$23*AM56+BMILMS!$G$23,IF(AM56&lt;90,BMILMS!$D$24*AM56^3+BMILMS!$E$24*AM56^2+BMILMS!$F$24*AM56+BMILMS!$G$24,BMILMS!$D$25*AM56^3+BMILMS!$E$25*AM56^2+BMILMS!$F$25*AM56+BMILMS!$G$25))))),(IF(AM56&lt;2.5,BMILMS!$D$27*AM56^3+BMILMS!$E$27*AM56^2+BMILMS!$F$27*AM56+BMILMS!$G$27,IF(AM56&lt;9.5,BMILMS!$D$28*AM56^3+BMILMS!$E$28*AM56^2+BMILMS!$F$28*AM56+BMILMS!$G$28,IF(AM56&lt;26.75,BMILMS!$D$29*AM56^3+BMILMS!$E$29*AM56^2+BMILMS!$F$29*AM56+BMILMS!$G$29,IF(AM56&lt;90,BMILMS!$D$30*AM56^3+BMILMS!$E$30*AM56^2+BMILMS!$F$30*AM56+BMILMS!$G$30,IF(AM56&lt;150,BMILMS!$D$31*AM56^3+BMILMS!$E$31*AM56^2+BMILMS!$F$31*AM56+BMILMS!$G$31,BMILMS!$D$32*AM56^3+BMILMS!$E$32*AM56^2+BMILMS!$F$32*AM56+BMILMS!$G$32)))))))</f>
        <v>12.568967990000001</v>
      </c>
      <c r="AL56" s="4">
        <f>IF(D56="M",(IF(AM56&lt;90,BMILMS!$D$14*AM56^3+BMILMS!$E$14*AM56^2+BMILMS!$F$14*AM56+BMILMS!$G$14,BMILMS!$D$15*AM56^3+BMILMS!$E$15*AM56^2+BMILMS!$F$15*AM56+BMILMS!$G$15)),(IF(AM56&lt;90,BMILMS!$D$17*AM56^3+BMILMS!$E$17*AM56^2+BMILMS!$F$17*AM56+BMILMS!$G$17,BMILMS!$D$18*AM56^3+BMILMS!$E$18*AM56^2+BMILMS!$F$18*AM56+BMILMS!$G$18)))</f>
        <v>8.8969350000000003E-2</v>
      </c>
      <c r="AM56" s="4">
        <f t="shared" si="20"/>
        <v>0</v>
      </c>
      <c r="AO56" s="56">
        <f>IF(D56="M",WeightSDS!P$5*$AM56^7+WeightSDS!Q$5*$AM56^6+WeightSDS!R$5*$AM56^5+WeightSDS!S$5*$AM56^4+WeightSDS!T$5*$AM56^3+WeightSDS!U$5*$AM56^2+WeightSDS!V$5*$AM56+WeightSDS!W$5,IF($AM56&lt;186,WeightSDS!P$8*$AM56^7+WeightSDS!Q$8*$AM56^6+WeightSDS!R$8*$AM56^5+WeightSDS!S$8*$AM56^4+WeightSDS!T$8*$AM56^3+WeightSDS!U$8*$AM56^2+WeightSDS!V$8*$AM56+WeightSDS!W$8,WeightSDS!$U$9+WeightSDS!$V$9*($AM56-WeightSDS!$W$9)))</f>
        <v>0.75407122999999998</v>
      </c>
      <c r="AP56" s="4">
        <f>IF(D56="M",IF($AM56&lt;45,WeightSDS!M$23*$AM56^10+WeightSDS!N$23*$AM56^9+WeightSDS!O$23*$AM56^8+WeightSDS!P$23*$AM56^7+WeightSDS!Q$23*$AM56^6+WeightSDS!R$23*$AM56^5+WeightSDS!S$23*$AM56^4+WeightSDS!T$23*$AM56^3+WeightSDS!U$23*$AM56^2+WeightSDS!V$23*$AM56+WeightSDS!W$23,IF($AM56&lt;153,WeightSDS!M$25*$AM56^10+WeightSDS!N$25*$AM56^9+WeightSDS!O$25*$AM56^8+WeightSDS!P$25*$AM56^7+WeightSDS!Q$25*$AM56^6+WeightSDS!R$25*$AM56^5+WeightSDS!S$25*$AM56^4+WeightSDS!T$25*$AM56^3+WeightSDS!U$25*$AM56^2+WeightSDS!V$25*$AM56+WeightSDS!W$25,WeightSDS!M$27+WeightSDS!N$27/(1+EXP(WeightSDS!O$27+WeightSDS!P$27*$AM56)))),IF($AM56&lt;43.8,WeightSDS!M$29*$AM56^10+WeightSDS!N$29*$AM56^9+WeightSDS!O$29*$AM56^8+WeightSDS!P$29*$AM56^7+WeightSDS!Q$29*$AM56^6+WeightSDS!R$29*$AM56^5+WeightSDS!S$29*$AM56^4+WeightSDS!T$29*$AM56^3+WeightSDS!U$29*$AM56^2+WeightSDS!V$29*$AM56+WeightSDS!W$29-0.010431*(1-$AM56/210),IF($AM56&lt;123,WeightSDS!M$30*$AM56^10+WeightSDS!N$30*$AM56^9+WeightSDS!O$30*$AM56^8+WeightSDS!P$30*$AM56^7+WeightSDS!Q$30*$AM56^6+WeightSDS!R$30*$AM56^5+WeightSDS!S$30*$AM56^4+WeightSDS!T$30*$AM56^3+WeightSDS!U$30*$AM56^2+WeightSDS!V$30*$AM56+WeightSDS!W$30-0.010431*(1-1/$AM56),WeightSDS!M$32+WeightSDS!N$32/(1+EXP(WeightSDS!O$32+WeightSDS!P$32*$AM56))-0.010431*(1-$AM56/210))))</f>
        <v>2.9500001032655536</v>
      </c>
      <c r="AQ56" s="4">
        <f>IF(D56="M",IF($AM56&lt;162,WeightSDS!P$12*$AM56^7+WeightSDS!Q$12*$AM56^6+WeightSDS!R$12*$AM56^5+WeightSDS!S$12*$AM56^4+WeightSDS!T$12*$AM56^3+WeightSDS!U$12*$AM56^2+WeightSDS!V$12*$AM56+WeightSDS!W$12,WeightSDS!P$14*$AM56^7+WeightSDS!Q$14*$AM56^6+WeightSDS!R$14*$AM56^5+WeightSDS!S$14*$AM56^4+WeightSDS!T$14*$AM56^3+WeightSDS!U$14*$AM56^2+WeightSDS!V$14*$AM56+WeightSDS!W$14),IF($AM56&lt;156,WeightSDS!O$17*$AM56^8+WeightSDS!P$17*$AM56^7+WeightSDS!Q$17*$AM56^6+WeightSDS!R$17*$AM56^5+WeightSDS!S$17*$AM56^4+WeightSDS!T$17*$AM56^3+WeightSDS!U$17*$AM56^2+WeightSDS!V$17*$AM56+WeightSDS!W$17,IF($AM56&lt;186,WeightSDS!$U$18+(WeightSDS!$V$18-WeightSDS!$U$18)/24*($AM56-186)+WeightSDS!$W$18*(-$AM56+186)^2-0.005,WeightSDS!$U$18+(WeightSDS!$V$18-WeightSDS!$U$18)/24*($AM56-186)-0.005)))</f>
        <v>0.14604529399999999</v>
      </c>
      <c r="AT56" s="4">
        <f t="shared" si="16"/>
        <v>0.56299999999999994</v>
      </c>
      <c r="AU56" s="4">
        <f t="shared" si="17"/>
        <v>69</v>
      </c>
      <c r="AV56" s="4">
        <f t="shared" si="18"/>
        <v>0.51</v>
      </c>
    </row>
    <row r="57" spans="1:48" x14ac:dyDescent="0.15">
      <c r="A57" s="4"/>
      <c r="B57" s="21"/>
      <c r="C57" s="21"/>
      <c r="D57" s="21"/>
      <c r="E57" s="22"/>
      <c r="F57" s="22"/>
      <c r="G57" s="23"/>
      <c r="H57" s="23"/>
      <c r="I57" s="181"/>
      <c r="J57" s="8" t="str">
        <f t="shared" si="3"/>
        <v/>
      </c>
      <c r="K57" s="2" t="str">
        <f t="shared" si="4"/>
        <v/>
      </c>
      <c r="L57" s="2" t="str">
        <f t="shared" si="0"/>
        <v/>
      </c>
      <c r="M57" s="2" t="str">
        <f t="shared" si="5"/>
        <v/>
      </c>
      <c r="N57" s="2" t="str">
        <f t="shared" si="19"/>
        <v/>
      </c>
      <c r="O57" s="2" t="str">
        <f t="shared" si="6"/>
        <v/>
      </c>
      <c r="P57" s="8" t="str">
        <f t="shared" si="7"/>
        <v/>
      </c>
      <c r="Q57" s="8" t="str">
        <f t="shared" si="8"/>
        <v/>
      </c>
      <c r="R57" s="111" t="str">
        <f t="shared" si="9"/>
        <v/>
      </c>
      <c r="S57" s="44" t="str">
        <f t="shared" si="10"/>
        <v/>
      </c>
      <c r="T57" s="37" t="str">
        <f t="shared" si="11"/>
        <v/>
      </c>
      <c r="U57" s="44" t="str">
        <f t="shared" si="12"/>
        <v/>
      </c>
      <c r="V57" s="26"/>
      <c r="W57" s="26"/>
      <c r="X57" s="26"/>
      <c r="Y57" s="26"/>
      <c r="Z57" s="24"/>
      <c r="AA57" s="169">
        <f t="shared" si="13"/>
        <v>0</v>
      </c>
      <c r="AB57" s="4">
        <f t="shared" si="14"/>
        <v>0</v>
      </c>
      <c r="AC57" s="170">
        <f t="shared" si="21"/>
        <v>0</v>
      </c>
      <c r="AD57" s="58"/>
      <c r="AE57" s="58"/>
      <c r="AF57" s="58"/>
      <c r="AG57" s="59">
        <f t="shared" si="1"/>
        <v>9.0359999999999996</v>
      </c>
      <c r="AH57" s="59">
        <f t="shared" si="2"/>
        <v>-184.49199999999999</v>
      </c>
      <c r="AJ57" s="4">
        <f>IF(D57="M",IF(AM57&lt;78,BMILMS!$D$5*AM57^3+BMILMS!$E$5*AM57^2+BMILMS!$F$5*AM57+BMILMS!$G$5,IF(AM57&lt;150,BMILMS!$D$6*AM57^3+BMILMS!$E$6*AM57^2+BMILMS!$F$6*AM57+BMILMS!$G$6,BMILMS!$D$7*AM57^3+BMILMS!$E$7*AM57^2+BMILMS!$F$7*AM57+BMILMS!$G$7)),IF(AM57&lt;69,BMILMS!$D$9*AM57^3+BMILMS!$E$9*AM57^2+BMILMS!$F$9*AM57+BMILMS!$G$9,IF(AM57&lt;150,BMILMS!$D$10*AM57^3+BMILMS!$E$10*AM57^2+BMILMS!$F$10*AM57+BMILMS!$G$10,BMILMS!$D$11*AM57^3+BMILMS!$E$11*AM57^2+BMILMS!$F$11*AM57+BMILMS!$G$11)))</f>
        <v>0.79584630099999998</v>
      </c>
      <c r="AK57" s="4">
        <f>IF(D57="M",(IF(AM57&lt;2.5,BMILMS!$D$21*AM57^3+BMILMS!$E$21*AM57^2+BMILMS!$F$21*AM57+BMILMS!$G$21,IF(AM57&lt;9.5,BMILMS!$D$22*AM57^3+BMILMS!$E$22*AM57^2+BMILMS!$F$22*AM57+BMILMS!$G$22,IF(AM57&lt;26.75,BMILMS!$D$23*AM57^3+BMILMS!$E$23*AM57^2+BMILMS!$F$23*AM57+BMILMS!$G$23,IF(AM57&lt;90,BMILMS!$D$24*AM57^3+BMILMS!$E$24*AM57^2+BMILMS!$F$24*AM57+BMILMS!$G$24,BMILMS!$D$25*AM57^3+BMILMS!$E$25*AM57^2+BMILMS!$F$25*AM57+BMILMS!$G$25))))),(IF(AM57&lt;2.5,BMILMS!$D$27*AM57^3+BMILMS!$E$27*AM57^2+BMILMS!$F$27*AM57+BMILMS!$G$27,IF(AM57&lt;9.5,BMILMS!$D$28*AM57^3+BMILMS!$E$28*AM57^2+BMILMS!$F$28*AM57+BMILMS!$G$28,IF(AM57&lt;26.75,BMILMS!$D$29*AM57^3+BMILMS!$E$29*AM57^2+BMILMS!$F$29*AM57+BMILMS!$G$29,IF(AM57&lt;90,BMILMS!$D$30*AM57^3+BMILMS!$E$30*AM57^2+BMILMS!$F$30*AM57+BMILMS!$G$30,IF(AM57&lt;150,BMILMS!$D$31*AM57^3+BMILMS!$E$31*AM57^2+BMILMS!$F$31*AM57+BMILMS!$G$31,BMILMS!$D$32*AM57^3+BMILMS!$E$32*AM57^2+BMILMS!$F$32*AM57+BMILMS!$G$32)))))))</f>
        <v>12.568967990000001</v>
      </c>
      <c r="AL57" s="4">
        <f>IF(D57="M",(IF(AM57&lt;90,BMILMS!$D$14*AM57^3+BMILMS!$E$14*AM57^2+BMILMS!$F$14*AM57+BMILMS!$G$14,BMILMS!$D$15*AM57^3+BMILMS!$E$15*AM57^2+BMILMS!$F$15*AM57+BMILMS!$G$15)),(IF(AM57&lt;90,BMILMS!$D$17*AM57^3+BMILMS!$E$17*AM57^2+BMILMS!$F$17*AM57+BMILMS!$G$17,BMILMS!$D$18*AM57^3+BMILMS!$E$18*AM57^2+BMILMS!$F$18*AM57+BMILMS!$G$18)))</f>
        <v>8.8969350000000003E-2</v>
      </c>
      <c r="AM57" s="4">
        <f t="shared" si="20"/>
        <v>0</v>
      </c>
      <c r="AO57" s="56">
        <f>IF(D57="M",WeightSDS!P$5*$AM57^7+WeightSDS!Q$5*$AM57^6+WeightSDS!R$5*$AM57^5+WeightSDS!S$5*$AM57^4+WeightSDS!T$5*$AM57^3+WeightSDS!U$5*$AM57^2+WeightSDS!V$5*$AM57+WeightSDS!W$5,IF($AM57&lt;186,WeightSDS!P$8*$AM57^7+WeightSDS!Q$8*$AM57^6+WeightSDS!R$8*$AM57^5+WeightSDS!S$8*$AM57^4+WeightSDS!T$8*$AM57^3+WeightSDS!U$8*$AM57^2+WeightSDS!V$8*$AM57+WeightSDS!W$8,WeightSDS!$U$9+WeightSDS!$V$9*($AM57-WeightSDS!$W$9)))</f>
        <v>0.75407122999999998</v>
      </c>
      <c r="AP57" s="4">
        <f>IF(D57="M",IF($AM57&lt;45,WeightSDS!M$23*$AM57^10+WeightSDS!N$23*$AM57^9+WeightSDS!O$23*$AM57^8+WeightSDS!P$23*$AM57^7+WeightSDS!Q$23*$AM57^6+WeightSDS!R$23*$AM57^5+WeightSDS!S$23*$AM57^4+WeightSDS!T$23*$AM57^3+WeightSDS!U$23*$AM57^2+WeightSDS!V$23*$AM57+WeightSDS!W$23,IF($AM57&lt;153,WeightSDS!M$25*$AM57^10+WeightSDS!N$25*$AM57^9+WeightSDS!O$25*$AM57^8+WeightSDS!P$25*$AM57^7+WeightSDS!Q$25*$AM57^6+WeightSDS!R$25*$AM57^5+WeightSDS!S$25*$AM57^4+WeightSDS!T$25*$AM57^3+WeightSDS!U$25*$AM57^2+WeightSDS!V$25*$AM57+WeightSDS!W$25,WeightSDS!M$27+WeightSDS!N$27/(1+EXP(WeightSDS!O$27+WeightSDS!P$27*$AM57)))),IF($AM57&lt;43.8,WeightSDS!M$29*$AM57^10+WeightSDS!N$29*$AM57^9+WeightSDS!O$29*$AM57^8+WeightSDS!P$29*$AM57^7+WeightSDS!Q$29*$AM57^6+WeightSDS!R$29*$AM57^5+WeightSDS!S$29*$AM57^4+WeightSDS!T$29*$AM57^3+WeightSDS!U$29*$AM57^2+WeightSDS!V$29*$AM57+WeightSDS!W$29-0.010431*(1-$AM57/210),IF($AM57&lt;123,WeightSDS!M$30*$AM57^10+WeightSDS!N$30*$AM57^9+WeightSDS!O$30*$AM57^8+WeightSDS!P$30*$AM57^7+WeightSDS!Q$30*$AM57^6+WeightSDS!R$30*$AM57^5+WeightSDS!S$30*$AM57^4+WeightSDS!T$30*$AM57^3+WeightSDS!U$30*$AM57^2+WeightSDS!V$30*$AM57+WeightSDS!W$30-0.010431*(1-1/$AM57),WeightSDS!M$32+WeightSDS!N$32/(1+EXP(WeightSDS!O$32+WeightSDS!P$32*$AM57))-0.010431*(1-$AM57/210))))</f>
        <v>2.9500001032655536</v>
      </c>
      <c r="AQ57" s="4">
        <f>IF(D57="M",IF($AM57&lt;162,WeightSDS!P$12*$AM57^7+WeightSDS!Q$12*$AM57^6+WeightSDS!R$12*$AM57^5+WeightSDS!S$12*$AM57^4+WeightSDS!T$12*$AM57^3+WeightSDS!U$12*$AM57^2+WeightSDS!V$12*$AM57+WeightSDS!W$12,WeightSDS!P$14*$AM57^7+WeightSDS!Q$14*$AM57^6+WeightSDS!R$14*$AM57^5+WeightSDS!S$14*$AM57^4+WeightSDS!T$14*$AM57^3+WeightSDS!U$14*$AM57^2+WeightSDS!V$14*$AM57+WeightSDS!W$14),IF($AM57&lt;156,WeightSDS!O$17*$AM57^8+WeightSDS!P$17*$AM57^7+WeightSDS!Q$17*$AM57^6+WeightSDS!R$17*$AM57^5+WeightSDS!S$17*$AM57^4+WeightSDS!T$17*$AM57^3+WeightSDS!U$17*$AM57^2+WeightSDS!V$17*$AM57+WeightSDS!W$17,IF($AM57&lt;186,WeightSDS!$U$18+(WeightSDS!$V$18-WeightSDS!$U$18)/24*($AM57-186)+WeightSDS!$W$18*(-$AM57+186)^2-0.005,WeightSDS!$U$18+(WeightSDS!$V$18-WeightSDS!$U$18)/24*($AM57-186)-0.005)))</f>
        <v>0.14604529399999999</v>
      </c>
      <c r="AT57" s="4">
        <f t="shared" si="16"/>
        <v>0.56299999999999994</v>
      </c>
      <c r="AU57" s="4">
        <f t="shared" si="17"/>
        <v>69</v>
      </c>
      <c r="AV57" s="4">
        <f t="shared" si="18"/>
        <v>0.51</v>
      </c>
    </row>
    <row r="58" spans="1:48" x14ac:dyDescent="0.15">
      <c r="A58" s="4"/>
      <c r="B58" s="21"/>
      <c r="C58" s="21"/>
      <c r="D58" s="21"/>
      <c r="E58" s="22"/>
      <c r="F58" s="22"/>
      <c r="G58" s="23"/>
      <c r="H58" s="23"/>
      <c r="I58" s="181"/>
      <c r="J58" s="8" t="str">
        <f t="shared" si="3"/>
        <v/>
      </c>
      <c r="K58" s="2" t="str">
        <f t="shared" si="4"/>
        <v/>
      </c>
      <c r="L58" s="2" t="str">
        <f t="shared" si="0"/>
        <v/>
      </c>
      <c r="M58" s="2" t="str">
        <f t="shared" si="5"/>
        <v/>
      </c>
      <c r="N58" s="2" t="str">
        <f t="shared" si="19"/>
        <v/>
      </c>
      <c r="O58" s="2" t="str">
        <f t="shared" si="6"/>
        <v/>
      </c>
      <c r="P58" s="8" t="str">
        <f t="shared" si="7"/>
        <v/>
      </c>
      <c r="Q58" s="8" t="str">
        <f t="shared" si="8"/>
        <v/>
      </c>
      <c r="R58" s="111" t="str">
        <f t="shared" si="9"/>
        <v/>
      </c>
      <c r="S58" s="44" t="str">
        <f t="shared" si="10"/>
        <v/>
      </c>
      <c r="T58" s="37" t="str">
        <f t="shared" si="11"/>
        <v/>
      </c>
      <c r="U58" s="44" t="str">
        <f t="shared" si="12"/>
        <v/>
      </c>
      <c r="V58" s="26"/>
      <c r="W58" s="26"/>
      <c r="X58" s="26"/>
      <c r="Y58" s="26"/>
      <c r="Z58" s="24"/>
      <c r="AA58" s="169">
        <f t="shared" si="13"/>
        <v>0</v>
      </c>
      <c r="AB58" s="4">
        <f t="shared" si="14"/>
        <v>0</v>
      </c>
      <c r="AC58" s="170">
        <f t="shared" si="21"/>
        <v>0</v>
      </c>
      <c r="AD58" s="58"/>
      <c r="AE58" s="58"/>
      <c r="AF58" s="58"/>
      <c r="AG58" s="59">
        <f t="shared" si="1"/>
        <v>9.0359999999999996</v>
      </c>
      <c r="AH58" s="59">
        <f t="shared" si="2"/>
        <v>-184.49199999999999</v>
      </c>
      <c r="AJ58" s="4">
        <f>IF(D58="M",IF(AM58&lt;78,BMILMS!$D$5*AM58^3+BMILMS!$E$5*AM58^2+BMILMS!$F$5*AM58+BMILMS!$G$5,IF(AM58&lt;150,BMILMS!$D$6*AM58^3+BMILMS!$E$6*AM58^2+BMILMS!$F$6*AM58+BMILMS!$G$6,BMILMS!$D$7*AM58^3+BMILMS!$E$7*AM58^2+BMILMS!$F$7*AM58+BMILMS!$G$7)),IF(AM58&lt;69,BMILMS!$D$9*AM58^3+BMILMS!$E$9*AM58^2+BMILMS!$F$9*AM58+BMILMS!$G$9,IF(AM58&lt;150,BMILMS!$D$10*AM58^3+BMILMS!$E$10*AM58^2+BMILMS!$F$10*AM58+BMILMS!$G$10,BMILMS!$D$11*AM58^3+BMILMS!$E$11*AM58^2+BMILMS!$F$11*AM58+BMILMS!$G$11)))</f>
        <v>0.79584630099999998</v>
      </c>
      <c r="AK58" s="4">
        <f>IF(D58="M",(IF(AM58&lt;2.5,BMILMS!$D$21*AM58^3+BMILMS!$E$21*AM58^2+BMILMS!$F$21*AM58+BMILMS!$G$21,IF(AM58&lt;9.5,BMILMS!$D$22*AM58^3+BMILMS!$E$22*AM58^2+BMILMS!$F$22*AM58+BMILMS!$G$22,IF(AM58&lt;26.75,BMILMS!$D$23*AM58^3+BMILMS!$E$23*AM58^2+BMILMS!$F$23*AM58+BMILMS!$G$23,IF(AM58&lt;90,BMILMS!$D$24*AM58^3+BMILMS!$E$24*AM58^2+BMILMS!$F$24*AM58+BMILMS!$G$24,BMILMS!$D$25*AM58^3+BMILMS!$E$25*AM58^2+BMILMS!$F$25*AM58+BMILMS!$G$25))))),(IF(AM58&lt;2.5,BMILMS!$D$27*AM58^3+BMILMS!$E$27*AM58^2+BMILMS!$F$27*AM58+BMILMS!$G$27,IF(AM58&lt;9.5,BMILMS!$D$28*AM58^3+BMILMS!$E$28*AM58^2+BMILMS!$F$28*AM58+BMILMS!$G$28,IF(AM58&lt;26.75,BMILMS!$D$29*AM58^3+BMILMS!$E$29*AM58^2+BMILMS!$F$29*AM58+BMILMS!$G$29,IF(AM58&lt;90,BMILMS!$D$30*AM58^3+BMILMS!$E$30*AM58^2+BMILMS!$F$30*AM58+BMILMS!$G$30,IF(AM58&lt;150,BMILMS!$D$31*AM58^3+BMILMS!$E$31*AM58^2+BMILMS!$F$31*AM58+BMILMS!$G$31,BMILMS!$D$32*AM58^3+BMILMS!$E$32*AM58^2+BMILMS!$F$32*AM58+BMILMS!$G$32)))))))</f>
        <v>12.568967990000001</v>
      </c>
      <c r="AL58" s="4">
        <f>IF(D58="M",(IF(AM58&lt;90,BMILMS!$D$14*AM58^3+BMILMS!$E$14*AM58^2+BMILMS!$F$14*AM58+BMILMS!$G$14,BMILMS!$D$15*AM58^3+BMILMS!$E$15*AM58^2+BMILMS!$F$15*AM58+BMILMS!$G$15)),(IF(AM58&lt;90,BMILMS!$D$17*AM58^3+BMILMS!$E$17*AM58^2+BMILMS!$F$17*AM58+BMILMS!$G$17,BMILMS!$D$18*AM58^3+BMILMS!$E$18*AM58^2+BMILMS!$F$18*AM58+BMILMS!$G$18)))</f>
        <v>8.8969350000000003E-2</v>
      </c>
      <c r="AM58" s="4">
        <f t="shared" si="20"/>
        <v>0</v>
      </c>
      <c r="AO58" s="56">
        <f>IF(D58="M",WeightSDS!P$5*$AM58^7+WeightSDS!Q$5*$AM58^6+WeightSDS!R$5*$AM58^5+WeightSDS!S$5*$AM58^4+WeightSDS!T$5*$AM58^3+WeightSDS!U$5*$AM58^2+WeightSDS!V$5*$AM58+WeightSDS!W$5,IF($AM58&lt;186,WeightSDS!P$8*$AM58^7+WeightSDS!Q$8*$AM58^6+WeightSDS!R$8*$AM58^5+WeightSDS!S$8*$AM58^4+WeightSDS!T$8*$AM58^3+WeightSDS!U$8*$AM58^2+WeightSDS!V$8*$AM58+WeightSDS!W$8,WeightSDS!$U$9+WeightSDS!$V$9*($AM58-WeightSDS!$W$9)))</f>
        <v>0.75407122999999998</v>
      </c>
      <c r="AP58" s="4">
        <f>IF(D58="M",IF($AM58&lt;45,WeightSDS!M$23*$AM58^10+WeightSDS!N$23*$AM58^9+WeightSDS!O$23*$AM58^8+WeightSDS!P$23*$AM58^7+WeightSDS!Q$23*$AM58^6+WeightSDS!R$23*$AM58^5+WeightSDS!S$23*$AM58^4+WeightSDS!T$23*$AM58^3+WeightSDS!U$23*$AM58^2+WeightSDS!V$23*$AM58+WeightSDS!W$23,IF($AM58&lt;153,WeightSDS!M$25*$AM58^10+WeightSDS!N$25*$AM58^9+WeightSDS!O$25*$AM58^8+WeightSDS!P$25*$AM58^7+WeightSDS!Q$25*$AM58^6+WeightSDS!R$25*$AM58^5+WeightSDS!S$25*$AM58^4+WeightSDS!T$25*$AM58^3+WeightSDS!U$25*$AM58^2+WeightSDS!V$25*$AM58+WeightSDS!W$25,WeightSDS!M$27+WeightSDS!N$27/(1+EXP(WeightSDS!O$27+WeightSDS!P$27*$AM58)))),IF($AM58&lt;43.8,WeightSDS!M$29*$AM58^10+WeightSDS!N$29*$AM58^9+WeightSDS!O$29*$AM58^8+WeightSDS!P$29*$AM58^7+WeightSDS!Q$29*$AM58^6+WeightSDS!R$29*$AM58^5+WeightSDS!S$29*$AM58^4+WeightSDS!T$29*$AM58^3+WeightSDS!U$29*$AM58^2+WeightSDS!V$29*$AM58+WeightSDS!W$29-0.010431*(1-$AM58/210),IF($AM58&lt;123,WeightSDS!M$30*$AM58^10+WeightSDS!N$30*$AM58^9+WeightSDS!O$30*$AM58^8+WeightSDS!P$30*$AM58^7+WeightSDS!Q$30*$AM58^6+WeightSDS!R$30*$AM58^5+WeightSDS!S$30*$AM58^4+WeightSDS!T$30*$AM58^3+WeightSDS!U$30*$AM58^2+WeightSDS!V$30*$AM58+WeightSDS!W$30-0.010431*(1-1/$AM58),WeightSDS!M$32+WeightSDS!N$32/(1+EXP(WeightSDS!O$32+WeightSDS!P$32*$AM58))-0.010431*(1-$AM58/210))))</f>
        <v>2.9500001032655536</v>
      </c>
      <c r="AQ58" s="4">
        <f>IF(D58="M",IF($AM58&lt;162,WeightSDS!P$12*$AM58^7+WeightSDS!Q$12*$AM58^6+WeightSDS!R$12*$AM58^5+WeightSDS!S$12*$AM58^4+WeightSDS!T$12*$AM58^3+WeightSDS!U$12*$AM58^2+WeightSDS!V$12*$AM58+WeightSDS!W$12,WeightSDS!P$14*$AM58^7+WeightSDS!Q$14*$AM58^6+WeightSDS!R$14*$AM58^5+WeightSDS!S$14*$AM58^4+WeightSDS!T$14*$AM58^3+WeightSDS!U$14*$AM58^2+WeightSDS!V$14*$AM58+WeightSDS!W$14),IF($AM58&lt;156,WeightSDS!O$17*$AM58^8+WeightSDS!P$17*$AM58^7+WeightSDS!Q$17*$AM58^6+WeightSDS!R$17*$AM58^5+WeightSDS!S$17*$AM58^4+WeightSDS!T$17*$AM58^3+WeightSDS!U$17*$AM58^2+WeightSDS!V$17*$AM58+WeightSDS!W$17,IF($AM58&lt;186,WeightSDS!$U$18+(WeightSDS!$V$18-WeightSDS!$U$18)/24*($AM58-186)+WeightSDS!$W$18*(-$AM58+186)^2-0.005,WeightSDS!$U$18+(WeightSDS!$V$18-WeightSDS!$U$18)/24*($AM58-186)-0.005)))</f>
        <v>0.14604529399999999</v>
      </c>
      <c r="AT58" s="4">
        <f t="shared" si="16"/>
        <v>0.56299999999999994</v>
      </c>
      <c r="AU58" s="4">
        <f t="shared" si="17"/>
        <v>69</v>
      </c>
      <c r="AV58" s="4">
        <f t="shared" si="18"/>
        <v>0.51</v>
      </c>
    </row>
    <row r="59" spans="1:48" x14ac:dyDescent="0.15">
      <c r="A59" s="4"/>
      <c r="B59" s="21"/>
      <c r="C59" s="21"/>
      <c r="D59" s="21"/>
      <c r="E59" s="22"/>
      <c r="F59" s="22"/>
      <c r="G59" s="23"/>
      <c r="H59" s="23"/>
      <c r="I59" s="181"/>
      <c r="J59" s="8" t="str">
        <f t="shared" si="3"/>
        <v/>
      </c>
      <c r="K59" s="2" t="str">
        <f t="shared" si="4"/>
        <v/>
      </c>
      <c r="L59" s="2" t="str">
        <f t="shared" si="0"/>
        <v/>
      </c>
      <c r="M59" s="2" t="str">
        <f t="shared" si="5"/>
        <v/>
      </c>
      <c r="N59" s="2" t="str">
        <f t="shared" si="19"/>
        <v/>
      </c>
      <c r="O59" s="2" t="str">
        <f t="shared" si="6"/>
        <v/>
      </c>
      <c r="P59" s="8" t="str">
        <f t="shared" si="7"/>
        <v/>
      </c>
      <c r="Q59" s="8" t="str">
        <f t="shared" si="8"/>
        <v/>
      </c>
      <c r="R59" s="111" t="str">
        <f t="shared" si="9"/>
        <v/>
      </c>
      <c r="S59" s="44" t="str">
        <f t="shared" si="10"/>
        <v/>
      </c>
      <c r="T59" s="37" t="str">
        <f t="shared" si="11"/>
        <v/>
      </c>
      <c r="U59" s="44" t="str">
        <f t="shared" si="12"/>
        <v/>
      </c>
      <c r="V59" s="26"/>
      <c r="W59" s="26"/>
      <c r="X59" s="26"/>
      <c r="Y59" s="26"/>
      <c r="Z59" s="24"/>
      <c r="AA59" s="169">
        <f t="shared" si="13"/>
        <v>0</v>
      </c>
      <c r="AB59" s="4">
        <f t="shared" si="14"/>
        <v>0</v>
      </c>
      <c r="AC59" s="170">
        <f t="shared" si="21"/>
        <v>0</v>
      </c>
      <c r="AD59" s="58"/>
      <c r="AE59" s="58"/>
      <c r="AF59" s="58"/>
      <c r="AG59" s="59">
        <f t="shared" si="1"/>
        <v>9.0359999999999996</v>
      </c>
      <c r="AH59" s="59">
        <f t="shared" si="2"/>
        <v>-184.49199999999999</v>
      </c>
      <c r="AJ59" s="4">
        <f>IF(D59="M",IF(AM59&lt;78,BMILMS!$D$5*AM59^3+BMILMS!$E$5*AM59^2+BMILMS!$F$5*AM59+BMILMS!$G$5,IF(AM59&lt;150,BMILMS!$D$6*AM59^3+BMILMS!$E$6*AM59^2+BMILMS!$F$6*AM59+BMILMS!$G$6,BMILMS!$D$7*AM59^3+BMILMS!$E$7*AM59^2+BMILMS!$F$7*AM59+BMILMS!$G$7)),IF(AM59&lt;69,BMILMS!$D$9*AM59^3+BMILMS!$E$9*AM59^2+BMILMS!$F$9*AM59+BMILMS!$G$9,IF(AM59&lt;150,BMILMS!$D$10*AM59^3+BMILMS!$E$10*AM59^2+BMILMS!$F$10*AM59+BMILMS!$G$10,BMILMS!$D$11*AM59^3+BMILMS!$E$11*AM59^2+BMILMS!$F$11*AM59+BMILMS!$G$11)))</f>
        <v>0.79584630099999998</v>
      </c>
      <c r="AK59" s="4">
        <f>IF(D59="M",(IF(AM59&lt;2.5,BMILMS!$D$21*AM59^3+BMILMS!$E$21*AM59^2+BMILMS!$F$21*AM59+BMILMS!$G$21,IF(AM59&lt;9.5,BMILMS!$D$22*AM59^3+BMILMS!$E$22*AM59^2+BMILMS!$F$22*AM59+BMILMS!$G$22,IF(AM59&lt;26.75,BMILMS!$D$23*AM59^3+BMILMS!$E$23*AM59^2+BMILMS!$F$23*AM59+BMILMS!$G$23,IF(AM59&lt;90,BMILMS!$D$24*AM59^3+BMILMS!$E$24*AM59^2+BMILMS!$F$24*AM59+BMILMS!$G$24,BMILMS!$D$25*AM59^3+BMILMS!$E$25*AM59^2+BMILMS!$F$25*AM59+BMILMS!$G$25))))),(IF(AM59&lt;2.5,BMILMS!$D$27*AM59^3+BMILMS!$E$27*AM59^2+BMILMS!$F$27*AM59+BMILMS!$G$27,IF(AM59&lt;9.5,BMILMS!$D$28*AM59^3+BMILMS!$E$28*AM59^2+BMILMS!$F$28*AM59+BMILMS!$G$28,IF(AM59&lt;26.75,BMILMS!$D$29*AM59^3+BMILMS!$E$29*AM59^2+BMILMS!$F$29*AM59+BMILMS!$G$29,IF(AM59&lt;90,BMILMS!$D$30*AM59^3+BMILMS!$E$30*AM59^2+BMILMS!$F$30*AM59+BMILMS!$G$30,IF(AM59&lt;150,BMILMS!$D$31*AM59^3+BMILMS!$E$31*AM59^2+BMILMS!$F$31*AM59+BMILMS!$G$31,BMILMS!$D$32*AM59^3+BMILMS!$E$32*AM59^2+BMILMS!$F$32*AM59+BMILMS!$G$32)))))))</f>
        <v>12.568967990000001</v>
      </c>
      <c r="AL59" s="4">
        <f>IF(D59="M",(IF(AM59&lt;90,BMILMS!$D$14*AM59^3+BMILMS!$E$14*AM59^2+BMILMS!$F$14*AM59+BMILMS!$G$14,BMILMS!$D$15*AM59^3+BMILMS!$E$15*AM59^2+BMILMS!$F$15*AM59+BMILMS!$G$15)),(IF(AM59&lt;90,BMILMS!$D$17*AM59^3+BMILMS!$E$17*AM59^2+BMILMS!$F$17*AM59+BMILMS!$G$17,BMILMS!$D$18*AM59^3+BMILMS!$E$18*AM59^2+BMILMS!$F$18*AM59+BMILMS!$G$18)))</f>
        <v>8.8969350000000003E-2</v>
      </c>
      <c r="AM59" s="4">
        <f t="shared" si="20"/>
        <v>0</v>
      </c>
      <c r="AO59" s="56">
        <f>IF(D59="M",WeightSDS!P$5*$AM59^7+WeightSDS!Q$5*$AM59^6+WeightSDS!R$5*$AM59^5+WeightSDS!S$5*$AM59^4+WeightSDS!T$5*$AM59^3+WeightSDS!U$5*$AM59^2+WeightSDS!V$5*$AM59+WeightSDS!W$5,IF($AM59&lt;186,WeightSDS!P$8*$AM59^7+WeightSDS!Q$8*$AM59^6+WeightSDS!R$8*$AM59^5+WeightSDS!S$8*$AM59^4+WeightSDS!T$8*$AM59^3+WeightSDS!U$8*$AM59^2+WeightSDS!V$8*$AM59+WeightSDS!W$8,WeightSDS!$U$9+WeightSDS!$V$9*($AM59-WeightSDS!$W$9)))</f>
        <v>0.75407122999999998</v>
      </c>
      <c r="AP59" s="4">
        <f>IF(D59="M",IF($AM59&lt;45,WeightSDS!M$23*$AM59^10+WeightSDS!N$23*$AM59^9+WeightSDS!O$23*$AM59^8+WeightSDS!P$23*$AM59^7+WeightSDS!Q$23*$AM59^6+WeightSDS!R$23*$AM59^5+WeightSDS!S$23*$AM59^4+WeightSDS!T$23*$AM59^3+WeightSDS!U$23*$AM59^2+WeightSDS!V$23*$AM59+WeightSDS!W$23,IF($AM59&lt;153,WeightSDS!M$25*$AM59^10+WeightSDS!N$25*$AM59^9+WeightSDS!O$25*$AM59^8+WeightSDS!P$25*$AM59^7+WeightSDS!Q$25*$AM59^6+WeightSDS!R$25*$AM59^5+WeightSDS!S$25*$AM59^4+WeightSDS!T$25*$AM59^3+WeightSDS!U$25*$AM59^2+WeightSDS!V$25*$AM59+WeightSDS!W$25,WeightSDS!M$27+WeightSDS!N$27/(1+EXP(WeightSDS!O$27+WeightSDS!P$27*$AM59)))),IF($AM59&lt;43.8,WeightSDS!M$29*$AM59^10+WeightSDS!N$29*$AM59^9+WeightSDS!O$29*$AM59^8+WeightSDS!P$29*$AM59^7+WeightSDS!Q$29*$AM59^6+WeightSDS!R$29*$AM59^5+WeightSDS!S$29*$AM59^4+WeightSDS!T$29*$AM59^3+WeightSDS!U$29*$AM59^2+WeightSDS!V$29*$AM59+WeightSDS!W$29-0.010431*(1-$AM59/210),IF($AM59&lt;123,WeightSDS!M$30*$AM59^10+WeightSDS!N$30*$AM59^9+WeightSDS!O$30*$AM59^8+WeightSDS!P$30*$AM59^7+WeightSDS!Q$30*$AM59^6+WeightSDS!R$30*$AM59^5+WeightSDS!S$30*$AM59^4+WeightSDS!T$30*$AM59^3+WeightSDS!U$30*$AM59^2+WeightSDS!V$30*$AM59+WeightSDS!W$30-0.010431*(1-1/$AM59),WeightSDS!M$32+WeightSDS!N$32/(1+EXP(WeightSDS!O$32+WeightSDS!P$32*$AM59))-0.010431*(1-$AM59/210))))</f>
        <v>2.9500001032655536</v>
      </c>
      <c r="AQ59" s="4">
        <f>IF(D59="M",IF($AM59&lt;162,WeightSDS!P$12*$AM59^7+WeightSDS!Q$12*$AM59^6+WeightSDS!R$12*$AM59^5+WeightSDS!S$12*$AM59^4+WeightSDS!T$12*$AM59^3+WeightSDS!U$12*$AM59^2+WeightSDS!V$12*$AM59+WeightSDS!W$12,WeightSDS!P$14*$AM59^7+WeightSDS!Q$14*$AM59^6+WeightSDS!R$14*$AM59^5+WeightSDS!S$14*$AM59^4+WeightSDS!T$14*$AM59^3+WeightSDS!U$14*$AM59^2+WeightSDS!V$14*$AM59+WeightSDS!W$14),IF($AM59&lt;156,WeightSDS!O$17*$AM59^8+WeightSDS!P$17*$AM59^7+WeightSDS!Q$17*$AM59^6+WeightSDS!R$17*$AM59^5+WeightSDS!S$17*$AM59^4+WeightSDS!T$17*$AM59^3+WeightSDS!U$17*$AM59^2+WeightSDS!V$17*$AM59+WeightSDS!W$17,IF($AM59&lt;186,WeightSDS!$U$18+(WeightSDS!$V$18-WeightSDS!$U$18)/24*($AM59-186)+WeightSDS!$W$18*(-$AM59+186)^2-0.005,WeightSDS!$U$18+(WeightSDS!$V$18-WeightSDS!$U$18)/24*($AM59-186)-0.005)))</f>
        <v>0.14604529399999999</v>
      </c>
      <c r="AT59" s="4">
        <f t="shared" si="16"/>
        <v>0.56299999999999994</v>
      </c>
      <c r="AU59" s="4">
        <f t="shared" si="17"/>
        <v>69</v>
      </c>
      <c r="AV59" s="4">
        <f t="shared" si="18"/>
        <v>0.51</v>
      </c>
    </row>
    <row r="60" spans="1:48" x14ac:dyDescent="0.15">
      <c r="A60" s="4"/>
      <c r="B60" s="21"/>
      <c r="C60" s="21"/>
      <c r="D60" s="21"/>
      <c r="E60" s="22"/>
      <c r="F60" s="22"/>
      <c r="G60" s="23"/>
      <c r="H60" s="23"/>
      <c r="I60" s="181"/>
      <c r="J60" s="8" t="str">
        <f t="shared" si="3"/>
        <v/>
      </c>
      <c r="K60" s="2" t="str">
        <f t="shared" si="4"/>
        <v/>
      </c>
      <c r="L60" s="2" t="str">
        <f t="shared" si="0"/>
        <v/>
      </c>
      <c r="M60" s="2" t="str">
        <f t="shared" si="5"/>
        <v/>
      </c>
      <c r="N60" s="2" t="str">
        <f t="shared" si="19"/>
        <v/>
      </c>
      <c r="O60" s="2" t="str">
        <f t="shared" si="6"/>
        <v/>
      </c>
      <c r="P60" s="8" t="str">
        <f t="shared" si="7"/>
        <v/>
      </c>
      <c r="Q60" s="8" t="str">
        <f t="shared" si="8"/>
        <v/>
      </c>
      <c r="R60" s="111" t="str">
        <f t="shared" si="9"/>
        <v/>
      </c>
      <c r="S60" s="44" t="str">
        <f t="shared" si="10"/>
        <v/>
      </c>
      <c r="T60" s="37" t="str">
        <f t="shared" si="11"/>
        <v/>
      </c>
      <c r="U60" s="44" t="str">
        <f t="shared" si="12"/>
        <v/>
      </c>
      <c r="V60" s="26"/>
      <c r="W60" s="26"/>
      <c r="X60" s="26"/>
      <c r="Y60" s="26"/>
      <c r="Z60" s="24"/>
      <c r="AA60" s="169">
        <f t="shared" si="13"/>
        <v>0</v>
      </c>
      <c r="AB60" s="4">
        <f t="shared" si="14"/>
        <v>0</v>
      </c>
      <c r="AC60" s="170">
        <f t="shared" si="21"/>
        <v>0</v>
      </c>
      <c r="AD60" s="58"/>
      <c r="AE60" s="58"/>
      <c r="AF60" s="58"/>
      <c r="AG60" s="59">
        <f t="shared" si="1"/>
        <v>9.0359999999999996</v>
      </c>
      <c r="AH60" s="59">
        <f t="shared" si="2"/>
        <v>-184.49199999999999</v>
      </c>
      <c r="AJ60" s="4">
        <f>IF(D60="M",IF(AM60&lt;78,BMILMS!$D$5*AM60^3+BMILMS!$E$5*AM60^2+BMILMS!$F$5*AM60+BMILMS!$G$5,IF(AM60&lt;150,BMILMS!$D$6*AM60^3+BMILMS!$E$6*AM60^2+BMILMS!$F$6*AM60+BMILMS!$G$6,BMILMS!$D$7*AM60^3+BMILMS!$E$7*AM60^2+BMILMS!$F$7*AM60+BMILMS!$G$7)),IF(AM60&lt;69,BMILMS!$D$9*AM60^3+BMILMS!$E$9*AM60^2+BMILMS!$F$9*AM60+BMILMS!$G$9,IF(AM60&lt;150,BMILMS!$D$10*AM60^3+BMILMS!$E$10*AM60^2+BMILMS!$F$10*AM60+BMILMS!$G$10,BMILMS!$D$11*AM60^3+BMILMS!$E$11*AM60^2+BMILMS!$F$11*AM60+BMILMS!$G$11)))</f>
        <v>0.79584630099999998</v>
      </c>
      <c r="AK60" s="4">
        <f>IF(D60="M",(IF(AM60&lt;2.5,BMILMS!$D$21*AM60^3+BMILMS!$E$21*AM60^2+BMILMS!$F$21*AM60+BMILMS!$G$21,IF(AM60&lt;9.5,BMILMS!$D$22*AM60^3+BMILMS!$E$22*AM60^2+BMILMS!$F$22*AM60+BMILMS!$G$22,IF(AM60&lt;26.75,BMILMS!$D$23*AM60^3+BMILMS!$E$23*AM60^2+BMILMS!$F$23*AM60+BMILMS!$G$23,IF(AM60&lt;90,BMILMS!$D$24*AM60^3+BMILMS!$E$24*AM60^2+BMILMS!$F$24*AM60+BMILMS!$G$24,BMILMS!$D$25*AM60^3+BMILMS!$E$25*AM60^2+BMILMS!$F$25*AM60+BMILMS!$G$25))))),(IF(AM60&lt;2.5,BMILMS!$D$27*AM60^3+BMILMS!$E$27*AM60^2+BMILMS!$F$27*AM60+BMILMS!$G$27,IF(AM60&lt;9.5,BMILMS!$D$28*AM60^3+BMILMS!$E$28*AM60^2+BMILMS!$F$28*AM60+BMILMS!$G$28,IF(AM60&lt;26.75,BMILMS!$D$29*AM60^3+BMILMS!$E$29*AM60^2+BMILMS!$F$29*AM60+BMILMS!$G$29,IF(AM60&lt;90,BMILMS!$D$30*AM60^3+BMILMS!$E$30*AM60^2+BMILMS!$F$30*AM60+BMILMS!$G$30,IF(AM60&lt;150,BMILMS!$D$31*AM60^3+BMILMS!$E$31*AM60^2+BMILMS!$F$31*AM60+BMILMS!$G$31,BMILMS!$D$32*AM60^3+BMILMS!$E$32*AM60^2+BMILMS!$F$32*AM60+BMILMS!$G$32)))))))</f>
        <v>12.568967990000001</v>
      </c>
      <c r="AL60" s="4">
        <f>IF(D60="M",(IF(AM60&lt;90,BMILMS!$D$14*AM60^3+BMILMS!$E$14*AM60^2+BMILMS!$F$14*AM60+BMILMS!$G$14,BMILMS!$D$15*AM60^3+BMILMS!$E$15*AM60^2+BMILMS!$F$15*AM60+BMILMS!$G$15)),(IF(AM60&lt;90,BMILMS!$D$17*AM60^3+BMILMS!$E$17*AM60^2+BMILMS!$F$17*AM60+BMILMS!$G$17,BMILMS!$D$18*AM60^3+BMILMS!$E$18*AM60^2+BMILMS!$F$18*AM60+BMILMS!$G$18)))</f>
        <v>8.8969350000000003E-2</v>
      </c>
      <c r="AM60" s="4">
        <f t="shared" si="20"/>
        <v>0</v>
      </c>
      <c r="AO60" s="56">
        <f>IF(D60="M",WeightSDS!P$5*$AM60^7+WeightSDS!Q$5*$AM60^6+WeightSDS!R$5*$AM60^5+WeightSDS!S$5*$AM60^4+WeightSDS!T$5*$AM60^3+WeightSDS!U$5*$AM60^2+WeightSDS!V$5*$AM60+WeightSDS!W$5,IF($AM60&lt;186,WeightSDS!P$8*$AM60^7+WeightSDS!Q$8*$AM60^6+WeightSDS!R$8*$AM60^5+WeightSDS!S$8*$AM60^4+WeightSDS!T$8*$AM60^3+WeightSDS!U$8*$AM60^2+WeightSDS!V$8*$AM60+WeightSDS!W$8,WeightSDS!$U$9+WeightSDS!$V$9*($AM60-WeightSDS!$W$9)))</f>
        <v>0.75407122999999998</v>
      </c>
      <c r="AP60" s="4">
        <f>IF(D60="M",IF($AM60&lt;45,WeightSDS!M$23*$AM60^10+WeightSDS!N$23*$AM60^9+WeightSDS!O$23*$AM60^8+WeightSDS!P$23*$AM60^7+WeightSDS!Q$23*$AM60^6+WeightSDS!R$23*$AM60^5+WeightSDS!S$23*$AM60^4+WeightSDS!T$23*$AM60^3+WeightSDS!U$23*$AM60^2+WeightSDS!V$23*$AM60+WeightSDS!W$23,IF($AM60&lt;153,WeightSDS!M$25*$AM60^10+WeightSDS!N$25*$AM60^9+WeightSDS!O$25*$AM60^8+WeightSDS!P$25*$AM60^7+WeightSDS!Q$25*$AM60^6+WeightSDS!R$25*$AM60^5+WeightSDS!S$25*$AM60^4+WeightSDS!T$25*$AM60^3+WeightSDS!U$25*$AM60^2+WeightSDS!V$25*$AM60+WeightSDS!W$25,WeightSDS!M$27+WeightSDS!N$27/(1+EXP(WeightSDS!O$27+WeightSDS!P$27*$AM60)))),IF($AM60&lt;43.8,WeightSDS!M$29*$AM60^10+WeightSDS!N$29*$AM60^9+WeightSDS!O$29*$AM60^8+WeightSDS!P$29*$AM60^7+WeightSDS!Q$29*$AM60^6+WeightSDS!R$29*$AM60^5+WeightSDS!S$29*$AM60^4+WeightSDS!T$29*$AM60^3+WeightSDS!U$29*$AM60^2+WeightSDS!V$29*$AM60+WeightSDS!W$29-0.010431*(1-$AM60/210),IF($AM60&lt;123,WeightSDS!M$30*$AM60^10+WeightSDS!N$30*$AM60^9+WeightSDS!O$30*$AM60^8+WeightSDS!P$30*$AM60^7+WeightSDS!Q$30*$AM60^6+WeightSDS!R$30*$AM60^5+WeightSDS!S$30*$AM60^4+WeightSDS!T$30*$AM60^3+WeightSDS!U$30*$AM60^2+WeightSDS!V$30*$AM60+WeightSDS!W$30-0.010431*(1-1/$AM60),WeightSDS!M$32+WeightSDS!N$32/(1+EXP(WeightSDS!O$32+WeightSDS!P$32*$AM60))-0.010431*(1-$AM60/210))))</f>
        <v>2.9500001032655536</v>
      </c>
      <c r="AQ60" s="4">
        <f>IF(D60="M",IF($AM60&lt;162,WeightSDS!P$12*$AM60^7+WeightSDS!Q$12*$AM60^6+WeightSDS!R$12*$AM60^5+WeightSDS!S$12*$AM60^4+WeightSDS!T$12*$AM60^3+WeightSDS!U$12*$AM60^2+WeightSDS!V$12*$AM60+WeightSDS!W$12,WeightSDS!P$14*$AM60^7+WeightSDS!Q$14*$AM60^6+WeightSDS!R$14*$AM60^5+WeightSDS!S$14*$AM60^4+WeightSDS!T$14*$AM60^3+WeightSDS!U$14*$AM60^2+WeightSDS!V$14*$AM60+WeightSDS!W$14),IF($AM60&lt;156,WeightSDS!O$17*$AM60^8+WeightSDS!P$17*$AM60^7+WeightSDS!Q$17*$AM60^6+WeightSDS!R$17*$AM60^5+WeightSDS!S$17*$AM60^4+WeightSDS!T$17*$AM60^3+WeightSDS!U$17*$AM60^2+WeightSDS!V$17*$AM60+WeightSDS!W$17,IF($AM60&lt;186,WeightSDS!$U$18+(WeightSDS!$V$18-WeightSDS!$U$18)/24*($AM60-186)+WeightSDS!$W$18*(-$AM60+186)^2-0.005,WeightSDS!$U$18+(WeightSDS!$V$18-WeightSDS!$U$18)/24*($AM60-186)-0.005)))</f>
        <v>0.14604529399999999</v>
      </c>
      <c r="AT60" s="4">
        <f t="shared" si="16"/>
        <v>0.56299999999999994</v>
      </c>
      <c r="AU60" s="4">
        <f t="shared" si="17"/>
        <v>69</v>
      </c>
      <c r="AV60" s="4">
        <f t="shared" si="18"/>
        <v>0.51</v>
      </c>
    </row>
    <row r="61" spans="1:48" x14ac:dyDescent="0.15">
      <c r="A61" s="4"/>
      <c r="B61" s="21"/>
      <c r="C61" s="21"/>
      <c r="D61" s="21"/>
      <c r="E61" s="22"/>
      <c r="F61" s="22"/>
      <c r="G61" s="23"/>
      <c r="H61" s="23"/>
      <c r="I61" s="181"/>
      <c r="J61" s="8" t="str">
        <f t="shared" si="3"/>
        <v/>
      </c>
      <c r="K61" s="2" t="str">
        <f t="shared" si="4"/>
        <v/>
      </c>
      <c r="L61" s="2" t="str">
        <f t="shared" si="0"/>
        <v/>
      </c>
      <c r="M61" s="2" t="str">
        <f t="shared" si="5"/>
        <v/>
      </c>
      <c r="N61" s="2" t="str">
        <f t="shared" si="19"/>
        <v/>
      </c>
      <c r="O61" s="2" t="str">
        <f t="shared" si="6"/>
        <v/>
      </c>
      <c r="P61" s="8" t="str">
        <f t="shared" si="7"/>
        <v/>
      </c>
      <c r="Q61" s="8" t="str">
        <f t="shared" si="8"/>
        <v/>
      </c>
      <c r="R61" s="111" t="str">
        <f t="shared" si="9"/>
        <v/>
      </c>
      <c r="S61" s="44" t="str">
        <f t="shared" si="10"/>
        <v/>
      </c>
      <c r="T61" s="37" t="str">
        <f t="shared" si="11"/>
        <v/>
      </c>
      <c r="U61" s="44" t="str">
        <f t="shared" si="12"/>
        <v/>
      </c>
      <c r="V61" s="26"/>
      <c r="W61" s="26"/>
      <c r="X61" s="26"/>
      <c r="Y61" s="26"/>
      <c r="Z61" s="24"/>
      <c r="AA61" s="169">
        <f t="shared" si="13"/>
        <v>0</v>
      </c>
      <c r="AB61" s="4">
        <f t="shared" si="14"/>
        <v>0</v>
      </c>
      <c r="AC61" s="170">
        <f t="shared" si="21"/>
        <v>0</v>
      </c>
      <c r="AD61" s="58"/>
      <c r="AE61" s="58"/>
      <c r="AF61" s="58"/>
      <c r="AG61" s="59">
        <f t="shared" si="1"/>
        <v>9.0359999999999996</v>
      </c>
      <c r="AH61" s="59">
        <f t="shared" si="2"/>
        <v>-184.49199999999999</v>
      </c>
      <c r="AJ61" s="4">
        <f>IF(D61="M",IF(AM61&lt;78,BMILMS!$D$5*AM61^3+BMILMS!$E$5*AM61^2+BMILMS!$F$5*AM61+BMILMS!$G$5,IF(AM61&lt;150,BMILMS!$D$6*AM61^3+BMILMS!$E$6*AM61^2+BMILMS!$F$6*AM61+BMILMS!$G$6,BMILMS!$D$7*AM61^3+BMILMS!$E$7*AM61^2+BMILMS!$F$7*AM61+BMILMS!$G$7)),IF(AM61&lt;69,BMILMS!$D$9*AM61^3+BMILMS!$E$9*AM61^2+BMILMS!$F$9*AM61+BMILMS!$G$9,IF(AM61&lt;150,BMILMS!$D$10*AM61^3+BMILMS!$E$10*AM61^2+BMILMS!$F$10*AM61+BMILMS!$G$10,BMILMS!$D$11*AM61^3+BMILMS!$E$11*AM61^2+BMILMS!$F$11*AM61+BMILMS!$G$11)))</f>
        <v>0.79584630099999998</v>
      </c>
      <c r="AK61" s="4">
        <f>IF(D61="M",(IF(AM61&lt;2.5,BMILMS!$D$21*AM61^3+BMILMS!$E$21*AM61^2+BMILMS!$F$21*AM61+BMILMS!$G$21,IF(AM61&lt;9.5,BMILMS!$D$22*AM61^3+BMILMS!$E$22*AM61^2+BMILMS!$F$22*AM61+BMILMS!$G$22,IF(AM61&lt;26.75,BMILMS!$D$23*AM61^3+BMILMS!$E$23*AM61^2+BMILMS!$F$23*AM61+BMILMS!$G$23,IF(AM61&lt;90,BMILMS!$D$24*AM61^3+BMILMS!$E$24*AM61^2+BMILMS!$F$24*AM61+BMILMS!$G$24,BMILMS!$D$25*AM61^3+BMILMS!$E$25*AM61^2+BMILMS!$F$25*AM61+BMILMS!$G$25))))),(IF(AM61&lt;2.5,BMILMS!$D$27*AM61^3+BMILMS!$E$27*AM61^2+BMILMS!$F$27*AM61+BMILMS!$G$27,IF(AM61&lt;9.5,BMILMS!$D$28*AM61^3+BMILMS!$E$28*AM61^2+BMILMS!$F$28*AM61+BMILMS!$G$28,IF(AM61&lt;26.75,BMILMS!$D$29*AM61^3+BMILMS!$E$29*AM61^2+BMILMS!$F$29*AM61+BMILMS!$G$29,IF(AM61&lt;90,BMILMS!$D$30*AM61^3+BMILMS!$E$30*AM61^2+BMILMS!$F$30*AM61+BMILMS!$G$30,IF(AM61&lt;150,BMILMS!$D$31*AM61^3+BMILMS!$E$31*AM61^2+BMILMS!$F$31*AM61+BMILMS!$G$31,BMILMS!$D$32*AM61^3+BMILMS!$E$32*AM61^2+BMILMS!$F$32*AM61+BMILMS!$G$32)))))))</f>
        <v>12.568967990000001</v>
      </c>
      <c r="AL61" s="4">
        <f>IF(D61="M",(IF(AM61&lt;90,BMILMS!$D$14*AM61^3+BMILMS!$E$14*AM61^2+BMILMS!$F$14*AM61+BMILMS!$G$14,BMILMS!$D$15*AM61^3+BMILMS!$E$15*AM61^2+BMILMS!$F$15*AM61+BMILMS!$G$15)),(IF(AM61&lt;90,BMILMS!$D$17*AM61^3+BMILMS!$E$17*AM61^2+BMILMS!$F$17*AM61+BMILMS!$G$17,BMILMS!$D$18*AM61^3+BMILMS!$E$18*AM61^2+BMILMS!$F$18*AM61+BMILMS!$G$18)))</f>
        <v>8.8969350000000003E-2</v>
      </c>
      <c r="AM61" s="4">
        <f t="shared" si="20"/>
        <v>0</v>
      </c>
      <c r="AO61" s="56">
        <f>IF(D61="M",WeightSDS!P$5*$AM61^7+WeightSDS!Q$5*$AM61^6+WeightSDS!R$5*$AM61^5+WeightSDS!S$5*$AM61^4+WeightSDS!T$5*$AM61^3+WeightSDS!U$5*$AM61^2+WeightSDS!V$5*$AM61+WeightSDS!W$5,IF($AM61&lt;186,WeightSDS!P$8*$AM61^7+WeightSDS!Q$8*$AM61^6+WeightSDS!R$8*$AM61^5+WeightSDS!S$8*$AM61^4+WeightSDS!T$8*$AM61^3+WeightSDS!U$8*$AM61^2+WeightSDS!V$8*$AM61+WeightSDS!W$8,WeightSDS!$U$9+WeightSDS!$V$9*($AM61-WeightSDS!$W$9)))</f>
        <v>0.75407122999999998</v>
      </c>
      <c r="AP61" s="4">
        <f>IF(D61="M",IF($AM61&lt;45,WeightSDS!M$23*$AM61^10+WeightSDS!N$23*$AM61^9+WeightSDS!O$23*$AM61^8+WeightSDS!P$23*$AM61^7+WeightSDS!Q$23*$AM61^6+WeightSDS!R$23*$AM61^5+WeightSDS!S$23*$AM61^4+WeightSDS!T$23*$AM61^3+WeightSDS!U$23*$AM61^2+WeightSDS!V$23*$AM61+WeightSDS!W$23,IF($AM61&lt;153,WeightSDS!M$25*$AM61^10+WeightSDS!N$25*$AM61^9+WeightSDS!O$25*$AM61^8+WeightSDS!P$25*$AM61^7+WeightSDS!Q$25*$AM61^6+WeightSDS!R$25*$AM61^5+WeightSDS!S$25*$AM61^4+WeightSDS!T$25*$AM61^3+WeightSDS!U$25*$AM61^2+WeightSDS!V$25*$AM61+WeightSDS!W$25,WeightSDS!M$27+WeightSDS!N$27/(1+EXP(WeightSDS!O$27+WeightSDS!P$27*$AM61)))),IF($AM61&lt;43.8,WeightSDS!M$29*$AM61^10+WeightSDS!N$29*$AM61^9+WeightSDS!O$29*$AM61^8+WeightSDS!P$29*$AM61^7+WeightSDS!Q$29*$AM61^6+WeightSDS!R$29*$AM61^5+WeightSDS!S$29*$AM61^4+WeightSDS!T$29*$AM61^3+WeightSDS!U$29*$AM61^2+WeightSDS!V$29*$AM61+WeightSDS!W$29-0.010431*(1-$AM61/210),IF($AM61&lt;123,WeightSDS!M$30*$AM61^10+WeightSDS!N$30*$AM61^9+WeightSDS!O$30*$AM61^8+WeightSDS!P$30*$AM61^7+WeightSDS!Q$30*$AM61^6+WeightSDS!R$30*$AM61^5+WeightSDS!S$30*$AM61^4+WeightSDS!T$30*$AM61^3+WeightSDS!U$30*$AM61^2+WeightSDS!V$30*$AM61+WeightSDS!W$30-0.010431*(1-1/$AM61),WeightSDS!M$32+WeightSDS!N$32/(1+EXP(WeightSDS!O$32+WeightSDS!P$32*$AM61))-0.010431*(1-$AM61/210))))</f>
        <v>2.9500001032655536</v>
      </c>
      <c r="AQ61" s="4">
        <f>IF(D61="M",IF($AM61&lt;162,WeightSDS!P$12*$AM61^7+WeightSDS!Q$12*$AM61^6+WeightSDS!R$12*$AM61^5+WeightSDS!S$12*$AM61^4+WeightSDS!T$12*$AM61^3+WeightSDS!U$12*$AM61^2+WeightSDS!V$12*$AM61+WeightSDS!W$12,WeightSDS!P$14*$AM61^7+WeightSDS!Q$14*$AM61^6+WeightSDS!R$14*$AM61^5+WeightSDS!S$14*$AM61^4+WeightSDS!T$14*$AM61^3+WeightSDS!U$14*$AM61^2+WeightSDS!V$14*$AM61+WeightSDS!W$14),IF($AM61&lt;156,WeightSDS!O$17*$AM61^8+WeightSDS!P$17*$AM61^7+WeightSDS!Q$17*$AM61^6+WeightSDS!R$17*$AM61^5+WeightSDS!S$17*$AM61^4+WeightSDS!T$17*$AM61^3+WeightSDS!U$17*$AM61^2+WeightSDS!V$17*$AM61+WeightSDS!W$17,IF($AM61&lt;186,WeightSDS!$U$18+(WeightSDS!$V$18-WeightSDS!$U$18)/24*($AM61-186)+WeightSDS!$W$18*(-$AM61+186)^2-0.005,WeightSDS!$U$18+(WeightSDS!$V$18-WeightSDS!$U$18)/24*($AM61-186)-0.005)))</f>
        <v>0.14604529399999999</v>
      </c>
      <c r="AT61" s="4">
        <f t="shared" si="16"/>
        <v>0.56299999999999994</v>
      </c>
      <c r="AU61" s="4">
        <f t="shared" si="17"/>
        <v>69</v>
      </c>
      <c r="AV61" s="4">
        <f t="shared" si="18"/>
        <v>0.51</v>
      </c>
    </row>
    <row r="62" spans="1:48" x14ac:dyDescent="0.15">
      <c r="A62" s="4"/>
      <c r="B62" s="21"/>
      <c r="C62" s="21"/>
      <c r="D62" s="21"/>
      <c r="E62" s="22"/>
      <c r="F62" s="22"/>
      <c r="G62" s="23"/>
      <c r="H62" s="23"/>
      <c r="I62" s="181"/>
      <c r="J62" s="8" t="str">
        <f t="shared" si="3"/>
        <v/>
      </c>
      <c r="K62" s="2" t="str">
        <f t="shared" si="4"/>
        <v/>
      </c>
      <c r="L62" s="2" t="str">
        <f t="shared" si="0"/>
        <v/>
      </c>
      <c r="M62" s="2" t="str">
        <f t="shared" si="5"/>
        <v/>
      </c>
      <c r="N62" s="2" t="str">
        <f t="shared" si="19"/>
        <v/>
      </c>
      <c r="O62" s="2" t="str">
        <f t="shared" si="6"/>
        <v/>
      </c>
      <c r="P62" s="8" t="str">
        <f t="shared" si="7"/>
        <v/>
      </c>
      <c r="Q62" s="8" t="str">
        <f t="shared" si="8"/>
        <v/>
      </c>
      <c r="R62" s="111" t="str">
        <f t="shared" si="9"/>
        <v/>
      </c>
      <c r="S62" s="44" t="str">
        <f t="shared" si="10"/>
        <v/>
      </c>
      <c r="T62" s="37" t="str">
        <f t="shared" si="11"/>
        <v/>
      </c>
      <c r="U62" s="44" t="str">
        <f t="shared" si="12"/>
        <v/>
      </c>
      <c r="V62" s="26"/>
      <c r="W62" s="26"/>
      <c r="X62" s="26"/>
      <c r="Y62" s="26"/>
      <c r="Z62" s="24"/>
      <c r="AA62" s="169">
        <f t="shared" si="13"/>
        <v>0</v>
      </c>
      <c r="AB62" s="4">
        <f t="shared" si="14"/>
        <v>0</v>
      </c>
      <c r="AC62" s="170">
        <f t="shared" si="21"/>
        <v>0</v>
      </c>
      <c r="AD62" s="58"/>
      <c r="AE62" s="58"/>
      <c r="AF62" s="58"/>
      <c r="AG62" s="59">
        <f t="shared" si="1"/>
        <v>9.0359999999999996</v>
      </c>
      <c r="AH62" s="59">
        <f t="shared" si="2"/>
        <v>-184.49199999999999</v>
      </c>
      <c r="AJ62" s="4">
        <f>IF(D62="M",IF(AM62&lt;78,BMILMS!$D$5*AM62^3+BMILMS!$E$5*AM62^2+BMILMS!$F$5*AM62+BMILMS!$G$5,IF(AM62&lt;150,BMILMS!$D$6*AM62^3+BMILMS!$E$6*AM62^2+BMILMS!$F$6*AM62+BMILMS!$G$6,BMILMS!$D$7*AM62^3+BMILMS!$E$7*AM62^2+BMILMS!$F$7*AM62+BMILMS!$G$7)),IF(AM62&lt;69,BMILMS!$D$9*AM62^3+BMILMS!$E$9*AM62^2+BMILMS!$F$9*AM62+BMILMS!$G$9,IF(AM62&lt;150,BMILMS!$D$10*AM62^3+BMILMS!$E$10*AM62^2+BMILMS!$F$10*AM62+BMILMS!$G$10,BMILMS!$D$11*AM62^3+BMILMS!$E$11*AM62^2+BMILMS!$F$11*AM62+BMILMS!$G$11)))</f>
        <v>0.79584630099999998</v>
      </c>
      <c r="AK62" s="4">
        <f>IF(D62="M",(IF(AM62&lt;2.5,BMILMS!$D$21*AM62^3+BMILMS!$E$21*AM62^2+BMILMS!$F$21*AM62+BMILMS!$G$21,IF(AM62&lt;9.5,BMILMS!$D$22*AM62^3+BMILMS!$E$22*AM62^2+BMILMS!$F$22*AM62+BMILMS!$G$22,IF(AM62&lt;26.75,BMILMS!$D$23*AM62^3+BMILMS!$E$23*AM62^2+BMILMS!$F$23*AM62+BMILMS!$G$23,IF(AM62&lt;90,BMILMS!$D$24*AM62^3+BMILMS!$E$24*AM62^2+BMILMS!$F$24*AM62+BMILMS!$G$24,BMILMS!$D$25*AM62^3+BMILMS!$E$25*AM62^2+BMILMS!$F$25*AM62+BMILMS!$G$25))))),(IF(AM62&lt;2.5,BMILMS!$D$27*AM62^3+BMILMS!$E$27*AM62^2+BMILMS!$F$27*AM62+BMILMS!$G$27,IF(AM62&lt;9.5,BMILMS!$D$28*AM62^3+BMILMS!$E$28*AM62^2+BMILMS!$F$28*AM62+BMILMS!$G$28,IF(AM62&lt;26.75,BMILMS!$D$29*AM62^3+BMILMS!$E$29*AM62^2+BMILMS!$F$29*AM62+BMILMS!$G$29,IF(AM62&lt;90,BMILMS!$D$30*AM62^3+BMILMS!$E$30*AM62^2+BMILMS!$F$30*AM62+BMILMS!$G$30,IF(AM62&lt;150,BMILMS!$D$31*AM62^3+BMILMS!$E$31*AM62^2+BMILMS!$F$31*AM62+BMILMS!$G$31,BMILMS!$D$32*AM62^3+BMILMS!$E$32*AM62^2+BMILMS!$F$32*AM62+BMILMS!$G$32)))))))</f>
        <v>12.568967990000001</v>
      </c>
      <c r="AL62" s="4">
        <f>IF(D62="M",(IF(AM62&lt;90,BMILMS!$D$14*AM62^3+BMILMS!$E$14*AM62^2+BMILMS!$F$14*AM62+BMILMS!$G$14,BMILMS!$D$15*AM62^3+BMILMS!$E$15*AM62^2+BMILMS!$F$15*AM62+BMILMS!$G$15)),(IF(AM62&lt;90,BMILMS!$D$17*AM62^3+BMILMS!$E$17*AM62^2+BMILMS!$F$17*AM62+BMILMS!$G$17,BMILMS!$D$18*AM62^3+BMILMS!$E$18*AM62^2+BMILMS!$F$18*AM62+BMILMS!$G$18)))</f>
        <v>8.8969350000000003E-2</v>
      </c>
      <c r="AM62" s="4">
        <f t="shared" si="20"/>
        <v>0</v>
      </c>
      <c r="AO62" s="56">
        <f>IF(D62="M",WeightSDS!P$5*$AM62^7+WeightSDS!Q$5*$AM62^6+WeightSDS!R$5*$AM62^5+WeightSDS!S$5*$AM62^4+WeightSDS!T$5*$AM62^3+WeightSDS!U$5*$AM62^2+WeightSDS!V$5*$AM62+WeightSDS!W$5,IF($AM62&lt;186,WeightSDS!P$8*$AM62^7+WeightSDS!Q$8*$AM62^6+WeightSDS!R$8*$AM62^5+WeightSDS!S$8*$AM62^4+WeightSDS!T$8*$AM62^3+WeightSDS!U$8*$AM62^2+WeightSDS!V$8*$AM62+WeightSDS!W$8,WeightSDS!$U$9+WeightSDS!$V$9*($AM62-WeightSDS!$W$9)))</f>
        <v>0.75407122999999998</v>
      </c>
      <c r="AP62" s="4">
        <f>IF(D62="M",IF($AM62&lt;45,WeightSDS!M$23*$AM62^10+WeightSDS!N$23*$AM62^9+WeightSDS!O$23*$AM62^8+WeightSDS!P$23*$AM62^7+WeightSDS!Q$23*$AM62^6+WeightSDS!R$23*$AM62^5+WeightSDS!S$23*$AM62^4+WeightSDS!T$23*$AM62^3+WeightSDS!U$23*$AM62^2+WeightSDS!V$23*$AM62+WeightSDS!W$23,IF($AM62&lt;153,WeightSDS!M$25*$AM62^10+WeightSDS!N$25*$AM62^9+WeightSDS!O$25*$AM62^8+WeightSDS!P$25*$AM62^7+WeightSDS!Q$25*$AM62^6+WeightSDS!R$25*$AM62^5+WeightSDS!S$25*$AM62^4+WeightSDS!T$25*$AM62^3+WeightSDS!U$25*$AM62^2+WeightSDS!V$25*$AM62+WeightSDS!W$25,WeightSDS!M$27+WeightSDS!N$27/(1+EXP(WeightSDS!O$27+WeightSDS!P$27*$AM62)))),IF($AM62&lt;43.8,WeightSDS!M$29*$AM62^10+WeightSDS!N$29*$AM62^9+WeightSDS!O$29*$AM62^8+WeightSDS!P$29*$AM62^7+WeightSDS!Q$29*$AM62^6+WeightSDS!R$29*$AM62^5+WeightSDS!S$29*$AM62^4+WeightSDS!T$29*$AM62^3+WeightSDS!U$29*$AM62^2+WeightSDS!V$29*$AM62+WeightSDS!W$29-0.010431*(1-$AM62/210),IF($AM62&lt;123,WeightSDS!M$30*$AM62^10+WeightSDS!N$30*$AM62^9+WeightSDS!O$30*$AM62^8+WeightSDS!P$30*$AM62^7+WeightSDS!Q$30*$AM62^6+WeightSDS!R$30*$AM62^5+WeightSDS!S$30*$AM62^4+WeightSDS!T$30*$AM62^3+WeightSDS!U$30*$AM62^2+WeightSDS!V$30*$AM62+WeightSDS!W$30-0.010431*(1-1/$AM62),WeightSDS!M$32+WeightSDS!N$32/(1+EXP(WeightSDS!O$32+WeightSDS!P$32*$AM62))-0.010431*(1-$AM62/210))))</f>
        <v>2.9500001032655536</v>
      </c>
      <c r="AQ62" s="4">
        <f>IF(D62="M",IF($AM62&lt;162,WeightSDS!P$12*$AM62^7+WeightSDS!Q$12*$AM62^6+WeightSDS!R$12*$AM62^5+WeightSDS!S$12*$AM62^4+WeightSDS!T$12*$AM62^3+WeightSDS!U$12*$AM62^2+WeightSDS!V$12*$AM62+WeightSDS!W$12,WeightSDS!P$14*$AM62^7+WeightSDS!Q$14*$AM62^6+WeightSDS!R$14*$AM62^5+WeightSDS!S$14*$AM62^4+WeightSDS!T$14*$AM62^3+WeightSDS!U$14*$AM62^2+WeightSDS!V$14*$AM62+WeightSDS!W$14),IF($AM62&lt;156,WeightSDS!O$17*$AM62^8+WeightSDS!P$17*$AM62^7+WeightSDS!Q$17*$AM62^6+WeightSDS!R$17*$AM62^5+WeightSDS!S$17*$AM62^4+WeightSDS!T$17*$AM62^3+WeightSDS!U$17*$AM62^2+WeightSDS!V$17*$AM62+WeightSDS!W$17,IF($AM62&lt;186,WeightSDS!$U$18+(WeightSDS!$V$18-WeightSDS!$U$18)/24*($AM62-186)+WeightSDS!$W$18*(-$AM62+186)^2-0.005,WeightSDS!$U$18+(WeightSDS!$V$18-WeightSDS!$U$18)/24*($AM62-186)-0.005)))</f>
        <v>0.14604529399999999</v>
      </c>
      <c r="AT62" s="4">
        <f t="shared" si="16"/>
        <v>0.56299999999999994</v>
      </c>
      <c r="AU62" s="4">
        <f t="shared" si="17"/>
        <v>69</v>
      </c>
      <c r="AV62" s="4">
        <f t="shared" si="18"/>
        <v>0.51</v>
      </c>
    </row>
    <row r="63" spans="1:48" x14ac:dyDescent="0.15">
      <c r="A63" s="4"/>
      <c r="B63" s="21"/>
      <c r="C63" s="21"/>
      <c r="D63" s="21"/>
      <c r="E63" s="22"/>
      <c r="F63" s="22"/>
      <c r="G63" s="23"/>
      <c r="H63" s="23"/>
      <c r="I63" s="181"/>
      <c r="J63" s="8" t="str">
        <f t="shared" si="3"/>
        <v/>
      </c>
      <c r="K63" s="2" t="str">
        <f t="shared" si="4"/>
        <v/>
      </c>
      <c r="L63" s="2" t="str">
        <f t="shared" si="0"/>
        <v/>
      </c>
      <c r="M63" s="2" t="str">
        <f t="shared" si="5"/>
        <v/>
      </c>
      <c r="N63" s="2" t="str">
        <f t="shared" si="19"/>
        <v/>
      </c>
      <c r="O63" s="2" t="str">
        <f t="shared" si="6"/>
        <v/>
      </c>
      <c r="P63" s="8" t="str">
        <f t="shared" si="7"/>
        <v/>
      </c>
      <c r="Q63" s="8" t="str">
        <f t="shared" si="8"/>
        <v/>
      </c>
      <c r="R63" s="111" t="str">
        <f t="shared" si="9"/>
        <v/>
      </c>
      <c r="S63" s="44" t="str">
        <f t="shared" si="10"/>
        <v/>
      </c>
      <c r="T63" s="37" t="str">
        <f t="shared" si="11"/>
        <v/>
      </c>
      <c r="U63" s="44" t="str">
        <f t="shared" si="12"/>
        <v/>
      </c>
      <c r="V63" s="26"/>
      <c r="W63" s="26"/>
      <c r="X63" s="26"/>
      <c r="Y63" s="26"/>
      <c r="Z63" s="24"/>
      <c r="AA63" s="169">
        <f t="shared" si="13"/>
        <v>0</v>
      </c>
      <c r="AB63" s="4">
        <f t="shared" si="14"/>
        <v>0</v>
      </c>
      <c r="AC63" s="170">
        <f t="shared" si="21"/>
        <v>0</v>
      </c>
      <c r="AD63" s="58"/>
      <c r="AE63" s="58"/>
      <c r="AF63" s="58"/>
      <c r="AG63" s="59">
        <f t="shared" si="1"/>
        <v>9.0359999999999996</v>
      </c>
      <c r="AH63" s="59">
        <f t="shared" si="2"/>
        <v>-184.49199999999999</v>
      </c>
      <c r="AJ63" s="4">
        <f>IF(D63="M",IF(AM63&lt;78,BMILMS!$D$5*AM63^3+BMILMS!$E$5*AM63^2+BMILMS!$F$5*AM63+BMILMS!$G$5,IF(AM63&lt;150,BMILMS!$D$6*AM63^3+BMILMS!$E$6*AM63^2+BMILMS!$F$6*AM63+BMILMS!$G$6,BMILMS!$D$7*AM63^3+BMILMS!$E$7*AM63^2+BMILMS!$F$7*AM63+BMILMS!$G$7)),IF(AM63&lt;69,BMILMS!$D$9*AM63^3+BMILMS!$E$9*AM63^2+BMILMS!$F$9*AM63+BMILMS!$G$9,IF(AM63&lt;150,BMILMS!$D$10*AM63^3+BMILMS!$E$10*AM63^2+BMILMS!$F$10*AM63+BMILMS!$G$10,BMILMS!$D$11*AM63^3+BMILMS!$E$11*AM63^2+BMILMS!$F$11*AM63+BMILMS!$G$11)))</f>
        <v>0.79584630099999998</v>
      </c>
      <c r="AK63" s="4">
        <f>IF(D63="M",(IF(AM63&lt;2.5,BMILMS!$D$21*AM63^3+BMILMS!$E$21*AM63^2+BMILMS!$F$21*AM63+BMILMS!$G$21,IF(AM63&lt;9.5,BMILMS!$D$22*AM63^3+BMILMS!$E$22*AM63^2+BMILMS!$F$22*AM63+BMILMS!$G$22,IF(AM63&lt;26.75,BMILMS!$D$23*AM63^3+BMILMS!$E$23*AM63^2+BMILMS!$F$23*AM63+BMILMS!$G$23,IF(AM63&lt;90,BMILMS!$D$24*AM63^3+BMILMS!$E$24*AM63^2+BMILMS!$F$24*AM63+BMILMS!$G$24,BMILMS!$D$25*AM63^3+BMILMS!$E$25*AM63^2+BMILMS!$F$25*AM63+BMILMS!$G$25))))),(IF(AM63&lt;2.5,BMILMS!$D$27*AM63^3+BMILMS!$E$27*AM63^2+BMILMS!$F$27*AM63+BMILMS!$G$27,IF(AM63&lt;9.5,BMILMS!$D$28*AM63^3+BMILMS!$E$28*AM63^2+BMILMS!$F$28*AM63+BMILMS!$G$28,IF(AM63&lt;26.75,BMILMS!$D$29*AM63^3+BMILMS!$E$29*AM63^2+BMILMS!$F$29*AM63+BMILMS!$G$29,IF(AM63&lt;90,BMILMS!$D$30*AM63^3+BMILMS!$E$30*AM63^2+BMILMS!$F$30*AM63+BMILMS!$G$30,IF(AM63&lt;150,BMILMS!$D$31*AM63^3+BMILMS!$E$31*AM63^2+BMILMS!$F$31*AM63+BMILMS!$G$31,BMILMS!$D$32*AM63^3+BMILMS!$E$32*AM63^2+BMILMS!$F$32*AM63+BMILMS!$G$32)))))))</f>
        <v>12.568967990000001</v>
      </c>
      <c r="AL63" s="4">
        <f>IF(D63="M",(IF(AM63&lt;90,BMILMS!$D$14*AM63^3+BMILMS!$E$14*AM63^2+BMILMS!$F$14*AM63+BMILMS!$G$14,BMILMS!$D$15*AM63^3+BMILMS!$E$15*AM63^2+BMILMS!$F$15*AM63+BMILMS!$G$15)),(IF(AM63&lt;90,BMILMS!$D$17*AM63^3+BMILMS!$E$17*AM63^2+BMILMS!$F$17*AM63+BMILMS!$G$17,BMILMS!$D$18*AM63^3+BMILMS!$E$18*AM63^2+BMILMS!$F$18*AM63+BMILMS!$G$18)))</f>
        <v>8.8969350000000003E-2</v>
      </c>
      <c r="AM63" s="4">
        <f t="shared" si="20"/>
        <v>0</v>
      </c>
      <c r="AO63" s="56">
        <f>IF(D63="M",WeightSDS!P$5*$AM63^7+WeightSDS!Q$5*$AM63^6+WeightSDS!R$5*$AM63^5+WeightSDS!S$5*$AM63^4+WeightSDS!T$5*$AM63^3+WeightSDS!U$5*$AM63^2+WeightSDS!V$5*$AM63+WeightSDS!W$5,IF($AM63&lt;186,WeightSDS!P$8*$AM63^7+WeightSDS!Q$8*$AM63^6+WeightSDS!R$8*$AM63^5+WeightSDS!S$8*$AM63^4+WeightSDS!T$8*$AM63^3+WeightSDS!U$8*$AM63^2+WeightSDS!V$8*$AM63+WeightSDS!W$8,WeightSDS!$U$9+WeightSDS!$V$9*($AM63-WeightSDS!$W$9)))</f>
        <v>0.75407122999999998</v>
      </c>
      <c r="AP63" s="4">
        <f>IF(D63="M",IF($AM63&lt;45,WeightSDS!M$23*$AM63^10+WeightSDS!N$23*$AM63^9+WeightSDS!O$23*$AM63^8+WeightSDS!P$23*$AM63^7+WeightSDS!Q$23*$AM63^6+WeightSDS!R$23*$AM63^5+WeightSDS!S$23*$AM63^4+WeightSDS!T$23*$AM63^3+WeightSDS!U$23*$AM63^2+WeightSDS!V$23*$AM63+WeightSDS!W$23,IF($AM63&lt;153,WeightSDS!M$25*$AM63^10+WeightSDS!N$25*$AM63^9+WeightSDS!O$25*$AM63^8+WeightSDS!P$25*$AM63^7+WeightSDS!Q$25*$AM63^6+WeightSDS!R$25*$AM63^5+WeightSDS!S$25*$AM63^4+WeightSDS!T$25*$AM63^3+WeightSDS!U$25*$AM63^2+WeightSDS!V$25*$AM63+WeightSDS!W$25,WeightSDS!M$27+WeightSDS!N$27/(1+EXP(WeightSDS!O$27+WeightSDS!P$27*$AM63)))),IF($AM63&lt;43.8,WeightSDS!M$29*$AM63^10+WeightSDS!N$29*$AM63^9+WeightSDS!O$29*$AM63^8+WeightSDS!P$29*$AM63^7+WeightSDS!Q$29*$AM63^6+WeightSDS!R$29*$AM63^5+WeightSDS!S$29*$AM63^4+WeightSDS!T$29*$AM63^3+WeightSDS!U$29*$AM63^2+WeightSDS!V$29*$AM63+WeightSDS!W$29-0.010431*(1-$AM63/210),IF($AM63&lt;123,WeightSDS!M$30*$AM63^10+WeightSDS!N$30*$AM63^9+WeightSDS!O$30*$AM63^8+WeightSDS!P$30*$AM63^7+WeightSDS!Q$30*$AM63^6+WeightSDS!R$30*$AM63^5+WeightSDS!S$30*$AM63^4+WeightSDS!T$30*$AM63^3+WeightSDS!U$30*$AM63^2+WeightSDS!V$30*$AM63+WeightSDS!W$30-0.010431*(1-1/$AM63),WeightSDS!M$32+WeightSDS!N$32/(1+EXP(WeightSDS!O$32+WeightSDS!P$32*$AM63))-0.010431*(1-$AM63/210))))</f>
        <v>2.9500001032655536</v>
      </c>
      <c r="AQ63" s="4">
        <f>IF(D63="M",IF($AM63&lt;162,WeightSDS!P$12*$AM63^7+WeightSDS!Q$12*$AM63^6+WeightSDS!R$12*$AM63^5+WeightSDS!S$12*$AM63^4+WeightSDS!T$12*$AM63^3+WeightSDS!U$12*$AM63^2+WeightSDS!V$12*$AM63+WeightSDS!W$12,WeightSDS!P$14*$AM63^7+WeightSDS!Q$14*$AM63^6+WeightSDS!R$14*$AM63^5+WeightSDS!S$14*$AM63^4+WeightSDS!T$14*$AM63^3+WeightSDS!U$14*$AM63^2+WeightSDS!V$14*$AM63+WeightSDS!W$14),IF($AM63&lt;156,WeightSDS!O$17*$AM63^8+WeightSDS!P$17*$AM63^7+WeightSDS!Q$17*$AM63^6+WeightSDS!R$17*$AM63^5+WeightSDS!S$17*$AM63^4+WeightSDS!T$17*$AM63^3+WeightSDS!U$17*$AM63^2+WeightSDS!V$17*$AM63+WeightSDS!W$17,IF($AM63&lt;186,WeightSDS!$U$18+(WeightSDS!$V$18-WeightSDS!$U$18)/24*($AM63-186)+WeightSDS!$W$18*(-$AM63+186)^2-0.005,WeightSDS!$U$18+(WeightSDS!$V$18-WeightSDS!$U$18)/24*($AM63-186)-0.005)))</f>
        <v>0.14604529399999999</v>
      </c>
      <c r="AT63" s="4">
        <f t="shared" si="16"/>
        <v>0.56299999999999994</v>
      </c>
      <c r="AU63" s="4">
        <f t="shared" si="17"/>
        <v>69</v>
      </c>
      <c r="AV63" s="4">
        <f t="shared" si="18"/>
        <v>0.51</v>
      </c>
    </row>
    <row r="64" spans="1:48" x14ac:dyDescent="0.15">
      <c r="A64" s="4"/>
      <c r="B64" s="21"/>
      <c r="C64" s="21"/>
      <c r="D64" s="21"/>
      <c r="E64" s="22"/>
      <c r="F64" s="22"/>
      <c r="G64" s="23"/>
      <c r="H64" s="23"/>
      <c r="I64" s="181"/>
      <c r="J64" s="8" t="str">
        <f t="shared" si="3"/>
        <v/>
      </c>
      <c r="K64" s="2" t="str">
        <f t="shared" si="4"/>
        <v/>
      </c>
      <c r="L64" s="2" t="str">
        <f t="shared" si="0"/>
        <v/>
      </c>
      <c r="M64" s="2" t="str">
        <f t="shared" si="5"/>
        <v/>
      </c>
      <c r="N64" s="2" t="str">
        <f t="shared" si="19"/>
        <v/>
      </c>
      <c r="O64" s="2" t="str">
        <f t="shared" si="6"/>
        <v/>
      </c>
      <c r="P64" s="8" t="str">
        <f t="shared" si="7"/>
        <v/>
      </c>
      <c r="Q64" s="8" t="str">
        <f t="shared" si="8"/>
        <v/>
      </c>
      <c r="R64" s="111" t="str">
        <f t="shared" si="9"/>
        <v/>
      </c>
      <c r="S64" s="44" t="str">
        <f t="shared" si="10"/>
        <v/>
      </c>
      <c r="T64" s="37" t="str">
        <f t="shared" si="11"/>
        <v/>
      </c>
      <c r="U64" s="44" t="str">
        <f t="shared" si="12"/>
        <v/>
      </c>
      <c r="V64" s="26"/>
      <c r="W64" s="26"/>
      <c r="X64" s="26"/>
      <c r="Y64" s="26"/>
      <c r="Z64" s="24"/>
      <c r="AA64" s="169">
        <f t="shared" si="13"/>
        <v>0</v>
      </c>
      <c r="AB64" s="4">
        <f t="shared" si="14"/>
        <v>0</v>
      </c>
      <c r="AC64" s="170">
        <f t="shared" si="21"/>
        <v>0</v>
      </c>
      <c r="AD64" s="58"/>
      <c r="AE64" s="58"/>
      <c r="AF64" s="58"/>
      <c r="AG64" s="59">
        <f t="shared" si="1"/>
        <v>9.0359999999999996</v>
      </c>
      <c r="AH64" s="59">
        <f t="shared" si="2"/>
        <v>-184.49199999999999</v>
      </c>
      <c r="AJ64" s="4">
        <f>IF(D64="M",IF(AM64&lt;78,BMILMS!$D$5*AM64^3+BMILMS!$E$5*AM64^2+BMILMS!$F$5*AM64+BMILMS!$G$5,IF(AM64&lt;150,BMILMS!$D$6*AM64^3+BMILMS!$E$6*AM64^2+BMILMS!$F$6*AM64+BMILMS!$G$6,BMILMS!$D$7*AM64^3+BMILMS!$E$7*AM64^2+BMILMS!$F$7*AM64+BMILMS!$G$7)),IF(AM64&lt;69,BMILMS!$D$9*AM64^3+BMILMS!$E$9*AM64^2+BMILMS!$F$9*AM64+BMILMS!$G$9,IF(AM64&lt;150,BMILMS!$D$10*AM64^3+BMILMS!$E$10*AM64^2+BMILMS!$F$10*AM64+BMILMS!$G$10,BMILMS!$D$11*AM64^3+BMILMS!$E$11*AM64^2+BMILMS!$F$11*AM64+BMILMS!$G$11)))</f>
        <v>0.79584630099999998</v>
      </c>
      <c r="AK64" s="4">
        <f>IF(D64="M",(IF(AM64&lt;2.5,BMILMS!$D$21*AM64^3+BMILMS!$E$21*AM64^2+BMILMS!$F$21*AM64+BMILMS!$G$21,IF(AM64&lt;9.5,BMILMS!$D$22*AM64^3+BMILMS!$E$22*AM64^2+BMILMS!$F$22*AM64+BMILMS!$G$22,IF(AM64&lt;26.75,BMILMS!$D$23*AM64^3+BMILMS!$E$23*AM64^2+BMILMS!$F$23*AM64+BMILMS!$G$23,IF(AM64&lt;90,BMILMS!$D$24*AM64^3+BMILMS!$E$24*AM64^2+BMILMS!$F$24*AM64+BMILMS!$G$24,BMILMS!$D$25*AM64^3+BMILMS!$E$25*AM64^2+BMILMS!$F$25*AM64+BMILMS!$G$25))))),(IF(AM64&lt;2.5,BMILMS!$D$27*AM64^3+BMILMS!$E$27*AM64^2+BMILMS!$F$27*AM64+BMILMS!$G$27,IF(AM64&lt;9.5,BMILMS!$D$28*AM64^3+BMILMS!$E$28*AM64^2+BMILMS!$F$28*AM64+BMILMS!$G$28,IF(AM64&lt;26.75,BMILMS!$D$29*AM64^3+BMILMS!$E$29*AM64^2+BMILMS!$F$29*AM64+BMILMS!$G$29,IF(AM64&lt;90,BMILMS!$D$30*AM64^3+BMILMS!$E$30*AM64^2+BMILMS!$F$30*AM64+BMILMS!$G$30,IF(AM64&lt;150,BMILMS!$D$31*AM64^3+BMILMS!$E$31*AM64^2+BMILMS!$F$31*AM64+BMILMS!$G$31,BMILMS!$D$32*AM64^3+BMILMS!$E$32*AM64^2+BMILMS!$F$32*AM64+BMILMS!$G$32)))))))</f>
        <v>12.568967990000001</v>
      </c>
      <c r="AL64" s="4">
        <f>IF(D64="M",(IF(AM64&lt;90,BMILMS!$D$14*AM64^3+BMILMS!$E$14*AM64^2+BMILMS!$F$14*AM64+BMILMS!$G$14,BMILMS!$D$15*AM64^3+BMILMS!$E$15*AM64^2+BMILMS!$F$15*AM64+BMILMS!$G$15)),(IF(AM64&lt;90,BMILMS!$D$17*AM64^3+BMILMS!$E$17*AM64^2+BMILMS!$F$17*AM64+BMILMS!$G$17,BMILMS!$D$18*AM64^3+BMILMS!$E$18*AM64^2+BMILMS!$F$18*AM64+BMILMS!$G$18)))</f>
        <v>8.8969350000000003E-2</v>
      </c>
      <c r="AM64" s="4">
        <f t="shared" si="20"/>
        <v>0</v>
      </c>
      <c r="AO64" s="56">
        <f>IF(D64="M",WeightSDS!P$5*$AM64^7+WeightSDS!Q$5*$AM64^6+WeightSDS!R$5*$AM64^5+WeightSDS!S$5*$AM64^4+WeightSDS!T$5*$AM64^3+WeightSDS!U$5*$AM64^2+WeightSDS!V$5*$AM64+WeightSDS!W$5,IF($AM64&lt;186,WeightSDS!P$8*$AM64^7+WeightSDS!Q$8*$AM64^6+WeightSDS!R$8*$AM64^5+WeightSDS!S$8*$AM64^4+WeightSDS!T$8*$AM64^3+WeightSDS!U$8*$AM64^2+WeightSDS!V$8*$AM64+WeightSDS!W$8,WeightSDS!$U$9+WeightSDS!$V$9*($AM64-WeightSDS!$W$9)))</f>
        <v>0.75407122999999998</v>
      </c>
      <c r="AP64" s="4">
        <f>IF(D64="M",IF($AM64&lt;45,WeightSDS!M$23*$AM64^10+WeightSDS!N$23*$AM64^9+WeightSDS!O$23*$AM64^8+WeightSDS!P$23*$AM64^7+WeightSDS!Q$23*$AM64^6+WeightSDS!R$23*$AM64^5+WeightSDS!S$23*$AM64^4+WeightSDS!T$23*$AM64^3+WeightSDS!U$23*$AM64^2+WeightSDS!V$23*$AM64+WeightSDS!W$23,IF($AM64&lt;153,WeightSDS!M$25*$AM64^10+WeightSDS!N$25*$AM64^9+WeightSDS!O$25*$AM64^8+WeightSDS!P$25*$AM64^7+WeightSDS!Q$25*$AM64^6+WeightSDS!R$25*$AM64^5+WeightSDS!S$25*$AM64^4+WeightSDS!T$25*$AM64^3+WeightSDS!U$25*$AM64^2+WeightSDS!V$25*$AM64+WeightSDS!W$25,WeightSDS!M$27+WeightSDS!N$27/(1+EXP(WeightSDS!O$27+WeightSDS!P$27*$AM64)))),IF($AM64&lt;43.8,WeightSDS!M$29*$AM64^10+WeightSDS!N$29*$AM64^9+WeightSDS!O$29*$AM64^8+WeightSDS!P$29*$AM64^7+WeightSDS!Q$29*$AM64^6+WeightSDS!R$29*$AM64^5+WeightSDS!S$29*$AM64^4+WeightSDS!T$29*$AM64^3+WeightSDS!U$29*$AM64^2+WeightSDS!V$29*$AM64+WeightSDS!W$29-0.010431*(1-$AM64/210),IF($AM64&lt;123,WeightSDS!M$30*$AM64^10+WeightSDS!N$30*$AM64^9+WeightSDS!O$30*$AM64^8+WeightSDS!P$30*$AM64^7+WeightSDS!Q$30*$AM64^6+WeightSDS!R$30*$AM64^5+WeightSDS!S$30*$AM64^4+WeightSDS!T$30*$AM64^3+WeightSDS!U$30*$AM64^2+WeightSDS!V$30*$AM64+WeightSDS!W$30-0.010431*(1-1/$AM64),WeightSDS!M$32+WeightSDS!N$32/(1+EXP(WeightSDS!O$32+WeightSDS!P$32*$AM64))-0.010431*(1-$AM64/210))))</f>
        <v>2.9500001032655536</v>
      </c>
      <c r="AQ64" s="4">
        <f>IF(D64="M",IF($AM64&lt;162,WeightSDS!P$12*$AM64^7+WeightSDS!Q$12*$AM64^6+WeightSDS!R$12*$AM64^5+WeightSDS!S$12*$AM64^4+WeightSDS!T$12*$AM64^3+WeightSDS!U$12*$AM64^2+WeightSDS!V$12*$AM64+WeightSDS!W$12,WeightSDS!P$14*$AM64^7+WeightSDS!Q$14*$AM64^6+WeightSDS!R$14*$AM64^5+WeightSDS!S$14*$AM64^4+WeightSDS!T$14*$AM64^3+WeightSDS!U$14*$AM64^2+WeightSDS!V$14*$AM64+WeightSDS!W$14),IF($AM64&lt;156,WeightSDS!O$17*$AM64^8+WeightSDS!P$17*$AM64^7+WeightSDS!Q$17*$AM64^6+WeightSDS!R$17*$AM64^5+WeightSDS!S$17*$AM64^4+WeightSDS!T$17*$AM64^3+WeightSDS!U$17*$AM64^2+WeightSDS!V$17*$AM64+WeightSDS!W$17,IF($AM64&lt;186,WeightSDS!$U$18+(WeightSDS!$V$18-WeightSDS!$U$18)/24*($AM64-186)+WeightSDS!$W$18*(-$AM64+186)^2-0.005,WeightSDS!$U$18+(WeightSDS!$V$18-WeightSDS!$U$18)/24*($AM64-186)-0.005)))</f>
        <v>0.14604529399999999</v>
      </c>
      <c r="AT64" s="4">
        <f t="shared" si="16"/>
        <v>0.56299999999999994</v>
      </c>
      <c r="AU64" s="4">
        <f t="shared" si="17"/>
        <v>69</v>
      </c>
      <c r="AV64" s="4">
        <f t="shared" si="18"/>
        <v>0.51</v>
      </c>
    </row>
    <row r="65" spans="1:48" x14ac:dyDescent="0.15">
      <c r="A65" s="4"/>
      <c r="B65" s="21"/>
      <c r="C65" s="21"/>
      <c r="D65" s="21"/>
      <c r="E65" s="22"/>
      <c r="F65" s="22"/>
      <c r="G65" s="23"/>
      <c r="H65" s="23"/>
      <c r="I65" s="181"/>
      <c r="J65" s="8" t="str">
        <f t="shared" si="3"/>
        <v/>
      </c>
      <c r="K65" s="2" t="str">
        <f t="shared" si="4"/>
        <v/>
      </c>
      <c r="L65" s="2" t="str">
        <f t="shared" si="0"/>
        <v/>
      </c>
      <c r="M65" s="2" t="str">
        <f t="shared" si="5"/>
        <v/>
      </c>
      <c r="N65" s="2" t="str">
        <f t="shared" si="19"/>
        <v/>
      </c>
      <c r="O65" s="2" t="str">
        <f t="shared" si="6"/>
        <v/>
      </c>
      <c r="P65" s="8" t="str">
        <f t="shared" si="7"/>
        <v/>
      </c>
      <c r="Q65" s="8" t="str">
        <f t="shared" si="8"/>
        <v/>
      </c>
      <c r="R65" s="111" t="str">
        <f t="shared" si="9"/>
        <v/>
      </c>
      <c r="S65" s="44" t="str">
        <f t="shared" si="10"/>
        <v/>
      </c>
      <c r="T65" s="37" t="str">
        <f t="shared" si="11"/>
        <v/>
      </c>
      <c r="U65" s="44" t="str">
        <f t="shared" si="12"/>
        <v/>
      </c>
      <c r="V65" s="26"/>
      <c r="W65" s="26"/>
      <c r="X65" s="26"/>
      <c r="Y65" s="26"/>
      <c r="Z65" s="24"/>
      <c r="AA65" s="169">
        <f t="shared" si="13"/>
        <v>0</v>
      </c>
      <c r="AB65" s="4">
        <f t="shared" si="14"/>
        <v>0</v>
      </c>
      <c r="AC65" s="170">
        <f t="shared" si="21"/>
        <v>0</v>
      </c>
      <c r="AD65" s="58"/>
      <c r="AE65" s="58"/>
      <c r="AF65" s="58"/>
      <c r="AG65" s="59">
        <f t="shared" si="1"/>
        <v>9.0359999999999996</v>
      </c>
      <c r="AH65" s="59">
        <f t="shared" si="2"/>
        <v>-184.49199999999999</v>
      </c>
      <c r="AJ65" s="4">
        <f>IF(D65="M",IF(AM65&lt;78,BMILMS!$D$5*AM65^3+BMILMS!$E$5*AM65^2+BMILMS!$F$5*AM65+BMILMS!$G$5,IF(AM65&lt;150,BMILMS!$D$6*AM65^3+BMILMS!$E$6*AM65^2+BMILMS!$F$6*AM65+BMILMS!$G$6,BMILMS!$D$7*AM65^3+BMILMS!$E$7*AM65^2+BMILMS!$F$7*AM65+BMILMS!$G$7)),IF(AM65&lt;69,BMILMS!$D$9*AM65^3+BMILMS!$E$9*AM65^2+BMILMS!$F$9*AM65+BMILMS!$G$9,IF(AM65&lt;150,BMILMS!$D$10*AM65^3+BMILMS!$E$10*AM65^2+BMILMS!$F$10*AM65+BMILMS!$G$10,BMILMS!$D$11*AM65^3+BMILMS!$E$11*AM65^2+BMILMS!$F$11*AM65+BMILMS!$G$11)))</f>
        <v>0.79584630099999998</v>
      </c>
      <c r="AK65" s="4">
        <f>IF(D65="M",(IF(AM65&lt;2.5,BMILMS!$D$21*AM65^3+BMILMS!$E$21*AM65^2+BMILMS!$F$21*AM65+BMILMS!$G$21,IF(AM65&lt;9.5,BMILMS!$D$22*AM65^3+BMILMS!$E$22*AM65^2+BMILMS!$F$22*AM65+BMILMS!$G$22,IF(AM65&lt;26.75,BMILMS!$D$23*AM65^3+BMILMS!$E$23*AM65^2+BMILMS!$F$23*AM65+BMILMS!$G$23,IF(AM65&lt;90,BMILMS!$D$24*AM65^3+BMILMS!$E$24*AM65^2+BMILMS!$F$24*AM65+BMILMS!$G$24,BMILMS!$D$25*AM65^3+BMILMS!$E$25*AM65^2+BMILMS!$F$25*AM65+BMILMS!$G$25))))),(IF(AM65&lt;2.5,BMILMS!$D$27*AM65^3+BMILMS!$E$27*AM65^2+BMILMS!$F$27*AM65+BMILMS!$G$27,IF(AM65&lt;9.5,BMILMS!$D$28*AM65^3+BMILMS!$E$28*AM65^2+BMILMS!$F$28*AM65+BMILMS!$G$28,IF(AM65&lt;26.75,BMILMS!$D$29*AM65^3+BMILMS!$E$29*AM65^2+BMILMS!$F$29*AM65+BMILMS!$G$29,IF(AM65&lt;90,BMILMS!$D$30*AM65^3+BMILMS!$E$30*AM65^2+BMILMS!$F$30*AM65+BMILMS!$G$30,IF(AM65&lt;150,BMILMS!$D$31*AM65^3+BMILMS!$E$31*AM65^2+BMILMS!$F$31*AM65+BMILMS!$G$31,BMILMS!$D$32*AM65^3+BMILMS!$E$32*AM65^2+BMILMS!$F$32*AM65+BMILMS!$G$32)))))))</f>
        <v>12.568967990000001</v>
      </c>
      <c r="AL65" s="4">
        <f>IF(D65="M",(IF(AM65&lt;90,BMILMS!$D$14*AM65^3+BMILMS!$E$14*AM65^2+BMILMS!$F$14*AM65+BMILMS!$G$14,BMILMS!$D$15*AM65^3+BMILMS!$E$15*AM65^2+BMILMS!$F$15*AM65+BMILMS!$G$15)),(IF(AM65&lt;90,BMILMS!$D$17*AM65^3+BMILMS!$E$17*AM65^2+BMILMS!$F$17*AM65+BMILMS!$G$17,BMILMS!$D$18*AM65^3+BMILMS!$E$18*AM65^2+BMILMS!$F$18*AM65+BMILMS!$G$18)))</f>
        <v>8.8969350000000003E-2</v>
      </c>
      <c r="AM65" s="4">
        <f t="shared" si="20"/>
        <v>0</v>
      </c>
      <c r="AO65" s="56">
        <f>IF(D65="M",WeightSDS!P$5*$AM65^7+WeightSDS!Q$5*$AM65^6+WeightSDS!R$5*$AM65^5+WeightSDS!S$5*$AM65^4+WeightSDS!T$5*$AM65^3+WeightSDS!U$5*$AM65^2+WeightSDS!V$5*$AM65+WeightSDS!W$5,IF($AM65&lt;186,WeightSDS!P$8*$AM65^7+WeightSDS!Q$8*$AM65^6+WeightSDS!R$8*$AM65^5+WeightSDS!S$8*$AM65^4+WeightSDS!T$8*$AM65^3+WeightSDS!U$8*$AM65^2+WeightSDS!V$8*$AM65+WeightSDS!W$8,WeightSDS!$U$9+WeightSDS!$V$9*($AM65-WeightSDS!$W$9)))</f>
        <v>0.75407122999999998</v>
      </c>
      <c r="AP65" s="4">
        <f>IF(D65="M",IF($AM65&lt;45,WeightSDS!M$23*$AM65^10+WeightSDS!N$23*$AM65^9+WeightSDS!O$23*$AM65^8+WeightSDS!P$23*$AM65^7+WeightSDS!Q$23*$AM65^6+WeightSDS!R$23*$AM65^5+WeightSDS!S$23*$AM65^4+WeightSDS!T$23*$AM65^3+WeightSDS!U$23*$AM65^2+WeightSDS!V$23*$AM65+WeightSDS!W$23,IF($AM65&lt;153,WeightSDS!M$25*$AM65^10+WeightSDS!N$25*$AM65^9+WeightSDS!O$25*$AM65^8+WeightSDS!P$25*$AM65^7+WeightSDS!Q$25*$AM65^6+WeightSDS!R$25*$AM65^5+WeightSDS!S$25*$AM65^4+WeightSDS!T$25*$AM65^3+WeightSDS!U$25*$AM65^2+WeightSDS!V$25*$AM65+WeightSDS!W$25,WeightSDS!M$27+WeightSDS!N$27/(1+EXP(WeightSDS!O$27+WeightSDS!P$27*$AM65)))),IF($AM65&lt;43.8,WeightSDS!M$29*$AM65^10+WeightSDS!N$29*$AM65^9+WeightSDS!O$29*$AM65^8+WeightSDS!P$29*$AM65^7+WeightSDS!Q$29*$AM65^6+WeightSDS!R$29*$AM65^5+WeightSDS!S$29*$AM65^4+WeightSDS!T$29*$AM65^3+WeightSDS!U$29*$AM65^2+WeightSDS!V$29*$AM65+WeightSDS!W$29-0.010431*(1-$AM65/210),IF($AM65&lt;123,WeightSDS!M$30*$AM65^10+WeightSDS!N$30*$AM65^9+WeightSDS!O$30*$AM65^8+WeightSDS!P$30*$AM65^7+WeightSDS!Q$30*$AM65^6+WeightSDS!R$30*$AM65^5+WeightSDS!S$30*$AM65^4+WeightSDS!T$30*$AM65^3+WeightSDS!U$30*$AM65^2+WeightSDS!V$30*$AM65+WeightSDS!W$30-0.010431*(1-1/$AM65),WeightSDS!M$32+WeightSDS!N$32/(1+EXP(WeightSDS!O$32+WeightSDS!P$32*$AM65))-0.010431*(1-$AM65/210))))</f>
        <v>2.9500001032655536</v>
      </c>
      <c r="AQ65" s="4">
        <f>IF(D65="M",IF($AM65&lt;162,WeightSDS!P$12*$AM65^7+WeightSDS!Q$12*$AM65^6+WeightSDS!R$12*$AM65^5+WeightSDS!S$12*$AM65^4+WeightSDS!T$12*$AM65^3+WeightSDS!U$12*$AM65^2+WeightSDS!V$12*$AM65+WeightSDS!W$12,WeightSDS!P$14*$AM65^7+WeightSDS!Q$14*$AM65^6+WeightSDS!R$14*$AM65^5+WeightSDS!S$14*$AM65^4+WeightSDS!T$14*$AM65^3+WeightSDS!U$14*$AM65^2+WeightSDS!V$14*$AM65+WeightSDS!W$14),IF($AM65&lt;156,WeightSDS!O$17*$AM65^8+WeightSDS!P$17*$AM65^7+WeightSDS!Q$17*$AM65^6+WeightSDS!R$17*$AM65^5+WeightSDS!S$17*$AM65^4+WeightSDS!T$17*$AM65^3+WeightSDS!U$17*$AM65^2+WeightSDS!V$17*$AM65+WeightSDS!W$17,IF($AM65&lt;186,WeightSDS!$U$18+(WeightSDS!$V$18-WeightSDS!$U$18)/24*($AM65-186)+WeightSDS!$W$18*(-$AM65+186)^2-0.005,WeightSDS!$U$18+(WeightSDS!$V$18-WeightSDS!$U$18)/24*($AM65-186)-0.005)))</f>
        <v>0.14604529399999999</v>
      </c>
      <c r="AT65" s="4">
        <f t="shared" si="16"/>
        <v>0.56299999999999994</v>
      </c>
      <c r="AU65" s="4">
        <f t="shared" si="17"/>
        <v>69</v>
      </c>
      <c r="AV65" s="4">
        <f t="shared" si="18"/>
        <v>0.51</v>
      </c>
    </row>
    <row r="66" spans="1:48" x14ac:dyDescent="0.15">
      <c r="A66" s="4"/>
      <c r="B66" s="21"/>
      <c r="C66" s="21"/>
      <c r="D66" s="21"/>
      <c r="E66" s="22"/>
      <c r="F66" s="22"/>
      <c r="G66" s="23"/>
      <c r="H66" s="23"/>
      <c r="I66" s="181"/>
      <c r="J66" s="8" t="str">
        <f t="shared" si="3"/>
        <v/>
      </c>
      <c r="K66" s="2" t="str">
        <f t="shared" si="4"/>
        <v/>
      </c>
      <c r="L66" s="2" t="str">
        <f t="shared" si="0"/>
        <v/>
      </c>
      <c r="M66" s="2" t="str">
        <f t="shared" si="5"/>
        <v/>
      </c>
      <c r="N66" s="2" t="str">
        <f t="shared" si="19"/>
        <v/>
      </c>
      <c r="O66" s="2" t="str">
        <f t="shared" si="6"/>
        <v/>
      </c>
      <c r="P66" s="8" t="str">
        <f t="shared" si="7"/>
        <v/>
      </c>
      <c r="Q66" s="8" t="str">
        <f t="shared" si="8"/>
        <v/>
      </c>
      <c r="R66" s="111" t="str">
        <f t="shared" si="9"/>
        <v/>
      </c>
      <c r="S66" s="44" t="str">
        <f t="shared" si="10"/>
        <v/>
      </c>
      <c r="T66" s="37" t="str">
        <f t="shared" si="11"/>
        <v/>
      </c>
      <c r="U66" s="44" t="str">
        <f t="shared" si="12"/>
        <v/>
      </c>
      <c r="V66" s="26"/>
      <c r="W66" s="26"/>
      <c r="X66" s="26"/>
      <c r="Y66" s="26"/>
      <c r="Z66" s="24"/>
      <c r="AA66" s="169">
        <f t="shared" si="13"/>
        <v>0</v>
      </c>
      <c r="AB66" s="4">
        <f t="shared" si="14"/>
        <v>0</v>
      </c>
      <c r="AC66" s="170">
        <f t="shared" si="21"/>
        <v>0</v>
      </c>
      <c r="AD66" s="58"/>
      <c r="AE66" s="58"/>
      <c r="AF66" s="58"/>
      <c r="AG66" s="59">
        <f t="shared" si="1"/>
        <v>9.0359999999999996</v>
      </c>
      <c r="AH66" s="59">
        <f t="shared" si="2"/>
        <v>-184.49199999999999</v>
      </c>
      <c r="AJ66" s="4">
        <f>IF(D66="M",IF(AM66&lt;78,BMILMS!$D$5*AM66^3+BMILMS!$E$5*AM66^2+BMILMS!$F$5*AM66+BMILMS!$G$5,IF(AM66&lt;150,BMILMS!$D$6*AM66^3+BMILMS!$E$6*AM66^2+BMILMS!$F$6*AM66+BMILMS!$G$6,BMILMS!$D$7*AM66^3+BMILMS!$E$7*AM66^2+BMILMS!$F$7*AM66+BMILMS!$G$7)),IF(AM66&lt;69,BMILMS!$D$9*AM66^3+BMILMS!$E$9*AM66^2+BMILMS!$F$9*AM66+BMILMS!$G$9,IF(AM66&lt;150,BMILMS!$D$10*AM66^3+BMILMS!$E$10*AM66^2+BMILMS!$F$10*AM66+BMILMS!$G$10,BMILMS!$D$11*AM66^3+BMILMS!$E$11*AM66^2+BMILMS!$F$11*AM66+BMILMS!$G$11)))</f>
        <v>0.79584630099999998</v>
      </c>
      <c r="AK66" s="4">
        <f>IF(D66="M",(IF(AM66&lt;2.5,BMILMS!$D$21*AM66^3+BMILMS!$E$21*AM66^2+BMILMS!$F$21*AM66+BMILMS!$G$21,IF(AM66&lt;9.5,BMILMS!$D$22*AM66^3+BMILMS!$E$22*AM66^2+BMILMS!$F$22*AM66+BMILMS!$G$22,IF(AM66&lt;26.75,BMILMS!$D$23*AM66^3+BMILMS!$E$23*AM66^2+BMILMS!$F$23*AM66+BMILMS!$G$23,IF(AM66&lt;90,BMILMS!$D$24*AM66^3+BMILMS!$E$24*AM66^2+BMILMS!$F$24*AM66+BMILMS!$G$24,BMILMS!$D$25*AM66^3+BMILMS!$E$25*AM66^2+BMILMS!$F$25*AM66+BMILMS!$G$25))))),(IF(AM66&lt;2.5,BMILMS!$D$27*AM66^3+BMILMS!$E$27*AM66^2+BMILMS!$F$27*AM66+BMILMS!$G$27,IF(AM66&lt;9.5,BMILMS!$D$28*AM66^3+BMILMS!$E$28*AM66^2+BMILMS!$F$28*AM66+BMILMS!$G$28,IF(AM66&lt;26.75,BMILMS!$D$29*AM66^3+BMILMS!$E$29*AM66^2+BMILMS!$F$29*AM66+BMILMS!$G$29,IF(AM66&lt;90,BMILMS!$D$30*AM66^3+BMILMS!$E$30*AM66^2+BMILMS!$F$30*AM66+BMILMS!$G$30,IF(AM66&lt;150,BMILMS!$D$31*AM66^3+BMILMS!$E$31*AM66^2+BMILMS!$F$31*AM66+BMILMS!$G$31,BMILMS!$D$32*AM66^3+BMILMS!$E$32*AM66^2+BMILMS!$F$32*AM66+BMILMS!$G$32)))))))</f>
        <v>12.568967990000001</v>
      </c>
      <c r="AL66" s="4">
        <f>IF(D66="M",(IF(AM66&lt;90,BMILMS!$D$14*AM66^3+BMILMS!$E$14*AM66^2+BMILMS!$F$14*AM66+BMILMS!$G$14,BMILMS!$D$15*AM66^3+BMILMS!$E$15*AM66^2+BMILMS!$F$15*AM66+BMILMS!$G$15)),(IF(AM66&lt;90,BMILMS!$D$17*AM66^3+BMILMS!$E$17*AM66^2+BMILMS!$F$17*AM66+BMILMS!$G$17,BMILMS!$D$18*AM66^3+BMILMS!$E$18*AM66^2+BMILMS!$F$18*AM66+BMILMS!$G$18)))</f>
        <v>8.8969350000000003E-2</v>
      </c>
      <c r="AM66" s="4">
        <f t="shared" si="20"/>
        <v>0</v>
      </c>
      <c r="AO66" s="56">
        <f>IF(D66="M",WeightSDS!P$5*$AM66^7+WeightSDS!Q$5*$AM66^6+WeightSDS!R$5*$AM66^5+WeightSDS!S$5*$AM66^4+WeightSDS!T$5*$AM66^3+WeightSDS!U$5*$AM66^2+WeightSDS!V$5*$AM66+WeightSDS!W$5,IF($AM66&lt;186,WeightSDS!P$8*$AM66^7+WeightSDS!Q$8*$AM66^6+WeightSDS!R$8*$AM66^5+WeightSDS!S$8*$AM66^4+WeightSDS!T$8*$AM66^3+WeightSDS!U$8*$AM66^2+WeightSDS!V$8*$AM66+WeightSDS!W$8,WeightSDS!$U$9+WeightSDS!$V$9*($AM66-WeightSDS!$W$9)))</f>
        <v>0.75407122999999998</v>
      </c>
      <c r="AP66" s="4">
        <f>IF(D66="M",IF($AM66&lt;45,WeightSDS!M$23*$AM66^10+WeightSDS!N$23*$AM66^9+WeightSDS!O$23*$AM66^8+WeightSDS!P$23*$AM66^7+WeightSDS!Q$23*$AM66^6+WeightSDS!R$23*$AM66^5+WeightSDS!S$23*$AM66^4+WeightSDS!T$23*$AM66^3+WeightSDS!U$23*$AM66^2+WeightSDS!V$23*$AM66+WeightSDS!W$23,IF($AM66&lt;153,WeightSDS!M$25*$AM66^10+WeightSDS!N$25*$AM66^9+WeightSDS!O$25*$AM66^8+WeightSDS!P$25*$AM66^7+WeightSDS!Q$25*$AM66^6+WeightSDS!R$25*$AM66^5+WeightSDS!S$25*$AM66^4+WeightSDS!T$25*$AM66^3+WeightSDS!U$25*$AM66^2+WeightSDS!V$25*$AM66+WeightSDS!W$25,WeightSDS!M$27+WeightSDS!N$27/(1+EXP(WeightSDS!O$27+WeightSDS!P$27*$AM66)))),IF($AM66&lt;43.8,WeightSDS!M$29*$AM66^10+WeightSDS!N$29*$AM66^9+WeightSDS!O$29*$AM66^8+WeightSDS!P$29*$AM66^7+WeightSDS!Q$29*$AM66^6+WeightSDS!R$29*$AM66^5+WeightSDS!S$29*$AM66^4+WeightSDS!T$29*$AM66^3+WeightSDS!U$29*$AM66^2+WeightSDS!V$29*$AM66+WeightSDS!W$29-0.010431*(1-$AM66/210),IF($AM66&lt;123,WeightSDS!M$30*$AM66^10+WeightSDS!N$30*$AM66^9+WeightSDS!O$30*$AM66^8+WeightSDS!P$30*$AM66^7+WeightSDS!Q$30*$AM66^6+WeightSDS!R$30*$AM66^5+WeightSDS!S$30*$AM66^4+WeightSDS!T$30*$AM66^3+WeightSDS!U$30*$AM66^2+WeightSDS!V$30*$AM66+WeightSDS!W$30-0.010431*(1-1/$AM66),WeightSDS!M$32+WeightSDS!N$32/(1+EXP(WeightSDS!O$32+WeightSDS!P$32*$AM66))-0.010431*(1-$AM66/210))))</f>
        <v>2.9500001032655536</v>
      </c>
      <c r="AQ66" s="4">
        <f>IF(D66="M",IF($AM66&lt;162,WeightSDS!P$12*$AM66^7+WeightSDS!Q$12*$AM66^6+WeightSDS!R$12*$AM66^5+WeightSDS!S$12*$AM66^4+WeightSDS!T$12*$AM66^3+WeightSDS!U$12*$AM66^2+WeightSDS!V$12*$AM66+WeightSDS!W$12,WeightSDS!P$14*$AM66^7+WeightSDS!Q$14*$AM66^6+WeightSDS!R$14*$AM66^5+WeightSDS!S$14*$AM66^4+WeightSDS!T$14*$AM66^3+WeightSDS!U$14*$AM66^2+WeightSDS!V$14*$AM66+WeightSDS!W$14),IF($AM66&lt;156,WeightSDS!O$17*$AM66^8+WeightSDS!P$17*$AM66^7+WeightSDS!Q$17*$AM66^6+WeightSDS!R$17*$AM66^5+WeightSDS!S$17*$AM66^4+WeightSDS!T$17*$AM66^3+WeightSDS!U$17*$AM66^2+WeightSDS!V$17*$AM66+WeightSDS!W$17,IF($AM66&lt;186,WeightSDS!$U$18+(WeightSDS!$V$18-WeightSDS!$U$18)/24*($AM66-186)+WeightSDS!$W$18*(-$AM66+186)^2-0.005,WeightSDS!$U$18+(WeightSDS!$V$18-WeightSDS!$U$18)/24*($AM66-186)-0.005)))</f>
        <v>0.14604529399999999</v>
      </c>
      <c r="AT66" s="4">
        <f t="shared" si="16"/>
        <v>0.56299999999999994</v>
      </c>
      <c r="AU66" s="4">
        <f t="shared" si="17"/>
        <v>69</v>
      </c>
      <c r="AV66" s="4">
        <f t="shared" si="18"/>
        <v>0.51</v>
      </c>
    </row>
    <row r="67" spans="1:48" x14ac:dyDescent="0.15">
      <c r="A67" s="4"/>
      <c r="B67" s="21"/>
      <c r="C67" s="21"/>
      <c r="D67" s="21"/>
      <c r="E67" s="22"/>
      <c r="F67" s="22"/>
      <c r="G67" s="23"/>
      <c r="H67" s="23"/>
      <c r="I67" s="181"/>
      <c r="J67" s="8" t="str">
        <f t="shared" ref="J67:J130" si="22">IF(COUNTA(D67,E67,F67,G67)=4,IF(AA67+AB67/12&gt;17.583,"       *",(G67-(INDEX(IF(D67="F",Hfemalemean,Hmalemean),AB67+1,AA67+1)))/(INDEX(IF(D67="F",Hfemalesd,Hmalesd),AB67+1,AA67+1))),"")</f>
        <v/>
      </c>
      <c r="K67" s="2" t="str">
        <f t="shared" si="4"/>
        <v/>
      </c>
      <c r="L67" s="2" t="str">
        <f t="shared" ref="L67:L130" si="23">IF(COUNTA(D67,E67,F67,G67,H67)&lt;5,"",IF(T67&lt;6,"       *",IF(AA67+AB67/12&gt;=17.583,"       *",(H67-G67*INDEX(IF(D67="F",muratafemale,muratamale),AA67-4,1)-INDEX(IF(D67="F",muratafemale,muratamale),AA67-4,2))/(G67*INDEX(IF(D67="F",muratafemale,muratamale),AA67-4,1)+INDEX(IF(D67="F",muratafemale,muratamale),AA67-4,2))*100)))</f>
        <v/>
      </c>
      <c r="M67" s="2" t="str">
        <f t="shared" si="5"/>
        <v/>
      </c>
      <c r="N67" s="2" t="str">
        <f t="shared" si="19"/>
        <v/>
      </c>
      <c r="O67" s="2" t="str">
        <f t="shared" si="6"/>
        <v/>
      </c>
      <c r="P67" s="8" t="str">
        <f t="shared" si="7"/>
        <v/>
      </c>
      <c r="Q67" s="8" t="str">
        <f t="shared" si="8"/>
        <v/>
      </c>
      <c r="R67" s="111" t="str">
        <f t="shared" si="9"/>
        <v/>
      </c>
      <c r="S67" s="44" t="str">
        <f t="shared" si="10"/>
        <v/>
      </c>
      <c r="T67" s="37" t="str">
        <f t="shared" si="11"/>
        <v/>
      </c>
      <c r="U67" s="44" t="str">
        <f t="shared" si="12"/>
        <v/>
      </c>
      <c r="V67" s="26"/>
      <c r="W67" s="26"/>
      <c r="X67" s="26"/>
      <c r="Y67" s="26"/>
      <c r="Z67" s="24"/>
      <c r="AA67" s="169">
        <f t="shared" ref="AA67:AA130" si="24">DATEDIF(E67,F67,"Y")</f>
        <v>0</v>
      </c>
      <c r="AB67" s="4">
        <f t="shared" ref="AB67:AB130" si="25">DATEDIF(E67,F67,"YM")</f>
        <v>0</v>
      </c>
      <c r="AC67" s="170">
        <f t="shared" si="21"/>
        <v>0</v>
      </c>
      <c r="AD67" s="58"/>
      <c r="AE67" s="58"/>
      <c r="AF67" s="58"/>
      <c r="AG67" s="59">
        <f t="shared" ref="AG67:AG130" si="26">IF(D67="M",2.06*10^-3*G67^2-0.1166*G67+6.5273,2.49*10^-3*G67^2-0.1858*G67+9.036)</f>
        <v>9.0359999999999996</v>
      </c>
      <c r="AH67" s="59">
        <f t="shared" ref="AH67:AH130" si="27">((G67/100)^3*INDEX(itoOI,IF(D67="M",0,3)+IF(G67&lt;140,1,IF(G67&lt;=149,2,3)),1)+(G67/100)^2*INDEX(itoOI,IF(D67="M",0,3)+IF(G67&lt;140,1,IF(G67&lt;=149,2,3)),2)+(G67/100)*INDEX(itoOI,IF(D67="M",0,3)+IF(G67&lt;140,1,IF(G67&lt;=149,2,3)),3)+INDEX(itoOI,IF(D67="M",0,3)+IF(G67&lt;140,1,IF(G67&lt;=149,2,3)),4))</f>
        <v>-184.49199999999999</v>
      </c>
      <c r="AJ67" s="4">
        <f>IF(D67="M",IF(AM67&lt;78,BMILMS!$D$5*AM67^3+BMILMS!$E$5*AM67^2+BMILMS!$F$5*AM67+BMILMS!$G$5,IF(AM67&lt;150,BMILMS!$D$6*AM67^3+BMILMS!$E$6*AM67^2+BMILMS!$F$6*AM67+BMILMS!$G$6,BMILMS!$D$7*AM67^3+BMILMS!$E$7*AM67^2+BMILMS!$F$7*AM67+BMILMS!$G$7)),IF(AM67&lt;69,BMILMS!$D$9*AM67^3+BMILMS!$E$9*AM67^2+BMILMS!$F$9*AM67+BMILMS!$G$9,IF(AM67&lt;150,BMILMS!$D$10*AM67^3+BMILMS!$E$10*AM67^2+BMILMS!$F$10*AM67+BMILMS!$G$10,BMILMS!$D$11*AM67^3+BMILMS!$E$11*AM67^2+BMILMS!$F$11*AM67+BMILMS!$G$11)))</f>
        <v>0.79584630099999998</v>
      </c>
      <c r="AK67" s="4">
        <f>IF(D67="M",(IF(AM67&lt;2.5,BMILMS!$D$21*AM67^3+BMILMS!$E$21*AM67^2+BMILMS!$F$21*AM67+BMILMS!$G$21,IF(AM67&lt;9.5,BMILMS!$D$22*AM67^3+BMILMS!$E$22*AM67^2+BMILMS!$F$22*AM67+BMILMS!$G$22,IF(AM67&lt;26.75,BMILMS!$D$23*AM67^3+BMILMS!$E$23*AM67^2+BMILMS!$F$23*AM67+BMILMS!$G$23,IF(AM67&lt;90,BMILMS!$D$24*AM67^3+BMILMS!$E$24*AM67^2+BMILMS!$F$24*AM67+BMILMS!$G$24,BMILMS!$D$25*AM67^3+BMILMS!$E$25*AM67^2+BMILMS!$F$25*AM67+BMILMS!$G$25))))),(IF(AM67&lt;2.5,BMILMS!$D$27*AM67^3+BMILMS!$E$27*AM67^2+BMILMS!$F$27*AM67+BMILMS!$G$27,IF(AM67&lt;9.5,BMILMS!$D$28*AM67^3+BMILMS!$E$28*AM67^2+BMILMS!$F$28*AM67+BMILMS!$G$28,IF(AM67&lt;26.75,BMILMS!$D$29*AM67^3+BMILMS!$E$29*AM67^2+BMILMS!$F$29*AM67+BMILMS!$G$29,IF(AM67&lt;90,BMILMS!$D$30*AM67^3+BMILMS!$E$30*AM67^2+BMILMS!$F$30*AM67+BMILMS!$G$30,IF(AM67&lt;150,BMILMS!$D$31*AM67^3+BMILMS!$E$31*AM67^2+BMILMS!$F$31*AM67+BMILMS!$G$31,BMILMS!$D$32*AM67^3+BMILMS!$E$32*AM67^2+BMILMS!$F$32*AM67+BMILMS!$G$32)))))))</f>
        <v>12.568967990000001</v>
      </c>
      <c r="AL67" s="4">
        <f>IF(D67="M",(IF(AM67&lt;90,BMILMS!$D$14*AM67^3+BMILMS!$E$14*AM67^2+BMILMS!$F$14*AM67+BMILMS!$G$14,BMILMS!$D$15*AM67^3+BMILMS!$E$15*AM67^2+BMILMS!$F$15*AM67+BMILMS!$G$15)),(IF(AM67&lt;90,BMILMS!$D$17*AM67^3+BMILMS!$E$17*AM67^2+BMILMS!$F$17*AM67+BMILMS!$G$17,BMILMS!$D$18*AM67^3+BMILMS!$E$18*AM67^2+BMILMS!$F$18*AM67+BMILMS!$G$18)))</f>
        <v>8.8969350000000003E-2</v>
      </c>
      <c r="AM67" s="4">
        <f t="shared" si="20"/>
        <v>0</v>
      </c>
      <c r="AO67" s="56">
        <f>IF(D67="M",WeightSDS!P$5*$AM67^7+WeightSDS!Q$5*$AM67^6+WeightSDS!R$5*$AM67^5+WeightSDS!S$5*$AM67^4+WeightSDS!T$5*$AM67^3+WeightSDS!U$5*$AM67^2+WeightSDS!V$5*$AM67+WeightSDS!W$5,IF($AM67&lt;186,WeightSDS!P$8*$AM67^7+WeightSDS!Q$8*$AM67^6+WeightSDS!R$8*$AM67^5+WeightSDS!S$8*$AM67^4+WeightSDS!T$8*$AM67^3+WeightSDS!U$8*$AM67^2+WeightSDS!V$8*$AM67+WeightSDS!W$8,WeightSDS!$U$9+WeightSDS!$V$9*($AM67-WeightSDS!$W$9)))</f>
        <v>0.75407122999999998</v>
      </c>
      <c r="AP67" s="4">
        <f>IF(D67="M",IF($AM67&lt;45,WeightSDS!M$23*$AM67^10+WeightSDS!N$23*$AM67^9+WeightSDS!O$23*$AM67^8+WeightSDS!P$23*$AM67^7+WeightSDS!Q$23*$AM67^6+WeightSDS!R$23*$AM67^5+WeightSDS!S$23*$AM67^4+WeightSDS!T$23*$AM67^3+WeightSDS!U$23*$AM67^2+WeightSDS!V$23*$AM67+WeightSDS!W$23,IF($AM67&lt;153,WeightSDS!M$25*$AM67^10+WeightSDS!N$25*$AM67^9+WeightSDS!O$25*$AM67^8+WeightSDS!P$25*$AM67^7+WeightSDS!Q$25*$AM67^6+WeightSDS!R$25*$AM67^5+WeightSDS!S$25*$AM67^4+WeightSDS!T$25*$AM67^3+WeightSDS!U$25*$AM67^2+WeightSDS!V$25*$AM67+WeightSDS!W$25,WeightSDS!M$27+WeightSDS!N$27/(1+EXP(WeightSDS!O$27+WeightSDS!P$27*$AM67)))),IF($AM67&lt;43.8,WeightSDS!M$29*$AM67^10+WeightSDS!N$29*$AM67^9+WeightSDS!O$29*$AM67^8+WeightSDS!P$29*$AM67^7+WeightSDS!Q$29*$AM67^6+WeightSDS!R$29*$AM67^5+WeightSDS!S$29*$AM67^4+WeightSDS!T$29*$AM67^3+WeightSDS!U$29*$AM67^2+WeightSDS!V$29*$AM67+WeightSDS!W$29-0.010431*(1-$AM67/210),IF($AM67&lt;123,WeightSDS!M$30*$AM67^10+WeightSDS!N$30*$AM67^9+WeightSDS!O$30*$AM67^8+WeightSDS!P$30*$AM67^7+WeightSDS!Q$30*$AM67^6+WeightSDS!R$30*$AM67^5+WeightSDS!S$30*$AM67^4+WeightSDS!T$30*$AM67^3+WeightSDS!U$30*$AM67^2+WeightSDS!V$30*$AM67+WeightSDS!W$30-0.010431*(1-1/$AM67),WeightSDS!M$32+WeightSDS!N$32/(1+EXP(WeightSDS!O$32+WeightSDS!P$32*$AM67))-0.010431*(1-$AM67/210))))</f>
        <v>2.9500001032655536</v>
      </c>
      <c r="AQ67" s="4">
        <f>IF(D67="M",IF($AM67&lt;162,WeightSDS!P$12*$AM67^7+WeightSDS!Q$12*$AM67^6+WeightSDS!R$12*$AM67^5+WeightSDS!S$12*$AM67^4+WeightSDS!T$12*$AM67^3+WeightSDS!U$12*$AM67^2+WeightSDS!V$12*$AM67+WeightSDS!W$12,WeightSDS!P$14*$AM67^7+WeightSDS!Q$14*$AM67^6+WeightSDS!R$14*$AM67^5+WeightSDS!S$14*$AM67^4+WeightSDS!T$14*$AM67^3+WeightSDS!U$14*$AM67^2+WeightSDS!V$14*$AM67+WeightSDS!W$14),IF($AM67&lt;156,WeightSDS!O$17*$AM67^8+WeightSDS!P$17*$AM67^7+WeightSDS!Q$17*$AM67^6+WeightSDS!R$17*$AM67^5+WeightSDS!S$17*$AM67^4+WeightSDS!T$17*$AM67^3+WeightSDS!U$17*$AM67^2+WeightSDS!V$17*$AM67+WeightSDS!W$17,IF($AM67&lt;186,WeightSDS!$U$18+(WeightSDS!$V$18-WeightSDS!$U$18)/24*($AM67-186)+WeightSDS!$W$18*(-$AM67+186)^2-0.005,WeightSDS!$U$18+(WeightSDS!$V$18-WeightSDS!$U$18)/24*($AM67-186)-0.005)))</f>
        <v>0.14604529399999999</v>
      </c>
      <c r="AT67" s="4">
        <f t="shared" ref="AT67:AT130" si="28">INDEX(IF(D67="M",IGFmale, IGFfemale), AA67+1,1)</f>
        <v>0.56299999999999994</v>
      </c>
      <c r="AU67" s="4">
        <f t="shared" ref="AU67:AU130" si="29">INDEX(IF(D67="M",IGFmale, IGFfemale), AA67+1,2)</f>
        <v>69</v>
      </c>
      <c r="AV67" s="4">
        <f t="shared" ref="AV67:AV130" si="30">INDEX(IF(D67="M",IGFmale, IGFfemale), AA67+1,3)</f>
        <v>0.51</v>
      </c>
    </row>
    <row r="68" spans="1:48" x14ac:dyDescent="0.15">
      <c r="A68" s="4"/>
      <c r="B68" s="21"/>
      <c r="C68" s="21"/>
      <c r="D68" s="21"/>
      <c r="E68" s="22"/>
      <c r="F68" s="22"/>
      <c r="G68" s="23"/>
      <c r="H68" s="23"/>
      <c r="I68" s="181"/>
      <c r="J68" s="8" t="str">
        <f t="shared" si="22"/>
        <v/>
      </c>
      <c r="K68" s="2" t="str">
        <f t="shared" ref="K68:K131" si="31">IF(COUNTA(D68,E68,F68,G68,H68)=5,IF(T68&lt;1,"       *",IF(T68&gt;=6,"       *",IF(G68&gt;=120,"       *",IF(G68&lt;70,"       *",(H68-AG68)/AG68*100)))),"")</f>
        <v/>
      </c>
      <c r="L68" s="2" t="str">
        <f t="shared" si="23"/>
        <v/>
      </c>
      <c r="M68" s="2" t="str">
        <f t="shared" ref="M68:M131" si="32">IF(COUNTA(D68,E68,F68,G68,H68)=5,IF(G68&gt;=IF(D68="M",181,174),"*",IF(G68&lt;101,"       *",IF(T68&lt;6,"       *",IF(AA68+AB68/12&gt;=17.583,"*",(H68-AH68)/AH68*100)))),"")</f>
        <v/>
      </c>
      <c r="N68" s="2" t="str">
        <f t="shared" si="19"/>
        <v/>
      </c>
      <c r="O68" s="2" t="str">
        <f t="shared" ref="O68:O131" si="33">IF(COUNTA(D68,E68,F68,G68,H68)=5,IF(AA68+AB68/12&gt;17.583,"   *",NORMSDIST(((N68/AK68)^(AJ68)-1)/AJ68/AL68)*100),"")</f>
        <v/>
      </c>
      <c r="P68" s="8" t="str">
        <f t="shared" ref="P68:P131" si="34">IF(COUNTA(D68,E68,F68,G68,H68)=5,IF(AA68+AB68/12&gt;17.583,"   *",((N68/AK68)^(AJ68)-1)/AJ68/AL68),"")</f>
        <v/>
      </c>
      <c r="Q68" s="8" t="str">
        <f t="shared" ref="Q68:Q131" si="35">IF(COUNTA(D68,E68,F68,H68)=4,IF(AA68+AB68/12&gt;17.583,"   *",((H68/AP68)^(AO68)-1)/AO68/AQ68),"")</f>
        <v/>
      </c>
      <c r="R68" s="111" t="str">
        <f t="shared" ref="R68:R131" si="36">IF(COUNTA(D68,E68,F68,I68)=4,IF(AC68&gt;77,"*",NORMSDIST(((I68/AU68)^(AT68)-1)/AT68/AV68)*100),"")</f>
        <v/>
      </c>
      <c r="S68" s="44" t="str">
        <f t="shared" ref="S68:S131" si="37">IF(COUNTA(D68,E68,F68,I68)=4,IF(AC68&gt;77,"*",((I68/AU68)^(AT68)-1)/AT68/AV68),"")</f>
        <v/>
      </c>
      <c r="T68" s="37" t="str">
        <f t="shared" ref="T68:T131" si="38">IF(COUNTA(E68,F68)=2,AC68,"")</f>
        <v/>
      </c>
      <c r="U68" s="44" t="str">
        <f t="shared" ref="U68:U131" si="39">IF(COUNTA(E68,F68)=2,AA68&amp;"歳"&amp;AB68&amp;"か月","")</f>
        <v/>
      </c>
      <c r="V68" s="26"/>
      <c r="W68" s="26"/>
      <c r="X68" s="26"/>
      <c r="Y68" s="26"/>
      <c r="Z68" s="24"/>
      <c r="AA68" s="169">
        <f t="shared" si="24"/>
        <v>0</v>
      </c>
      <c r="AB68" s="4">
        <f t="shared" si="25"/>
        <v>0</v>
      </c>
      <c r="AC68" s="170">
        <f t="shared" si="21"/>
        <v>0</v>
      </c>
      <c r="AD68" s="58"/>
      <c r="AE68" s="58"/>
      <c r="AF68" s="58"/>
      <c r="AG68" s="59">
        <f t="shared" si="26"/>
        <v>9.0359999999999996</v>
      </c>
      <c r="AH68" s="59">
        <f t="shared" si="27"/>
        <v>-184.49199999999999</v>
      </c>
      <c r="AJ68" s="4">
        <f>IF(D68="M",IF(AM68&lt;78,BMILMS!$D$5*AM68^3+BMILMS!$E$5*AM68^2+BMILMS!$F$5*AM68+BMILMS!$G$5,IF(AM68&lt;150,BMILMS!$D$6*AM68^3+BMILMS!$E$6*AM68^2+BMILMS!$F$6*AM68+BMILMS!$G$6,BMILMS!$D$7*AM68^3+BMILMS!$E$7*AM68^2+BMILMS!$F$7*AM68+BMILMS!$G$7)),IF(AM68&lt;69,BMILMS!$D$9*AM68^3+BMILMS!$E$9*AM68^2+BMILMS!$F$9*AM68+BMILMS!$G$9,IF(AM68&lt;150,BMILMS!$D$10*AM68^3+BMILMS!$E$10*AM68^2+BMILMS!$F$10*AM68+BMILMS!$G$10,BMILMS!$D$11*AM68^3+BMILMS!$E$11*AM68^2+BMILMS!$F$11*AM68+BMILMS!$G$11)))</f>
        <v>0.79584630099999998</v>
      </c>
      <c r="AK68" s="4">
        <f>IF(D68="M",(IF(AM68&lt;2.5,BMILMS!$D$21*AM68^3+BMILMS!$E$21*AM68^2+BMILMS!$F$21*AM68+BMILMS!$G$21,IF(AM68&lt;9.5,BMILMS!$D$22*AM68^3+BMILMS!$E$22*AM68^2+BMILMS!$F$22*AM68+BMILMS!$G$22,IF(AM68&lt;26.75,BMILMS!$D$23*AM68^3+BMILMS!$E$23*AM68^2+BMILMS!$F$23*AM68+BMILMS!$G$23,IF(AM68&lt;90,BMILMS!$D$24*AM68^3+BMILMS!$E$24*AM68^2+BMILMS!$F$24*AM68+BMILMS!$G$24,BMILMS!$D$25*AM68^3+BMILMS!$E$25*AM68^2+BMILMS!$F$25*AM68+BMILMS!$G$25))))),(IF(AM68&lt;2.5,BMILMS!$D$27*AM68^3+BMILMS!$E$27*AM68^2+BMILMS!$F$27*AM68+BMILMS!$G$27,IF(AM68&lt;9.5,BMILMS!$D$28*AM68^3+BMILMS!$E$28*AM68^2+BMILMS!$F$28*AM68+BMILMS!$G$28,IF(AM68&lt;26.75,BMILMS!$D$29*AM68^3+BMILMS!$E$29*AM68^2+BMILMS!$F$29*AM68+BMILMS!$G$29,IF(AM68&lt;90,BMILMS!$D$30*AM68^3+BMILMS!$E$30*AM68^2+BMILMS!$F$30*AM68+BMILMS!$G$30,IF(AM68&lt;150,BMILMS!$D$31*AM68^3+BMILMS!$E$31*AM68^2+BMILMS!$F$31*AM68+BMILMS!$G$31,BMILMS!$D$32*AM68^3+BMILMS!$E$32*AM68^2+BMILMS!$F$32*AM68+BMILMS!$G$32)))))))</f>
        <v>12.568967990000001</v>
      </c>
      <c r="AL68" s="4">
        <f>IF(D68="M",(IF(AM68&lt;90,BMILMS!$D$14*AM68^3+BMILMS!$E$14*AM68^2+BMILMS!$F$14*AM68+BMILMS!$G$14,BMILMS!$D$15*AM68^3+BMILMS!$E$15*AM68^2+BMILMS!$F$15*AM68+BMILMS!$G$15)),(IF(AM68&lt;90,BMILMS!$D$17*AM68^3+BMILMS!$E$17*AM68^2+BMILMS!$F$17*AM68+BMILMS!$G$17,BMILMS!$D$18*AM68^3+BMILMS!$E$18*AM68^2+BMILMS!$F$18*AM68+BMILMS!$G$18)))</f>
        <v>8.8969350000000003E-2</v>
      </c>
      <c r="AM68" s="4">
        <f t="shared" si="20"/>
        <v>0</v>
      </c>
      <c r="AO68" s="56">
        <f>IF(D68="M",WeightSDS!P$5*$AM68^7+WeightSDS!Q$5*$AM68^6+WeightSDS!R$5*$AM68^5+WeightSDS!S$5*$AM68^4+WeightSDS!T$5*$AM68^3+WeightSDS!U$5*$AM68^2+WeightSDS!V$5*$AM68+WeightSDS!W$5,IF($AM68&lt;186,WeightSDS!P$8*$AM68^7+WeightSDS!Q$8*$AM68^6+WeightSDS!R$8*$AM68^5+WeightSDS!S$8*$AM68^4+WeightSDS!T$8*$AM68^3+WeightSDS!U$8*$AM68^2+WeightSDS!V$8*$AM68+WeightSDS!W$8,WeightSDS!$U$9+WeightSDS!$V$9*($AM68-WeightSDS!$W$9)))</f>
        <v>0.75407122999999998</v>
      </c>
      <c r="AP68" s="4">
        <f>IF(D68="M",IF($AM68&lt;45,WeightSDS!M$23*$AM68^10+WeightSDS!N$23*$AM68^9+WeightSDS!O$23*$AM68^8+WeightSDS!P$23*$AM68^7+WeightSDS!Q$23*$AM68^6+WeightSDS!R$23*$AM68^5+WeightSDS!S$23*$AM68^4+WeightSDS!T$23*$AM68^3+WeightSDS!U$23*$AM68^2+WeightSDS!V$23*$AM68+WeightSDS!W$23,IF($AM68&lt;153,WeightSDS!M$25*$AM68^10+WeightSDS!N$25*$AM68^9+WeightSDS!O$25*$AM68^8+WeightSDS!P$25*$AM68^7+WeightSDS!Q$25*$AM68^6+WeightSDS!R$25*$AM68^5+WeightSDS!S$25*$AM68^4+WeightSDS!T$25*$AM68^3+WeightSDS!U$25*$AM68^2+WeightSDS!V$25*$AM68+WeightSDS!W$25,WeightSDS!M$27+WeightSDS!N$27/(1+EXP(WeightSDS!O$27+WeightSDS!P$27*$AM68)))),IF($AM68&lt;43.8,WeightSDS!M$29*$AM68^10+WeightSDS!N$29*$AM68^9+WeightSDS!O$29*$AM68^8+WeightSDS!P$29*$AM68^7+WeightSDS!Q$29*$AM68^6+WeightSDS!R$29*$AM68^5+WeightSDS!S$29*$AM68^4+WeightSDS!T$29*$AM68^3+WeightSDS!U$29*$AM68^2+WeightSDS!V$29*$AM68+WeightSDS!W$29-0.010431*(1-$AM68/210),IF($AM68&lt;123,WeightSDS!M$30*$AM68^10+WeightSDS!N$30*$AM68^9+WeightSDS!O$30*$AM68^8+WeightSDS!P$30*$AM68^7+WeightSDS!Q$30*$AM68^6+WeightSDS!R$30*$AM68^5+WeightSDS!S$30*$AM68^4+WeightSDS!T$30*$AM68^3+WeightSDS!U$30*$AM68^2+WeightSDS!V$30*$AM68+WeightSDS!W$30-0.010431*(1-1/$AM68),WeightSDS!M$32+WeightSDS!N$32/(1+EXP(WeightSDS!O$32+WeightSDS!P$32*$AM68))-0.010431*(1-$AM68/210))))</f>
        <v>2.9500001032655536</v>
      </c>
      <c r="AQ68" s="4">
        <f>IF(D68="M",IF($AM68&lt;162,WeightSDS!P$12*$AM68^7+WeightSDS!Q$12*$AM68^6+WeightSDS!R$12*$AM68^5+WeightSDS!S$12*$AM68^4+WeightSDS!T$12*$AM68^3+WeightSDS!U$12*$AM68^2+WeightSDS!V$12*$AM68+WeightSDS!W$12,WeightSDS!P$14*$AM68^7+WeightSDS!Q$14*$AM68^6+WeightSDS!R$14*$AM68^5+WeightSDS!S$14*$AM68^4+WeightSDS!T$14*$AM68^3+WeightSDS!U$14*$AM68^2+WeightSDS!V$14*$AM68+WeightSDS!W$14),IF($AM68&lt;156,WeightSDS!O$17*$AM68^8+WeightSDS!P$17*$AM68^7+WeightSDS!Q$17*$AM68^6+WeightSDS!R$17*$AM68^5+WeightSDS!S$17*$AM68^4+WeightSDS!T$17*$AM68^3+WeightSDS!U$17*$AM68^2+WeightSDS!V$17*$AM68+WeightSDS!W$17,IF($AM68&lt;186,WeightSDS!$U$18+(WeightSDS!$V$18-WeightSDS!$U$18)/24*($AM68-186)+WeightSDS!$W$18*(-$AM68+186)^2-0.005,WeightSDS!$U$18+(WeightSDS!$V$18-WeightSDS!$U$18)/24*($AM68-186)-0.005)))</f>
        <v>0.14604529399999999</v>
      </c>
      <c r="AT68" s="4">
        <f t="shared" si="28"/>
        <v>0.56299999999999994</v>
      </c>
      <c r="AU68" s="4">
        <f t="shared" si="29"/>
        <v>69</v>
      </c>
      <c r="AV68" s="4">
        <f t="shared" si="30"/>
        <v>0.51</v>
      </c>
    </row>
    <row r="69" spans="1:48" x14ac:dyDescent="0.15">
      <c r="A69" s="4"/>
      <c r="B69" s="21"/>
      <c r="C69" s="21"/>
      <c r="D69" s="21"/>
      <c r="E69" s="22"/>
      <c r="F69" s="22"/>
      <c r="G69" s="23"/>
      <c r="H69" s="23"/>
      <c r="I69" s="181"/>
      <c r="J69" s="8" t="str">
        <f t="shared" si="22"/>
        <v/>
      </c>
      <c r="K69" s="2" t="str">
        <f t="shared" si="31"/>
        <v/>
      </c>
      <c r="L69" s="2" t="str">
        <f t="shared" si="23"/>
        <v/>
      </c>
      <c r="M69" s="2" t="str">
        <f t="shared" si="32"/>
        <v/>
      </c>
      <c r="N69" s="2" t="str">
        <f t="shared" si="19"/>
        <v/>
      </c>
      <c r="O69" s="2" t="str">
        <f t="shared" si="33"/>
        <v/>
      </c>
      <c r="P69" s="8" t="str">
        <f t="shared" si="34"/>
        <v/>
      </c>
      <c r="Q69" s="8" t="str">
        <f t="shared" si="35"/>
        <v/>
      </c>
      <c r="R69" s="111" t="str">
        <f t="shared" si="36"/>
        <v/>
      </c>
      <c r="S69" s="44" t="str">
        <f t="shared" si="37"/>
        <v/>
      </c>
      <c r="T69" s="37" t="str">
        <f t="shared" si="38"/>
        <v/>
      </c>
      <c r="U69" s="44" t="str">
        <f t="shared" si="39"/>
        <v/>
      </c>
      <c r="V69" s="26"/>
      <c r="W69" s="26"/>
      <c r="X69" s="26"/>
      <c r="Y69" s="26"/>
      <c r="Z69" s="24"/>
      <c r="AA69" s="169">
        <f t="shared" si="24"/>
        <v>0</v>
      </c>
      <c r="AB69" s="4">
        <f t="shared" si="25"/>
        <v>0</v>
      </c>
      <c r="AC69" s="170">
        <f t="shared" si="21"/>
        <v>0</v>
      </c>
      <c r="AD69" s="58"/>
      <c r="AE69" s="58"/>
      <c r="AF69" s="58"/>
      <c r="AG69" s="59">
        <f t="shared" si="26"/>
        <v>9.0359999999999996</v>
      </c>
      <c r="AH69" s="59">
        <f t="shared" si="27"/>
        <v>-184.49199999999999</v>
      </c>
      <c r="AJ69" s="4">
        <f>IF(D69="M",IF(AM69&lt;78,BMILMS!$D$5*AM69^3+BMILMS!$E$5*AM69^2+BMILMS!$F$5*AM69+BMILMS!$G$5,IF(AM69&lt;150,BMILMS!$D$6*AM69^3+BMILMS!$E$6*AM69^2+BMILMS!$F$6*AM69+BMILMS!$G$6,BMILMS!$D$7*AM69^3+BMILMS!$E$7*AM69^2+BMILMS!$F$7*AM69+BMILMS!$G$7)),IF(AM69&lt;69,BMILMS!$D$9*AM69^3+BMILMS!$E$9*AM69^2+BMILMS!$F$9*AM69+BMILMS!$G$9,IF(AM69&lt;150,BMILMS!$D$10*AM69^3+BMILMS!$E$10*AM69^2+BMILMS!$F$10*AM69+BMILMS!$G$10,BMILMS!$D$11*AM69^3+BMILMS!$E$11*AM69^2+BMILMS!$F$11*AM69+BMILMS!$G$11)))</f>
        <v>0.79584630099999998</v>
      </c>
      <c r="AK69" s="4">
        <f>IF(D69="M",(IF(AM69&lt;2.5,BMILMS!$D$21*AM69^3+BMILMS!$E$21*AM69^2+BMILMS!$F$21*AM69+BMILMS!$G$21,IF(AM69&lt;9.5,BMILMS!$D$22*AM69^3+BMILMS!$E$22*AM69^2+BMILMS!$F$22*AM69+BMILMS!$G$22,IF(AM69&lt;26.75,BMILMS!$D$23*AM69^3+BMILMS!$E$23*AM69^2+BMILMS!$F$23*AM69+BMILMS!$G$23,IF(AM69&lt;90,BMILMS!$D$24*AM69^3+BMILMS!$E$24*AM69^2+BMILMS!$F$24*AM69+BMILMS!$G$24,BMILMS!$D$25*AM69^3+BMILMS!$E$25*AM69^2+BMILMS!$F$25*AM69+BMILMS!$G$25))))),(IF(AM69&lt;2.5,BMILMS!$D$27*AM69^3+BMILMS!$E$27*AM69^2+BMILMS!$F$27*AM69+BMILMS!$G$27,IF(AM69&lt;9.5,BMILMS!$D$28*AM69^3+BMILMS!$E$28*AM69^2+BMILMS!$F$28*AM69+BMILMS!$G$28,IF(AM69&lt;26.75,BMILMS!$D$29*AM69^3+BMILMS!$E$29*AM69^2+BMILMS!$F$29*AM69+BMILMS!$G$29,IF(AM69&lt;90,BMILMS!$D$30*AM69^3+BMILMS!$E$30*AM69^2+BMILMS!$F$30*AM69+BMILMS!$G$30,IF(AM69&lt;150,BMILMS!$D$31*AM69^3+BMILMS!$E$31*AM69^2+BMILMS!$F$31*AM69+BMILMS!$G$31,BMILMS!$D$32*AM69^3+BMILMS!$E$32*AM69^2+BMILMS!$F$32*AM69+BMILMS!$G$32)))))))</f>
        <v>12.568967990000001</v>
      </c>
      <c r="AL69" s="4">
        <f>IF(D69="M",(IF(AM69&lt;90,BMILMS!$D$14*AM69^3+BMILMS!$E$14*AM69^2+BMILMS!$F$14*AM69+BMILMS!$G$14,BMILMS!$D$15*AM69^3+BMILMS!$E$15*AM69^2+BMILMS!$F$15*AM69+BMILMS!$G$15)),(IF(AM69&lt;90,BMILMS!$D$17*AM69^3+BMILMS!$E$17*AM69^2+BMILMS!$F$17*AM69+BMILMS!$G$17,BMILMS!$D$18*AM69^3+BMILMS!$E$18*AM69^2+BMILMS!$F$18*AM69+BMILMS!$G$18)))</f>
        <v>8.8969350000000003E-2</v>
      </c>
      <c r="AM69" s="4">
        <f t="shared" si="20"/>
        <v>0</v>
      </c>
      <c r="AO69" s="56">
        <f>IF(D69="M",WeightSDS!P$5*$AM69^7+WeightSDS!Q$5*$AM69^6+WeightSDS!R$5*$AM69^5+WeightSDS!S$5*$AM69^4+WeightSDS!T$5*$AM69^3+WeightSDS!U$5*$AM69^2+WeightSDS!V$5*$AM69+WeightSDS!W$5,IF($AM69&lt;186,WeightSDS!P$8*$AM69^7+WeightSDS!Q$8*$AM69^6+WeightSDS!R$8*$AM69^5+WeightSDS!S$8*$AM69^4+WeightSDS!T$8*$AM69^3+WeightSDS!U$8*$AM69^2+WeightSDS!V$8*$AM69+WeightSDS!W$8,WeightSDS!$U$9+WeightSDS!$V$9*($AM69-WeightSDS!$W$9)))</f>
        <v>0.75407122999999998</v>
      </c>
      <c r="AP69" s="4">
        <f>IF(D69="M",IF($AM69&lt;45,WeightSDS!M$23*$AM69^10+WeightSDS!N$23*$AM69^9+WeightSDS!O$23*$AM69^8+WeightSDS!P$23*$AM69^7+WeightSDS!Q$23*$AM69^6+WeightSDS!R$23*$AM69^5+WeightSDS!S$23*$AM69^4+WeightSDS!T$23*$AM69^3+WeightSDS!U$23*$AM69^2+WeightSDS!V$23*$AM69+WeightSDS!W$23,IF($AM69&lt;153,WeightSDS!M$25*$AM69^10+WeightSDS!N$25*$AM69^9+WeightSDS!O$25*$AM69^8+WeightSDS!P$25*$AM69^7+WeightSDS!Q$25*$AM69^6+WeightSDS!R$25*$AM69^5+WeightSDS!S$25*$AM69^4+WeightSDS!T$25*$AM69^3+WeightSDS!U$25*$AM69^2+WeightSDS!V$25*$AM69+WeightSDS!W$25,WeightSDS!M$27+WeightSDS!N$27/(1+EXP(WeightSDS!O$27+WeightSDS!P$27*$AM69)))),IF($AM69&lt;43.8,WeightSDS!M$29*$AM69^10+WeightSDS!N$29*$AM69^9+WeightSDS!O$29*$AM69^8+WeightSDS!P$29*$AM69^7+WeightSDS!Q$29*$AM69^6+WeightSDS!R$29*$AM69^5+WeightSDS!S$29*$AM69^4+WeightSDS!T$29*$AM69^3+WeightSDS!U$29*$AM69^2+WeightSDS!V$29*$AM69+WeightSDS!W$29-0.010431*(1-$AM69/210),IF($AM69&lt;123,WeightSDS!M$30*$AM69^10+WeightSDS!N$30*$AM69^9+WeightSDS!O$30*$AM69^8+WeightSDS!P$30*$AM69^7+WeightSDS!Q$30*$AM69^6+WeightSDS!R$30*$AM69^5+WeightSDS!S$30*$AM69^4+WeightSDS!T$30*$AM69^3+WeightSDS!U$30*$AM69^2+WeightSDS!V$30*$AM69+WeightSDS!W$30-0.010431*(1-1/$AM69),WeightSDS!M$32+WeightSDS!N$32/(1+EXP(WeightSDS!O$32+WeightSDS!P$32*$AM69))-0.010431*(1-$AM69/210))))</f>
        <v>2.9500001032655536</v>
      </c>
      <c r="AQ69" s="4">
        <f>IF(D69="M",IF($AM69&lt;162,WeightSDS!P$12*$AM69^7+WeightSDS!Q$12*$AM69^6+WeightSDS!R$12*$AM69^5+WeightSDS!S$12*$AM69^4+WeightSDS!T$12*$AM69^3+WeightSDS!U$12*$AM69^2+WeightSDS!V$12*$AM69+WeightSDS!W$12,WeightSDS!P$14*$AM69^7+WeightSDS!Q$14*$AM69^6+WeightSDS!R$14*$AM69^5+WeightSDS!S$14*$AM69^4+WeightSDS!T$14*$AM69^3+WeightSDS!U$14*$AM69^2+WeightSDS!V$14*$AM69+WeightSDS!W$14),IF($AM69&lt;156,WeightSDS!O$17*$AM69^8+WeightSDS!P$17*$AM69^7+WeightSDS!Q$17*$AM69^6+WeightSDS!R$17*$AM69^5+WeightSDS!S$17*$AM69^4+WeightSDS!T$17*$AM69^3+WeightSDS!U$17*$AM69^2+WeightSDS!V$17*$AM69+WeightSDS!W$17,IF($AM69&lt;186,WeightSDS!$U$18+(WeightSDS!$V$18-WeightSDS!$U$18)/24*($AM69-186)+WeightSDS!$W$18*(-$AM69+186)^2-0.005,WeightSDS!$U$18+(WeightSDS!$V$18-WeightSDS!$U$18)/24*($AM69-186)-0.005)))</f>
        <v>0.14604529399999999</v>
      </c>
      <c r="AT69" s="4">
        <f t="shared" si="28"/>
        <v>0.56299999999999994</v>
      </c>
      <c r="AU69" s="4">
        <f t="shared" si="29"/>
        <v>69</v>
      </c>
      <c r="AV69" s="4">
        <f t="shared" si="30"/>
        <v>0.51</v>
      </c>
    </row>
    <row r="70" spans="1:48" x14ac:dyDescent="0.15">
      <c r="A70" s="4"/>
      <c r="B70" s="21"/>
      <c r="C70" s="21"/>
      <c r="D70" s="21"/>
      <c r="E70" s="22"/>
      <c r="F70" s="22"/>
      <c r="G70" s="23"/>
      <c r="H70" s="23"/>
      <c r="I70" s="181"/>
      <c r="J70" s="8" t="str">
        <f t="shared" si="22"/>
        <v/>
      </c>
      <c r="K70" s="2" t="str">
        <f t="shared" si="31"/>
        <v/>
      </c>
      <c r="L70" s="2" t="str">
        <f t="shared" si="23"/>
        <v/>
      </c>
      <c r="M70" s="2" t="str">
        <f t="shared" si="32"/>
        <v/>
      </c>
      <c r="N70" s="2" t="str">
        <f t="shared" si="19"/>
        <v/>
      </c>
      <c r="O70" s="2" t="str">
        <f t="shared" si="33"/>
        <v/>
      </c>
      <c r="P70" s="8" t="str">
        <f t="shared" si="34"/>
        <v/>
      </c>
      <c r="Q70" s="8" t="str">
        <f t="shared" si="35"/>
        <v/>
      </c>
      <c r="R70" s="111" t="str">
        <f t="shared" si="36"/>
        <v/>
      </c>
      <c r="S70" s="44" t="str">
        <f t="shared" si="37"/>
        <v/>
      </c>
      <c r="T70" s="37" t="str">
        <f t="shared" si="38"/>
        <v/>
      </c>
      <c r="U70" s="44" t="str">
        <f t="shared" si="39"/>
        <v/>
      </c>
      <c r="V70" s="26"/>
      <c r="W70" s="26"/>
      <c r="X70" s="26"/>
      <c r="Y70" s="26"/>
      <c r="Z70" s="24"/>
      <c r="AA70" s="169">
        <f t="shared" si="24"/>
        <v>0</v>
      </c>
      <c r="AB70" s="4">
        <f t="shared" si="25"/>
        <v>0</v>
      </c>
      <c r="AC70" s="170">
        <f t="shared" si="21"/>
        <v>0</v>
      </c>
      <c r="AD70" s="58"/>
      <c r="AE70" s="58"/>
      <c r="AF70" s="58"/>
      <c r="AG70" s="59">
        <f t="shared" si="26"/>
        <v>9.0359999999999996</v>
      </c>
      <c r="AH70" s="59">
        <f t="shared" si="27"/>
        <v>-184.49199999999999</v>
      </c>
      <c r="AJ70" s="4">
        <f>IF(D70="M",IF(AM70&lt;78,BMILMS!$D$5*AM70^3+BMILMS!$E$5*AM70^2+BMILMS!$F$5*AM70+BMILMS!$G$5,IF(AM70&lt;150,BMILMS!$D$6*AM70^3+BMILMS!$E$6*AM70^2+BMILMS!$F$6*AM70+BMILMS!$G$6,BMILMS!$D$7*AM70^3+BMILMS!$E$7*AM70^2+BMILMS!$F$7*AM70+BMILMS!$G$7)),IF(AM70&lt;69,BMILMS!$D$9*AM70^3+BMILMS!$E$9*AM70^2+BMILMS!$F$9*AM70+BMILMS!$G$9,IF(AM70&lt;150,BMILMS!$D$10*AM70^3+BMILMS!$E$10*AM70^2+BMILMS!$F$10*AM70+BMILMS!$G$10,BMILMS!$D$11*AM70^3+BMILMS!$E$11*AM70^2+BMILMS!$F$11*AM70+BMILMS!$G$11)))</f>
        <v>0.79584630099999998</v>
      </c>
      <c r="AK70" s="4">
        <f>IF(D70="M",(IF(AM70&lt;2.5,BMILMS!$D$21*AM70^3+BMILMS!$E$21*AM70^2+BMILMS!$F$21*AM70+BMILMS!$G$21,IF(AM70&lt;9.5,BMILMS!$D$22*AM70^3+BMILMS!$E$22*AM70^2+BMILMS!$F$22*AM70+BMILMS!$G$22,IF(AM70&lt;26.75,BMILMS!$D$23*AM70^3+BMILMS!$E$23*AM70^2+BMILMS!$F$23*AM70+BMILMS!$G$23,IF(AM70&lt;90,BMILMS!$D$24*AM70^3+BMILMS!$E$24*AM70^2+BMILMS!$F$24*AM70+BMILMS!$G$24,BMILMS!$D$25*AM70^3+BMILMS!$E$25*AM70^2+BMILMS!$F$25*AM70+BMILMS!$G$25))))),(IF(AM70&lt;2.5,BMILMS!$D$27*AM70^3+BMILMS!$E$27*AM70^2+BMILMS!$F$27*AM70+BMILMS!$G$27,IF(AM70&lt;9.5,BMILMS!$D$28*AM70^3+BMILMS!$E$28*AM70^2+BMILMS!$F$28*AM70+BMILMS!$G$28,IF(AM70&lt;26.75,BMILMS!$D$29*AM70^3+BMILMS!$E$29*AM70^2+BMILMS!$F$29*AM70+BMILMS!$G$29,IF(AM70&lt;90,BMILMS!$D$30*AM70^3+BMILMS!$E$30*AM70^2+BMILMS!$F$30*AM70+BMILMS!$G$30,IF(AM70&lt;150,BMILMS!$D$31*AM70^3+BMILMS!$E$31*AM70^2+BMILMS!$F$31*AM70+BMILMS!$G$31,BMILMS!$D$32*AM70^3+BMILMS!$E$32*AM70^2+BMILMS!$F$32*AM70+BMILMS!$G$32)))))))</f>
        <v>12.568967990000001</v>
      </c>
      <c r="AL70" s="4">
        <f>IF(D70="M",(IF(AM70&lt;90,BMILMS!$D$14*AM70^3+BMILMS!$E$14*AM70^2+BMILMS!$F$14*AM70+BMILMS!$G$14,BMILMS!$D$15*AM70^3+BMILMS!$E$15*AM70^2+BMILMS!$F$15*AM70+BMILMS!$G$15)),(IF(AM70&lt;90,BMILMS!$D$17*AM70^3+BMILMS!$E$17*AM70^2+BMILMS!$F$17*AM70+BMILMS!$G$17,BMILMS!$D$18*AM70^3+BMILMS!$E$18*AM70^2+BMILMS!$F$18*AM70+BMILMS!$G$18)))</f>
        <v>8.8969350000000003E-2</v>
      </c>
      <c r="AM70" s="4">
        <f t="shared" si="20"/>
        <v>0</v>
      </c>
      <c r="AO70" s="56">
        <f>IF(D70="M",WeightSDS!P$5*$AM70^7+WeightSDS!Q$5*$AM70^6+WeightSDS!R$5*$AM70^5+WeightSDS!S$5*$AM70^4+WeightSDS!T$5*$AM70^3+WeightSDS!U$5*$AM70^2+WeightSDS!V$5*$AM70+WeightSDS!W$5,IF($AM70&lt;186,WeightSDS!P$8*$AM70^7+WeightSDS!Q$8*$AM70^6+WeightSDS!R$8*$AM70^5+WeightSDS!S$8*$AM70^4+WeightSDS!T$8*$AM70^3+WeightSDS!U$8*$AM70^2+WeightSDS!V$8*$AM70+WeightSDS!W$8,WeightSDS!$U$9+WeightSDS!$V$9*($AM70-WeightSDS!$W$9)))</f>
        <v>0.75407122999999998</v>
      </c>
      <c r="AP70" s="4">
        <f>IF(D70="M",IF($AM70&lt;45,WeightSDS!M$23*$AM70^10+WeightSDS!N$23*$AM70^9+WeightSDS!O$23*$AM70^8+WeightSDS!P$23*$AM70^7+WeightSDS!Q$23*$AM70^6+WeightSDS!R$23*$AM70^5+WeightSDS!S$23*$AM70^4+WeightSDS!T$23*$AM70^3+WeightSDS!U$23*$AM70^2+WeightSDS!V$23*$AM70+WeightSDS!W$23,IF($AM70&lt;153,WeightSDS!M$25*$AM70^10+WeightSDS!N$25*$AM70^9+WeightSDS!O$25*$AM70^8+WeightSDS!P$25*$AM70^7+WeightSDS!Q$25*$AM70^6+WeightSDS!R$25*$AM70^5+WeightSDS!S$25*$AM70^4+WeightSDS!T$25*$AM70^3+WeightSDS!U$25*$AM70^2+WeightSDS!V$25*$AM70+WeightSDS!W$25,WeightSDS!M$27+WeightSDS!N$27/(1+EXP(WeightSDS!O$27+WeightSDS!P$27*$AM70)))),IF($AM70&lt;43.8,WeightSDS!M$29*$AM70^10+WeightSDS!N$29*$AM70^9+WeightSDS!O$29*$AM70^8+WeightSDS!P$29*$AM70^7+WeightSDS!Q$29*$AM70^6+WeightSDS!R$29*$AM70^5+WeightSDS!S$29*$AM70^4+WeightSDS!T$29*$AM70^3+WeightSDS!U$29*$AM70^2+WeightSDS!V$29*$AM70+WeightSDS!W$29-0.010431*(1-$AM70/210),IF($AM70&lt;123,WeightSDS!M$30*$AM70^10+WeightSDS!N$30*$AM70^9+WeightSDS!O$30*$AM70^8+WeightSDS!P$30*$AM70^7+WeightSDS!Q$30*$AM70^6+WeightSDS!R$30*$AM70^5+WeightSDS!S$30*$AM70^4+WeightSDS!T$30*$AM70^3+WeightSDS!U$30*$AM70^2+WeightSDS!V$30*$AM70+WeightSDS!W$30-0.010431*(1-1/$AM70),WeightSDS!M$32+WeightSDS!N$32/(1+EXP(WeightSDS!O$32+WeightSDS!P$32*$AM70))-0.010431*(1-$AM70/210))))</f>
        <v>2.9500001032655536</v>
      </c>
      <c r="AQ70" s="4">
        <f>IF(D70="M",IF($AM70&lt;162,WeightSDS!P$12*$AM70^7+WeightSDS!Q$12*$AM70^6+WeightSDS!R$12*$AM70^5+WeightSDS!S$12*$AM70^4+WeightSDS!T$12*$AM70^3+WeightSDS!U$12*$AM70^2+WeightSDS!V$12*$AM70+WeightSDS!W$12,WeightSDS!P$14*$AM70^7+WeightSDS!Q$14*$AM70^6+WeightSDS!R$14*$AM70^5+WeightSDS!S$14*$AM70^4+WeightSDS!T$14*$AM70^3+WeightSDS!U$14*$AM70^2+WeightSDS!V$14*$AM70+WeightSDS!W$14),IF($AM70&lt;156,WeightSDS!O$17*$AM70^8+WeightSDS!P$17*$AM70^7+WeightSDS!Q$17*$AM70^6+WeightSDS!R$17*$AM70^5+WeightSDS!S$17*$AM70^4+WeightSDS!T$17*$AM70^3+WeightSDS!U$17*$AM70^2+WeightSDS!V$17*$AM70+WeightSDS!W$17,IF($AM70&lt;186,WeightSDS!$U$18+(WeightSDS!$V$18-WeightSDS!$U$18)/24*($AM70-186)+WeightSDS!$W$18*(-$AM70+186)^2-0.005,WeightSDS!$U$18+(WeightSDS!$V$18-WeightSDS!$U$18)/24*($AM70-186)-0.005)))</f>
        <v>0.14604529399999999</v>
      </c>
      <c r="AT70" s="4">
        <f t="shared" si="28"/>
        <v>0.56299999999999994</v>
      </c>
      <c r="AU70" s="4">
        <f t="shared" si="29"/>
        <v>69</v>
      </c>
      <c r="AV70" s="4">
        <f t="shared" si="30"/>
        <v>0.51</v>
      </c>
    </row>
    <row r="71" spans="1:48" x14ac:dyDescent="0.15">
      <c r="A71" s="4"/>
      <c r="B71" s="21"/>
      <c r="C71" s="21"/>
      <c r="D71" s="21"/>
      <c r="E71" s="22"/>
      <c r="F71" s="22"/>
      <c r="G71" s="23"/>
      <c r="H71" s="23"/>
      <c r="I71" s="181"/>
      <c r="J71" s="8" t="str">
        <f t="shared" si="22"/>
        <v/>
      </c>
      <c r="K71" s="2" t="str">
        <f t="shared" si="31"/>
        <v/>
      </c>
      <c r="L71" s="2" t="str">
        <f t="shared" si="23"/>
        <v/>
      </c>
      <c r="M71" s="2" t="str">
        <f t="shared" si="32"/>
        <v/>
      </c>
      <c r="N71" s="2" t="str">
        <f t="shared" si="19"/>
        <v/>
      </c>
      <c r="O71" s="2" t="str">
        <f t="shared" si="33"/>
        <v/>
      </c>
      <c r="P71" s="8" t="str">
        <f t="shared" si="34"/>
        <v/>
      </c>
      <c r="Q71" s="8" t="str">
        <f t="shared" si="35"/>
        <v/>
      </c>
      <c r="R71" s="111" t="str">
        <f t="shared" si="36"/>
        <v/>
      </c>
      <c r="S71" s="44" t="str">
        <f t="shared" si="37"/>
        <v/>
      </c>
      <c r="T71" s="37" t="str">
        <f t="shared" si="38"/>
        <v/>
      </c>
      <c r="U71" s="44" t="str">
        <f t="shared" si="39"/>
        <v/>
      </c>
      <c r="V71" s="26"/>
      <c r="W71" s="26"/>
      <c r="X71" s="26"/>
      <c r="Y71" s="26"/>
      <c r="Z71" s="24"/>
      <c r="AA71" s="169">
        <f t="shared" si="24"/>
        <v>0</v>
      </c>
      <c r="AB71" s="4">
        <f t="shared" si="25"/>
        <v>0</v>
      </c>
      <c r="AC71" s="170">
        <f t="shared" si="21"/>
        <v>0</v>
      </c>
      <c r="AD71" s="58"/>
      <c r="AE71" s="58"/>
      <c r="AF71" s="58"/>
      <c r="AG71" s="59">
        <f t="shared" si="26"/>
        <v>9.0359999999999996</v>
      </c>
      <c r="AH71" s="59">
        <f t="shared" si="27"/>
        <v>-184.49199999999999</v>
      </c>
      <c r="AJ71" s="4">
        <f>IF(D71="M",IF(AM71&lt;78,BMILMS!$D$5*AM71^3+BMILMS!$E$5*AM71^2+BMILMS!$F$5*AM71+BMILMS!$G$5,IF(AM71&lt;150,BMILMS!$D$6*AM71^3+BMILMS!$E$6*AM71^2+BMILMS!$F$6*AM71+BMILMS!$G$6,BMILMS!$D$7*AM71^3+BMILMS!$E$7*AM71^2+BMILMS!$F$7*AM71+BMILMS!$G$7)),IF(AM71&lt;69,BMILMS!$D$9*AM71^3+BMILMS!$E$9*AM71^2+BMILMS!$F$9*AM71+BMILMS!$G$9,IF(AM71&lt;150,BMILMS!$D$10*AM71^3+BMILMS!$E$10*AM71^2+BMILMS!$F$10*AM71+BMILMS!$G$10,BMILMS!$D$11*AM71^3+BMILMS!$E$11*AM71^2+BMILMS!$F$11*AM71+BMILMS!$G$11)))</f>
        <v>0.79584630099999998</v>
      </c>
      <c r="AK71" s="4">
        <f>IF(D71="M",(IF(AM71&lt;2.5,BMILMS!$D$21*AM71^3+BMILMS!$E$21*AM71^2+BMILMS!$F$21*AM71+BMILMS!$G$21,IF(AM71&lt;9.5,BMILMS!$D$22*AM71^3+BMILMS!$E$22*AM71^2+BMILMS!$F$22*AM71+BMILMS!$G$22,IF(AM71&lt;26.75,BMILMS!$D$23*AM71^3+BMILMS!$E$23*AM71^2+BMILMS!$F$23*AM71+BMILMS!$G$23,IF(AM71&lt;90,BMILMS!$D$24*AM71^3+BMILMS!$E$24*AM71^2+BMILMS!$F$24*AM71+BMILMS!$G$24,BMILMS!$D$25*AM71^3+BMILMS!$E$25*AM71^2+BMILMS!$F$25*AM71+BMILMS!$G$25))))),(IF(AM71&lt;2.5,BMILMS!$D$27*AM71^3+BMILMS!$E$27*AM71^2+BMILMS!$F$27*AM71+BMILMS!$G$27,IF(AM71&lt;9.5,BMILMS!$D$28*AM71^3+BMILMS!$E$28*AM71^2+BMILMS!$F$28*AM71+BMILMS!$G$28,IF(AM71&lt;26.75,BMILMS!$D$29*AM71^3+BMILMS!$E$29*AM71^2+BMILMS!$F$29*AM71+BMILMS!$G$29,IF(AM71&lt;90,BMILMS!$D$30*AM71^3+BMILMS!$E$30*AM71^2+BMILMS!$F$30*AM71+BMILMS!$G$30,IF(AM71&lt;150,BMILMS!$D$31*AM71^3+BMILMS!$E$31*AM71^2+BMILMS!$F$31*AM71+BMILMS!$G$31,BMILMS!$D$32*AM71^3+BMILMS!$E$32*AM71^2+BMILMS!$F$32*AM71+BMILMS!$G$32)))))))</f>
        <v>12.568967990000001</v>
      </c>
      <c r="AL71" s="4">
        <f>IF(D71="M",(IF(AM71&lt;90,BMILMS!$D$14*AM71^3+BMILMS!$E$14*AM71^2+BMILMS!$F$14*AM71+BMILMS!$G$14,BMILMS!$D$15*AM71^3+BMILMS!$E$15*AM71^2+BMILMS!$F$15*AM71+BMILMS!$G$15)),(IF(AM71&lt;90,BMILMS!$D$17*AM71^3+BMILMS!$E$17*AM71^2+BMILMS!$F$17*AM71+BMILMS!$G$17,BMILMS!$D$18*AM71^3+BMILMS!$E$18*AM71^2+BMILMS!$F$18*AM71+BMILMS!$G$18)))</f>
        <v>8.8969350000000003E-2</v>
      </c>
      <c r="AM71" s="4">
        <f t="shared" si="20"/>
        <v>0</v>
      </c>
      <c r="AO71" s="56">
        <f>IF(D71="M",WeightSDS!P$5*$AM71^7+WeightSDS!Q$5*$AM71^6+WeightSDS!R$5*$AM71^5+WeightSDS!S$5*$AM71^4+WeightSDS!T$5*$AM71^3+WeightSDS!U$5*$AM71^2+WeightSDS!V$5*$AM71+WeightSDS!W$5,IF($AM71&lt;186,WeightSDS!P$8*$AM71^7+WeightSDS!Q$8*$AM71^6+WeightSDS!R$8*$AM71^5+WeightSDS!S$8*$AM71^4+WeightSDS!T$8*$AM71^3+WeightSDS!U$8*$AM71^2+WeightSDS!V$8*$AM71+WeightSDS!W$8,WeightSDS!$U$9+WeightSDS!$V$9*($AM71-WeightSDS!$W$9)))</f>
        <v>0.75407122999999998</v>
      </c>
      <c r="AP71" s="4">
        <f>IF(D71="M",IF($AM71&lt;45,WeightSDS!M$23*$AM71^10+WeightSDS!N$23*$AM71^9+WeightSDS!O$23*$AM71^8+WeightSDS!P$23*$AM71^7+WeightSDS!Q$23*$AM71^6+WeightSDS!R$23*$AM71^5+WeightSDS!S$23*$AM71^4+WeightSDS!T$23*$AM71^3+WeightSDS!U$23*$AM71^2+WeightSDS!V$23*$AM71+WeightSDS!W$23,IF($AM71&lt;153,WeightSDS!M$25*$AM71^10+WeightSDS!N$25*$AM71^9+WeightSDS!O$25*$AM71^8+WeightSDS!P$25*$AM71^7+WeightSDS!Q$25*$AM71^6+WeightSDS!R$25*$AM71^5+WeightSDS!S$25*$AM71^4+WeightSDS!T$25*$AM71^3+WeightSDS!U$25*$AM71^2+WeightSDS!V$25*$AM71+WeightSDS!W$25,WeightSDS!M$27+WeightSDS!N$27/(1+EXP(WeightSDS!O$27+WeightSDS!P$27*$AM71)))),IF($AM71&lt;43.8,WeightSDS!M$29*$AM71^10+WeightSDS!N$29*$AM71^9+WeightSDS!O$29*$AM71^8+WeightSDS!P$29*$AM71^7+WeightSDS!Q$29*$AM71^6+WeightSDS!R$29*$AM71^5+WeightSDS!S$29*$AM71^4+WeightSDS!T$29*$AM71^3+WeightSDS!U$29*$AM71^2+WeightSDS!V$29*$AM71+WeightSDS!W$29-0.010431*(1-$AM71/210),IF($AM71&lt;123,WeightSDS!M$30*$AM71^10+WeightSDS!N$30*$AM71^9+WeightSDS!O$30*$AM71^8+WeightSDS!P$30*$AM71^7+WeightSDS!Q$30*$AM71^6+WeightSDS!R$30*$AM71^5+WeightSDS!S$30*$AM71^4+WeightSDS!T$30*$AM71^3+WeightSDS!U$30*$AM71^2+WeightSDS!V$30*$AM71+WeightSDS!W$30-0.010431*(1-1/$AM71),WeightSDS!M$32+WeightSDS!N$32/(1+EXP(WeightSDS!O$32+WeightSDS!P$32*$AM71))-0.010431*(1-$AM71/210))))</f>
        <v>2.9500001032655536</v>
      </c>
      <c r="AQ71" s="4">
        <f>IF(D71="M",IF($AM71&lt;162,WeightSDS!P$12*$AM71^7+WeightSDS!Q$12*$AM71^6+WeightSDS!R$12*$AM71^5+WeightSDS!S$12*$AM71^4+WeightSDS!T$12*$AM71^3+WeightSDS!U$12*$AM71^2+WeightSDS!V$12*$AM71+WeightSDS!W$12,WeightSDS!P$14*$AM71^7+WeightSDS!Q$14*$AM71^6+WeightSDS!R$14*$AM71^5+WeightSDS!S$14*$AM71^4+WeightSDS!T$14*$AM71^3+WeightSDS!U$14*$AM71^2+WeightSDS!V$14*$AM71+WeightSDS!W$14),IF($AM71&lt;156,WeightSDS!O$17*$AM71^8+WeightSDS!P$17*$AM71^7+WeightSDS!Q$17*$AM71^6+WeightSDS!R$17*$AM71^5+WeightSDS!S$17*$AM71^4+WeightSDS!T$17*$AM71^3+WeightSDS!U$17*$AM71^2+WeightSDS!V$17*$AM71+WeightSDS!W$17,IF($AM71&lt;186,WeightSDS!$U$18+(WeightSDS!$V$18-WeightSDS!$U$18)/24*($AM71-186)+WeightSDS!$W$18*(-$AM71+186)^2-0.005,WeightSDS!$U$18+(WeightSDS!$V$18-WeightSDS!$U$18)/24*($AM71-186)-0.005)))</f>
        <v>0.14604529399999999</v>
      </c>
      <c r="AT71" s="4">
        <f t="shared" si="28"/>
        <v>0.56299999999999994</v>
      </c>
      <c r="AU71" s="4">
        <f t="shared" si="29"/>
        <v>69</v>
      </c>
      <c r="AV71" s="4">
        <f t="shared" si="30"/>
        <v>0.51</v>
      </c>
    </row>
    <row r="72" spans="1:48" x14ac:dyDescent="0.15">
      <c r="A72" s="4"/>
      <c r="B72" s="21"/>
      <c r="C72" s="21"/>
      <c r="D72" s="21"/>
      <c r="E72" s="22"/>
      <c r="F72" s="22"/>
      <c r="G72" s="23"/>
      <c r="H72" s="23"/>
      <c r="I72" s="181"/>
      <c r="J72" s="8" t="str">
        <f t="shared" si="22"/>
        <v/>
      </c>
      <c r="K72" s="2" t="str">
        <f t="shared" si="31"/>
        <v/>
      </c>
      <c r="L72" s="2" t="str">
        <f t="shared" si="23"/>
        <v/>
      </c>
      <c r="M72" s="2" t="str">
        <f t="shared" si="32"/>
        <v/>
      </c>
      <c r="N72" s="2" t="str">
        <f t="shared" ref="N72:N135" si="40">IF(COUNTA(D72,E72,F72,G72,H72)=5,H72/G72^2*10000,"")</f>
        <v/>
      </c>
      <c r="O72" s="2" t="str">
        <f t="shared" si="33"/>
        <v/>
      </c>
      <c r="P72" s="8" t="str">
        <f t="shared" si="34"/>
        <v/>
      </c>
      <c r="Q72" s="8" t="str">
        <f t="shared" si="35"/>
        <v/>
      </c>
      <c r="R72" s="111" t="str">
        <f t="shared" si="36"/>
        <v/>
      </c>
      <c r="S72" s="44" t="str">
        <f t="shared" si="37"/>
        <v/>
      </c>
      <c r="T72" s="37" t="str">
        <f t="shared" si="38"/>
        <v/>
      </c>
      <c r="U72" s="44" t="str">
        <f t="shared" si="39"/>
        <v/>
      </c>
      <c r="V72" s="26"/>
      <c r="W72" s="26"/>
      <c r="X72" s="26"/>
      <c r="Y72" s="26"/>
      <c r="Z72" s="24"/>
      <c r="AA72" s="169">
        <f t="shared" si="24"/>
        <v>0</v>
      </c>
      <c r="AB72" s="4">
        <f t="shared" si="25"/>
        <v>0</v>
      </c>
      <c r="AC72" s="170">
        <f t="shared" si="21"/>
        <v>0</v>
      </c>
      <c r="AD72" s="58"/>
      <c r="AE72" s="58"/>
      <c r="AF72" s="58"/>
      <c r="AG72" s="59">
        <f t="shared" si="26"/>
        <v>9.0359999999999996</v>
      </c>
      <c r="AH72" s="59">
        <f t="shared" si="27"/>
        <v>-184.49199999999999</v>
      </c>
      <c r="AJ72" s="4">
        <f>IF(D72="M",IF(AM72&lt;78,BMILMS!$D$5*AM72^3+BMILMS!$E$5*AM72^2+BMILMS!$F$5*AM72+BMILMS!$G$5,IF(AM72&lt;150,BMILMS!$D$6*AM72^3+BMILMS!$E$6*AM72^2+BMILMS!$F$6*AM72+BMILMS!$G$6,BMILMS!$D$7*AM72^3+BMILMS!$E$7*AM72^2+BMILMS!$F$7*AM72+BMILMS!$G$7)),IF(AM72&lt;69,BMILMS!$D$9*AM72^3+BMILMS!$E$9*AM72^2+BMILMS!$F$9*AM72+BMILMS!$G$9,IF(AM72&lt;150,BMILMS!$D$10*AM72^3+BMILMS!$E$10*AM72^2+BMILMS!$F$10*AM72+BMILMS!$G$10,BMILMS!$D$11*AM72^3+BMILMS!$E$11*AM72^2+BMILMS!$F$11*AM72+BMILMS!$G$11)))</f>
        <v>0.79584630099999998</v>
      </c>
      <c r="AK72" s="4">
        <f>IF(D72="M",(IF(AM72&lt;2.5,BMILMS!$D$21*AM72^3+BMILMS!$E$21*AM72^2+BMILMS!$F$21*AM72+BMILMS!$G$21,IF(AM72&lt;9.5,BMILMS!$D$22*AM72^3+BMILMS!$E$22*AM72^2+BMILMS!$F$22*AM72+BMILMS!$G$22,IF(AM72&lt;26.75,BMILMS!$D$23*AM72^3+BMILMS!$E$23*AM72^2+BMILMS!$F$23*AM72+BMILMS!$G$23,IF(AM72&lt;90,BMILMS!$D$24*AM72^3+BMILMS!$E$24*AM72^2+BMILMS!$F$24*AM72+BMILMS!$G$24,BMILMS!$D$25*AM72^3+BMILMS!$E$25*AM72^2+BMILMS!$F$25*AM72+BMILMS!$G$25))))),(IF(AM72&lt;2.5,BMILMS!$D$27*AM72^3+BMILMS!$E$27*AM72^2+BMILMS!$F$27*AM72+BMILMS!$G$27,IF(AM72&lt;9.5,BMILMS!$D$28*AM72^3+BMILMS!$E$28*AM72^2+BMILMS!$F$28*AM72+BMILMS!$G$28,IF(AM72&lt;26.75,BMILMS!$D$29*AM72^3+BMILMS!$E$29*AM72^2+BMILMS!$F$29*AM72+BMILMS!$G$29,IF(AM72&lt;90,BMILMS!$D$30*AM72^3+BMILMS!$E$30*AM72^2+BMILMS!$F$30*AM72+BMILMS!$G$30,IF(AM72&lt;150,BMILMS!$D$31*AM72^3+BMILMS!$E$31*AM72^2+BMILMS!$F$31*AM72+BMILMS!$G$31,BMILMS!$D$32*AM72^3+BMILMS!$E$32*AM72^2+BMILMS!$F$32*AM72+BMILMS!$G$32)))))))</f>
        <v>12.568967990000001</v>
      </c>
      <c r="AL72" s="4">
        <f>IF(D72="M",(IF(AM72&lt;90,BMILMS!$D$14*AM72^3+BMILMS!$E$14*AM72^2+BMILMS!$F$14*AM72+BMILMS!$G$14,BMILMS!$D$15*AM72^3+BMILMS!$E$15*AM72^2+BMILMS!$F$15*AM72+BMILMS!$G$15)),(IF(AM72&lt;90,BMILMS!$D$17*AM72^3+BMILMS!$E$17*AM72^2+BMILMS!$F$17*AM72+BMILMS!$G$17,BMILMS!$D$18*AM72^3+BMILMS!$E$18*AM72^2+BMILMS!$F$18*AM72+BMILMS!$G$18)))</f>
        <v>8.8969350000000003E-2</v>
      </c>
      <c r="AM72" s="4">
        <f t="shared" ref="AM72:AM135" si="41">AA72*12+AB72</f>
        <v>0</v>
      </c>
      <c r="AO72" s="56">
        <f>IF(D72="M",WeightSDS!P$5*$AM72^7+WeightSDS!Q$5*$AM72^6+WeightSDS!R$5*$AM72^5+WeightSDS!S$5*$AM72^4+WeightSDS!T$5*$AM72^3+WeightSDS!U$5*$AM72^2+WeightSDS!V$5*$AM72+WeightSDS!W$5,IF($AM72&lt;186,WeightSDS!P$8*$AM72^7+WeightSDS!Q$8*$AM72^6+WeightSDS!R$8*$AM72^5+WeightSDS!S$8*$AM72^4+WeightSDS!T$8*$AM72^3+WeightSDS!U$8*$AM72^2+WeightSDS!V$8*$AM72+WeightSDS!W$8,WeightSDS!$U$9+WeightSDS!$V$9*($AM72-WeightSDS!$W$9)))</f>
        <v>0.75407122999999998</v>
      </c>
      <c r="AP72" s="4">
        <f>IF(D72="M",IF($AM72&lt;45,WeightSDS!M$23*$AM72^10+WeightSDS!N$23*$AM72^9+WeightSDS!O$23*$AM72^8+WeightSDS!P$23*$AM72^7+WeightSDS!Q$23*$AM72^6+WeightSDS!R$23*$AM72^5+WeightSDS!S$23*$AM72^4+WeightSDS!T$23*$AM72^3+WeightSDS!U$23*$AM72^2+WeightSDS!V$23*$AM72+WeightSDS!W$23,IF($AM72&lt;153,WeightSDS!M$25*$AM72^10+WeightSDS!N$25*$AM72^9+WeightSDS!O$25*$AM72^8+WeightSDS!P$25*$AM72^7+WeightSDS!Q$25*$AM72^6+WeightSDS!R$25*$AM72^5+WeightSDS!S$25*$AM72^4+WeightSDS!T$25*$AM72^3+WeightSDS!U$25*$AM72^2+WeightSDS!V$25*$AM72+WeightSDS!W$25,WeightSDS!M$27+WeightSDS!N$27/(1+EXP(WeightSDS!O$27+WeightSDS!P$27*$AM72)))),IF($AM72&lt;43.8,WeightSDS!M$29*$AM72^10+WeightSDS!N$29*$AM72^9+WeightSDS!O$29*$AM72^8+WeightSDS!P$29*$AM72^7+WeightSDS!Q$29*$AM72^6+WeightSDS!R$29*$AM72^5+WeightSDS!S$29*$AM72^4+WeightSDS!T$29*$AM72^3+WeightSDS!U$29*$AM72^2+WeightSDS!V$29*$AM72+WeightSDS!W$29-0.010431*(1-$AM72/210),IF($AM72&lt;123,WeightSDS!M$30*$AM72^10+WeightSDS!N$30*$AM72^9+WeightSDS!O$30*$AM72^8+WeightSDS!P$30*$AM72^7+WeightSDS!Q$30*$AM72^6+WeightSDS!R$30*$AM72^5+WeightSDS!S$30*$AM72^4+WeightSDS!T$30*$AM72^3+WeightSDS!U$30*$AM72^2+WeightSDS!V$30*$AM72+WeightSDS!W$30-0.010431*(1-1/$AM72),WeightSDS!M$32+WeightSDS!N$32/(1+EXP(WeightSDS!O$32+WeightSDS!P$32*$AM72))-0.010431*(1-$AM72/210))))</f>
        <v>2.9500001032655536</v>
      </c>
      <c r="AQ72" s="4">
        <f>IF(D72="M",IF($AM72&lt;162,WeightSDS!P$12*$AM72^7+WeightSDS!Q$12*$AM72^6+WeightSDS!R$12*$AM72^5+WeightSDS!S$12*$AM72^4+WeightSDS!T$12*$AM72^3+WeightSDS!U$12*$AM72^2+WeightSDS!V$12*$AM72+WeightSDS!W$12,WeightSDS!P$14*$AM72^7+WeightSDS!Q$14*$AM72^6+WeightSDS!R$14*$AM72^5+WeightSDS!S$14*$AM72^4+WeightSDS!T$14*$AM72^3+WeightSDS!U$14*$AM72^2+WeightSDS!V$14*$AM72+WeightSDS!W$14),IF($AM72&lt;156,WeightSDS!O$17*$AM72^8+WeightSDS!P$17*$AM72^7+WeightSDS!Q$17*$AM72^6+WeightSDS!R$17*$AM72^5+WeightSDS!S$17*$AM72^4+WeightSDS!T$17*$AM72^3+WeightSDS!U$17*$AM72^2+WeightSDS!V$17*$AM72+WeightSDS!W$17,IF($AM72&lt;186,WeightSDS!$U$18+(WeightSDS!$V$18-WeightSDS!$U$18)/24*($AM72-186)+WeightSDS!$W$18*(-$AM72+186)^2-0.005,WeightSDS!$U$18+(WeightSDS!$V$18-WeightSDS!$U$18)/24*($AM72-186)-0.005)))</f>
        <v>0.14604529399999999</v>
      </c>
      <c r="AT72" s="4">
        <f t="shared" si="28"/>
        <v>0.56299999999999994</v>
      </c>
      <c r="AU72" s="4">
        <f t="shared" si="29"/>
        <v>69</v>
      </c>
      <c r="AV72" s="4">
        <f t="shared" si="30"/>
        <v>0.51</v>
      </c>
    </row>
    <row r="73" spans="1:48" x14ac:dyDescent="0.15">
      <c r="A73" s="4"/>
      <c r="B73" s="21"/>
      <c r="C73" s="21"/>
      <c r="D73" s="21"/>
      <c r="E73" s="22"/>
      <c r="F73" s="22"/>
      <c r="G73" s="23"/>
      <c r="H73" s="23"/>
      <c r="I73" s="181"/>
      <c r="J73" s="8" t="str">
        <f t="shared" si="22"/>
        <v/>
      </c>
      <c r="K73" s="2" t="str">
        <f t="shared" si="31"/>
        <v/>
      </c>
      <c r="L73" s="2" t="str">
        <f t="shared" si="23"/>
        <v/>
      </c>
      <c r="M73" s="2" t="str">
        <f t="shared" si="32"/>
        <v/>
      </c>
      <c r="N73" s="2" t="str">
        <f t="shared" si="40"/>
        <v/>
      </c>
      <c r="O73" s="2" t="str">
        <f t="shared" si="33"/>
        <v/>
      </c>
      <c r="P73" s="8" t="str">
        <f t="shared" si="34"/>
        <v/>
      </c>
      <c r="Q73" s="8" t="str">
        <f t="shared" si="35"/>
        <v/>
      </c>
      <c r="R73" s="111" t="str">
        <f t="shared" si="36"/>
        <v/>
      </c>
      <c r="S73" s="44" t="str">
        <f t="shared" si="37"/>
        <v/>
      </c>
      <c r="T73" s="37" t="str">
        <f t="shared" si="38"/>
        <v/>
      </c>
      <c r="U73" s="44" t="str">
        <f t="shared" si="39"/>
        <v/>
      </c>
      <c r="V73" s="26"/>
      <c r="W73" s="26"/>
      <c r="X73" s="26"/>
      <c r="Y73" s="26"/>
      <c r="Z73" s="24"/>
      <c r="AA73" s="169">
        <f t="shared" si="24"/>
        <v>0</v>
      </c>
      <c r="AB73" s="4">
        <f t="shared" si="25"/>
        <v>0</v>
      </c>
      <c r="AC73" s="170">
        <f t="shared" si="21"/>
        <v>0</v>
      </c>
      <c r="AD73" s="58"/>
      <c r="AE73" s="58"/>
      <c r="AF73" s="58"/>
      <c r="AG73" s="59">
        <f t="shared" si="26"/>
        <v>9.0359999999999996</v>
      </c>
      <c r="AH73" s="59">
        <f t="shared" si="27"/>
        <v>-184.49199999999999</v>
      </c>
      <c r="AJ73" s="4">
        <f>IF(D73="M",IF(AM73&lt;78,BMILMS!$D$5*AM73^3+BMILMS!$E$5*AM73^2+BMILMS!$F$5*AM73+BMILMS!$G$5,IF(AM73&lt;150,BMILMS!$D$6*AM73^3+BMILMS!$E$6*AM73^2+BMILMS!$F$6*AM73+BMILMS!$G$6,BMILMS!$D$7*AM73^3+BMILMS!$E$7*AM73^2+BMILMS!$F$7*AM73+BMILMS!$G$7)),IF(AM73&lt;69,BMILMS!$D$9*AM73^3+BMILMS!$E$9*AM73^2+BMILMS!$F$9*AM73+BMILMS!$G$9,IF(AM73&lt;150,BMILMS!$D$10*AM73^3+BMILMS!$E$10*AM73^2+BMILMS!$F$10*AM73+BMILMS!$G$10,BMILMS!$D$11*AM73^3+BMILMS!$E$11*AM73^2+BMILMS!$F$11*AM73+BMILMS!$G$11)))</f>
        <v>0.79584630099999998</v>
      </c>
      <c r="AK73" s="4">
        <f>IF(D73="M",(IF(AM73&lt;2.5,BMILMS!$D$21*AM73^3+BMILMS!$E$21*AM73^2+BMILMS!$F$21*AM73+BMILMS!$G$21,IF(AM73&lt;9.5,BMILMS!$D$22*AM73^3+BMILMS!$E$22*AM73^2+BMILMS!$F$22*AM73+BMILMS!$G$22,IF(AM73&lt;26.75,BMILMS!$D$23*AM73^3+BMILMS!$E$23*AM73^2+BMILMS!$F$23*AM73+BMILMS!$G$23,IF(AM73&lt;90,BMILMS!$D$24*AM73^3+BMILMS!$E$24*AM73^2+BMILMS!$F$24*AM73+BMILMS!$G$24,BMILMS!$D$25*AM73^3+BMILMS!$E$25*AM73^2+BMILMS!$F$25*AM73+BMILMS!$G$25))))),(IF(AM73&lt;2.5,BMILMS!$D$27*AM73^3+BMILMS!$E$27*AM73^2+BMILMS!$F$27*AM73+BMILMS!$G$27,IF(AM73&lt;9.5,BMILMS!$D$28*AM73^3+BMILMS!$E$28*AM73^2+BMILMS!$F$28*AM73+BMILMS!$G$28,IF(AM73&lt;26.75,BMILMS!$D$29*AM73^3+BMILMS!$E$29*AM73^2+BMILMS!$F$29*AM73+BMILMS!$G$29,IF(AM73&lt;90,BMILMS!$D$30*AM73^3+BMILMS!$E$30*AM73^2+BMILMS!$F$30*AM73+BMILMS!$G$30,IF(AM73&lt;150,BMILMS!$D$31*AM73^3+BMILMS!$E$31*AM73^2+BMILMS!$F$31*AM73+BMILMS!$G$31,BMILMS!$D$32*AM73^3+BMILMS!$E$32*AM73^2+BMILMS!$F$32*AM73+BMILMS!$G$32)))))))</f>
        <v>12.568967990000001</v>
      </c>
      <c r="AL73" s="4">
        <f>IF(D73="M",(IF(AM73&lt;90,BMILMS!$D$14*AM73^3+BMILMS!$E$14*AM73^2+BMILMS!$F$14*AM73+BMILMS!$G$14,BMILMS!$D$15*AM73^3+BMILMS!$E$15*AM73^2+BMILMS!$F$15*AM73+BMILMS!$G$15)),(IF(AM73&lt;90,BMILMS!$D$17*AM73^3+BMILMS!$E$17*AM73^2+BMILMS!$F$17*AM73+BMILMS!$G$17,BMILMS!$D$18*AM73^3+BMILMS!$E$18*AM73^2+BMILMS!$F$18*AM73+BMILMS!$G$18)))</f>
        <v>8.8969350000000003E-2</v>
      </c>
      <c r="AM73" s="4">
        <f t="shared" si="41"/>
        <v>0</v>
      </c>
      <c r="AO73" s="56">
        <f>IF(D73="M",WeightSDS!P$5*$AM73^7+WeightSDS!Q$5*$AM73^6+WeightSDS!R$5*$AM73^5+WeightSDS!S$5*$AM73^4+WeightSDS!T$5*$AM73^3+WeightSDS!U$5*$AM73^2+WeightSDS!V$5*$AM73+WeightSDS!W$5,IF($AM73&lt;186,WeightSDS!P$8*$AM73^7+WeightSDS!Q$8*$AM73^6+WeightSDS!R$8*$AM73^5+WeightSDS!S$8*$AM73^4+WeightSDS!T$8*$AM73^3+WeightSDS!U$8*$AM73^2+WeightSDS!V$8*$AM73+WeightSDS!W$8,WeightSDS!$U$9+WeightSDS!$V$9*($AM73-WeightSDS!$W$9)))</f>
        <v>0.75407122999999998</v>
      </c>
      <c r="AP73" s="4">
        <f>IF(D73="M",IF($AM73&lt;45,WeightSDS!M$23*$AM73^10+WeightSDS!N$23*$AM73^9+WeightSDS!O$23*$AM73^8+WeightSDS!P$23*$AM73^7+WeightSDS!Q$23*$AM73^6+WeightSDS!R$23*$AM73^5+WeightSDS!S$23*$AM73^4+WeightSDS!T$23*$AM73^3+WeightSDS!U$23*$AM73^2+WeightSDS!V$23*$AM73+WeightSDS!W$23,IF($AM73&lt;153,WeightSDS!M$25*$AM73^10+WeightSDS!N$25*$AM73^9+WeightSDS!O$25*$AM73^8+WeightSDS!P$25*$AM73^7+WeightSDS!Q$25*$AM73^6+WeightSDS!R$25*$AM73^5+WeightSDS!S$25*$AM73^4+WeightSDS!T$25*$AM73^3+WeightSDS!U$25*$AM73^2+WeightSDS!V$25*$AM73+WeightSDS!W$25,WeightSDS!M$27+WeightSDS!N$27/(1+EXP(WeightSDS!O$27+WeightSDS!P$27*$AM73)))),IF($AM73&lt;43.8,WeightSDS!M$29*$AM73^10+WeightSDS!N$29*$AM73^9+WeightSDS!O$29*$AM73^8+WeightSDS!P$29*$AM73^7+WeightSDS!Q$29*$AM73^6+WeightSDS!R$29*$AM73^5+WeightSDS!S$29*$AM73^4+WeightSDS!T$29*$AM73^3+WeightSDS!U$29*$AM73^2+WeightSDS!V$29*$AM73+WeightSDS!W$29-0.010431*(1-$AM73/210),IF($AM73&lt;123,WeightSDS!M$30*$AM73^10+WeightSDS!N$30*$AM73^9+WeightSDS!O$30*$AM73^8+WeightSDS!P$30*$AM73^7+WeightSDS!Q$30*$AM73^6+WeightSDS!R$30*$AM73^5+WeightSDS!S$30*$AM73^4+WeightSDS!T$30*$AM73^3+WeightSDS!U$30*$AM73^2+WeightSDS!V$30*$AM73+WeightSDS!W$30-0.010431*(1-1/$AM73),WeightSDS!M$32+WeightSDS!N$32/(1+EXP(WeightSDS!O$32+WeightSDS!P$32*$AM73))-0.010431*(1-$AM73/210))))</f>
        <v>2.9500001032655536</v>
      </c>
      <c r="AQ73" s="4">
        <f>IF(D73="M",IF($AM73&lt;162,WeightSDS!P$12*$AM73^7+WeightSDS!Q$12*$AM73^6+WeightSDS!R$12*$AM73^5+WeightSDS!S$12*$AM73^4+WeightSDS!T$12*$AM73^3+WeightSDS!U$12*$AM73^2+WeightSDS!V$12*$AM73+WeightSDS!W$12,WeightSDS!P$14*$AM73^7+WeightSDS!Q$14*$AM73^6+WeightSDS!R$14*$AM73^5+WeightSDS!S$14*$AM73^4+WeightSDS!T$14*$AM73^3+WeightSDS!U$14*$AM73^2+WeightSDS!V$14*$AM73+WeightSDS!W$14),IF($AM73&lt;156,WeightSDS!O$17*$AM73^8+WeightSDS!P$17*$AM73^7+WeightSDS!Q$17*$AM73^6+WeightSDS!R$17*$AM73^5+WeightSDS!S$17*$AM73^4+WeightSDS!T$17*$AM73^3+WeightSDS!U$17*$AM73^2+WeightSDS!V$17*$AM73+WeightSDS!W$17,IF($AM73&lt;186,WeightSDS!$U$18+(WeightSDS!$V$18-WeightSDS!$U$18)/24*($AM73-186)+WeightSDS!$W$18*(-$AM73+186)^2-0.005,WeightSDS!$U$18+(WeightSDS!$V$18-WeightSDS!$U$18)/24*($AM73-186)-0.005)))</f>
        <v>0.14604529399999999</v>
      </c>
      <c r="AT73" s="4">
        <f t="shared" si="28"/>
        <v>0.56299999999999994</v>
      </c>
      <c r="AU73" s="4">
        <f t="shared" si="29"/>
        <v>69</v>
      </c>
      <c r="AV73" s="4">
        <f t="shared" si="30"/>
        <v>0.51</v>
      </c>
    </row>
    <row r="74" spans="1:48" x14ac:dyDescent="0.15">
      <c r="A74" s="4"/>
      <c r="B74" s="21"/>
      <c r="C74" s="21"/>
      <c r="D74" s="21"/>
      <c r="E74" s="22"/>
      <c r="F74" s="22"/>
      <c r="G74" s="23"/>
      <c r="H74" s="23"/>
      <c r="I74" s="181"/>
      <c r="J74" s="8" t="str">
        <f t="shared" si="22"/>
        <v/>
      </c>
      <c r="K74" s="2" t="str">
        <f t="shared" si="31"/>
        <v/>
      </c>
      <c r="L74" s="2" t="str">
        <f t="shared" si="23"/>
        <v/>
      </c>
      <c r="M74" s="2" t="str">
        <f t="shared" si="32"/>
        <v/>
      </c>
      <c r="N74" s="2" t="str">
        <f t="shared" si="40"/>
        <v/>
      </c>
      <c r="O74" s="2" t="str">
        <f t="shared" si="33"/>
        <v/>
      </c>
      <c r="P74" s="8" t="str">
        <f t="shared" si="34"/>
        <v/>
      </c>
      <c r="Q74" s="8" t="str">
        <f t="shared" si="35"/>
        <v/>
      </c>
      <c r="R74" s="111" t="str">
        <f t="shared" si="36"/>
        <v/>
      </c>
      <c r="S74" s="44" t="str">
        <f t="shared" si="37"/>
        <v/>
      </c>
      <c r="T74" s="37" t="str">
        <f t="shared" si="38"/>
        <v/>
      </c>
      <c r="U74" s="44" t="str">
        <f t="shared" si="39"/>
        <v/>
      </c>
      <c r="V74" s="26"/>
      <c r="W74" s="26"/>
      <c r="X74" s="26"/>
      <c r="Y74" s="26"/>
      <c r="Z74" s="24"/>
      <c r="AA74" s="169">
        <f t="shared" si="24"/>
        <v>0</v>
      </c>
      <c r="AB74" s="4">
        <f t="shared" si="25"/>
        <v>0</v>
      </c>
      <c r="AC74" s="170">
        <f t="shared" si="21"/>
        <v>0</v>
      </c>
      <c r="AD74" s="58"/>
      <c r="AE74" s="58"/>
      <c r="AF74" s="58"/>
      <c r="AG74" s="59">
        <f t="shared" si="26"/>
        <v>9.0359999999999996</v>
      </c>
      <c r="AH74" s="59">
        <f t="shared" si="27"/>
        <v>-184.49199999999999</v>
      </c>
      <c r="AJ74" s="4">
        <f>IF(D74="M",IF(AM74&lt;78,BMILMS!$D$5*AM74^3+BMILMS!$E$5*AM74^2+BMILMS!$F$5*AM74+BMILMS!$G$5,IF(AM74&lt;150,BMILMS!$D$6*AM74^3+BMILMS!$E$6*AM74^2+BMILMS!$F$6*AM74+BMILMS!$G$6,BMILMS!$D$7*AM74^3+BMILMS!$E$7*AM74^2+BMILMS!$F$7*AM74+BMILMS!$G$7)),IF(AM74&lt;69,BMILMS!$D$9*AM74^3+BMILMS!$E$9*AM74^2+BMILMS!$F$9*AM74+BMILMS!$G$9,IF(AM74&lt;150,BMILMS!$D$10*AM74^3+BMILMS!$E$10*AM74^2+BMILMS!$F$10*AM74+BMILMS!$G$10,BMILMS!$D$11*AM74^3+BMILMS!$E$11*AM74^2+BMILMS!$F$11*AM74+BMILMS!$G$11)))</f>
        <v>0.79584630099999998</v>
      </c>
      <c r="AK74" s="4">
        <f>IF(D74="M",(IF(AM74&lt;2.5,BMILMS!$D$21*AM74^3+BMILMS!$E$21*AM74^2+BMILMS!$F$21*AM74+BMILMS!$G$21,IF(AM74&lt;9.5,BMILMS!$D$22*AM74^3+BMILMS!$E$22*AM74^2+BMILMS!$F$22*AM74+BMILMS!$G$22,IF(AM74&lt;26.75,BMILMS!$D$23*AM74^3+BMILMS!$E$23*AM74^2+BMILMS!$F$23*AM74+BMILMS!$G$23,IF(AM74&lt;90,BMILMS!$D$24*AM74^3+BMILMS!$E$24*AM74^2+BMILMS!$F$24*AM74+BMILMS!$G$24,BMILMS!$D$25*AM74^3+BMILMS!$E$25*AM74^2+BMILMS!$F$25*AM74+BMILMS!$G$25))))),(IF(AM74&lt;2.5,BMILMS!$D$27*AM74^3+BMILMS!$E$27*AM74^2+BMILMS!$F$27*AM74+BMILMS!$G$27,IF(AM74&lt;9.5,BMILMS!$D$28*AM74^3+BMILMS!$E$28*AM74^2+BMILMS!$F$28*AM74+BMILMS!$G$28,IF(AM74&lt;26.75,BMILMS!$D$29*AM74^3+BMILMS!$E$29*AM74^2+BMILMS!$F$29*AM74+BMILMS!$G$29,IF(AM74&lt;90,BMILMS!$D$30*AM74^3+BMILMS!$E$30*AM74^2+BMILMS!$F$30*AM74+BMILMS!$G$30,IF(AM74&lt;150,BMILMS!$D$31*AM74^3+BMILMS!$E$31*AM74^2+BMILMS!$F$31*AM74+BMILMS!$G$31,BMILMS!$D$32*AM74^3+BMILMS!$E$32*AM74^2+BMILMS!$F$32*AM74+BMILMS!$G$32)))))))</f>
        <v>12.568967990000001</v>
      </c>
      <c r="AL74" s="4">
        <f>IF(D74="M",(IF(AM74&lt;90,BMILMS!$D$14*AM74^3+BMILMS!$E$14*AM74^2+BMILMS!$F$14*AM74+BMILMS!$G$14,BMILMS!$D$15*AM74^3+BMILMS!$E$15*AM74^2+BMILMS!$F$15*AM74+BMILMS!$G$15)),(IF(AM74&lt;90,BMILMS!$D$17*AM74^3+BMILMS!$E$17*AM74^2+BMILMS!$F$17*AM74+BMILMS!$G$17,BMILMS!$D$18*AM74^3+BMILMS!$E$18*AM74^2+BMILMS!$F$18*AM74+BMILMS!$G$18)))</f>
        <v>8.8969350000000003E-2</v>
      </c>
      <c r="AM74" s="4">
        <f t="shared" si="41"/>
        <v>0</v>
      </c>
      <c r="AO74" s="56">
        <f>IF(D74="M",WeightSDS!P$5*$AM74^7+WeightSDS!Q$5*$AM74^6+WeightSDS!R$5*$AM74^5+WeightSDS!S$5*$AM74^4+WeightSDS!T$5*$AM74^3+WeightSDS!U$5*$AM74^2+WeightSDS!V$5*$AM74+WeightSDS!W$5,IF($AM74&lt;186,WeightSDS!P$8*$AM74^7+WeightSDS!Q$8*$AM74^6+WeightSDS!R$8*$AM74^5+WeightSDS!S$8*$AM74^4+WeightSDS!T$8*$AM74^3+WeightSDS!U$8*$AM74^2+WeightSDS!V$8*$AM74+WeightSDS!W$8,WeightSDS!$U$9+WeightSDS!$V$9*($AM74-WeightSDS!$W$9)))</f>
        <v>0.75407122999999998</v>
      </c>
      <c r="AP74" s="4">
        <f>IF(D74="M",IF($AM74&lt;45,WeightSDS!M$23*$AM74^10+WeightSDS!N$23*$AM74^9+WeightSDS!O$23*$AM74^8+WeightSDS!P$23*$AM74^7+WeightSDS!Q$23*$AM74^6+WeightSDS!R$23*$AM74^5+WeightSDS!S$23*$AM74^4+WeightSDS!T$23*$AM74^3+WeightSDS!U$23*$AM74^2+WeightSDS!V$23*$AM74+WeightSDS!W$23,IF($AM74&lt;153,WeightSDS!M$25*$AM74^10+WeightSDS!N$25*$AM74^9+WeightSDS!O$25*$AM74^8+WeightSDS!P$25*$AM74^7+WeightSDS!Q$25*$AM74^6+WeightSDS!R$25*$AM74^5+WeightSDS!S$25*$AM74^4+WeightSDS!T$25*$AM74^3+WeightSDS!U$25*$AM74^2+WeightSDS!V$25*$AM74+WeightSDS!W$25,WeightSDS!M$27+WeightSDS!N$27/(1+EXP(WeightSDS!O$27+WeightSDS!P$27*$AM74)))),IF($AM74&lt;43.8,WeightSDS!M$29*$AM74^10+WeightSDS!N$29*$AM74^9+WeightSDS!O$29*$AM74^8+WeightSDS!P$29*$AM74^7+WeightSDS!Q$29*$AM74^6+WeightSDS!R$29*$AM74^5+WeightSDS!S$29*$AM74^4+WeightSDS!T$29*$AM74^3+WeightSDS!U$29*$AM74^2+WeightSDS!V$29*$AM74+WeightSDS!W$29-0.010431*(1-$AM74/210),IF($AM74&lt;123,WeightSDS!M$30*$AM74^10+WeightSDS!N$30*$AM74^9+WeightSDS!O$30*$AM74^8+WeightSDS!P$30*$AM74^7+WeightSDS!Q$30*$AM74^6+WeightSDS!R$30*$AM74^5+WeightSDS!S$30*$AM74^4+WeightSDS!T$30*$AM74^3+WeightSDS!U$30*$AM74^2+WeightSDS!V$30*$AM74+WeightSDS!W$30-0.010431*(1-1/$AM74),WeightSDS!M$32+WeightSDS!N$32/(1+EXP(WeightSDS!O$32+WeightSDS!P$32*$AM74))-0.010431*(1-$AM74/210))))</f>
        <v>2.9500001032655536</v>
      </c>
      <c r="AQ74" s="4">
        <f>IF(D74="M",IF($AM74&lt;162,WeightSDS!P$12*$AM74^7+WeightSDS!Q$12*$AM74^6+WeightSDS!R$12*$AM74^5+WeightSDS!S$12*$AM74^4+WeightSDS!T$12*$AM74^3+WeightSDS!U$12*$AM74^2+WeightSDS!V$12*$AM74+WeightSDS!W$12,WeightSDS!P$14*$AM74^7+WeightSDS!Q$14*$AM74^6+WeightSDS!R$14*$AM74^5+WeightSDS!S$14*$AM74^4+WeightSDS!T$14*$AM74^3+WeightSDS!U$14*$AM74^2+WeightSDS!V$14*$AM74+WeightSDS!W$14),IF($AM74&lt;156,WeightSDS!O$17*$AM74^8+WeightSDS!P$17*$AM74^7+WeightSDS!Q$17*$AM74^6+WeightSDS!R$17*$AM74^5+WeightSDS!S$17*$AM74^4+WeightSDS!T$17*$AM74^3+WeightSDS!U$17*$AM74^2+WeightSDS!V$17*$AM74+WeightSDS!W$17,IF($AM74&lt;186,WeightSDS!$U$18+(WeightSDS!$V$18-WeightSDS!$U$18)/24*($AM74-186)+WeightSDS!$W$18*(-$AM74+186)^2-0.005,WeightSDS!$U$18+(WeightSDS!$V$18-WeightSDS!$U$18)/24*($AM74-186)-0.005)))</f>
        <v>0.14604529399999999</v>
      </c>
      <c r="AT74" s="4">
        <f t="shared" si="28"/>
        <v>0.56299999999999994</v>
      </c>
      <c r="AU74" s="4">
        <f t="shared" si="29"/>
        <v>69</v>
      </c>
      <c r="AV74" s="4">
        <f t="shared" si="30"/>
        <v>0.51</v>
      </c>
    </row>
    <row r="75" spans="1:48" x14ac:dyDescent="0.15">
      <c r="A75" s="4"/>
      <c r="B75" s="21"/>
      <c r="C75" s="21"/>
      <c r="D75" s="21"/>
      <c r="E75" s="22"/>
      <c r="F75" s="22"/>
      <c r="G75" s="23"/>
      <c r="H75" s="23"/>
      <c r="I75" s="181"/>
      <c r="J75" s="8" t="str">
        <f t="shared" si="22"/>
        <v/>
      </c>
      <c r="K75" s="2" t="str">
        <f t="shared" si="31"/>
        <v/>
      </c>
      <c r="L75" s="2" t="str">
        <f t="shared" si="23"/>
        <v/>
      </c>
      <c r="M75" s="2" t="str">
        <f t="shared" si="32"/>
        <v/>
      </c>
      <c r="N75" s="2" t="str">
        <f t="shared" si="40"/>
        <v/>
      </c>
      <c r="O75" s="2" t="str">
        <f t="shared" si="33"/>
        <v/>
      </c>
      <c r="P75" s="8" t="str">
        <f t="shared" si="34"/>
        <v/>
      </c>
      <c r="Q75" s="8" t="str">
        <f t="shared" si="35"/>
        <v/>
      </c>
      <c r="R75" s="111" t="str">
        <f t="shared" si="36"/>
        <v/>
      </c>
      <c r="S75" s="44" t="str">
        <f t="shared" si="37"/>
        <v/>
      </c>
      <c r="T75" s="37" t="str">
        <f t="shared" si="38"/>
        <v/>
      </c>
      <c r="U75" s="44" t="str">
        <f t="shared" si="39"/>
        <v/>
      </c>
      <c r="V75" s="26"/>
      <c r="W75" s="26"/>
      <c r="X75" s="26"/>
      <c r="Y75" s="26"/>
      <c r="Z75" s="24"/>
      <c r="AA75" s="169">
        <f t="shared" si="24"/>
        <v>0</v>
      </c>
      <c r="AB75" s="4">
        <f t="shared" si="25"/>
        <v>0</v>
      </c>
      <c r="AC75" s="170">
        <f t="shared" si="21"/>
        <v>0</v>
      </c>
      <c r="AD75" s="58"/>
      <c r="AE75" s="58"/>
      <c r="AF75" s="58"/>
      <c r="AG75" s="59">
        <f t="shared" si="26"/>
        <v>9.0359999999999996</v>
      </c>
      <c r="AH75" s="59">
        <f t="shared" si="27"/>
        <v>-184.49199999999999</v>
      </c>
      <c r="AJ75" s="4">
        <f>IF(D75="M",IF(AM75&lt;78,BMILMS!$D$5*AM75^3+BMILMS!$E$5*AM75^2+BMILMS!$F$5*AM75+BMILMS!$G$5,IF(AM75&lt;150,BMILMS!$D$6*AM75^3+BMILMS!$E$6*AM75^2+BMILMS!$F$6*AM75+BMILMS!$G$6,BMILMS!$D$7*AM75^3+BMILMS!$E$7*AM75^2+BMILMS!$F$7*AM75+BMILMS!$G$7)),IF(AM75&lt;69,BMILMS!$D$9*AM75^3+BMILMS!$E$9*AM75^2+BMILMS!$F$9*AM75+BMILMS!$G$9,IF(AM75&lt;150,BMILMS!$D$10*AM75^3+BMILMS!$E$10*AM75^2+BMILMS!$F$10*AM75+BMILMS!$G$10,BMILMS!$D$11*AM75^3+BMILMS!$E$11*AM75^2+BMILMS!$F$11*AM75+BMILMS!$G$11)))</f>
        <v>0.79584630099999998</v>
      </c>
      <c r="AK75" s="4">
        <f>IF(D75="M",(IF(AM75&lt;2.5,BMILMS!$D$21*AM75^3+BMILMS!$E$21*AM75^2+BMILMS!$F$21*AM75+BMILMS!$G$21,IF(AM75&lt;9.5,BMILMS!$D$22*AM75^3+BMILMS!$E$22*AM75^2+BMILMS!$F$22*AM75+BMILMS!$G$22,IF(AM75&lt;26.75,BMILMS!$D$23*AM75^3+BMILMS!$E$23*AM75^2+BMILMS!$F$23*AM75+BMILMS!$G$23,IF(AM75&lt;90,BMILMS!$D$24*AM75^3+BMILMS!$E$24*AM75^2+BMILMS!$F$24*AM75+BMILMS!$G$24,BMILMS!$D$25*AM75^3+BMILMS!$E$25*AM75^2+BMILMS!$F$25*AM75+BMILMS!$G$25))))),(IF(AM75&lt;2.5,BMILMS!$D$27*AM75^3+BMILMS!$E$27*AM75^2+BMILMS!$F$27*AM75+BMILMS!$G$27,IF(AM75&lt;9.5,BMILMS!$D$28*AM75^3+BMILMS!$E$28*AM75^2+BMILMS!$F$28*AM75+BMILMS!$G$28,IF(AM75&lt;26.75,BMILMS!$D$29*AM75^3+BMILMS!$E$29*AM75^2+BMILMS!$F$29*AM75+BMILMS!$G$29,IF(AM75&lt;90,BMILMS!$D$30*AM75^3+BMILMS!$E$30*AM75^2+BMILMS!$F$30*AM75+BMILMS!$G$30,IF(AM75&lt;150,BMILMS!$D$31*AM75^3+BMILMS!$E$31*AM75^2+BMILMS!$F$31*AM75+BMILMS!$G$31,BMILMS!$D$32*AM75^3+BMILMS!$E$32*AM75^2+BMILMS!$F$32*AM75+BMILMS!$G$32)))))))</f>
        <v>12.568967990000001</v>
      </c>
      <c r="AL75" s="4">
        <f>IF(D75="M",(IF(AM75&lt;90,BMILMS!$D$14*AM75^3+BMILMS!$E$14*AM75^2+BMILMS!$F$14*AM75+BMILMS!$G$14,BMILMS!$D$15*AM75^3+BMILMS!$E$15*AM75^2+BMILMS!$F$15*AM75+BMILMS!$G$15)),(IF(AM75&lt;90,BMILMS!$D$17*AM75^3+BMILMS!$E$17*AM75^2+BMILMS!$F$17*AM75+BMILMS!$G$17,BMILMS!$D$18*AM75^3+BMILMS!$E$18*AM75^2+BMILMS!$F$18*AM75+BMILMS!$G$18)))</f>
        <v>8.8969350000000003E-2</v>
      </c>
      <c r="AM75" s="4">
        <f t="shared" si="41"/>
        <v>0</v>
      </c>
      <c r="AO75" s="56">
        <f>IF(D75="M",WeightSDS!P$5*$AM75^7+WeightSDS!Q$5*$AM75^6+WeightSDS!R$5*$AM75^5+WeightSDS!S$5*$AM75^4+WeightSDS!T$5*$AM75^3+WeightSDS!U$5*$AM75^2+WeightSDS!V$5*$AM75+WeightSDS!W$5,IF($AM75&lt;186,WeightSDS!P$8*$AM75^7+WeightSDS!Q$8*$AM75^6+WeightSDS!R$8*$AM75^5+WeightSDS!S$8*$AM75^4+WeightSDS!T$8*$AM75^3+WeightSDS!U$8*$AM75^2+WeightSDS!V$8*$AM75+WeightSDS!W$8,WeightSDS!$U$9+WeightSDS!$V$9*($AM75-WeightSDS!$W$9)))</f>
        <v>0.75407122999999998</v>
      </c>
      <c r="AP75" s="4">
        <f>IF(D75="M",IF($AM75&lt;45,WeightSDS!M$23*$AM75^10+WeightSDS!N$23*$AM75^9+WeightSDS!O$23*$AM75^8+WeightSDS!P$23*$AM75^7+WeightSDS!Q$23*$AM75^6+WeightSDS!R$23*$AM75^5+WeightSDS!S$23*$AM75^4+WeightSDS!T$23*$AM75^3+WeightSDS!U$23*$AM75^2+WeightSDS!V$23*$AM75+WeightSDS!W$23,IF($AM75&lt;153,WeightSDS!M$25*$AM75^10+WeightSDS!N$25*$AM75^9+WeightSDS!O$25*$AM75^8+WeightSDS!P$25*$AM75^7+WeightSDS!Q$25*$AM75^6+WeightSDS!R$25*$AM75^5+WeightSDS!S$25*$AM75^4+WeightSDS!T$25*$AM75^3+WeightSDS!U$25*$AM75^2+WeightSDS!V$25*$AM75+WeightSDS!W$25,WeightSDS!M$27+WeightSDS!N$27/(1+EXP(WeightSDS!O$27+WeightSDS!P$27*$AM75)))),IF($AM75&lt;43.8,WeightSDS!M$29*$AM75^10+WeightSDS!N$29*$AM75^9+WeightSDS!O$29*$AM75^8+WeightSDS!P$29*$AM75^7+WeightSDS!Q$29*$AM75^6+WeightSDS!R$29*$AM75^5+WeightSDS!S$29*$AM75^4+WeightSDS!T$29*$AM75^3+WeightSDS!U$29*$AM75^2+WeightSDS!V$29*$AM75+WeightSDS!W$29-0.010431*(1-$AM75/210),IF($AM75&lt;123,WeightSDS!M$30*$AM75^10+WeightSDS!N$30*$AM75^9+WeightSDS!O$30*$AM75^8+WeightSDS!P$30*$AM75^7+WeightSDS!Q$30*$AM75^6+WeightSDS!R$30*$AM75^5+WeightSDS!S$30*$AM75^4+WeightSDS!T$30*$AM75^3+WeightSDS!U$30*$AM75^2+WeightSDS!V$30*$AM75+WeightSDS!W$30-0.010431*(1-1/$AM75),WeightSDS!M$32+WeightSDS!N$32/(1+EXP(WeightSDS!O$32+WeightSDS!P$32*$AM75))-0.010431*(1-$AM75/210))))</f>
        <v>2.9500001032655536</v>
      </c>
      <c r="AQ75" s="4">
        <f>IF(D75="M",IF($AM75&lt;162,WeightSDS!P$12*$AM75^7+WeightSDS!Q$12*$AM75^6+WeightSDS!R$12*$AM75^5+WeightSDS!S$12*$AM75^4+WeightSDS!T$12*$AM75^3+WeightSDS!U$12*$AM75^2+WeightSDS!V$12*$AM75+WeightSDS!W$12,WeightSDS!P$14*$AM75^7+WeightSDS!Q$14*$AM75^6+WeightSDS!R$14*$AM75^5+WeightSDS!S$14*$AM75^4+WeightSDS!T$14*$AM75^3+WeightSDS!U$14*$AM75^2+WeightSDS!V$14*$AM75+WeightSDS!W$14),IF($AM75&lt;156,WeightSDS!O$17*$AM75^8+WeightSDS!P$17*$AM75^7+WeightSDS!Q$17*$AM75^6+WeightSDS!R$17*$AM75^5+WeightSDS!S$17*$AM75^4+WeightSDS!T$17*$AM75^3+WeightSDS!U$17*$AM75^2+WeightSDS!V$17*$AM75+WeightSDS!W$17,IF($AM75&lt;186,WeightSDS!$U$18+(WeightSDS!$V$18-WeightSDS!$U$18)/24*($AM75-186)+WeightSDS!$W$18*(-$AM75+186)^2-0.005,WeightSDS!$U$18+(WeightSDS!$V$18-WeightSDS!$U$18)/24*($AM75-186)-0.005)))</f>
        <v>0.14604529399999999</v>
      </c>
      <c r="AT75" s="4">
        <f t="shared" si="28"/>
        <v>0.56299999999999994</v>
      </c>
      <c r="AU75" s="4">
        <f t="shared" si="29"/>
        <v>69</v>
      </c>
      <c r="AV75" s="4">
        <f t="shared" si="30"/>
        <v>0.51</v>
      </c>
    </row>
    <row r="76" spans="1:48" x14ac:dyDescent="0.15">
      <c r="A76" s="4"/>
      <c r="B76" s="21"/>
      <c r="C76" s="21"/>
      <c r="D76" s="21"/>
      <c r="E76" s="22"/>
      <c r="F76" s="22"/>
      <c r="G76" s="23"/>
      <c r="H76" s="23"/>
      <c r="I76" s="181"/>
      <c r="J76" s="8" t="str">
        <f t="shared" si="22"/>
        <v/>
      </c>
      <c r="K76" s="2" t="str">
        <f t="shared" si="31"/>
        <v/>
      </c>
      <c r="L76" s="2" t="str">
        <f t="shared" si="23"/>
        <v/>
      </c>
      <c r="M76" s="2" t="str">
        <f t="shared" si="32"/>
        <v/>
      </c>
      <c r="N76" s="2" t="str">
        <f t="shared" si="40"/>
        <v/>
      </c>
      <c r="O76" s="2" t="str">
        <f t="shared" si="33"/>
        <v/>
      </c>
      <c r="P76" s="8" t="str">
        <f t="shared" si="34"/>
        <v/>
      </c>
      <c r="Q76" s="8" t="str">
        <f t="shared" si="35"/>
        <v/>
      </c>
      <c r="R76" s="111" t="str">
        <f t="shared" si="36"/>
        <v/>
      </c>
      <c r="S76" s="44" t="str">
        <f t="shared" si="37"/>
        <v/>
      </c>
      <c r="T76" s="37" t="str">
        <f t="shared" si="38"/>
        <v/>
      </c>
      <c r="U76" s="44" t="str">
        <f t="shared" si="39"/>
        <v/>
      </c>
      <c r="V76" s="26"/>
      <c r="W76" s="26"/>
      <c r="X76" s="26"/>
      <c r="Y76" s="26"/>
      <c r="Z76" s="24"/>
      <c r="AA76" s="169">
        <f t="shared" si="24"/>
        <v>0</v>
      </c>
      <c r="AB76" s="4">
        <f t="shared" si="25"/>
        <v>0</v>
      </c>
      <c r="AC76" s="170">
        <f t="shared" si="21"/>
        <v>0</v>
      </c>
      <c r="AD76" s="58"/>
      <c r="AE76" s="58"/>
      <c r="AF76" s="58"/>
      <c r="AG76" s="59">
        <f t="shared" si="26"/>
        <v>9.0359999999999996</v>
      </c>
      <c r="AH76" s="59">
        <f t="shared" si="27"/>
        <v>-184.49199999999999</v>
      </c>
      <c r="AJ76" s="4">
        <f>IF(D76="M",IF(AM76&lt;78,BMILMS!$D$5*AM76^3+BMILMS!$E$5*AM76^2+BMILMS!$F$5*AM76+BMILMS!$G$5,IF(AM76&lt;150,BMILMS!$D$6*AM76^3+BMILMS!$E$6*AM76^2+BMILMS!$F$6*AM76+BMILMS!$G$6,BMILMS!$D$7*AM76^3+BMILMS!$E$7*AM76^2+BMILMS!$F$7*AM76+BMILMS!$G$7)),IF(AM76&lt;69,BMILMS!$D$9*AM76^3+BMILMS!$E$9*AM76^2+BMILMS!$F$9*AM76+BMILMS!$G$9,IF(AM76&lt;150,BMILMS!$D$10*AM76^3+BMILMS!$E$10*AM76^2+BMILMS!$F$10*AM76+BMILMS!$G$10,BMILMS!$D$11*AM76^3+BMILMS!$E$11*AM76^2+BMILMS!$F$11*AM76+BMILMS!$G$11)))</f>
        <v>0.79584630099999998</v>
      </c>
      <c r="AK76" s="4">
        <f>IF(D76="M",(IF(AM76&lt;2.5,BMILMS!$D$21*AM76^3+BMILMS!$E$21*AM76^2+BMILMS!$F$21*AM76+BMILMS!$G$21,IF(AM76&lt;9.5,BMILMS!$D$22*AM76^3+BMILMS!$E$22*AM76^2+BMILMS!$F$22*AM76+BMILMS!$G$22,IF(AM76&lt;26.75,BMILMS!$D$23*AM76^3+BMILMS!$E$23*AM76^2+BMILMS!$F$23*AM76+BMILMS!$G$23,IF(AM76&lt;90,BMILMS!$D$24*AM76^3+BMILMS!$E$24*AM76^2+BMILMS!$F$24*AM76+BMILMS!$G$24,BMILMS!$D$25*AM76^3+BMILMS!$E$25*AM76^2+BMILMS!$F$25*AM76+BMILMS!$G$25))))),(IF(AM76&lt;2.5,BMILMS!$D$27*AM76^3+BMILMS!$E$27*AM76^2+BMILMS!$F$27*AM76+BMILMS!$G$27,IF(AM76&lt;9.5,BMILMS!$D$28*AM76^3+BMILMS!$E$28*AM76^2+BMILMS!$F$28*AM76+BMILMS!$G$28,IF(AM76&lt;26.75,BMILMS!$D$29*AM76^3+BMILMS!$E$29*AM76^2+BMILMS!$F$29*AM76+BMILMS!$G$29,IF(AM76&lt;90,BMILMS!$D$30*AM76^3+BMILMS!$E$30*AM76^2+BMILMS!$F$30*AM76+BMILMS!$G$30,IF(AM76&lt;150,BMILMS!$D$31*AM76^3+BMILMS!$E$31*AM76^2+BMILMS!$F$31*AM76+BMILMS!$G$31,BMILMS!$D$32*AM76^3+BMILMS!$E$32*AM76^2+BMILMS!$F$32*AM76+BMILMS!$G$32)))))))</f>
        <v>12.568967990000001</v>
      </c>
      <c r="AL76" s="4">
        <f>IF(D76="M",(IF(AM76&lt;90,BMILMS!$D$14*AM76^3+BMILMS!$E$14*AM76^2+BMILMS!$F$14*AM76+BMILMS!$G$14,BMILMS!$D$15*AM76^3+BMILMS!$E$15*AM76^2+BMILMS!$F$15*AM76+BMILMS!$G$15)),(IF(AM76&lt;90,BMILMS!$D$17*AM76^3+BMILMS!$E$17*AM76^2+BMILMS!$F$17*AM76+BMILMS!$G$17,BMILMS!$D$18*AM76^3+BMILMS!$E$18*AM76^2+BMILMS!$F$18*AM76+BMILMS!$G$18)))</f>
        <v>8.8969350000000003E-2</v>
      </c>
      <c r="AM76" s="4">
        <f t="shared" si="41"/>
        <v>0</v>
      </c>
      <c r="AO76" s="56">
        <f>IF(D76="M",WeightSDS!P$5*$AM76^7+WeightSDS!Q$5*$AM76^6+WeightSDS!R$5*$AM76^5+WeightSDS!S$5*$AM76^4+WeightSDS!T$5*$AM76^3+WeightSDS!U$5*$AM76^2+WeightSDS!V$5*$AM76+WeightSDS!W$5,IF($AM76&lt;186,WeightSDS!P$8*$AM76^7+WeightSDS!Q$8*$AM76^6+WeightSDS!R$8*$AM76^5+WeightSDS!S$8*$AM76^4+WeightSDS!T$8*$AM76^3+WeightSDS!U$8*$AM76^2+WeightSDS!V$8*$AM76+WeightSDS!W$8,WeightSDS!$U$9+WeightSDS!$V$9*($AM76-WeightSDS!$W$9)))</f>
        <v>0.75407122999999998</v>
      </c>
      <c r="AP76" s="4">
        <f>IF(D76="M",IF($AM76&lt;45,WeightSDS!M$23*$AM76^10+WeightSDS!N$23*$AM76^9+WeightSDS!O$23*$AM76^8+WeightSDS!P$23*$AM76^7+WeightSDS!Q$23*$AM76^6+WeightSDS!R$23*$AM76^5+WeightSDS!S$23*$AM76^4+WeightSDS!T$23*$AM76^3+WeightSDS!U$23*$AM76^2+WeightSDS!V$23*$AM76+WeightSDS!W$23,IF($AM76&lt;153,WeightSDS!M$25*$AM76^10+WeightSDS!N$25*$AM76^9+WeightSDS!O$25*$AM76^8+WeightSDS!P$25*$AM76^7+WeightSDS!Q$25*$AM76^6+WeightSDS!R$25*$AM76^5+WeightSDS!S$25*$AM76^4+WeightSDS!T$25*$AM76^3+WeightSDS!U$25*$AM76^2+WeightSDS!V$25*$AM76+WeightSDS!W$25,WeightSDS!M$27+WeightSDS!N$27/(1+EXP(WeightSDS!O$27+WeightSDS!P$27*$AM76)))),IF($AM76&lt;43.8,WeightSDS!M$29*$AM76^10+WeightSDS!N$29*$AM76^9+WeightSDS!O$29*$AM76^8+WeightSDS!P$29*$AM76^7+WeightSDS!Q$29*$AM76^6+WeightSDS!R$29*$AM76^5+WeightSDS!S$29*$AM76^4+WeightSDS!T$29*$AM76^3+WeightSDS!U$29*$AM76^2+WeightSDS!V$29*$AM76+WeightSDS!W$29-0.010431*(1-$AM76/210),IF($AM76&lt;123,WeightSDS!M$30*$AM76^10+WeightSDS!N$30*$AM76^9+WeightSDS!O$30*$AM76^8+WeightSDS!P$30*$AM76^7+WeightSDS!Q$30*$AM76^6+WeightSDS!R$30*$AM76^5+WeightSDS!S$30*$AM76^4+WeightSDS!T$30*$AM76^3+WeightSDS!U$30*$AM76^2+WeightSDS!V$30*$AM76+WeightSDS!W$30-0.010431*(1-1/$AM76),WeightSDS!M$32+WeightSDS!N$32/(1+EXP(WeightSDS!O$32+WeightSDS!P$32*$AM76))-0.010431*(1-$AM76/210))))</f>
        <v>2.9500001032655536</v>
      </c>
      <c r="AQ76" s="4">
        <f>IF(D76="M",IF($AM76&lt;162,WeightSDS!P$12*$AM76^7+WeightSDS!Q$12*$AM76^6+WeightSDS!R$12*$AM76^5+WeightSDS!S$12*$AM76^4+WeightSDS!T$12*$AM76^3+WeightSDS!U$12*$AM76^2+WeightSDS!V$12*$AM76+WeightSDS!W$12,WeightSDS!P$14*$AM76^7+WeightSDS!Q$14*$AM76^6+WeightSDS!R$14*$AM76^5+WeightSDS!S$14*$AM76^4+WeightSDS!T$14*$AM76^3+WeightSDS!U$14*$AM76^2+WeightSDS!V$14*$AM76+WeightSDS!W$14),IF($AM76&lt;156,WeightSDS!O$17*$AM76^8+WeightSDS!P$17*$AM76^7+WeightSDS!Q$17*$AM76^6+WeightSDS!R$17*$AM76^5+WeightSDS!S$17*$AM76^4+WeightSDS!T$17*$AM76^3+WeightSDS!U$17*$AM76^2+WeightSDS!V$17*$AM76+WeightSDS!W$17,IF($AM76&lt;186,WeightSDS!$U$18+(WeightSDS!$V$18-WeightSDS!$U$18)/24*($AM76-186)+WeightSDS!$W$18*(-$AM76+186)^2-0.005,WeightSDS!$U$18+(WeightSDS!$V$18-WeightSDS!$U$18)/24*($AM76-186)-0.005)))</f>
        <v>0.14604529399999999</v>
      </c>
      <c r="AT76" s="4">
        <f t="shared" si="28"/>
        <v>0.56299999999999994</v>
      </c>
      <c r="AU76" s="4">
        <f t="shared" si="29"/>
        <v>69</v>
      </c>
      <c r="AV76" s="4">
        <f t="shared" si="30"/>
        <v>0.51</v>
      </c>
    </row>
    <row r="77" spans="1:48" x14ac:dyDescent="0.15">
      <c r="A77" s="4"/>
      <c r="B77" s="21"/>
      <c r="C77" s="21"/>
      <c r="D77" s="21"/>
      <c r="E77" s="22"/>
      <c r="F77" s="22"/>
      <c r="G77" s="23"/>
      <c r="H77" s="23"/>
      <c r="I77" s="181"/>
      <c r="J77" s="8" t="str">
        <f t="shared" si="22"/>
        <v/>
      </c>
      <c r="K77" s="2" t="str">
        <f t="shared" si="31"/>
        <v/>
      </c>
      <c r="L77" s="2" t="str">
        <f t="shared" si="23"/>
        <v/>
      </c>
      <c r="M77" s="2" t="str">
        <f t="shared" si="32"/>
        <v/>
      </c>
      <c r="N77" s="2" t="str">
        <f t="shared" si="40"/>
        <v/>
      </c>
      <c r="O77" s="2" t="str">
        <f t="shared" si="33"/>
        <v/>
      </c>
      <c r="P77" s="8" t="str">
        <f t="shared" si="34"/>
        <v/>
      </c>
      <c r="Q77" s="8" t="str">
        <f t="shared" si="35"/>
        <v/>
      </c>
      <c r="R77" s="111" t="str">
        <f t="shared" si="36"/>
        <v/>
      </c>
      <c r="S77" s="44" t="str">
        <f t="shared" si="37"/>
        <v/>
      </c>
      <c r="T77" s="37" t="str">
        <f t="shared" si="38"/>
        <v/>
      </c>
      <c r="U77" s="44" t="str">
        <f t="shared" si="39"/>
        <v/>
      </c>
      <c r="V77" s="26"/>
      <c r="W77" s="26"/>
      <c r="X77" s="26"/>
      <c r="Y77" s="26"/>
      <c r="Z77" s="24"/>
      <c r="AA77" s="169">
        <f t="shared" si="24"/>
        <v>0</v>
      </c>
      <c r="AB77" s="4">
        <f t="shared" si="25"/>
        <v>0</v>
      </c>
      <c r="AC77" s="170">
        <f t="shared" si="21"/>
        <v>0</v>
      </c>
      <c r="AD77" s="58"/>
      <c r="AE77" s="58"/>
      <c r="AF77" s="58"/>
      <c r="AG77" s="59">
        <f t="shared" si="26"/>
        <v>9.0359999999999996</v>
      </c>
      <c r="AH77" s="59">
        <f t="shared" si="27"/>
        <v>-184.49199999999999</v>
      </c>
      <c r="AJ77" s="4">
        <f>IF(D77="M",IF(AM77&lt;78,BMILMS!$D$5*AM77^3+BMILMS!$E$5*AM77^2+BMILMS!$F$5*AM77+BMILMS!$G$5,IF(AM77&lt;150,BMILMS!$D$6*AM77^3+BMILMS!$E$6*AM77^2+BMILMS!$F$6*AM77+BMILMS!$G$6,BMILMS!$D$7*AM77^3+BMILMS!$E$7*AM77^2+BMILMS!$F$7*AM77+BMILMS!$G$7)),IF(AM77&lt;69,BMILMS!$D$9*AM77^3+BMILMS!$E$9*AM77^2+BMILMS!$F$9*AM77+BMILMS!$G$9,IF(AM77&lt;150,BMILMS!$D$10*AM77^3+BMILMS!$E$10*AM77^2+BMILMS!$F$10*AM77+BMILMS!$G$10,BMILMS!$D$11*AM77^3+BMILMS!$E$11*AM77^2+BMILMS!$F$11*AM77+BMILMS!$G$11)))</f>
        <v>0.79584630099999998</v>
      </c>
      <c r="AK77" s="4">
        <f>IF(D77="M",(IF(AM77&lt;2.5,BMILMS!$D$21*AM77^3+BMILMS!$E$21*AM77^2+BMILMS!$F$21*AM77+BMILMS!$G$21,IF(AM77&lt;9.5,BMILMS!$D$22*AM77^3+BMILMS!$E$22*AM77^2+BMILMS!$F$22*AM77+BMILMS!$G$22,IF(AM77&lt;26.75,BMILMS!$D$23*AM77^3+BMILMS!$E$23*AM77^2+BMILMS!$F$23*AM77+BMILMS!$G$23,IF(AM77&lt;90,BMILMS!$D$24*AM77^3+BMILMS!$E$24*AM77^2+BMILMS!$F$24*AM77+BMILMS!$G$24,BMILMS!$D$25*AM77^3+BMILMS!$E$25*AM77^2+BMILMS!$F$25*AM77+BMILMS!$G$25))))),(IF(AM77&lt;2.5,BMILMS!$D$27*AM77^3+BMILMS!$E$27*AM77^2+BMILMS!$F$27*AM77+BMILMS!$G$27,IF(AM77&lt;9.5,BMILMS!$D$28*AM77^3+BMILMS!$E$28*AM77^2+BMILMS!$F$28*AM77+BMILMS!$G$28,IF(AM77&lt;26.75,BMILMS!$D$29*AM77^3+BMILMS!$E$29*AM77^2+BMILMS!$F$29*AM77+BMILMS!$G$29,IF(AM77&lt;90,BMILMS!$D$30*AM77^3+BMILMS!$E$30*AM77^2+BMILMS!$F$30*AM77+BMILMS!$G$30,IF(AM77&lt;150,BMILMS!$D$31*AM77^3+BMILMS!$E$31*AM77^2+BMILMS!$F$31*AM77+BMILMS!$G$31,BMILMS!$D$32*AM77^3+BMILMS!$E$32*AM77^2+BMILMS!$F$32*AM77+BMILMS!$G$32)))))))</f>
        <v>12.568967990000001</v>
      </c>
      <c r="AL77" s="4">
        <f>IF(D77="M",(IF(AM77&lt;90,BMILMS!$D$14*AM77^3+BMILMS!$E$14*AM77^2+BMILMS!$F$14*AM77+BMILMS!$G$14,BMILMS!$D$15*AM77^3+BMILMS!$E$15*AM77^2+BMILMS!$F$15*AM77+BMILMS!$G$15)),(IF(AM77&lt;90,BMILMS!$D$17*AM77^3+BMILMS!$E$17*AM77^2+BMILMS!$F$17*AM77+BMILMS!$G$17,BMILMS!$D$18*AM77^3+BMILMS!$E$18*AM77^2+BMILMS!$F$18*AM77+BMILMS!$G$18)))</f>
        <v>8.8969350000000003E-2</v>
      </c>
      <c r="AM77" s="4">
        <f t="shared" si="41"/>
        <v>0</v>
      </c>
      <c r="AO77" s="56">
        <f>IF(D77="M",WeightSDS!P$5*$AM77^7+WeightSDS!Q$5*$AM77^6+WeightSDS!R$5*$AM77^5+WeightSDS!S$5*$AM77^4+WeightSDS!T$5*$AM77^3+WeightSDS!U$5*$AM77^2+WeightSDS!V$5*$AM77+WeightSDS!W$5,IF($AM77&lt;186,WeightSDS!P$8*$AM77^7+WeightSDS!Q$8*$AM77^6+WeightSDS!R$8*$AM77^5+WeightSDS!S$8*$AM77^4+WeightSDS!T$8*$AM77^3+WeightSDS!U$8*$AM77^2+WeightSDS!V$8*$AM77+WeightSDS!W$8,WeightSDS!$U$9+WeightSDS!$V$9*($AM77-WeightSDS!$W$9)))</f>
        <v>0.75407122999999998</v>
      </c>
      <c r="AP77" s="4">
        <f>IF(D77="M",IF($AM77&lt;45,WeightSDS!M$23*$AM77^10+WeightSDS!N$23*$AM77^9+WeightSDS!O$23*$AM77^8+WeightSDS!P$23*$AM77^7+WeightSDS!Q$23*$AM77^6+WeightSDS!R$23*$AM77^5+WeightSDS!S$23*$AM77^4+WeightSDS!T$23*$AM77^3+WeightSDS!U$23*$AM77^2+WeightSDS!V$23*$AM77+WeightSDS!W$23,IF($AM77&lt;153,WeightSDS!M$25*$AM77^10+WeightSDS!N$25*$AM77^9+WeightSDS!O$25*$AM77^8+WeightSDS!P$25*$AM77^7+WeightSDS!Q$25*$AM77^6+WeightSDS!R$25*$AM77^5+WeightSDS!S$25*$AM77^4+WeightSDS!T$25*$AM77^3+WeightSDS!U$25*$AM77^2+WeightSDS!V$25*$AM77+WeightSDS!W$25,WeightSDS!M$27+WeightSDS!N$27/(1+EXP(WeightSDS!O$27+WeightSDS!P$27*$AM77)))),IF($AM77&lt;43.8,WeightSDS!M$29*$AM77^10+WeightSDS!N$29*$AM77^9+WeightSDS!O$29*$AM77^8+WeightSDS!P$29*$AM77^7+WeightSDS!Q$29*$AM77^6+WeightSDS!R$29*$AM77^5+WeightSDS!S$29*$AM77^4+WeightSDS!T$29*$AM77^3+WeightSDS!U$29*$AM77^2+WeightSDS!V$29*$AM77+WeightSDS!W$29-0.010431*(1-$AM77/210),IF($AM77&lt;123,WeightSDS!M$30*$AM77^10+WeightSDS!N$30*$AM77^9+WeightSDS!O$30*$AM77^8+WeightSDS!P$30*$AM77^7+WeightSDS!Q$30*$AM77^6+WeightSDS!R$30*$AM77^5+WeightSDS!S$30*$AM77^4+WeightSDS!T$30*$AM77^3+WeightSDS!U$30*$AM77^2+WeightSDS!V$30*$AM77+WeightSDS!W$30-0.010431*(1-1/$AM77),WeightSDS!M$32+WeightSDS!N$32/(1+EXP(WeightSDS!O$32+WeightSDS!P$32*$AM77))-0.010431*(1-$AM77/210))))</f>
        <v>2.9500001032655536</v>
      </c>
      <c r="AQ77" s="4">
        <f>IF(D77="M",IF($AM77&lt;162,WeightSDS!P$12*$AM77^7+WeightSDS!Q$12*$AM77^6+WeightSDS!R$12*$AM77^5+WeightSDS!S$12*$AM77^4+WeightSDS!T$12*$AM77^3+WeightSDS!U$12*$AM77^2+WeightSDS!V$12*$AM77+WeightSDS!W$12,WeightSDS!P$14*$AM77^7+WeightSDS!Q$14*$AM77^6+WeightSDS!R$14*$AM77^5+WeightSDS!S$14*$AM77^4+WeightSDS!T$14*$AM77^3+WeightSDS!U$14*$AM77^2+WeightSDS!V$14*$AM77+WeightSDS!W$14),IF($AM77&lt;156,WeightSDS!O$17*$AM77^8+WeightSDS!P$17*$AM77^7+WeightSDS!Q$17*$AM77^6+WeightSDS!R$17*$AM77^5+WeightSDS!S$17*$AM77^4+WeightSDS!T$17*$AM77^3+WeightSDS!U$17*$AM77^2+WeightSDS!V$17*$AM77+WeightSDS!W$17,IF($AM77&lt;186,WeightSDS!$U$18+(WeightSDS!$V$18-WeightSDS!$U$18)/24*($AM77-186)+WeightSDS!$W$18*(-$AM77+186)^2-0.005,WeightSDS!$U$18+(WeightSDS!$V$18-WeightSDS!$U$18)/24*($AM77-186)-0.005)))</f>
        <v>0.14604529399999999</v>
      </c>
      <c r="AT77" s="4">
        <f t="shared" si="28"/>
        <v>0.56299999999999994</v>
      </c>
      <c r="AU77" s="4">
        <f t="shared" si="29"/>
        <v>69</v>
      </c>
      <c r="AV77" s="4">
        <f t="shared" si="30"/>
        <v>0.51</v>
      </c>
    </row>
    <row r="78" spans="1:48" x14ac:dyDescent="0.15">
      <c r="A78" s="4"/>
      <c r="B78" s="21"/>
      <c r="C78" s="21"/>
      <c r="D78" s="21"/>
      <c r="E78" s="22"/>
      <c r="F78" s="22"/>
      <c r="G78" s="23"/>
      <c r="H78" s="23"/>
      <c r="I78" s="181"/>
      <c r="J78" s="8" t="str">
        <f t="shared" si="22"/>
        <v/>
      </c>
      <c r="K78" s="2" t="str">
        <f t="shared" si="31"/>
        <v/>
      </c>
      <c r="L78" s="2" t="str">
        <f t="shared" si="23"/>
        <v/>
      </c>
      <c r="M78" s="2" t="str">
        <f t="shared" si="32"/>
        <v/>
      </c>
      <c r="N78" s="2" t="str">
        <f t="shared" si="40"/>
        <v/>
      </c>
      <c r="O78" s="2" t="str">
        <f t="shared" si="33"/>
        <v/>
      </c>
      <c r="P78" s="8" t="str">
        <f t="shared" si="34"/>
        <v/>
      </c>
      <c r="Q78" s="8" t="str">
        <f t="shared" si="35"/>
        <v/>
      </c>
      <c r="R78" s="111" t="str">
        <f t="shared" si="36"/>
        <v/>
      </c>
      <c r="S78" s="44" t="str">
        <f t="shared" si="37"/>
        <v/>
      </c>
      <c r="T78" s="37" t="str">
        <f t="shared" si="38"/>
        <v/>
      </c>
      <c r="U78" s="44" t="str">
        <f t="shared" si="39"/>
        <v/>
      </c>
      <c r="V78" s="26"/>
      <c r="W78" s="26"/>
      <c r="X78" s="26"/>
      <c r="Y78" s="26"/>
      <c r="Z78" s="24"/>
      <c r="AA78" s="169">
        <f t="shared" si="24"/>
        <v>0</v>
      </c>
      <c r="AB78" s="4">
        <f t="shared" si="25"/>
        <v>0</v>
      </c>
      <c r="AC78" s="170">
        <f t="shared" si="21"/>
        <v>0</v>
      </c>
      <c r="AD78" s="58"/>
      <c r="AE78" s="58"/>
      <c r="AF78" s="58"/>
      <c r="AG78" s="59">
        <f t="shared" si="26"/>
        <v>9.0359999999999996</v>
      </c>
      <c r="AH78" s="59">
        <f t="shared" si="27"/>
        <v>-184.49199999999999</v>
      </c>
      <c r="AJ78" s="4">
        <f>IF(D78="M",IF(AM78&lt;78,BMILMS!$D$5*AM78^3+BMILMS!$E$5*AM78^2+BMILMS!$F$5*AM78+BMILMS!$G$5,IF(AM78&lt;150,BMILMS!$D$6*AM78^3+BMILMS!$E$6*AM78^2+BMILMS!$F$6*AM78+BMILMS!$G$6,BMILMS!$D$7*AM78^3+BMILMS!$E$7*AM78^2+BMILMS!$F$7*AM78+BMILMS!$G$7)),IF(AM78&lt;69,BMILMS!$D$9*AM78^3+BMILMS!$E$9*AM78^2+BMILMS!$F$9*AM78+BMILMS!$G$9,IF(AM78&lt;150,BMILMS!$D$10*AM78^3+BMILMS!$E$10*AM78^2+BMILMS!$F$10*AM78+BMILMS!$G$10,BMILMS!$D$11*AM78^3+BMILMS!$E$11*AM78^2+BMILMS!$F$11*AM78+BMILMS!$G$11)))</f>
        <v>0.79584630099999998</v>
      </c>
      <c r="AK78" s="4">
        <f>IF(D78="M",(IF(AM78&lt;2.5,BMILMS!$D$21*AM78^3+BMILMS!$E$21*AM78^2+BMILMS!$F$21*AM78+BMILMS!$G$21,IF(AM78&lt;9.5,BMILMS!$D$22*AM78^3+BMILMS!$E$22*AM78^2+BMILMS!$F$22*AM78+BMILMS!$G$22,IF(AM78&lt;26.75,BMILMS!$D$23*AM78^3+BMILMS!$E$23*AM78^2+BMILMS!$F$23*AM78+BMILMS!$G$23,IF(AM78&lt;90,BMILMS!$D$24*AM78^3+BMILMS!$E$24*AM78^2+BMILMS!$F$24*AM78+BMILMS!$G$24,BMILMS!$D$25*AM78^3+BMILMS!$E$25*AM78^2+BMILMS!$F$25*AM78+BMILMS!$G$25))))),(IF(AM78&lt;2.5,BMILMS!$D$27*AM78^3+BMILMS!$E$27*AM78^2+BMILMS!$F$27*AM78+BMILMS!$G$27,IF(AM78&lt;9.5,BMILMS!$D$28*AM78^3+BMILMS!$E$28*AM78^2+BMILMS!$F$28*AM78+BMILMS!$G$28,IF(AM78&lt;26.75,BMILMS!$D$29*AM78^3+BMILMS!$E$29*AM78^2+BMILMS!$F$29*AM78+BMILMS!$G$29,IF(AM78&lt;90,BMILMS!$D$30*AM78^3+BMILMS!$E$30*AM78^2+BMILMS!$F$30*AM78+BMILMS!$G$30,IF(AM78&lt;150,BMILMS!$D$31*AM78^3+BMILMS!$E$31*AM78^2+BMILMS!$F$31*AM78+BMILMS!$G$31,BMILMS!$D$32*AM78^3+BMILMS!$E$32*AM78^2+BMILMS!$F$32*AM78+BMILMS!$G$32)))))))</f>
        <v>12.568967990000001</v>
      </c>
      <c r="AL78" s="4">
        <f>IF(D78="M",(IF(AM78&lt;90,BMILMS!$D$14*AM78^3+BMILMS!$E$14*AM78^2+BMILMS!$F$14*AM78+BMILMS!$G$14,BMILMS!$D$15*AM78^3+BMILMS!$E$15*AM78^2+BMILMS!$F$15*AM78+BMILMS!$G$15)),(IF(AM78&lt;90,BMILMS!$D$17*AM78^3+BMILMS!$E$17*AM78^2+BMILMS!$F$17*AM78+BMILMS!$G$17,BMILMS!$D$18*AM78^3+BMILMS!$E$18*AM78^2+BMILMS!$F$18*AM78+BMILMS!$G$18)))</f>
        <v>8.8969350000000003E-2</v>
      </c>
      <c r="AM78" s="4">
        <f t="shared" si="41"/>
        <v>0</v>
      </c>
      <c r="AO78" s="56">
        <f>IF(D78="M",WeightSDS!P$5*$AM78^7+WeightSDS!Q$5*$AM78^6+WeightSDS!R$5*$AM78^5+WeightSDS!S$5*$AM78^4+WeightSDS!T$5*$AM78^3+WeightSDS!U$5*$AM78^2+WeightSDS!V$5*$AM78+WeightSDS!W$5,IF($AM78&lt;186,WeightSDS!P$8*$AM78^7+WeightSDS!Q$8*$AM78^6+WeightSDS!R$8*$AM78^5+WeightSDS!S$8*$AM78^4+WeightSDS!T$8*$AM78^3+WeightSDS!U$8*$AM78^2+WeightSDS!V$8*$AM78+WeightSDS!W$8,WeightSDS!$U$9+WeightSDS!$V$9*($AM78-WeightSDS!$W$9)))</f>
        <v>0.75407122999999998</v>
      </c>
      <c r="AP78" s="4">
        <f>IF(D78="M",IF($AM78&lt;45,WeightSDS!M$23*$AM78^10+WeightSDS!N$23*$AM78^9+WeightSDS!O$23*$AM78^8+WeightSDS!P$23*$AM78^7+WeightSDS!Q$23*$AM78^6+WeightSDS!R$23*$AM78^5+WeightSDS!S$23*$AM78^4+WeightSDS!T$23*$AM78^3+WeightSDS!U$23*$AM78^2+WeightSDS!V$23*$AM78+WeightSDS!W$23,IF($AM78&lt;153,WeightSDS!M$25*$AM78^10+WeightSDS!N$25*$AM78^9+WeightSDS!O$25*$AM78^8+WeightSDS!P$25*$AM78^7+WeightSDS!Q$25*$AM78^6+WeightSDS!R$25*$AM78^5+WeightSDS!S$25*$AM78^4+WeightSDS!T$25*$AM78^3+WeightSDS!U$25*$AM78^2+WeightSDS!V$25*$AM78+WeightSDS!W$25,WeightSDS!M$27+WeightSDS!N$27/(1+EXP(WeightSDS!O$27+WeightSDS!P$27*$AM78)))),IF($AM78&lt;43.8,WeightSDS!M$29*$AM78^10+WeightSDS!N$29*$AM78^9+WeightSDS!O$29*$AM78^8+WeightSDS!P$29*$AM78^7+WeightSDS!Q$29*$AM78^6+WeightSDS!R$29*$AM78^5+WeightSDS!S$29*$AM78^4+WeightSDS!T$29*$AM78^3+WeightSDS!U$29*$AM78^2+WeightSDS!V$29*$AM78+WeightSDS!W$29-0.010431*(1-$AM78/210),IF($AM78&lt;123,WeightSDS!M$30*$AM78^10+WeightSDS!N$30*$AM78^9+WeightSDS!O$30*$AM78^8+WeightSDS!P$30*$AM78^7+WeightSDS!Q$30*$AM78^6+WeightSDS!R$30*$AM78^5+WeightSDS!S$30*$AM78^4+WeightSDS!T$30*$AM78^3+WeightSDS!U$30*$AM78^2+WeightSDS!V$30*$AM78+WeightSDS!W$30-0.010431*(1-1/$AM78),WeightSDS!M$32+WeightSDS!N$32/(1+EXP(WeightSDS!O$32+WeightSDS!P$32*$AM78))-0.010431*(1-$AM78/210))))</f>
        <v>2.9500001032655536</v>
      </c>
      <c r="AQ78" s="4">
        <f>IF(D78="M",IF($AM78&lt;162,WeightSDS!P$12*$AM78^7+WeightSDS!Q$12*$AM78^6+WeightSDS!R$12*$AM78^5+WeightSDS!S$12*$AM78^4+WeightSDS!T$12*$AM78^3+WeightSDS!U$12*$AM78^2+WeightSDS!V$12*$AM78+WeightSDS!W$12,WeightSDS!P$14*$AM78^7+WeightSDS!Q$14*$AM78^6+WeightSDS!R$14*$AM78^5+WeightSDS!S$14*$AM78^4+WeightSDS!T$14*$AM78^3+WeightSDS!U$14*$AM78^2+WeightSDS!V$14*$AM78+WeightSDS!W$14),IF($AM78&lt;156,WeightSDS!O$17*$AM78^8+WeightSDS!P$17*$AM78^7+WeightSDS!Q$17*$AM78^6+WeightSDS!R$17*$AM78^5+WeightSDS!S$17*$AM78^4+WeightSDS!T$17*$AM78^3+WeightSDS!U$17*$AM78^2+WeightSDS!V$17*$AM78+WeightSDS!W$17,IF($AM78&lt;186,WeightSDS!$U$18+(WeightSDS!$V$18-WeightSDS!$U$18)/24*($AM78-186)+WeightSDS!$W$18*(-$AM78+186)^2-0.005,WeightSDS!$U$18+(WeightSDS!$V$18-WeightSDS!$U$18)/24*($AM78-186)-0.005)))</f>
        <v>0.14604529399999999</v>
      </c>
      <c r="AT78" s="4">
        <f t="shared" si="28"/>
        <v>0.56299999999999994</v>
      </c>
      <c r="AU78" s="4">
        <f t="shared" si="29"/>
        <v>69</v>
      </c>
      <c r="AV78" s="4">
        <f t="shared" si="30"/>
        <v>0.51</v>
      </c>
    </row>
    <row r="79" spans="1:48" x14ac:dyDescent="0.15">
      <c r="A79" s="4"/>
      <c r="B79" s="21"/>
      <c r="C79" s="21"/>
      <c r="D79" s="21"/>
      <c r="E79" s="22"/>
      <c r="F79" s="22"/>
      <c r="G79" s="23"/>
      <c r="H79" s="23"/>
      <c r="I79" s="181"/>
      <c r="J79" s="8" t="str">
        <f t="shared" si="22"/>
        <v/>
      </c>
      <c r="K79" s="2" t="str">
        <f t="shared" si="31"/>
        <v/>
      </c>
      <c r="L79" s="2" t="str">
        <f t="shared" si="23"/>
        <v/>
      </c>
      <c r="M79" s="2" t="str">
        <f t="shared" si="32"/>
        <v/>
      </c>
      <c r="N79" s="2" t="str">
        <f t="shared" si="40"/>
        <v/>
      </c>
      <c r="O79" s="2" t="str">
        <f t="shared" si="33"/>
        <v/>
      </c>
      <c r="P79" s="8" t="str">
        <f t="shared" si="34"/>
        <v/>
      </c>
      <c r="Q79" s="8" t="str">
        <f t="shared" si="35"/>
        <v/>
      </c>
      <c r="R79" s="111" t="str">
        <f t="shared" si="36"/>
        <v/>
      </c>
      <c r="S79" s="44" t="str">
        <f t="shared" si="37"/>
        <v/>
      </c>
      <c r="T79" s="37" t="str">
        <f t="shared" si="38"/>
        <v/>
      </c>
      <c r="U79" s="44" t="str">
        <f t="shared" si="39"/>
        <v/>
      </c>
      <c r="V79" s="26"/>
      <c r="W79" s="26"/>
      <c r="X79" s="26"/>
      <c r="Y79" s="26"/>
      <c r="Z79" s="24"/>
      <c r="AA79" s="169">
        <f t="shared" si="24"/>
        <v>0</v>
      </c>
      <c r="AB79" s="4">
        <f t="shared" si="25"/>
        <v>0</v>
      </c>
      <c r="AC79" s="170">
        <f t="shared" si="21"/>
        <v>0</v>
      </c>
      <c r="AD79" s="58"/>
      <c r="AE79" s="58"/>
      <c r="AF79" s="58"/>
      <c r="AG79" s="59">
        <f t="shared" si="26"/>
        <v>9.0359999999999996</v>
      </c>
      <c r="AH79" s="59">
        <f t="shared" si="27"/>
        <v>-184.49199999999999</v>
      </c>
      <c r="AJ79" s="4">
        <f>IF(D79="M",IF(AM79&lt;78,BMILMS!$D$5*AM79^3+BMILMS!$E$5*AM79^2+BMILMS!$F$5*AM79+BMILMS!$G$5,IF(AM79&lt;150,BMILMS!$D$6*AM79^3+BMILMS!$E$6*AM79^2+BMILMS!$F$6*AM79+BMILMS!$G$6,BMILMS!$D$7*AM79^3+BMILMS!$E$7*AM79^2+BMILMS!$F$7*AM79+BMILMS!$G$7)),IF(AM79&lt;69,BMILMS!$D$9*AM79^3+BMILMS!$E$9*AM79^2+BMILMS!$F$9*AM79+BMILMS!$G$9,IF(AM79&lt;150,BMILMS!$D$10*AM79^3+BMILMS!$E$10*AM79^2+BMILMS!$F$10*AM79+BMILMS!$G$10,BMILMS!$D$11*AM79^3+BMILMS!$E$11*AM79^2+BMILMS!$F$11*AM79+BMILMS!$G$11)))</f>
        <v>0.79584630099999998</v>
      </c>
      <c r="AK79" s="4">
        <f>IF(D79="M",(IF(AM79&lt;2.5,BMILMS!$D$21*AM79^3+BMILMS!$E$21*AM79^2+BMILMS!$F$21*AM79+BMILMS!$G$21,IF(AM79&lt;9.5,BMILMS!$D$22*AM79^3+BMILMS!$E$22*AM79^2+BMILMS!$F$22*AM79+BMILMS!$G$22,IF(AM79&lt;26.75,BMILMS!$D$23*AM79^3+BMILMS!$E$23*AM79^2+BMILMS!$F$23*AM79+BMILMS!$G$23,IF(AM79&lt;90,BMILMS!$D$24*AM79^3+BMILMS!$E$24*AM79^2+BMILMS!$F$24*AM79+BMILMS!$G$24,BMILMS!$D$25*AM79^3+BMILMS!$E$25*AM79^2+BMILMS!$F$25*AM79+BMILMS!$G$25))))),(IF(AM79&lt;2.5,BMILMS!$D$27*AM79^3+BMILMS!$E$27*AM79^2+BMILMS!$F$27*AM79+BMILMS!$G$27,IF(AM79&lt;9.5,BMILMS!$D$28*AM79^3+BMILMS!$E$28*AM79^2+BMILMS!$F$28*AM79+BMILMS!$G$28,IF(AM79&lt;26.75,BMILMS!$D$29*AM79^3+BMILMS!$E$29*AM79^2+BMILMS!$F$29*AM79+BMILMS!$G$29,IF(AM79&lt;90,BMILMS!$D$30*AM79^3+BMILMS!$E$30*AM79^2+BMILMS!$F$30*AM79+BMILMS!$G$30,IF(AM79&lt;150,BMILMS!$D$31*AM79^3+BMILMS!$E$31*AM79^2+BMILMS!$F$31*AM79+BMILMS!$G$31,BMILMS!$D$32*AM79^3+BMILMS!$E$32*AM79^2+BMILMS!$F$32*AM79+BMILMS!$G$32)))))))</f>
        <v>12.568967990000001</v>
      </c>
      <c r="AL79" s="4">
        <f>IF(D79="M",(IF(AM79&lt;90,BMILMS!$D$14*AM79^3+BMILMS!$E$14*AM79^2+BMILMS!$F$14*AM79+BMILMS!$G$14,BMILMS!$D$15*AM79^3+BMILMS!$E$15*AM79^2+BMILMS!$F$15*AM79+BMILMS!$G$15)),(IF(AM79&lt;90,BMILMS!$D$17*AM79^3+BMILMS!$E$17*AM79^2+BMILMS!$F$17*AM79+BMILMS!$G$17,BMILMS!$D$18*AM79^3+BMILMS!$E$18*AM79^2+BMILMS!$F$18*AM79+BMILMS!$G$18)))</f>
        <v>8.8969350000000003E-2</v>
      </c>
      <c r="AM79" s="4">
        <f t="shared" si="41"/>
        <v>0</v>
      </c>
      <c r="AO79" s="56">
        <f>IF(D79="M",WeightSDS!P$5*$AM79^7+WeightSDS!Q$5*$AM79^6+WeightSDS!R$5*$AM79^5+WeightSDS!S$5*$AM79^4+WeightSDS!T$5*$AM79^3+WeightSDS!U$5*$AM79^2+WeightSDS!V$5*$AM79+WeightSDS!W$5,IF($AM79&lt;186,WeightSDS!P$8*$AM79^7+WeightSDS!Q$8*$AM79^6+WeightSDS!R$8*$AM79^5+WeightSDS!S$8*$AM79^4+WeightSDS!T$8*$AM79^3+WeightSDS!U$8*$AM79^2+WeightSDS!V$8*$AM79+WeightSDS!W$8,WeightSDS!$U$9+WeightSDS!$V$9*($AM79-WeightSDS!$W$9)))</f>
        <v>0.75407122999999998</v>
      </c>
      <c r="AP79" s="4">
        <f>IF(D79="M",IF($AM79&lt;45,WeightSDS!M$23*$AM79^10+WeightSDS!N$23*$AM79^9+WeightSDS!O$23*$AM79^8+WeightSDS!P$23*$AM79^7+WeightSDS!Q$23*$AM79^6+WeightSDS!R$23*$AM79^5+WeightSDS!S$23*$AM79^4+WeightSDS!T$23*$AM79^3+WeightSDS!U$23*$AM79^2+WeightSDS!V$23*$AM79+WeightSDS!W$23,IF($AM79&lt;153,WeightSDS!M$25*$AM79^10+WeightSDS!N$25*$AM79^9+WeightSDS!O$25*$AM79^8+WeightSDS!P$25*$AM79^7+WeightSDS!Q$25*$AM79^6+WeightSDS!R$25*$AM79^5+WeightSDS!S$25*$AM79^4+WeightSDS!T$25*$AM79^3+WeightSDS!U$25*$AM79^2+WeightSDS!V$25*$AM79+WeightSDS!W$25,WeightSDS!M$27+WeightSDS!N$27/(1+EXP(WeightSDS!O$27+WeightSDS!P$27*$AM79)))),IF($AM79&lt;43.8,WeightSDS!M$29*$AM79^10+WeightSDS!N$29*$AM79^9+WeightSDS!O$29*$AM79^8+WeightSDS!P$29*$AM79^7+WeightSDS!Q$29*$AM79^6+WeightSDS!R$29*$AM79^5+WeightSDS!S$29*$AM79^4+WeightSDS!T$29*$AM79^3+WeightSDS!U$29*$AM79^2+WeightSDS!V$29*$AM79+WeightSDS!W$29-0.010431*(1-$AM79/210),IF($AM79&lt;123,WeightSDS!M$30*$AM79^10+WeightSDS!N$30*$AM79^9+WeightSDS!O$30*$AM79^8+WeightSDS!P$30*$AM79^7+WeightSDS!Q$30*$AM79^6+WeightSDS!R$30*$AM79^5+WeightSDS!S$30*$AM79^4+WeightSDS!T$30*$AM79^3+WeightSDS!U$30*$AM79^2+WeightSDS!V$30*$AM79+WeightSDS!W$30-0.010431*(1-1/$AM79),WeightSDS!M$32+WeightSDS!N$32/(1+EXP(WeightSDS!O$32+WeightSDS!P$32*$AM79))-0.010431*(1-$AM79/210))))</f>
        <v>2.9500001032655536</v>
      </c>
      <c r="AQ79" s="4">
        <f>IF(D79="M",IF($AM79&lt;162,WeightSDS!P$12*$AM79^7+WeightSDS!Q$12*$AM79^6+WeightSDS!R$12*$AM79^5+WeightSDS!S$12*$AM79^4+WeightSDS!T$12*$AM79^3+WeightSDS!U$12*$AM79^2+WeightSDS!V$12*$AM79+WeightSDS!W$12,WeightSDS!P$14*$AM79^7+WeightSDS!Q$14*$AM79^6+WeightSDS!R$14*$AM79^5+WeightSDS!S$14*$AM79^4+WeightSDS!T$14*$AM79^3+WeightSDS!U$14*$AM79^2+WeightSDS!V$14*$AM79+WeightSDS!W$14),IF($AM79&lt;156,WeightSDS!O$17*$AM79^8+WeightSDS!P$17*$AM79^7+WeightSDS!Q$17*$AM79^6+WeightSDS!R$17*$AM79^5+WeightSDS!S$17*$AM79^4+WeightSDS!T$17*$AM79^3+WeightSDS!U$17*$AM79^2+WeightSDS!V$17*$AM79+WeightSDS!W$17,IF($AM79&lt;186,WeightSDS!$U$18+(WeightSDS!$V$18-WeightSDS!$U$18)/24*($AM79-186)+WeightSDS!$W$18*(-$AM79+186)^2-0.005,WeightSDS!$U$18+(WeightSDS!$V$18-WeightSDS!$U$18)/24*($AM79-186)-0.005)))</f>
        <v>0.14604529399999999</v>
      </c>
      <c r="AT79" s="4">
        <f t="shared" si="28"/>
        <v>0.56299999999999994</v>
      </c>
      <c r="AU79" s="4">
        <f t="shared" si="29"/>
        <v>69</v>
      </c>
      <c r="AV79" s="4">
        <f t="shared" si="30"/>
        <v>0.51</v>
      </c>
    </row>
    <row r="80" spans="1:48" x14ac:dyDescent="0.15">
      <c r="A80" s="4"/>
      <c r="B80" s="21"/>
      <c r="C80" s="21"/>
      <c r="D80" s="21"/>
      <c r="E80" s="22"/>
      <c r="F80" s="22"/>
      <c r="G80" s="23"/>
      <c r="H80" s="23"/>
      <c r="I80" s="181"/>
      <c r="J80" s="8" t="str">
        <f t="shared" si="22"/>
        <v/>
      </c>
      <c r="K80" s="2" t="str">
        <f t="shared" si="31"/>
        <v/>
      </c>
      <c r="L80" s="2" t="str">
        <f t="shared" si="23"/>
        <v/>
      </c>
      <c r="M80" s="2" t="str">
        <f t="shared" si="32"/>
        <v/>
      </c>
      <c r="N80" s="2" t="str">
        <f t="shared" si="40"/>
        <v/>
      </c>
      <c r="O80" s="2" t="str">
        <f t="shared" si="33"/>
        <v/>
      </c>
      <c r="P80" s="8" t="str">
        <f t="shared" si="34"/>
        <v/>
      </c>
      <c r="Q80" s="8" t="str">
        <f t="shared" si="35"/>
        <v/>
      </c>
      <c r="R80" s="111" t="str">
        <f t="shared" si="36"/>
        <v/>
      </c>
      <c r="S80" s="44" t="str">
        <f t="shared" si="37"/>
        <v/>
      </c>
      <c r="T80" s="37" t="str">
        <f t="shared" si="38"/>
        <v/>
      </c>
      <c r="U80" s="44" t="str">
        <f t="shared" si="39"/>
        <v/>
      </c>
      <c r="V80" s="26"/>
      <c r="W80" s="26"/>
      <c r="X80" s="26"/>
      <c r="Y80" s="26"/>
      <c r="Z80" s="24"/>
      <c r="AA80" s="169">
        <f t="shared" si="24"/>
        <v>0</v>
      </c>
      <c r="AB80" s="4">
        <f t="shared" si="25"/>
        <v>0</v>
      </c>
      <c r="AC80" s="170">
        <f t="shared" si="21"/>
        <v>0</v>
      </c>
      <c r="AD80" s="58"/>
      <c r="AE80" s="58"/>
      <c r="AF80" s="58"/>
      <c r="AG80" s="59">
        <f t="shared" si="26"/>
        <v>9.0359999999999996</v>
      </c>
      <c r="AH80" s="59">
        <f t="shared" si="27"/>
        <v>-184.49199999999999</v>
      </c>
      <c r="AJ80" s="4">
        <f>IF(D80="M",IF(AM80&lt;78,BMILMS!$D$5*AM80^3+BMILMS!$E$5*AM80^2+BMILMS!$F$5*AM80+BMILMS!$G$5,IF(AM80&lt;150,BMILMS!$D$6*AM80^3+BMILMS!$E$6*AM80^2+BMILMS!$F$6*AM80+BMILMS!$G$6,BMILMS!$D$7*AM80^3+BMILMS!$E$7*AM80^2+BMILMS!$F$7*AM80+BMILMS!$G$7)),IF(AM80&lt;69,BMILMS!$D$9*AM80^3+BMILMS!$E$9*AM80^2+BMILMS!$F$9*AM80+BMILMS!$G$9,IF(AM80&lt;150,BMILMS!$D$10*AM80^3+BMILMS!$E$10*AM80^2+BMILMS!$F$10*AM80+BMILMS!$G$10,BMILMS!$D$11*AM80^3+BMILMS!$E$11*AM80^2+BMILMS!$F$11*AM80+BMILMS!$G$11)))</f>
        <v>0.79584630099999998</v>
      </c>
      <c r="AK80" s="4">
        <f>IF(D80="M",(IF(AM80&lt;2.5,BMILMS!$D$21*AM80^3+BMILMS!$E$21*AM80^2+BMILMS!$F$21*AM80+BMILMS!$G$21,IF(AM80&lt;9.5,BMILMS!$D$22*AM80^3+BMILMS!$E$22*AM80^2+BMILMS!$F$22*AM80+BMILMS!$G$22,IF(AM80&lt;26.75,BMILMS!$D$23*AM80^3+BMILMS!$E$23*AM80^2+BMILMS!$F$23*AM80+BMILMS!$G$23,IF(AM80&lt;90,BMILMS!$D$24*AM80^3+BMILMS!$E$24*AM80^2+BMILMS!$F$24*AM80+BMILMS!$G$24,BMILMS!$D$25*AM80^3+BMILMS!$E$25*AM80^2+BMILMS!$F$25*AM80+BMILMS!$G$25))))),(IF(AM80&lt;2.5,BMILMS!$D$27*AM80^3+BMILMS!$E$27*AM80^2+BMILMS!$F$27*AM80+BMILMS!$G$27,IF(AM80&lt;9.5,BMILMS!$D$28*AM80^3+BMILMS!$E$28*AM80^2+BMILMS!$F$28*AM80+BMILMS!$G$28,IF(AM80&lt;26.75,BMILMS!$D$29*AM80^3+BMILMS!$E$29*AM80^2+BMILMS!$F$29*AM80+BMILMS!$G$29,IF(AM80&lt;90,BMILMS!$D$30*AM80^3+BMILMS!$E$30*AM80^2+BMILMS!$F$30*AM80+BMILMS!$G$30,IF(AM80&lt;150,BMILMS!$D$31*AM80^3+BMILMS!$E$31*AM80^2+BMILMS!$F$31*AM80+BMILMS!$G$31,BMILMS!$D$32*AM80^3+BMILMS!$E$32*AM80^2+BMILMS!$F$32*AM80+BMILMS!$G$32)))))))</f>
        <v>12.568967990000001</v>
      </c>
      <c r="AL80" s="4">
        <f>IF(D80="M",(IF(AM80&lt;90,BMILMS!$D$14*AM80^3+BMILMS!$E$14*AM80^2+BMILMS!$F$14*AM80+BMILMS!$G$14,BMILMS!$D$15*AM80^3+BMILMS!$E$15*AM80^2+BMILMS!$F$15*AM80+BMILMS!$G$15)),(IF(AM80&lt;90,BMILMS!$D$17*AM80^3+BMILMS!$E$17*AM80^2+BMILMS!$F$17*AM80+BMILMS!$G$17,BMILMS!$D$18*AM80^3+BMILMS!$E$18*AM80^2+BMILMS!$F$18*AM80+BMILMS!$G$18)))</f>
        <v>8.8969350000000003E-2</v>
      </c>
      <c r="AM80" s="4">
        <f t="shared" si="41"/>
        <v>0</v>
      </c>
      <c r="AO80" s="56">
        <f>IF(D80="M",WeightSDS!P$5*$AM80^7+WeightSDS!Q$5*$AM80^6+WeightSDS!R$5*$AM80^5+WeightSDS!S$5*$AM80^4+WeightSDS!T$5*$AM80^3+WeightSDS!U$5*$AM80^2+WeightSDS!V$5*$AM80+WeightSDS!W$5,IF($AM80&lt;186,WeightSDS!P$8*$AM80^7+WeightSDS!Q$8*$AM80^6+WeightSDS!R$8*$AM80^5+WeightSDS!S$8*$AM80^4+WeightSDS!T$8*$AM80^3+WeightSDS!U$8*$AM80^2+WeightSDS!V$8*$AM80+WeightSDS!W$8,WeightSDS!$U$9+WeightSDS!$V$9*($AM80-WeightSDS!$W$9)))</f>
        <v>0.75407122999999998</v>
      </c>
      <c r="AP80" s="4">
        <f>IF(D80="M",IF($AM80&lt;45,WeightSDS!M$23*$AM80^10+WeightSDS!N$23*$AM80^9+WeightSDS!O$23*$AM80^8+WeightSDS!P$23*$AM80^7+WeightSDS!Q$23*$AM80^6+WeightSDS!R$23*$AM80^5+WeightSDS!S$23*$AM80^4+WeightSDS!T$23*$AM80^3+WeightSDS!U$23*$AM80^2+WeightSDS!V$23*$AM80+WeightSDS!W$23,IF($AM80&lt;153,WeightSDS!M$25*$AM80^10+WeightSDS!N$25*$AM80^9+WeightSDS!O$25*$AM80^8+WeightSDS!P$25*$AM80^7+WeightSDS!Q$25*$AM80^6+WeightSDS!R$25*$AM80^5+WeightSDS!S$25*$AM80^4+WeightSDS!T$25*$AM80^3+WeightSDS!U$25*$AM80^2+WeightSDS!V$25*$AM80+WeightSDS!W$25,WeightSDS!M$27+WeightSDS!N$27/(1+EXP(WeightSDS!O$27+WeightSDS!P$27*$AM80)))),IF($AM80&lt;43.8,WeightSDS!M$29*$AM80^10+WeightSDS!N$29*$AM80^9+WeightSDS!O$29*$AM80^8+WeightSDS!P$29*$AM80^7+WeightSDS!Q$29*$AM80^6+WeightSDS!R$29*$AM80^5+WeightSDS!S$29*$AM80^4+WeightSDS!T$29*$AM80^3+WeightSDS!U$29*$AM80^2+WeightSDS!V$29*$AM80+WeightSDS!W$29-0.010431*(1-$AM80/210),IF($AM80&lt;123,WeightSDS!M$30*$AM80^10+WeightSDS!N$30*$AM80^9+WeightSDS!O$30*$AM80^8+WeightSDS!P$30*$AM80^7+WeightSDS!Q$30*$AM80^6+WeightSDS!R$30*$AM80^5+WeightSDS!S$30*$AM80^4+WeightSDS!T$30*$AM80^3+WeightSDS!U$30*$AM80^2+WeightSDS!V$30*$AM80+WeightSDS!W$30-0.010431*(1-1/$AM80),WeightSDS!M$32+WeightSDS!N$32/(1+EXP(WeightSDS!O$32+WeightSDS!P$32*$AM80))-0.010431*(1-$AM80/210))))</f>
        <v>2.9500001032655536</v>
      </c>
      <c r="AQ80" s="4">
        <f>IF(D80="M",IF($AM80&lt;162,WeightSDS!P$12*$AM80^7+WeightSDS!Q$12*$AM80^6+WeightSDS!R$12*$AM80^5+WeightSDS!S$12*$AM80^4+WeightSDS!T$12*$AM80^3+WeightSDS!U$12*$AM80^2+WeightSDS!V$12*$AM80+WeightSDS!W$12,WeightSDS!P$14*$AM80^7+WeightSDS!Q$14*$AM80^6+WeightSDS!R$14*$AM80^5+WeightSDS!S$14*$AM80^4+WeightSDS!T$14*$AM80^3+WeightSDS!U$14*$AM80^2+WeightSDS!V$14*$AM80+WeightSDS!W$14),IF($AM80&lt;156,WeightSDS!O$17*$AM80^8+WeightSDS!P$17*$AM80^7+WeightSDS!Q$17*$AM80^6+WeightSDS!R$17*$AM80^5+WeightSDS!S$17*$AM80^4+WeightSDS!T$17*$AM80^3+WeightSDS!U$17*$AM80^2+WeightSDS!V$17*$AM80+WeightSDS!W$17,IF($AM80&lt;186,WeightSDS!$U$18+(WeightSDS!$V$18-WeightSDS!$U$18)/24*($AM80-186)+WeightSDS!$W$18*(-$AM80+186)^2-0.005,WeightSDS!$U$18+(WeightSDS!$V$18-WeightSDS!$U$18)/24*($AM80-186)-0.005)))</f>
        <v>0.14604529399999999</v>
      </c>
      <c r="AT80" s="4">
        <f t="shared" si="28"/>
        <v>0.56299999999999994</v>
      </c>
      <c r="AU80" s="4">
        <f t="shared" si="29"/>
        <v>69</v>
      </c>
      <c r="AV80" s="4">
        <f t="shared" si="30"/>
        <v>0.51</v>
      </c>
    </row>
    <row r="81" spans="1:48" x14ac:dyDescent="0.15">
      <c r="A81" s="4"/>
      <c r="B81" s="21"/>
      <c r="C81" s="21"/>
      <c r="D81" s="21"/>
      <c r="E81" s="22"/>
      <c r="F81" s="22"/>
      <c r="G81" s="23"/>
      <c r="H81" s="23"/>
      <c r="I81" s="181"/>
      <c r="J81" s="8" t="str">
        <f t="shared" si="22"/>
        <v/>
      </c>
      <c r="K81" s="2" t="str">
        <f t="shared" si="31"/>
        <v/>
      </c>
      <c r="L81" s="2" t="str">
        <f t="shared" si="23"/>
        <v/>
      </c>
      <c r="M81" s="2" t="str">
        <f t="shared" si="32"/>
        <v/>
      </c>
      <c r="N81" s="2" t="str">
        <f t="shared" si="40"/>
        <v/>
      </c>
      <c r="O81" s="2" t="str">
        <f t="shared" si="33"/>
        <v/>
      </c>
      <c r="P81" s="8" t="str">
        <f t="shared" si="34"/>
        <v/>
      </c>
      <c r="Q81" s="8" t="str">
        <f t="shared" si="35"/>
        <v/>
      </c>
      <c r="R81" s="111" t="str">
        <f t="shared" si="36"/>
        <v/>
      </c>
      <c r="S81" s="44" t="str">
        <f t="shared" si="37"/>
        <v/>
      </c>
      <c r="T81" s="37" t="str">
        <f t="shared" si="38"/>
        <v/>
      </c>
      <c r="U81" s="44" t="str">
        <f t="shared" si="39"/>
        <v/>
      </c>
      <c r="V81" s="26"/>
      <c r="W81" s="26"/>
      <c r="X81" s="26"/>
      <c r="Y81" s="26"/>
      <c r="Z81" s="24"/>
      <c r="AA81" s="169">
        <f t="shared" si="24"/>
        <v>0</v>
      </c>
      <c r="AB81" s="4">
        <f t="shared" si="25"/>
        <v>0</v>
      </c>
      <c r="AC81" s="170">
        <f t="shared" si="21"/>
        <v>0</v>
      </c>
      <c r="AD81" s="58"/>
      <c r="AE81" s="58"/>
      <c r="AF81" s="58"/>
      <c r="AG81" s="59">
        <f t="shared" si="26"/>
        <v>9.0359999999999996</v>
      </c>
      <c r="AH81" s="59">
        <f t="shared" si="27"/>
        <v>-184.49199999999999</v>
      </c>
      <c r="AJ81" s="4">
        <f>IF(D81="M",IF(AM81&lt;78,BMILMS!$D$5*AM81^3+BMILMS!$E$5*AM81^2+BMILMS!$F$5*AM81+BMILMS!$G$5,IF(AM81&lt;150,BMILMS!$D$6*AM81^3+BMILMS!$E$6*AM81^2+BMILMS!$F$6*AM81+BMILMS!$G$6,BMILMS!$D$7*AM81^3+BMILMS!$E$7*AM81^2+BMILMS!$F$7*AM81+BMILMS!$G$7)),IF(AM81&lt;69,BMILMS!$D$9*AM81^3+BMILMS!$E$9*AM81^2+BMILMS!$F$9*AM81+BMILMS!$G$9,IF(AM81&lt;150,BMILMS!$D$10*AM81^3+BMILMS!$E$10*AM81^2+BMILMS!$F$10*AM81+BMILMS!$G$10,BMILMS!$D$11*AM81^3+BMILMS!$E$11*AM81^2+BMILMS!$F$11*AM81+BMILMS!$G$11)))</f>
        <v>0.79584630099999998</v>
      </c>
      <c r="AK81" s="4">
        <f>IF(D81="M",(IF(AM81&lt;2.5,BMILMS!$D$21*AM81^3+BMILMS!$E$21*AM81^2+BMILMS!$F$21*AM81+BMILMS!$G$21,IF(AM81&lt;9.5,BMILMS!$D$22*AM81^3+BMILMS!$E$22*AM81^2+BMILMS!$F$22*AM81+BMILMS!$G$22,IF(AM81&lt;26.75,BMILMS!$D$23*AM81^3+BMILMS!$E$23*AM81^2+BMILMS!$F$23*AM81+BMILMS!$G$23,IF(AM81&lt;90,BMILMS!$D$24*AM81^3+BMILMS!$E$24*AM81^2+BMILMS!$F$24*AM81+BMILMS!$G$24,BMILMS!$D$25*AM81^3+BMILMS!$E$25*AM81^2+BMILMS!$F$25*AM81+BMILMS!$G$25))))),(IF(AM81&lt;2.5,BMILMS!$D$27*AM81^3+BMILMS!$E$27*AM81^2+BMILMS!$F$27*AM81+BMILMS!$G$27,IF(AM81&lt;9.5,BMILMS!$D$28*AM81^3+BMILMS!$E$28*AM81^2+BMILMS!$F$28*AM81+BMILMS!$G$28,IF(AM81&lt;26.75,BMILMS!$D$29*AM81^3+BMILMS!$E$29*AM81^2+BMILMS!$F$29*AM81+BMILMS!$G$29,IF(AM81&lt;90,BMILMS!$D$30*AM81^3+BMILMS!$E$30*AM81^2+BMILMS!$F$30*AM81+BMILMS!$G$30,IF(AM81&lt;150,BMILMS!$D$31*AM81^3+BMILMS!$E$31*AM81^2+BMILMS!$F$31*AM81+BMILMS!$G$31,BMILMS!$D$32*AM81^3+BMILMS!$E$32*AM81^2+BMILMS!$F$32*AM81+BMILMS!$G$32)))))))</f>
        <v>12.568967990000001</v>
      </c>
      <c r="AL81" s="4">
        <f>IF(D81="M",(IF(AM81&lt;90,BMILMS!$D$14*AM81^3+BMILMS!$E$14*AM81^2+BMILMS!$F$14*AM81+BMILMS!$G$14,BMILMS!$D$15*AM81^3+BMILMS!$E$15*AM81^2+BMILMS!$F$15*AM81+BMILMS!$G$15)),(IF(AM81&lt;90,BMILMS!$D$17*AM81^3+BMILMS!$E$17*AM81^2+BMILMS!$F$17*AM81+BMILMS!$G$17,BMILMS!$D$18*AM81^3+BMILMS!$E$18*AM81^2+BMILMS!$F$18*AM81+BMILMS!$G$18)))</f>
        <v>8.8969350000000003E-2</v>
      </c>
      <c r="AM81" s="4">
        <f t="shared" si="41"/>
        <v>0</v>
      </c>
      <c r="AO81" s="56">
        <f>IF(D81="M",WeightSDS!P$5*$AM81^7+WeightSDS!Q$5*$AM81^6+WeightSDS!R$5*$AM81^5+WeightSDS!S$5*$AM81^4+WeightSDS!T$5*$AM81^3+WeightSDS!U$5*$AM81^2+WeightSDS!V$5*$AM81+WeightSDS!W$5,IF($AM81&lt;186,WeightSDS!P$8*$AM81^7+WeightSDS!Q$8*$AM81^6+WeightSDS!R$8*$AM81^5+WeightSDS!S$8*$AM81^4+WeightSDS!T$8*$AM81^3+WeightSDS!U$8*$AM81^2+WeightSDS!V$8*$AM81+WeightSDS!W$8,WeightSDS!$U$9+WeightSDS!$V$9*($AM81-WeightSDS!$W$9)))</f>
        <v>0.75407122999999998</v>
      </c>
      <c r="AP81" s="4">
        <f>IF(D81="M",IF($AM81&lt;45,WeightSDS!M$23*$AM81^10+WeightSDS!N$23*$AM81^9+WeightSDS!O$23*$AM81^8+WeightSDS!P$23*$AM81^7+WeightSDS!Q$23*$AM81^6+WeightSDS!R$23*$AM81^5+WeightSDS!S$23*$AM81^4+WeightSDS!T$23*$AM81^3+WeightSDS!U$23*$AM81^2+WeightSDS!V$23*$AM81+WeightSDS!W$23,IF($AM81&lt;153,WeightSDS!M$25*$AM81^10+WeightSDS!N$25*$AM81^9+WeightSDS!O$25*$AM81^8+WeightSDS!P$25*$AM81^7+WeightSDS!Q$25*$AM81^6+WeightSDS!R$25*$AM81^5+WeightSDS!S$25*$AM81^4+WeightSDS!T$25*$AM81^3+WeightSDS!U$25*$AM81^2+WeightSDS!V$25*$AM81+WeightSDS!W$25,WeightSDS!M$27+WeightSDS!N$27/(1+EXP(WeightSDS!O$27+WeightSDS!P$27*$AM81)))),IF($AM81&lt;43.8,WeightSDS!M$29*$AM81^10+WeightSDS!N$29*$AM81^9+WeightSDS!O$29*$AM81^8+WeightSDS!P$29*$AM81^7+WeightSDS!Q$29*$AM81^6+WeightSDS!R$29*$AM81^5+WeightSDS!S$29*$AM81^4+WeightSDS!T$29*$AM81^3+WeightSDS!U$29*$AM81^2+WeightSDS!V$29*$AM81+WeightSDS!W$29-0.010431*(1-$AM81/210),IF($AM81&lt;123,WeightSDS!M$30*$AM81^10+WeightSDS!N$30*$AM81^9+WeightSDS!O$30*$AM81^8+WeightSDS!P$30*$AM81^7+WeightSDS!Q$30*$AM81^6+WeightSDS!R$30*$AM81^5+WeightSDS!S$30*$AM81^4+WeightSDS!T$30*$AM81^3+WeightSDS!U$30*$AM81^2+WeightSDS!V$30*$AM81+WeightSDS!W$30-0.010431*(1-1/$AM81),WeightSDS!M$32+WeightSDS!N$32/(1+EXP(WeightSDS!O$32+WeightSDS!P$32*$AM81))-0.010431*(1-$AM81/210))))</f>
        <v>2.9500001032655536</v>
      </c>
      <c r="AQ81" s="4">
        <f>IF(D81="M",IF($AM81&lt;162,WeightSDS!P$12*$AM81^7+WeightSDS!Q$12*$AM81^6+WeightSDS!R$12*$AM81^5+WeightSDS!S$12*$AM81^4+WeightSDS!T$12*$AM81^3+WeightSDS!U$12*$AM81^2+WeightSDS!V$12*$AM81+WeightSDS!W$12,WeightSDS!P$14*$AM81^7+WeightSDS!Q$14*$AM81^6+WeightSDS!R$14*$AM81^5+WeightSDS!S$14*$AM81^4+WeightSDS!T$14*$AM81^3+WeightSDS!U$14*$AM81^2+WeightSDS!V$14*$AM81+WeightSDS!W$14),IF($AM81&lt;156,WeightSDS!O$17*$AM81^8+WeightSDS!P$17*$AM81^7+WeightSDS!Q$17*$AM81^6+WeightSDS!R$17*$AM81^5+WeightSDS!S$17*$AM81^4+WeightSDS!T$17*$AM81^3+WeightSDS!U$17*$AM81^2+WeightSDS!V$17*$AM81+WeightSDS!W$17,IF($AM81&lt;186,WeightSDS!$U$18+(WeightSDS!$V$18-WeightSDS!$U$18)/24*($AM81-186)+WeightSDS!$W$18*(-$AM81+186)^2-0.005,WeightSDS!$U$18+(WeightSDS!$V$18-WeightSDS!$U$18)/24*($AM81-186)-0.005)))</f>
        <v>0.14604529399999999</v>
      </c>
      <c r="AT81" s="4">
        <f t="shared" si="28"/>
        <v>0.56299999999999994</v>
      </c>
      <c r="AU81" s="4">
        <f t="shared" si="29"/>
        <v>69</v>
      </c>
      <c r="AV81" s="4">
        <f t="shared" si="30"/>
        <v>0.51</v>
      </c>
    </row>
    <row r="82" spans="1:48" x14ac:dyDescent="0.15">
      <c r="A82" s="4"/>
      <c r="B82" s="21"/>
      <c r="C82" s="21"/>
      <c r="D82" s="21"/>
      <c r="E82" s="22"/>
      <c r="F82" s="22"/>
      <c r="G82" s="23"/>
      <c r="H82" s="23"/>
      <c r="I82" s="181"/>
      <c r="J82" s="8" t="str">
        <f t="shared" si="22"/>
        <v/>
      </c>
      <c r="K82" s="2" t="str">
        <f t="shared" si="31"/>
        <v/>
      </c>
      <c r="L82" s="2" t="str">
        <f t="shared" si="23"/>
        <v/>
      </c>
      <c r="M82" s="2" t="str">
        <f t="shared" si="32"/>
        <v/>
      </c>
      <c r="N82" s="2" t="str">
        <f t="shared" si="40"/>
        <v/>
      </c>
      <c r="O82" s="2" t="str">
        <f t="shared" si="33"/>
        <v/>
      </c>
      <c r="P82" s="8" t="str">
        <f t="shared" si="34"/>
        <v/>
      </c>
      <c r="Q82" s="8" t="str">
        <f t="shared" si="35"/>
        <v/>
      </c>
      <c r="R82" s="111" t="str">
        <f t="shared" si="36"/>
        <v/>
      </c>
      <c r="S82" s="44" t="str">
        <f t="shared" si="37"/>
        <v/>
      </c>
      <c r="T82" s="37" t="str">
        <f t="shared" si="38"/>
        <v/>
      </c>
      <c r="U82" s="44" t="str">
        <f t="shared" si="39"/>
        <v/>
      </c>
      <c r="V82" s="26"/>
      <c r="W82" s="26"/>
      <c r="X82" s="26"/>
      <c r="Y82" s="26"/>
      <c r="Z82" s="24"/>
      <c r="AA82" s="169">
        <f t="shared" si="24"/>
        <v>0</v>
      </c>
      <c r="AB82" s="4">
        <f t="shared" si="25"/>
        <v>0</v>
      </c>
      <c r="AC82" s="170">
        <f t="shared" si="21"/>
        <v>0</v>
      </c>
      <c r="AD82" s="58"/>
      <c r="AE82" s="58"/>
      <c r="AF82" s="58"/>
      <c r="AG82" s="59">
        <f t="shared" si="26"/>
        <v>9.0359999999999996</v>
      </c>
      <c r="AH82" s="59">
        <f t="shared" si="27"/>
        <v>-184.49199999999999</v>
      </c>
      <c r="AJ82" s="4">
        <f>IF(D82="M",IF(AM82&lt;78,BMILMS!$D$5*AM82^3+BMILMS!$E$5*AM82^2+BMILMS!$F$5*AM82+BMILMS!$G$5,IF(AM82&lt;150,BMILMS!$D$6*AM82^3+BMILMS!$E$6*AM82^2+BMILMS!$F$6*AM82+BMILMS!$G$6,BMILMS!$D$7*AM82^3+BMILMS!$E$7*AM82^2+BMILMS!$F$7*AM82+BMILMS!$G$7)),IF(AM82&lt;69,BMILMS!$D$9*AM82^3+BMILMS!$E$9*AM82^2+BMILMS!$F$9*AM82+BMILMS!$G$9,IF(AM82&lt;150,BMILMS!$D$10*AM82^3+BMILMS!$E$10*AM82^2+BMILMS!$F$10*AM82+BMILMS!$G$10,BMILMS!$D$11*AM82^3+BMILMS!$E$11*AM82^2+BMILMS!$F$11*AM82+BMILMS!$G$11)))</f>
        <v>0.79584630099999998</v>
      </c>
      <c r="AK82" s="4">
        <f>IF(D82="M",(IF(AM82&lt;2.5,BMILMS!$D$21*AM82^3+BMILMS!$E$21*AM82^2+BMILMS!$F$21*AM82+BMILMS!$G$21,IF(AM82&lt;9.5,BMILMS!$D$22*AM82^3+BMILMS!$E$22*AM82^2+BMILMS!$F$22*AM82+BMILMS!$G$22,IF(AM82&lt;26.75,BMILMS!$D$23*AM82^3+BMILMS!$E$23*AM82^2+BMILMS!$F$23*AM82+BMILMS!$G$23,IF(AM82&lt;90,BMILMS!$D$24*AM82^3+BMILMS!$E$24*AM82^2+BMILMS!$F$24*AM82+BMILMS!$G$24,BMILMS!$D$25*AM82^3+BMILMS!$E$25*AM82^2+BMILMS!$F$25*AM82+BMILMS!$G$25))))),(IF(AM82&lt;2.5,BMILMS!$D$27*AM82^3+BMILMS!$E$27*AM82^2+BMILMS!$F$27*AM82+BMILMS!$G$27,IF(AM82&lt;9.5,BMILMS!$D$28*AM82^3+BMILMS!$E$28*AM82^2+BMILMS!$F$28*AM82+BMILMS!$G$28,IF(AM82&lt;26.75,BMILMS!$D$29*AM82^3+BMILMS!$E$29*AM82^2+BMILMS!$F$29*AM82+BMILMS!$G$29,IF(AM82&lt;90,BMILMS!$D$30*AM82^3+BMILMS!$E$30*AM82^2+BMILMS!$F$30*AM82+BMILMS!$G$30,IF(AM82&lt;150,BMILMS!$D$31*AM82^3+BMILMS!$E$31*AM82^2+BMILMS!$F$31*AM82+BMILMS!$G$31,BMILMS!$D$32*AM82^3+BMILMS!$E$32*AM82^2+BMILMS!$F$32*AM82+BMILMS!$G$32)))))))</f>
        <v>12.568967990000001</v>
      </c>
      <c r="AL82" s="4">
        <f>IF(D82="M",(IF(AM82&lt;90,BMILMS!$D$14*AM82^3+BMILMS!$E$14*AM82^2+BMILMS!$F$14*AM82+BMILMS!$G$14,BMILMS!$D$15*AM82^3+BMILMS!$E$15*AM82^2+BMILMS!$F$15*AM82+BMILMS!$G$15)),(IF(AM82&lt;90,BMILMS!$D$17*AM82^3+BMILMS!$E$17*AM82^2+BMILMS!$F$17*AM82+BMILMS!$G$17,BMILMS!$D$18*AM82^3+BMILMS!$E$18*AM82^2+BMILMS!$F$18*AM82+BMILMS!$G$18)))</f>
        <v>8.8969350000000003E-2</v>
      </c>
      <c r="AM82" s="4">
        <f t="shared" si="41"/>
        <v>0</v>
      </c>
      <c r="AO82" s="56">
        <f>IF(D82="M",WeightSDS!P$5*$AM82^7+WeightSDS!Q$5*$AM82^6+WeightSDS!R$5*$AM82^5+WeightSDS!S$5*$AM82^4+WeightSDS!T$5*$AM82^3+WeightSDS!U$5*$AM82^2+WeightSDS!V$5*$AM82+WeightSDS!W$5,IF($AM82&lt;186,WeightSDS!P$8*$AM82^7+WeightSDS!Q$8*$AM82^6+WeightSDS!R$8*$AM82^5+WeightSDS!S$8*$AM82^4+WeightSDS!T$8*$AM82^3+WeightSDS!U$8*$AM82^2+WeightSDS!V$8*$AM82+WeightSDS!W$8,WeightSDS!$U$9+WeightSDS!$V$9*($AM82-WeightSDS!$W$9)))</f>
        <v>0.75407122999999998</v>
      </c>
      <c r="AP82" s="4">
        <f>IF(D82="M",IF($AM82&lt;45,WeightSDS!M$23*$AM82^10+WeightSDS!N$23*$AM82^9+WeightSDS!O$23*$AM82^8+WeightSDS!P$23*$AM82^7+WeightSDS!Q$23*$AM82^6+WeightSDS!R$23*$AM82^5+WeightSDS!S$23*$AM82^4+WeightSDS!T$23*$AM82^3+WeightSDS!U$23*$AM82^2+WeightSDS!V$23*$AM82+WeightSDS!W$23,IF($AM82&lt;153,WeightSDS!M$25*$AM82^10+WeightSDS!N$25*$AM82^9+WeightSDS!O$25*$AM82^8+WeightSDS!P$25*$AM82^7+WeightSDS!Q$25*$AM82^6+WeightSDS!R$25*$AM82^5+WeightSDS!S$25*$AM82^4+WeightSDS!T$25*$AM82^3+WeightSDS!U$25*$AM82^2+WeightSDS!V$25*$AM82+WeightSDS!W$25,WeightSDS!M$27+WeightSDS!N$27/(1+EXP(WeightSDS!O$27+WeightSDS!P$27*$AM82)))),IF($AM82&lt;43.8,WeightSDS!M$29*$AM82^10+WeightSDS!N$29*$AM82^9+WeightSDS!O$29*$AM82^8+WeightSDS!P$29*$AM82^7+WeightSDS!Q$29*$AM82^6+WeightSDS!R$29*$AM82^5+WeightSDS!S$29*$AM82^4+WeightSDS!T$29*$AM82^3+WeightSDS!U$29*$AM82^2+WeightSDS!V$29*$AM82+WeightSDS!W$29-0.010431*(1-$AM82/210),IF($AM82&lt;123,WeightSDS!M$30*$AM82^10+WeightSDS!N$30*$AM82^9+WeightSDS!O$30*$AM82^8+WeightSDS!P$30*$AM82^7+WeightSDS!Q$30*$AM82^6+WeightSDS!R$30*$AM82^5+WeightSDS!S$30*$AM82^4+WeightSDS!T$30*$AM82^3+WeightSDS!U$30*$AM82^2+WeightSDS!V$30*$AM82+WeightSDS!W$30-0.010431*(1-1/$AM82),WeightSDS!M$32+WeightSDS!N$32/(1+EXP(WeightSDS!O$32+WeightSDS!P$32*$AM82))-0.010431*(1-$AM82/210))))</f>
        <v>2.9500001032655536</v>
      </c>
      <c r="AQ82" s="4">
        <f>IF(D82="M",IF($AM82&lt;162,WeightSDS!P$12*$AM82^7+WeightSDS!Q$12*$AM82^6+WeightSDS!R$12*$AM82^5+WeightSDS!S$12*$AM82^4+WeightSDS!T$12*$AM82^3+WeightSDS!U$12*$AM82^2+WeightSDS!V$12*$AM82+WeightSDS!W$12,WeightSDS!P$14*$AM82^7+WeightSDS!Q$14*$AM82^6+WeightSDS!R$14*$AM82^5+WeightSDS!S$14*$AM82^4+WeightSDS!T$14*$AM82^3+WeightSDS!U$14*$AM82^2+WeightSDS!V$14*$AM82+WeightSDS!W$14),IF($AM82&lt;156,WeightSDS!O$17*$AM82^8+WeightSDS!P$17*$AM82^7+WeightSDS!Q$17*$AM82^6+WeightSDS!R$17*$AM82^5+WeightSDS!S$17*$AM82^4+WeightSDS!T$17*$AM82^3+WeightSDS!U$17*$AM82^2+WeightSDS!V$17*$AM82+WeightSDS!W$17,IF($AM82&lt;186,WeightSDS!$U$18+(WeightSDS!$V$18-WeightSDS!$U$18)/24*($AM82-186)+WeightSDS!$W$18*(-$AM82+186)^2-0.005,WeightSDS!$U$18+(WeightSDS!$V$18-WeightSDS!$U$18)/24*($AM82-186)-0.005)))</f>
        <v>0.14604529399999999</v>
      </c>
      <c r="AT82" s="4">
        <f t="shared" si="28"/>
        <v>0.56299999999999994</v>
      </c>
      <c r="AU82" s="4">
        <f t="shared" si="29"/>
        <v>69</v>
      </c>
      <c r="AV82" s="4">
        <f t="shared" si="30"/>
        <v>0.51</v>
      </c>
    </row>
    <row r="83" spans="1:48" x14ac:dyDescent="0.15">
      <c r="A83" s="4"/>
      <c r="B83" s="21"/>
      <c r="C83" s="21"/>
      <c r="D83" s="21"/>
      <c r="E83" s="22"/>
      <c r="F83" s="22"/>
      <c r="G83" s="23"/>
      <c r="H83" s="23"/>
      <c r="I83" s="181"/>
      <c r="J83" s="8" t="str">
        <f t="shared" si="22"/>
        <v/>
      </c>
      <c r="K83" s="2" t="str">
        <f t="shared" si="31"/>
        <v/>
      </c>
      <c r="L83" s="2" t="str">
        <f t="shared" si="23"/>
        <v/>
      </c>
      <c r="M83" s="2" t="str">
        <f t="shared" si="32"/>
        <v/>
      </c>
      <c r="N83" s="2" t="str">
        <f t="shared" si="40"/>
        <v/>
      </c>
      <c r="O83" s="2" t="str">
        <f t="shared" si="33"/>
        <v/>
      </c>
      <c r="P83" s="8" t="str">
        <f t="shared" si="34"/>
        <v/>
      </c>
      <c r="Q83" s="8" t="str">
        <f t="shared" si="35"/>
        <v/>
      </c>
      <c r="R83" s="111" t="str">
        <f t="shared" si="36"/>
        <v/>
      </c>
      <c r="S83" s="44" t="str">
        <f t="shared" si="37"/>
        <v/>
      </c>
      <c r="T83" s="37" t="str">
        <f t="shared" si="38"/>
        <v/>
      </c>
      <c r="U83" s="44" t="str">
        <f t="shared" si="39"/>
        <v/>
      </c>
      <c r="V83" s="26"/>
      <c r="W83" s="26"/>
      <c r="X83" s="26"/>
      <c r="Y83" s="26"/>
      <c r="Z83" s="24"/>
      <c r="AA83" s="169">
        <f t="shared" si="24"/>
        <v>0</v>
      </c>
      <c r="AB83" s="4">
        <f t="shared" si="25"/>
        <v>0</v>
      </c>
      <c r="AC83" s="170">
        <f t="shared" si="21"/>
        <v>0</v>
      </c>
      <c r="AD83" s="58"/>
      <c r="AE83" s="58"/>
      <c r="AF83" s="58"/>
      <c r="AG83" s="59">
        <f t="shared" si="26"/>
        <v>9.0359999999999996</v>
      </c>
      <c r="AH83" s="59">
        <f t="shared" si="27"/>
        <v>-184.49199999999999</v>
      </c>
      <c r="AJ83" s="4">
        <f>IF(D83="M",IF(AM83&lt;78,BMILMS!$D$5*AM83^3+BMILMS!$E$5*AM83^2+BMILMS!$F$5*AM83+BMILMS!$G$5,IF(AM83&lt;150,BMILMS!$D$6*AM83^3+BMILMS!$E$6*AM83^2+BMILMS!$F$6*AM83+BMILMS!$G$6,BMILMS!$D$7*AM83^3+BMILMS!$E$7*AM83^2+BMILMS!$F$7*AM83+BMILMS!$G$7)),IF(AM83&lt;69,BMILMS!$D$9*AM83^3+BMILMS!$E$9*AM83^2+BMILMS!$F$9*AM83+BMILMS!$G$9,IF(AM83&lt;150,BMILMS!$D$10*AM83^3+BMILMS!$E$10*AM83^2+BMILMS!$F$10*AM83+BMILMS!$G$10,BMILMS!$D$11*AM83^3+BMILMS!$E$11*AM83^2+BMILMS!$F$11*AM83+BMILMS!$G$11)))</f>
        <v>0.79584630099999998</v>
      </c>
      <c r="AK83" s="4">
        <f>IF(D83="M",(IF(AM83&lt;2.5,BMILMS!$D$21*AM83^3+BMILMS!$E$21*AM83^2+BMILMS!$F$21*AM83+BMILMS!$G$21,IF(AM83&lt;9.5,BMILMS!$D$22*AM83^3+BMILMS!$E$22*AM83^2+BMILMS!$F$22*AM83+BMILMS!$G$22,IF(AM83&lt;26.75,BMILMS!$D$23*AM83^3+BMILMS!$E$23*AM83^2+BMILMS!$F$23*AM83+BMILMS!$G$23,IF(AM83&lt;90,BMILMS!$D$24*AM83^3+BMILMS!$E$24*AM83^2+BMILMS!$F$24*AM83+BMILMS!$G$24,BMILMS!$D$25*AM83^3+BMILMS!$E$25*AM83^2+BMILMS!$F$25*AM83+BMILMS!$G$25))))),(IF(AM83&lt;2.5,BMILMS!$D$27*AM83^3+BMILMS!$E$27*AM83^2+BMILMS!$F$27*AM83+BMILMS!$G$27,IF(AM83&lt;9.5,BMILMS!$D$28*AM83^3+BMILMS!$E$28*AM83^2+BMILMS!$F$28*AM83+BMILMS!$G$28,IF(AM83&lt;26.75,BMILMS!$D$29*AM83^3+BMILMS!$E$29*AM83^2+BMILMS!$F$29*AM83+BMILMS!$G$29,IF(AM83&lt;90,BMILMS!$D$30*AM83^3+BMILMS!$E$30*AM83^2+BMILMS!$F$30*AM83+BMILMS!$G$30,IF(AM83&lt;150,BMILMS!$D$31*AM83^3+BMILMS!$E$31*AM83^2+BMILMS!$F$31*AM83+BMILMS!$G$31,BMILMS!$D$32*AM83^3+BMILMS!$E$32*AM83^2+BMILMS!$F$32*AM83+BMILMS!$G$32)))))))</f>
        <v>12.568967990000001</v>
      </c>
      <c r="AL83" s="4">
        <f>IF(D83="M",(IF(AM83&lt;90,BMILMS!$D$14*AM83^3+BMILMS!$E$14*AM83^2+BMILMS!$F$14*AM83+BMILMS!$G$14,BMILMS!$D$15*AM83^3+BMILMS!$E$15*AM83^2+BMILMS!$F$15*AM83+BMILMS!$G$15)),(IF(AM83&lt;90,BMILMS!$D$17*AM83^3+BMILMS!$E$17*AM83^2+BMILMS!$F$17*AM83+BMILMS!$G$17,BMILMS!$D$18*AM83^3+BMILMS!$E$18*AM83^2+BMILMS!$F$18*AM83+BMILMS!$G$18)))</f>
        <v>8.8969350000000003E-2</v>
      </c>
      <c r="AM83" s="4">
        <f t="shared" si="41"/>
        <v>0</v>
      </c>
      <c r="AO83" s="56">
        <f>IF(D83="M",WeightSDS!P$5*$AM83^7+WeightSDS!Q$5*$AM83^6+WeightSDS!R$5*$AM83^5+WeightSDS!S$5*$AM83^4+WeightSDS!T$5*$AM83^3+WeightSDS!U$5*$AM83^2+WeightSDS!V$5*$AM83+WeightSDS!W$5,IF($AM83&lt;186,WeightSDS!P$8*$AM83^7+WeightSDS!Q$8*$AM83^6+WeightSDS!R$8*$AM83^5+WeightSDS!S$8*$AM83^4+WeightSDS!T$8*$AM83^3+WeightSDS!U$8*$AM83^2+WeightSDS!V$8*$AM83+WeightSDS!W$8,WeightSDS!$U$9+WeightSDS!$V$9*($AM83-WeightSDS!$W$9)))</f>
        <v>0.75407122999999998</v>
      </c>
      <c r="AP83" s="4">
        <f>IF(D83="M",IF($AM83&lt;45,WeightSDS!M$23*$AM83^10+WeightSDS!N$23*$AM83^9+WeightSDS!O$23*$AM83^8+WeightSDS!P$23*$AM83^7+WeightSDS!Q$23*$AM83^6+WeightSDS!R$23*$AM83^5+WeightSDS!S$23*$AM83^4+WeightSDS!T$23*$AM83^3+WeightSDS!U$23*$AM83^2+WeightSDS!V$23*$AM83+WeightSDS!W$23,IF($AM83&lt;153,WeightSDS!M$25*$AM83^10+WeightSDS!N$25*$AM83^9+WeightSDS!O$25*$AM83^8+WeightSDS!P$25*$AM83^7+WeightSDS!Q$25*$AM83^6+WeightSDS!R$25*$AM83^5+WeightSDS!S$25*$AM83^4+WeightSDS!T$25*$AM83^3+WeightSDS!U$25*$AM83^2+WeightSDS!V$25*$AM83+WeightSDS!W$25,WeightSDS!M$27+WeightSDS!N$27/(1+EXP(WeightSDS!O$27+WeightSDS!P$27*$AM83)))),IF($AM83&lt;43.8,WeightSDS!M$29*$AM83^10+WeightSDS!N$29*$AM83^9+WeightSDS!O$29*$AM83^8+WeightSDS!P$29*$AM83^7+WeightSDS!Q$29*$AM83^6+WeightSDS!R$29*$AM83^5+WeightSDS!S$29*$AM83^4+WeightSDS!T$29*$AM83^3+WeightSDS!U$29*$AM83^2+WeightSDS!V$29*$AM83+WeightSDS!W$29-0.010431*(1-$AM83/210),IF($AM83&lt;123,WeightSDS!M$30*$AM83^10+WeightSDS!N$30*$AM83^9+WeightSDS!O$30*$AM83^8+WeightSDS!P$30*$AM83^7+WeightSDS!Q$30*$AM83^6+WeightSDS!R$30*$AM83^5+WeightSDS!S$30*$AM83^4+WeightSDS!T$30*$AM83^3+WeightSDS!U$30*$AM83^2+WeightSDS!V$30*$AM83+WeightSDS!W$30-0.010431*(1-1/$AM83),WeightSDS!M$32+WeightSDS!N$32/(1+EXP(WeightSDS!O$32+WeightSDS!P$32*$AM83))-0.010431*(1-$AM83/210))))</f>
        <v>2.9500001032655536</v>
      </c>
      <c r="AQ83" s="4">
        <f>IF(D83="M",IF($AM83&lt;162,WeightSDS!P$12*$AM83^7+WeightSDS!Q$12*$AM83^6+WeightSDS!R$12*$AM83^5+WeightSDS!S$12*$AM83^4+WeightSDS!T$12*$AM83^3+WeightSDS!U$12*$AM83^2+WeightSDS!V$12*$AM83+WeightSDS!W$12,WeightSDS!P$14*$AM83^7+WeightSDS!Q$14*$AM83^6+WeightSDS!R$14*$AM83^5+WeightSDS!S$14*$AM83^4+WeightSDS!T$14*$AM83^3+WeightSDS!U$14*$AM83^2+WeightSDS!V$14*$AM83+WeightSDS!W$14),IF($AM83&lt;156,WeightSDS!O$17*$AM83^8+WeightSDS!P$17*$AM83^7+WeightSDS!Q$17*$AM83^6+WeightSDS!R$17*$AM83^5+WeightSDS!S$17*$AM83^4+WeightSDS!T$17*$AM83^3+WeightSDS!U$17*$AM83^2+WeightSDS!V$17*$AM83+WeightSDS!W$17,IF($AM83&lt;186,WeightSDS!$U$18+(WeightSDS!$V$18-WeightSDS!$U$18)/24*($AM83-186)+WeightSDS!$W$18*(-$AM83+186)^2-0.005,WeightSDS!$U$18+(WeightSDS!$V$18-WeightSDS!$U$18)/24*($AM83-186)-0.005)))</f>
        <v>0.14604529399999999</v>
      </c>
      <c r="AT83" s="4">
        <f t="shared" si="28"/>
        <v>0.56299999999999994</v>
      </c>
      <c r="AU83" s="4">
        <f t="shared" si="29"/>
        <v>69</v>
      </c>
      <c r="AV83" s="4">
        <f t="shared" si="30"/>
        <v>0.51</v>
      </c>
    </row>
    <row r="84" spans="1:48" x14ac:dyDescent="0.15">
      <c r="A84" s="4"/>
      <c r="B84" s="21"/>
      <c r="C84" s="21"/>
      <c r="D84" s="21"/>
      <c r="E84" s="22"/>
      <c r="F84" s="22"/>
      <c r="G84" s="23"/>
      <c r="H84" s="23"/>
      <c r="I84" s="181"/>
      <c r="J84" s="8" t="str">
        <f t="shared" si="22"/>
        <v/>
      </c>
      <c r="K84" s="2" t="str">
        <f t="shared" si="31"/>
        <v/>
      </c>
      <c r="L84" s="2" t="str">
        <f t="shared" si="23"/>
        <v/>
      </c>
      <c r="M84" s="2" t="str">
        <f t="shared" si="32"/>
        <v/>
      </c>
      <c r="N84" s="2" t="str">
        <f t="shared" si="40"/>
        <v/>
      </c>
      <c r="O84" s="2" t="str">
        <f t="shared" si="33"/>
        <v/>
      </c>
      <c r="P84" s="8" t="str">
        <f t="shared" si="34"/>
        <v/>
      </c>
      <c r="Q84" s="8" t="str">
        <f t="shared" si="35"/>
        <v/>
      </c>
      <c r="R84" s="111" t="str">
        <f t="shared" si="36"/>
        <v/>
      </c>
      <c r="S84" s="44" t="str">
        <f t="shared" si="37"/>
        <v/>
      </c>
      <c r="T84" s="37" t="str">
        <f t="shared" si="38"/>
        <v/>
      </c>
      <c r="U84" s="44" t="str">
        <f t="shared" si="39"/>
        <v/>
      </c>
      <c r="V84" s="26"/>
      <c r="W84" s="26"/>
      <c r="X84" s="26"/>
      <c r="Y84" s="26"/>
      <c r="Z84" s="24"/>
      <c r="AA84" s="169">
        <f t="shared" si="24"/>
        <v>0</v>
      </c>
      <c r="AB84" s="4">
        <f t="shared" si="25"/>
        <v>0</v>
      </c>
      <c r="AC84" s="170">
        <f t="shared" si="21"/>
        <v>0</v>
      </c>
      <c r="AD84" s="58"/>
      <c r="AE84" s="58"/>
      <c r="AF84" s="58"/>
      <c r="AG84" s="59">
        <f t="shared" si="26"/>
        <v>9.0359999999999996</v>
      </c>
      <c r="AH84" s="59">
        <f t="shared" si="27"/>
        <v>-184.49199999999999</v>
      </c>
      <c r="AJ84" s="4">
        <f>IF(D84="M",IF(AM84&lt;78,BMILMS!$D$5*AM84^3+BMILMS!$E$5*AM84^2+BMILMS!$F$5*AM84+BMILMS!$G$5,IF(AM84&lt;150,BMILMS!$D$6*AM84^3+BMILMS!$E$6*AM84^2+BMILMS!$F$6*AM84+BMILMS!$G$6,BMILMS!$D$7*AM84^3+BMILMS!$E$7*AM84^2+BMILMS!$F$7*AM84+BMILMS!$G$7)),IF(AM84&lt;69,BMILMS!$D$9*AM84^3+BMILMS!$E$9*AM84^2+BMILMS!$F$9*AM84+BMILMS!$G$9,IF(AM84&lt;150,BMILMS!$D$10*AM84^3+BMILMS!$E$10*AM84^2+BMILMS!$F$10*AM84+BMILMS!$G$10,BMILMS!$D$11*AM84^3+BMILMS!$E$11*AM84^2+BMILMS!$F$11*AM84+BMILMS!$G$11)))</f>
        <v>0.79584630099999998</v>
      </c>
      <c r="AK84" s="4">
        <f>IF(D84="M",(IF(AM84&lt;2.5,BMILMS!$D$21*AM84^3+BMILMS!$E$21*AM84^2+BMILMS!$F$21*AM84+BMILMS!$G$21,IF(AM84&lt;9.5,BMILMS!$D$22*AM84^3+BMILMS!$E$22*AM84^2+BMILMS!$F$22*AM84+BMILMS!$G$22,IF(AM84&lt;26.75,BMILMS!$D$23*AM84^3+BMILMS!$E$23*AM84^2+BMILMS!$F$23*AM84+BMILMS!$G$23,IF(AM84&lt;90,BMILMS!$D$24*AM84^3+BMILMS!$E$24*AM84^2+BMILMS!$F$24*AM84+BMILMS!$G$24,BMILMS!$D$25*AM84^3+BMILMS!$E$25*AM84^2+BMILMS!$F$25*AM84+BMILMS!$G$25))))),(IF(AM84&lt;2.5,BMILMS!$D$27*AM84^3+BMILMS!$E$27*AM84^2+BMILMS!$F$27*AM84+BMILMS!$G$27,IF(AM84&lt;9.5,BMILMS!$D$28*AM84^3+BMILMS!$E$28*AM84^2+BMILMS!$F$28*AM84+BMILMS!$G$28,IF(AM84&lt;26.75,BMILMS!$D$29*AM84^3+BMILMS!$E$29*AM84^2+BMILMS!$F$29*AM84+BMILMS!$G$29,IF(AM84&lt;90,BMILMS!$D$30*AM84^3+BMILMS!$E$30*AM84^2+BMILMS!$F$30*AM84+BMILMS!$G$30,IF(AM84&lt;150,BMILMS!$D$31*AM84^3+BMILMS!$E$31*AM84^2+BMILMS!$F$31*AM84+BMILMS!$G$31,BMILMS!$D$32*AM84^3+BMILMS!$E$32*AM84^2+BMILMS!$F$32*AM84+BMILMS!$G$32)))))))</f>
        <v>12.568967990000001</v>
      </c>
      <c r="AL84" s="4">
        <f>IF(D84="M",(IF(AM84&lt;90,BMILMS!$D$14*AM84^3+BMILMS!$E$14*AM84^2+BMILMS!$F$14*AM84+BMILMS!$G$14,BMILMS!$D$15*AM84^3+BMILMS!$E$15*AM84^2+BMILMS!$F$15*AM84+BMILMS!$G$15)),(IF(AM84&lt;90,BMILMS!$D$17*AM84^3+BMILMS!$E$17*AM84^2+BMILMS!$F$17*AM84+BMILMS!$G$17,BMILMS!$D$18*AM84^3+BMILMS!$E$18*AM84^2+BMILMS!$F$18*AM84+BMILMS!$G$18)))</f>
        <v>8.8969350000000003E-2</v>
      </c>
      <c r="AM84" s="4">
        <f t="shared" si="41"/>
        <v>0</v>
      </c>
      <c r="AO84" s="56">
        <f>IF(D84="M",WeightSDS!P$5*$AM84^7+WeightSDS!Q$5*$AM84^6+WeightSDS!R$5*$AM84^5+WeightSDS!S$5*$AM84^4+WeightSDS!T$5*$AM84^3+WeightSDS!U$5*$AM84^2+WeightSDS!V$5*$AM84+WeightSDS!W$5,IF($AM84&lt;186,WeightSDS!P$8*$AM84^7+WeightSDS!Q$8*$AM84^6+WeightSDS!R$8*$AM84^5+WeightSDS!S$8*$AM84^4+WeightSDS!T$8*$AM84^3+WeightSDS!U$8*$AM84^2+WeightSDS!V$8*$AM84+WeightSDS!W$8,WeightSDS!$U$9+WeightSDS!$V$9*($AM84-WeightSDS!$W$9)))</f>
        <v>0.75407122999999998</v>
      </c>
      <c r="AP84" s="4">
        <f>IF(D84="M",IF($AM84&lt;45,WeightSDS!M$23*$AM84^10+WeightSDS!N$23*$AM84^9+WeightSDS!O$23*$AM84^8+WeightSDS!P$23*$AM84^7+WeightSDS!Q$23*$AM84^6+WeightSDS!R$23*$AM84^5+WeightSDS!S$23*$AM84^4+WeightSDS!T$23*$AM84^3+WeightSDS!U$23*$AM84^2+WeightSDS!V$23*$AM84+WeightSDS!W$23,IF($AM84&lt;153,WeightSDS!M$25*$AM84^10+WeightSDS!N$25*$AM84^9+WeightSDS!O$25*$AM84^8+WeightSDS!P$25*$AM84^7+WeightSDS!Q$25*$AM84^6+WeightSDS!R$25*$AM84^5+WeightSDS!S$25*$AM84^4+WeightSDS!T$25*$AM84^3+WeightSDS!U$25*$AM84^2+WeightSDS!V$25*$AM84+WeightSDS!W$25,WeightSDS!M$27+WeightSDS!N$27/(1+EXP(WeightSDS!O$27+WeightSDS!P$27*$AM84)))),IF($AM84&lt;43.8,WeightSDS!M$29*$AM84^10+WeightSDS!N$29*$AM84^9+WeightSDS!O$29*$AM84^8+WeightSDS!P$29*$AM84^7+WeightSDS!Q$29*$AM84^6+WeightSDS!R$29*$AM84^5+WeightSDS!S$29*$AM84^4+WeightSDS!T$29*$AM84^3+WeightSDS!U$29*$AM84^2+WeightSDS!V$29*$AM84+WeightSDS!W$29-0.010431*(1-$AM84/210),IF($AM84&lt;123,WeightSDS!M$30*$AM84^10+WeightSDS!N$30*$AM84^9+WeightSDS!O$30*$AM84^8+WeightSDS!P$30*$AM84^7+WeightSDS!Q$30*$AM84^6+WeightSDS!R$30*$AM84^5+WeightSDS!S$30*$AM84^4+WeightSDS!T$30*$AM84^3+WeightSDS!U$30*$AM84^2+WeightSDS!V$30*$AM84+WeightSDS!W$30-0.010431*(1-1/$AM84),WeightSDS!M$32+WeightSDS!N$32/(1+EXP(WeightSDS!O$32+WeightSDS!P$32*$AM84))-0.010431*(1-$AM84/210))))</f>
        <v>2.9500001032655536</v>
      </c>
      <c r="AQ84" s="4">
        <f>IF(D84="M",IF($AM84&lt;162,WeightSDS!P$12*$AM84^7+WeightSDS!Q$12*$AM84^6+WeightSDS!R$12*$AM84^5+WeightSDS!S$12*$AM84^4+WeightSDS!T$12*$AM84^3+WeightSDS!U$12*$AM84^2+WeightSDS!V$12*$AM84+WeightSDS!W$12,WeightSDS!P$14*$AM84^7+WeightSDS!Q$14*$AM84^6+WeightSDS!R$14*$AM84^5+WeightSDS!S$14*$AM84^4+WeightSDS!T$14*$AM84^3+WeightSDS!U$14*$AM84^2+WeightSDS!V$14*$AM84+WeightSDS!W$14),IF($AM84&lt;156,WeightSDS!O$17*$AM84^8+WeightSDS!P$17*$AM84^7+WeightSDS!Q$17*$AM84^6+WeightSDS!R$17*$AM84^5+WeightSDS!S$17*$AM84^4+WeightSDS!T$17*$AM84^3+WeightSDS!U$17*$AM84^2+WeightSDS!V$17*$AM84+WeightSDS!W$17,IF($AM84&lt;186,WeightSDS!$U$18+(WeightSDS!$V$18-WeightSDS!$U$18)/24*($AM84-186)+WeightSDS!$W$18*(-$AM84+186)^2-0.005,WeightSDS!$U$18+(WeightSDS!$V$18-WeightSDS!$U$18)/24*($AM84-186)-0.005)))</f>
        <v>0.14604529399999999</v>
      </c>
      <c r="AT84" s="4">
        <f t="shared" si="28"/>
        <v>0.56299999999999994</v>
      </c>
      <c r="AU84" s="4">
        <f t="shared" si="29"/>
        <v>69</v>
      </c>
      <c r="AV84" s="4">
        <f t="shared" si="30"/>
        <v>0.51</v>
      </c>
    </row>
    <row r="85" spans="1:48" x14ac:dyDescent="0.15">
      <c r="A85" s="4"/>
      <c r="B85" s="21"/>
      <c r="C85" s="21"/>
      <c r="D85" s="21"/>
      <c r="E85" s="22"/>
      <c r="F85" s="22"/>
      <c r="G85" s="23"/>
      <c r="H85" s="23"/>
      <c r="I85" s="181"/>
      <c r="J85" s="8" t="str">
        <f t="shared" si="22"/>
        <v/>
      </c>
      <c r="K85" s="2" t="str">
        <f t="shared" si="31"/>
        <v/>
      </c>
      <c r="L85" s="2" t="str">
        <f t="shared" si="23"/>
        <v/>
      </c>
      <c r="M85" s="2" t="str">
        <f t="shared" si="32"/>
        <v/>
      </c>
      <c r="N85" s="2" t="str">
        <f t="shared" si="40"/>
        <v/>
      </c>
      <c r="O85" s="2" t="str">
        <f t="shared" si="33"/>
        <v/>
      </c>
      <c r="P85" s="8" t="str">
        <f t="shared" si="34"/>
        <v/>
      </c>
      <c r="Q85" s="8" t="str">
        <f t="shared" si="35"/>
        <v/>
      </c>
      <c r="R85" s="111" t="str">
        <f t="shared" si="36"/>
        <v/>
      </c>
      <c r="S85" s="44" t="str">
        <f t="shared" si="37"/>
        <v/>
      </c>
      <c r="T85" s="37" t="str">
        <f t="shared" si="38"/>
        <v/>
      </c>
      <c r="U85" s="44" t="str">
        <f t="shared" si="39"/>
        <v/>
      </c>
      <c r="V85" s="26"/>
      <c r="W85" s="26"/>
      <c r="X85" s="26"/>
      <c r="Y85" s="26"/>
      <c r="Z85" s="24"/>
      <c r="AA85" s="169">
        <f t="shared" si="24"/>
        <v>0</v>
      </c>
      <c r="AB85" s="4">
        <f t="shared" si="25"/>
        <v>0</v>
      </c>
      <c r="AC85" s="170">
        <f t="shared" si="21"/>
        <v>0</v>
      </c>
      <c r="AD85" s="58"/>
      <c r="AE85" s="58"/>
      <c r="AF85" s="58"/>
      <c r="AG85" s="59">
        <f t="shared" si="26"/>
        <v>9.0359999999999996</v>
      </c>
      <c r="AH85" s="59">
        <f t="shared" si="27"/>
        <v>-184.49199999999999</v>
      </c>
      <c r="AJ85" s="4">
        <f>IF(D85="M",IF(AM85&lt;78,BMILMS!$D$5*AM85^3+BMILMS!$E$5*AM85^2+BMILMS!$F$5*AM85+BMILMS!$G$5,IF(AM85&lt;150,BMILMS!$D$6*AM85^3+BMILMS!$E$6*AM85^2+BMILMS!$F$6*AM85+BMILMS!$G$6,BMILMS!$D$7*AM85^3+BMILMS!$E$7*AM85^2+BMILMS!$F$7*AM85+BMILMS!$G$7)),IF(AM85&lt;69,BMILMS!$D$9*AM85^3+BMILMS!$E$9*AM85^2+BMILMS!$F$9*AM85+BMILMS!$G$9,IF(AM85&lt;150,BMILMS!$D$10*AM85^3+BMILMS!$E$10*AM85^2+BMILMS!$F$10*AM85+BMILMS!$G$10,BMILMS!$D$11*AM85^3+BMILMS!$E$11*AM85^2+BMILMS!$F$11*AM85+BMILMS!$G$11)))</f>
        <v>0.79584630099999998</v>
      </c>
      <c r="AK85" s="4">
        <f>IF(D85="M",(IF(AM85&lt;2.5,BMILMS!$D$21*AM85^3+BMILMS!$E$21*AM85^2+BMILMS!$F$21*AM85+BMILMS!$G$21,IF(AM85&lt;9.5,BMILMS!$D$22*AM85^3+BMILMS!$E$22*AM85^2+BMILMS!$F$22*AM85+BMILMS!$G$22,IF(AM85&lt;26.75,BMILMS!$D$23*AM85^3+BMILMS!$E$23*AM85^2+BMILMS!$F$23*AM85+BMILMS!$G$23,IF(AM85&lt;90,BMILMS!$D$24*AM85^3+BMILMS!$E$24*AM85^2+BMILMS!$F$24*AM85+BMILMS!$G$24,BMILMS!$D$25*AM85^3+BMILMS!$E$25*AM85^2+BMILMS!$F$25*AM85+BMILMS!$G$25))))),(IF(AM85&lt;2.5,BMILMS!$D$27*AM85^3+BMILMS!$E$27*AM85^2+BMILMS!$F$27*AM85+BMILMS!$G$27,IF(AM85&lt;9.5,BMILMS!$D$28*AM85^3+BMILMS!$E$28*AM85^2+BMILMS!$F$28*AM85+BMILMS!$G$28,IF(AM85&lt;26.75,BMILMS!$D$29*AM85^3+BMILMS!$E$29*AM85^2+BMILMS!$F$29*AM85+BMILMS!$G$29,IF(AM85&lt;90,BMILMS!$D$30*AM85^3+BMILMS!$E$30*AM85^2+BMILMS!$F$30*AM85+BMILMS!$G$30,IF(AM85&lt;150,BMILMS!$D$31*AM85^3+BMILMS!$E$31*AM85^2+BMILMS!$F$31*AM85+BMILMS!$G$31,BMILMS!$D$32*AM85^3+BMILMS!$E$32*AM85^2+BMILMS!$F$32*AM85+BMILMS!$G$32)))))))</f>
        <v>12.568967990000001</v>
      </c>
      <c r="AL85" s="4">
        <f>IF(D85="M",(IF(AM85&lt;90,BMILMS!$D$14*AM85^3+BMILMS!$E$14*AM85^2+BMILMS!$F$14*AM85+BMILMS!$G$14,BMILMS!$D$15*AM85^3+BMILMS!$E$15*AM85^2+BMILMS!$F$15*AM85+BMILMS!$G$15)),(IF(AM85&lt;90,BMILMS!$D$17*AM85^3+BMILMS!$E$17*AM85^2+BMILMS!$F$17*AM85+BMILMS!$G$17,BMILMS!$D$18*AM85^3+BMILMS!$E$18*AM85^2+BMILMS!$F$18*AM85+BMILMS!$G$18)))</f>
        <v>8.8969350000000003E-2</v>
      </c>
      <c r="AM85" s="4">
        <f t="shared" si="41"/>
        <v>0</v>
      </c>
      <c r="AO85" s="56">
        <f>IF(D85="M",WeightSDS!P$5*$AM85^7+WeightSDS!Q$5*$AM85^6+WeightSDS!R$5*$AM85^5+WeightSDS!S$5*$AM85^4+WeightSDS!T$5*$AM85^3+WeightSDS!U$5*$AM85^2+WeightSDS!V$5*$AM85+WeightSDS!W$5,IF($AM85&lt;186,WeightSDS!P$8*$AM85^7+WeightSDS!Q$8*$AM85^6+WeightSDS!R$8*$AM85^5+WeightSDS!S$8*$AM85^4+WeightSDS!T$8*$AM85^3+WeightSDS!U$8*$AM85^2+WeightSDS!V$8*$AM85+WeightSDS!W$8,WeightSDS!$U$9+WeightSDS!$V$9*($AM85-WeightSDS!$W$9)))</f>
        <v>0.75407122999999998</v>
      </c>
      <c r="AP85" s="4">
        <f>IF(D85="M",IF($AM85&lt;45,WeightSDS!M$23*$AM85^10+WeightSDS!N$23*$AM85^9+WeightSDS!O$23*$AM85^8+WeightSDS!P$23*$AM85^7+WeightSDS!Q$23*$AM85^6+WeightSDS!R$23*$AM85^5+WeightSDS!S$23*$AM85^4+WeightSDS!T$23*$AM85^3+WeightSDS!U$23*$AM85^2+WeightSDS!V$23*$AM85+WeightSDS!W$23,IF($AM85&lt;153,WeightSDS!M$25*$AM85^10+WeightSDS!N$25*$AM85^9+WeightSDS!O$25*$AM85^8+WeightSDS!P$25*$AM85^7+WeightSDS!Q$25*$AM85^6+WeightSDS!R$25*$AM85^5+WeightSDS!S$25*$AM85^4+WeightSDS!T$25*$AM85^3+WeightSDS!U$25*$AM85^2+WeightSDS!V$25*$AM85+WeightSDS!W$25,WeightSDS!M$27+WeightSDS!N$27/(1+EXP(WeightSDS!O$27+WeightSDS!P$27*$AM85)))),IF($AM85&lt;43.8,WeightSDS!M$29*$AM85^10+WeightSDS!N$29*$AM85^9+WeightSDS!O$29*$AM85^8+WeightSDS!P$29*$AM85^7+WeightSDS!Q$29*$AM85^6+WeightSDS!R$29*$AM85^5+WeightSDS!S$29*$AM85^4+WeightSDS!T$29*$AM85^3+WeightSDS!U$29*$AM85^2+WeightSDS!V$29*$AM85+WeightSDS!W$29-0.010431*(1-$AM85/210),IF($AM85&lt;123,WeightSDS!M$30*$AM85^10+WeightSDS!N$30*$AM85^9+WeightSDS!O$30*$AM85^8+WeightSDS!P$30*$AM85^7+WeightSDS!Q$30*$AM85^6+WeightSDS!R$30*$AM85^5+WeightSDS!S$30*$AM85^4+WeightSDS!T$30*$AM85^3+WeightSDS!U$30*$AM85^2+WeightSDS!V$30*$AM85+WeightSDS!W$30-0.010431*(1-1/$AM85),WeightSDS!M$32+WeightSDS!N$32/(1+EXP(WeightSDS!O$32+WeightSDS!P$32*$AM85))-0.010431*(1-$AM85/210))))</f>
        <v>2.9500001032655536</v>
      </c>
      <c r="AQ85" s="4">
        <f>IF(D85="M",IF($AM85&lt;162,WeightSDS!P$12*$AM85^7+WeightSDS!Q$12*$AM85^6+WeightSDS!R$12*$AM85^5+WeightSDS!S$12*$AM85^4+WeightSDS!T$12*$AM85^3+WeightSDS!U$12*$AM85^2+WeightSDS!V$12*$AM85+WeightSDS!W$12,WeightSDS!P$14*$AM85^7+WeightSDS!Q$14*$AM85^6+WeightSDS!R$14*$AM85^5+WeightSDS!S$14*$AM85^4+WeightSDS!T$14*$AM85^3+WeightSDS!U$14*$AM85^2+WeightSDS!V$14*$AM85+WeightSDS!W$14),IF($AM85&lt;156,WeightSDS!O$17*$AM85^8+WeightSDS!P$17*$AM85^7+WeightSDS!Q$17*$AM85^6+WeightSDS!R$17*$AM85^5+WeightSDS!S$17*$AM85^4+WeightSDS!T$17*$AM85^3+WeightSDS!U$17*$AM85^2+WeightSDS!V$17*$AM85+WeightSDS!W$17,IF($AM85&lt;186,WeightSDS!$U$18+(WeightSDS!$V$18-WeightSDS!$U$18)/24*($AM85-186)+WeightSDS!$W$18*(-$AM85+186)^2-0.005,WeightSDS!$U$18+(WeightSDS!$V$18-WeightSDS!$U$18)/24*($AM85-186)-0.005)))</f>
        <v>0.14604529399999999</v>
      </c>
      <c r="AT85" s="4">
        <f t="shared" si="28"/>
        <v>0.56299999999999994</v>
      </c>
      <c r="AU85" s="4">
        <f t="shared" si="29"/>
        <v>69</v>
      </c>
      <c r="AV85" s="4">
        <f t="shared" si="30"/>
        <v>0.51</v>
      </c>
    </row>
    <row r="86" spans="1:48" x14ac:dyDescent="0.15">
      <c r="A86" s="4"/>
      <c r="B86" s="21"/>
      <c r="C86" s="21"/>
      <c r="D86" s="21"/>
      <c r="E86" s="22"/>
      <c r="F86" s="22"/>
      <c r="G86" s="23"/>
      <c r="H86" s="23"/>
      <c r="I86" s="181"/>
      <c r="J86" s="8" t="str">
        <f t="shared" si="22"/>
        <v/>
      </c>
      <c r="K86" s="2" t="str">
        <f t="shared" si="31"/>
        <v/>
      </c>
      <c r="L86" s="2" t="str">
        <f t="shared" si="23"/>
        <v/>
      </c>
      <c r="M86" s="2" t="str">
        <f t="shared" si="32"/>
        <v/>
      </c>
      <c r="N86" s="2" t="str">
        <f t="shared" si="40"/>
        <v/>
      </c>
      <c r="O86" s="2" t="str">
        <f t="shared" si="33"/>
        <v/>
      </c>
      <c r="P86" s="8" t="str">
        <f t="shared" si="34"/>
        <v/>
      </c>
      <c r="Q86" s="8" t="str">
        <f t="shared" si="35"/>
        <v/>
      </c>
      <c r="R86" s="111" t="str">
        <f t="shared" si="36"/>
        <v/>
      </c>
      <c r="S86" s="44" t="str">
        <f t="shared" si="37"/>
        <v/>
      </c>
      <c r="T86" s="37" t="str">
        <f t="shared" si="38"/>
        <v/>
      </c>
      <c r="U86" s="44" t="str">
        <f t="shared" si="39"/>
        <v/>
      </c>
      <c r="V86" s="26"/>
      <c r="W86" s="26"/>
      <c r="X86" s="26"/>
      <c r="Y86" s="26"/>
      <c r="Z86" s="24"/>
      <c r="AA86" s="169">
        <f t="shared" si="24"/>
        <v>0</v>
      </c>
      <c r="AB86" s="4">
        <f t="shared" si="25"/>
        <v>0</v>
      </c>
      <c r="AC86" s="170">
        <f t="shared" si="21"/>
        <v>0</v>
      </c>
      <c r="AD86" s="58"/>
      <c r="AE86" s="58"/>
      <c r="AF86" s="58"/>
      <c r="AG86" s="59">
        <f t="shared" si="26"/>
        <v>9.0359999999999996</v>
      </c>
      <c r="AH86" s="59">
        <f t="shared" si="27"/>
        <v>-184.49199999999999</v>
      </c>
      <c r="AJ86" s="4">
        <f>IF(D86="M",IF(AM86&lt;78,BMILMS!$D$5*AM86^3+BMILMS!$E$5*AM86^2+BMILMS!$F$5*AM86+BMILMS!$G$5,IF(AM86&lt;150,BMILMS!$D$6*AM86^3+BMILMS!$E$6*AM86^2+BMILMS!$F$6*AM86+BMILMS!$G$6,BMILMS!$D$7*AM86^3+BMILMS!$E$7*AM86^2+BMILMS!$F$7*AM86+BMILMS!$G$7)),IF(AM86&lt;69,BMILMS!$D$9*AM86^3+BMILMS!$E$9*AM86^2+BMILMS!$F$9*AM86+BMILMS!$G$9,IF(AM86&lt;150,BMILMS!$D$10*AM86^3+BMILMS!$E$10*AM86^2+BMILMS!$F$10*AM86+BMILMS!$G$10,BMILMS!$D$11*AM86^3+BMILMS!$E$11*AM86^2+BMILMS!$F$11*AM86+BMILMS!$G$11)))</f>
        <v>0.79584630099999998</v>
      </c>
      <c r="AK86" s="4">
        <f>IF(D86="M",(IF(AM86&lt;2.5,BMILMS!$D$21*AM86^3+BMILMS!$E$21*AM86^2+BMILMS!$F$21*AM86+BMILMS!$G$21,IF(AM86&lt;9.5,BMILMS!$D$22*AM86^3+BMILMS!$E$22*AM86^2+BMILMS!$F$22*AM86+BMILMS!$G$22,IF(AM86&lt;26.75,BMILMS!$D$23*AM86^3+BMILMS!$E$23*AM86^2+BMILMS!$F$23*AM86+BMILMS!$G$23,IF(AM86&lt;90,BMILMS!$D$24*AM86^3+BMILMS!$E$24*AM86^2+BMILMS!$F$24*AM86+BMILMS!$G$24,BMILMS!$D$25*AM86^3+BMILMS!$E$25*AM86^2+BMILMS!$F$25*AM86+BMILMS!$G$25))))),(IF(AM86&lt;2.5,BMILMS!$D$27*AM86^3+BMILMS!$E$27*AM86^2+BMILMS!$F$27*AM86+BMILMS!$G$27,IF(AM86&lt;9.5,BMILMS!$D$28*AM86^3+BMILMS!$E$28*AM86^2+BMILMS!$F$28*AM86+BMILMS!$G$28,IF(AM86&lt;26.75,BMILMS!$D$29*AM86^3+BMILMS!$E$29*AM86^2+BMILMS!$F$29*AM86+BMILMS!$G$29,IF(AM86&lt;90,BMILMS!$D$30*AM86^3+BMILMS!$E$30*AM86^2+BMILMS!$F$30*AM86+BMILMS!$G$30,IF(AM86&lt;150,BMILMS!$D$31*AM86^3+BMILMS!$E$31*AM86^2+BMILMS!$F$31*AM86+BMILMS!$G$31,BMILMS!$D$32*AM86^3+BMILMS!$E$32*AM86^2+BMILMS!$F$32*AM86+BMILMS!$G$32)))))))</f>
        <v>12.568967990000001</v>
      </c>
      <c r="AL86" s="4">
        <f>IF(D86="M",(IF(AM86&lt;90,BMILMS!$D$14*AM86^3+BMILMS!$E$14*AM86^2+BMILMS!$F$14*AM86+BMILMS!$G$14,BMILMS!$D$15*AM86^3+BMILMS!$E$15*AM86^2+BMILMS!$F$15*AM86+BMILMS!$G$15)),(IF(AM86&lt;90,BMILMS!$D$17*AM86^3+BMILMS!$E$17*AM86^2+BMILMS!$F$17*AM86+BMILMS!$G$17,BMILMS!$D$18*AM86^3+BMILMS!$E$18*AM86^2+BMILMS!$F$18*AM86+BMILMS!$G$18)))</f>
        <v>8.8969350000000003E-2</v>
      </c>
      <c r="AM86" s="4">
        <f t="shared" si="41"/>
        <v>0</v>
      </c>
      <c r="AO86" s="56">
        <f>IF(D86="M",WeightSDS!P$5*$AM86^7+WeightSDS!Q$5*$AM86^6+WeightSDS!R$5*$AM86^5+WeightSDS!S$5*$AM86^4+WeightSDS!T$5*$AM86^3+WeightSDS!U$5*$AM86^2+WeightSDS!V$5*$AM86+WeightSDS!W$5,IF($AM86&lt;186,WeightSDS!P$8*$AM86^7+WeightSDS!Q$8*$AM86^6+WeightSDS!R$8*$AM86^5+WeightSDS!S$8*$AM86^4+WeightSDS!T$8*$AM86^3+WeightSDS!U$8*$AM86^2+WeightSDS!V$8*$AM86+WeightSDS!W$8,WeightSDS!$U$9+WeightSDS!$V$9*($AM86-WeightSDS!$W$9)))</f>
        <v>0.75407122999999998</v>
      </c>
      <c r="AP86" s="4">
        <f>IF(D86="M",IF($AM86&lt;45,WeightSDS!M$23*$AM86^10+WeightSDS!N$23*$AM86^9+WeightSDS!O$23*$AM86^8+WeightSDS!P$23*$AM86^7+WeightSDS!Q$23*$AM86^6+WeightSDS!R$23*$AM86^5+WeightSDS!S$23*$AM86^4+WeightSDS!T$23*$AM86^3+WeightSDS!U$23*$AM86^2+WeightSDS!V$23*$AM86+WeightSDS!W$23,IF($AM86&lt;153,WeightSDS!M$25*$AM86^10+WeightSDS!N$25*$AM86^9+WeightSDS!O$25*$AM86^8+WeightSDS!P$25*$AM86^7+WeightSDS!Q$25*$AM86^6+WeightSDS!R$25*$AM86^5+WeightSDS!S$25*$AM86^4+WeightSDS!T$25*$AM86^3+WeightSDS!U$25*$AM86^2+WeightSDS!V$25*$AM86+WeightSDS!W$25,WeightSDS!M$27+WeightSDS!N$27/(1+EXP(WeightSDS!O$27+WeightSDS!P$27*$AM86)))),IF($AM86&lt;43.8,WeightSDS!M$29*$AM86^10+WeightSDS!N$29*$AM86^9+WeightSDS!O$29*$AM86^8+WeightSDS!P$29*$AM86^7+WeightSDS!Q$29*$AM86^6+WeightSDS!R$29*$AM86^5+WeightSDS!S$29*$AM86^4+WeightSDS!T$29*$AM86^3+WeightSDS!U$29*$AM86^2+WeightSDS!V$29*$AM86+WeightSDS!W$29-0.010431*(1-$AM86/210),IF($AM86&lt;123,WeightSDS!M$30*$AM86^10+WeightSDS!N$30*$AM86^9+WeightSDS!O$30*$AM86^8+WeightSDS!P$30*$AM86^7+WeightSDS!Q$30*$AM86^6+WeightSDS!R$30*$AM86^5+WeightSDS!S$30*$AM86^4+WeightSDS!T$30*$AM86^3+WeightSDS!U$30*$AM86^2+WeightSDS!V$30*$AM86+WeightSDS!W$30-0.010431*(1-1/$AM86),WeightSDS!M$32+WeightSDS!N$32/(1+EXP(WeightSDS!O$32+WeightSDS!P$32*$AM86))-0.010431*(1-$AM86/210))))</f>
        <v>2.9500001032655536</v>
      </c>
      <c r="AQ86" s="4">
        <f>IF(D86="M",IF($AM86&lt;162,WeightSDS!P$12*$AM86^7+WeightSDS!Q$12*$AM86^6+WeightSDS!R$12*$AM86^5+WeightSDS!S$12*$AM86^4+WeightSDS!T$12*$AM86^3+WeightSDS!U$12*$AM86^2+WeightSDS!V$12*$AM86+WeightSDS!W$12,WeightSDS!P$14*$AM86^7+WeightSDS!Q$14*$AM86^6+WeightSDS!R$14*$AM86^5+WeightSDS!S$14*$AM86^4+WeightSDS!T$14*$AM86^3+WeightSDS!U$14*$AM86^2+WeightSDS!V$14*$AM86+WeightSDS!W$14),IF($AM86&lt;156,WeightSDS!O$17*$AM86^8+WeightSDS!P$17*$AM86^7+WeightSDS!Q$17*$AM86^6+WeightSDS!R$17*$AM86^5+WeightSDS!S$17*$AM86^4+WeightSDS!T$17*$AM86^3+WeightSDS!U$17*$AM86^2+WeightSDS!V$17*$AM86+WeightSDS!W$17,IF($AM86&lt;186,WeightSDS!$U$18+(WeightSDS!$V$18-WeightSDS!$U$18)/24*($AM86-186)+WeightSDS!$W$18*(-$AM86+186)^2-0.005,WeightSDS!$U$18+(WeightSDS!$V$18-WeightSDS!$U$18)/24*($AM86-186)-0.005)))</f>
        <v>0.14604529399999999</v>
      </c>
      <c r="AT86" s="4">
        <f t="shared" si="28"/>
        <v>0.56299999999999994</v>
      </c>
      <c r="AU86" s="4">
        <f t="shared" si="29"/>
        <v>69</v>
      </c>
      <c r="AV86" s="4">
        <f t="shared" si="30"/>
        <v>0.51</v>
      </c>
    </row>
    <row r="87" spans="1:48" x14ac:dyDescent="0.15">
      <c r="A87" s="4"/>
      <c r="B87" s="21"/>
      <c r="C87" s="21"/>
      <c r="D87" s="21"/>
      <c r="E87" s="22"/>
      <c r="F87" s="22"/>
      <c r="G87" s="23"/>
      <c r="H87" s="23"/>
      <c r="I87" s="181"/>
      <c r="J87" s="8" t="str">
        <f t="shared" si="22"/>
        <v/>
      </c>
      <c r="K87" s="2" t="str">
        <f t="shared" si="31"/>
        <v/>
      </c>
      <c r="L87" s="2" t="str">
        <f t="shared" si="23"/>
        <v/>
      </c>
      <c r="M87" s="2" t="str">
        <f t="shared" si="32"/>
        <v/>
      </c>
      <c r="N87" s="2" t="str">
        <f t="shared" si="40"/>
        <v/>
      </c>
      <c r="O87" s="2" t="str">
        <f t="shared" si="33"/>
        <v/>
      </c>
      <c r="P87" s="8" t="str">
        <f t="shared" si="34"/>
        <v/>
      </c>
      <c r="Q87" s="8" t="str">
        <f t="shared" si="35"/>
        <v/>
      </c>
      <c r="R87" s="111" t="str">
        <f t="shared" si="36"/>
        <v/>
      </c>
      <c r="S87" s="44" t="str">
        <f t="shared" si="37"/>
        <v/>
      </c>
      <c r="T87" s="37" t="str">
        <f t="shared" si="38"/>
        <v/>
      </c>
      <c r="U87" s="44" t="str">
        <f t="shared" si="39"/>
        <v/>
      </c>
      <c r="V87" s="26"/>
      <c r="W87" s="26"/>
      <c r="X87" s="26"/>
      <c r="Y87" s="26"/>
      <c r="Z87" s="24"/>
      <c r="AA87" s="169">
        <f t="shared" si="24"/>
        <v>0</v>
      </c>
      <c r="AB87" s="4">
        <f t="shared" si="25"/>
        <v>0</v>
      </c>
      <c r="AC87" s="170">
        <f t="shared" si="21"/>
        <v>0</v>
      </c>
      <c r="AD87" s="58"/>
      <c r="AE87" s="58"/>
      <c r="AF87" s="58"/>
      <c r="AG87" s="59">
        <f t="shared" si="26"/>
        <v>9.0359999999999996</v>
      </c>
      <c r="AH87" s="59">
        <f t="shared" si="27"/>
        <v>-184.49199999999999</v>
      </c>
      <c r="AJ87" s="4">
        <f>IF(D87="M",IF(AM87&lt;78,BMILMS!$D$5*AM87^3+BMILMS!$E$5*AM87^2+BMILMS!$F$5*AM87+BMILMS!$G$5,IF(AM87&lt;150,BMILMS!$D$6*AM87^3+BMILMS!$E$6*AM87^2+BMILMS!$F$6*AM87+BMILMS!$G$6,BMILMS!$D$7*AM87^3+BMILMS!$E$7*AM87^2+BMILMS!$F$7*AM87+BMILMS!$G$7)),IF(AM87&lt;69,BMILMS!$D$9*AM87^3+BMILMS!$E$9*AM87^2+BMILMS!$F$9*AM87+BMILMS!$G$9,IF(AM87&lt;150,BMILMS!$D$10*AM87^3+BMILMS!$E$10*AM87^2+BMILMS!$F$10*AM87+BMILMS!$G$10,BMILMS!$D$11*AM87^3+BMILMS!$E$11*AM87^2+BMILMS!$F$11*AM87+BMILMS!$G$11)))</f>
        <v>0.79584630099999998</v>
      </c>
      <c r="AK87" s="4">
        <f>IF(D87="M",(IF(AM87&lt;2.5,BMILMS!$D$21*AM87^3+BMILMS!$E$21*AM87^2+BMILMS!$F$21*AM87+BMILMS!$G$21,IF(AM87&lt;9.5,BMILMS!$D$22*AM87^3+BMILMS!$E$22*AM87^2+BMILMS!$F$22*AM87+BMILMS!$G$22,IF(AM87&lt;26.75,BMILMS!$D$23*AM87^3+BMILMS!$E$23*AM87^2+BMILMS!$F$23*AM87+BMILMS!$G$23,IF(AM87&lt;90,BMILMS!$D$24*AM87^3+BMILMS!$E$24*AM87^2+BMILMS!$F$24*AM87+BMILMS!$G$24,BMILMS!$D$25*AM87^3+BMILMS!$E$25*AM87^2+BMILMS!$F$25*AM87+BMILMS!$G$25))))),(IF(AM87&lt;2.5,BMILMS!$D$27*AM87^3+BMILMS!$E$27*AM87^2+BMILMS!$F$27*AM87+BMILMS!$G$27,IF(AM87&lt;9.5,BMILMS!$D$28*AM87^3+BMILMS!$E$28*AM87^2+BMILMS!$F$28*AM87+BMILMS!$G$28,IF(AM87&lt;26.75,BMILMS!$D$29*AM87^3+BMILMS!$E$29*AM87^2+BMILMS!$F$29*AM87+BMILMS!$G$29,IF(AM87&lt;90,BMILMS!$D$30*AM87^3+BMILMS!$E$30*AM87^2+BMILMS!$F$30*AM87+BMILMS!$G$30,IF(AM87&lt;150,BMILMS!$D$31*AM87^3+BMILMS!$E$31*AM87^2+BMILMS!$F$31*AM87+BMILMS!$G$31,BMILMS!$D$32*AM87^3+BMILMS!$E$32*AM87^2+BMILMS!$F$32*AM87+BMILMS!$G$32)))))))</f>
        <v>12.568967990000001</v>
      </c>
      <c r="AL87" s="4">
        <f>IF(D87="M",(IF(AM87&lt;90,BMILMS!$D$14*AM87^3+BMILMS!$E$14*AM87^2+BMILMS!$F$14*AM87+BMILMS!$G$14,BMILMS!$D$15*AM87^3+BMILMS!$E$15*AM87^2+BMILMS!$F$15*AM87+BMILMS!$G$15)),(IF(AM87&lt;90,BMILMS!$D$17*AM87^3+BMILMS!$E$17*AM87^2+BMILMS!$F$17*AM87+BMILMS!$G$17,BMILMS!$D$18*AM87^3+BMILMS!$E$18*AM87^2+BMILMS!$F$18*AM87+BMILMS!$G$18)))</f>
        <v>8.8969350000000003E-2</v>
      </c>
      <c r="AM87" s="4">
        <f t="shared" si="41"/>
        <v>0</v>
      </c>
      <c r="AO87" s="56">
        <f>IF(D87="M",WeightSDS!P$5*$AM87^7+WeightSDS!Q$5*$AM87^6+WeightSDS!R$5*$AM87^5+WeightSDS!S$5*$AM87^4+WeightSDS!T$5*$AM87^3+WeightSDS!U$5*$AM87^2+WeightSDS!V$5*$AM87+WeightSDS!W$5,IF($AM87&lt;186,WeightSDS!P$8*$AM87^7+WeightSDS!Q$8*$AM87^6+WeightSDS!R$8*$AM87^5+WeightSDS!S$8*$AM87^4+WeightSDS!T$8*$AM87^3+WeightSDS!U$8*$AM87^2+WeightSDS!V$8*$AM87+WeightSDS!W$8,WeightSDS!$U$9+WeightSDS!$V$9*($AM87-WeightSDS!$W$9)))</f>
        <v>0.75407122999999998</v>
      </c>
      <c r="AP87" s="4">
        <f>IF(D87="M",IF($AM87&lt;45,WeightSDS!M$23*$AM87^10+WeightSDS!N$23*$AM87^9+WeightSDS!O$23*$AM87^8+WeightSDS!P$23*$AM87^7+WeightSDS!Q$23*$AM87^6+WeightSDS!R$23*$AM87^5+WeightSDS!S$23*$AM87^4+WeightSDS!T$23*$AM87^3+WeightSDS!U$23*$AM87^2+WeightSDS!V$23*$AM87+WeightSDS!W$23,IF($AM87&lt;153,WeightSDS!M$25*$AM87^10+WeightSDS!N$25*$AM87^9+WeightSDS!O$25*$AM87^8+WeightSDS!P$25*$AM87^7+WeightSDS!Q$25*$AM87^6+WeightSDS!R$25*$AM87^5+WeightSDS!S$25*$AM87^4+WeightSDS!T$25*$AM87^3+WeightSDS!U$25*$AM87^2+WeightSDS!V$25*$AM87+WeightSDS!W$25,WeightSDS!M$27+WeightSDS!N$27/(1+EXP(WeightSDS!O$27+WeightSDS!P$27*$AM87)))),IF($AM87&lt;43.8,WeightSDS!M$29*$AM87^10+WeightSDS!N$29*$AM87^9+WeightSDS!O$29*$AM87^8+WeightSDS!P$29*$AM87^7+WeightSDS!Q$29*$AM87^6+WeightSDS!R$29*$AM87^5+WeightSDS!S$29*$AM87^4+WeightSDS!T$29*$AM87^3+WeightSDS!U$29*$AM87^2+WeightSDS!V$29*$AM87+WeightSDS!W$29-0.010431*(1-$AM87/210),IF($AM87&lt;123,WeightSDS!M$30*$AM87^10+WeightSDS!N$30*$AM87^9+WeightSDS!O$30*$AM87^8+WeightSDS!P$30*$AM87^7+WeightSDS!Q$30*$AM87^6+WeightSDS!R$30*$AM87^5+WeightSDS!S$30*$AM87^4+WeightSDS!T$30*$AM87^3+WeightSDS!U$30*$AM87^2+WeightSDS!V$30*$AM87+WeightSDS!W$30-0.010431*(1-1/$AM87),WeightSDS!M$32+WeightSDS!N$32/(1+EXP(WeightSDS!O$32+WeightSDS!P$32*$AM87))-0.010431*(1-$AM87/210))))</f>
        <v>2.9500001032655536</v>
      </c>
      <c r="AQ87" s="4">
        <f>IF(D87="M",IF($AM87&lt;162,WeightSDS!P$12*$AM87^7+WeightSDS!Q$12*$AM87^6+WeightSDS!R$12*$AM87^5+WeightSDS!S$12*$AM87^4+WeightSDS!T$12*$AM87^3+WeightSDS!U$12*$AM87^2+WeightSDS!V$12*$AM87+WeightSDS!W$12,WeightSDS!P$14*$AM87^7+WeightSDS!Q$14*$AM87^6+WeightSDS!R$14*$AM87^5+WeightSDS!S$14*$AM87^4+WeightSDS!T$14*$AM87^3+WeightSDS!U$14*$AM87^2+WeightSDS!V$14*$AM87+WeightSDS!W$14),IF($AM87&lt;156,WeightSDS!O$17*$AM87^8+WeightSDS!P$17*$AM87^7+WeightSDS!Q$17*$AM87^6+WeightSDS!R$17*$AM87^5+WeightSDS!S$17*$AM87^4+WeightSDS!T$17*$AM87^3+WeightSDS!U$17*$AM87^2+WeightSDS!V$17*$AM87+WeightSDS!W$17,IF($AM87&lt;186,WeightSDS!$U$18+(WeightSDS!$V$18-WeightSDS!$U$18)/24*($AM87-186)+WeightSDS!$W$18*(-$AM87+186)^2-0.005,WeightSDS!$U$18+(WeightSDS!$V$18-WeightSDS!$U$18)/24*($AM87-186)-0.005)))</f>
        <v>0.14604529399999999</v>
      </c>
      <c r="AT87" s="4">
        <f t="shared" si="28"/>
        <v>0.56299999999999994</v>
      </c>
      <c r="AU87" s="4">
        <f t="shared" si="29"/>
        <v>69</v>
      </c>
      <c r="AV87" s="4">
        <f t="shared" si="30"/>
        <v>0.51</v>
      </c>
    </row>
    <row r="88" spans="1:48" x14ac:dyDescent="0.15">
      <c r="A88" s="4"/>
      <c r="B88" s="21"/>
      <c r="C88" s="21"/>
      <c r="D88" s="21"/>
      <c r="E88" s="22"/>
      <c r="F88" s="22"/>
      <c r="G88" s="23"/>
      <c r="H88" s="23"/>
      <c r="I88" s="181"/>
      <c r="J88" s="8" t="str">
        <f t="shared" si="22"/>
        <v/>
      </c>
      <c r="K88" s="2" t="str">
        <f t="shared" si="31"/>
        <v/>
      </c>
      <c r="L88" s="2" t="str">
        <f t="shared" si="23"/>
        <v/>
      </c>
      <c r="M88" s="2" t="str">
        <f t="shared" si="32"/>
        <v/>
      </c>
      <c r="N88" s="2" t="str">
        <f t="shared" si="40"/>
        <v/>
      </c>
      <c r="O88" s="2" t="str">
        <f t="shared" si="33"/>
        <v/>
      </c>
      <c r="P88" s="8" t="str">
        <f t="shared" si="34"/>
        <v/>
      </c>
      <c r="Q88" s="8" t="str">
        <f t="shared" si="35"/>
        <v/>
      </c>
      <c r="R88" s="111" t="str">
        <f t="shared" si="36"/>
        <v/>
      </c>
      <c r="S88" s="44" t="str">
        <f t="shared" si="37"/>
        <v/>
      </c>
      <c r="T88" s="37" t="str">
        <f t="shared" si="38"/>
        <v/>
      </c>
      <c r="U88" s="44" t="str">
        <f t="shared" si="39"/>
        <v/>
      </c>
      <c r="V88" s="26"/>
      <c r="W88" s="26"/>
      <c r="X88" s="26"/>
      <c r="Y88" s="26"/>
      <c r="Z88" s="24"/>
      <c r="AA88" s="169">
        <f t="shared" si="24"/>
        <v>0</v>
      </c>
      <c r="AB88" s="4">
        <f t="shared" si="25"/>
        <v>0</v>
      </c>
      <c r="AC88" s="170">
        <f t="shared" si="21"/>
        <v>0</v>
      </c>
      <c r="AD88" s="58"/>
      <c r="AE88" s="58"/>
      <c r="AF88" s="58"/>
      <c r="AG88" s="59">
        <f t="shared" si="26"/>
        <v>9.0359999999999996</v>
      </c>
      <c r="AH88" s="59">
        <f t="shared" si="27"/>
        <v>-184.49199999999999</v>
      </c>
      <c r="AJ88" s="4">
        <f>IF(D88="M",IF(AM88&lt;78,BMILMS!$D$5*AM88^3+BMILMS!$E$5*AM88^2+BMILMS!$F$5*AM88+BMILMS!$G$5,IF(AM88&lt;150,BMILMS!$D$6*AM88^3+BMILMS!$E$6*AM88^2+BMILMS!$F$6*AM88+BMILMS!$G$6,BMILMS!$D$7*AM88^3+BMILMS!$E$7*AM88^2+BMILMS!$F$7*AM88+BMILMS!$G$7)),IF(AM88&lt;69,BMILMS!$D$9*AM88^3+BMILMS!$E$9*AM88^2+BMILMS!$F$9*AM88+BMILMS!$G$9,IF(AM88&lt;150,BMILMS!$D$10*AM88^3+BMILMS!$E$10*AM88^2+BMILMS!$F$10*AM88+BMILMS!$G$10,BMILMS!$D$11*AM88^3+BMILMS!$E$11*AM88^2+BMILMS!$F$11*AM88+BMILMS!$G$11)))</f>
        <v>0.79584630099999998</v>
      </c>
      <c r="AK88" s="4">
        <f>IF(D88="M",(IF(AM88&lt;2.5,BMILMS!$D$21*AM88^3+BMILMS!$E$21*AM88^2+BMILMS!$F$21*AM88+BMILMS!$G$21,IF(AM88&lt;9.5,BMILMS!$D$22*AM88^3+BMILMS!$E$22*AM88^2+BMILMS!$F$22*AM88+BMILMS!$G$22,IF(AM88&lt;26.75,BMILMS!$D$23*AM88^3+BMILMS!$E$23*AM88^2+BMILMS!$F$23*AM88+BMILMS!$G$23,IF(AM88&lt;90,BMILMS!$D$24*AM88^3+BMILMS!$E$24*AM88^2+BMILMS!$F$24*AM88+BMILMS!$G$24,BMILMS!$D$25*AM88^3+BMILMS!$E$25*AM88^2+BMILMS!$F$25*AM88+BMILMS!$G$25))))),(IF(AM88&lt;2.5,BMILMS!$D$27*AM88^3+BMILMS!$E$27*AM88^2+BMILMS!$F$27*AM88+BMILMS!$G$27,IF(AM88&lt;9.5,BMILMS!$D$28*AM88^3+BMILMS!$E$28*AM88^2+BMILMS!$F$28*AM88+BMILMS!$G$28,IF(AM88&lt;26.75,BMILMS!$D$29*AM88^3+BMILMS!$E$29*AM88^2+BMILMS!$F$29*AM88+BMILMS!$G$29,IF(AM88&lt;90,BMILMS!$D$30*AM88^3+BMILMS!$E$30*AM88^2+BMILMS!$F$30*AM88+BMILMS!$G$30,IF(AM88&lt;150,BMILMS!$D$31*AM88^3+BMILMS!$E$31*AM88^2+BMILMS!$F$31*AM88+BMILMS!$G$31,BMILMS!$D$32*AM88^3+BMILMS!$E$32*AM88^2+BMILMS!$F$32*AM88+BMILMS!$G$32)))))))</f>
        <v>12.568967990000001</v>
      </c>
      <c r="AL88" s="4">
        <f>IF(D88="M",(IF(AM88&lt;90,BMILMS!$D$14*AM88^3+BMILMS!$E$14*AM88^2+BMILMS!$F$14*AM88+BMILMS!$G$14,BMILMS!$D$15*AM88^3+BMILMS!$E$15*AM88^2+BMILMS!$F$15*AM88+BMILMS!$G$15)),(IF(AM88&lt;90,BMILMS!$D$17*AM88^3+BMILMS!$E$17*AM88^2+BMILMS!$F$17*AM88+BMILMS!$G$17,BMILMS!$D$18*AM88^3+BMILMS!$E$18*AM88^2+BMILMS!$F$18*AM88+BMILMS!$G$18)))</f>
        <v>8.8969350000000003E-2</v>
      </c>
      <c r="AM88" s="4">
        <f t="shared" si="41"/>
        <v>0</v>
      </c>
      <c r="AO88" s="56">
        <f>IF(D88="M",WeightSDS!P$5*$AM88^7+WeightSDS!Q$5*$AM88^6+WeightSDS!R$5*$AM88^5+WeightSDS!S$5*$AM88^4+WeightSDS!T$5*$AM88^3+WeightSDS!U$5*$AM88^2+WeightSDS!V$5*$AM88+WeightSDS!W$5,IF($AM88&lt;186,WeightSDS!P$8*$AM88^7+WeightSDS!Q$8*$AM88^6+WeightSDS!R$8*$AM88^5+WeightSDS!S$8*$AM88^4+WeightSDS!T$8*$AM88^3+WeightSDS!U$8*$AM88^2+WeightSDS!V$8*$AM88+WeightSDS!W$8,WeightSDS!$U$9+WeightSDS!$V$9*($AM88-WeightSDS!$W$9)))</f>
        <v>0.75407122999999998</v>
      </c>
      <c r="AP88" s="4">
        <f>IF(D88="M",IF($AM88&lt;45,WeightSDS!M$23*$AM88^10+WeightSDS!N$23*$AM88^9+WeightSDS!O$23*$AM88^8+WeightSDS!P$23*$AM88^7+WeightSDS!Q$23*$AM88^6+WeightSDS!R$23*$AM88^5+WeightSDS!S$23*$AM88^4+WeightSDS!T$23*$AM88^3+WeightSDS!U$23*$AM88^2+WeightSDS!V$23*$AM88+WeightSDS!W$23,IF($AM88&lt;153,WeightSDS!M$25*$AM88^10+WeightSDS!N$25*$AM88^9+WeightSDS!O$25*$AM88^8+WeightSDS!P$25*$AM88^7+WeightSDS!Q$25*$AM88^6+WeightSDS!R$25*$AM88^5+WeightSDS!S$25*$AM88^4+WeightSDS!T$25*$AM88^3+WeightSDS!U$25*$AM88^2+WeightSDS!V$25*$AM88+WeightSDS!W$25,WeightSDS!M$27+WeightSDS!N$27/(1+EXP(WeightSDS!O$27+WeightSDS!P$27*$AM88)))),IF($AM88&lt;43.8,WeightSDS!M$29*$AM88^10+WeightSDS!N$29*$AM88^9+WeightSDS!O$29*$AM88^8+WeightSDS!P$29*$AM88^7+WeightSDS!Q$29*$AM88^6+WeightSDS!R$29*$AM88^5+WeightSDS!S$29*$AM88^4+WeightSDS!T$29*$AM88^3+WeightSDS!U$29*$AM88^2+WeightSDS!V$29*$AM88+WeightSDS!W$29-0.010431*(1-$AM88/210),IF($AM88&lt;123,WeightSDS!M$30*$AM88^10+WeightSDS!N$30*$AM88^9+WeightSDS!O$30*$AM88^8+WeightSDS!P$30*$AM88^7+WeightSDS!Q$30*$AM88^6+WeightSDS!R$30*$AM88^5+WeightSDS!S$30*$AM88^4+WeightSDS!T$30*$AM88^3+WeightSDS!U$30*$AM88^2+WeightSDS!V$30*$AM88+WeightSDS!W$30-0.010431*(1-1/$AM88),WeightSDS!M$32+WeightSDS!N$32/(1+EXP(WeightSDS!O$32+WeightSDS!P$32*$AM88))-0.010431*(1-$AM88/210))))</f>
        <v>2.9500001032655536</v>
      </c>
      <c r="AQ88" s="4">
        <f>IF(D88="M",IF($AM88&lt;162,WeightSDS!P$12*$AM88^7+WeightSDS!Q$12*$AM88^6+WeightSDS!R$12*$AM88^5+WeightSDS!S$12*$AM88^4+WeightSDS!T$12*$AM88^3+WeightSDS!U$12*$AM88^2+WeightSDS!V$12*$AM88+WeightSDS!W$12,WeightSDS!P$14*$AM88^7+WeightSDS!Q$14*$AM88^6+WeightSDS!R$14*$AM88^5+WeightSDS!S$14*$AM88^4+WeightSDS!T$14*$AM88^3+WeightSDS!U$14*$AM88^2+WeightSDS!V$14*$AM88+WeightSDS!W$14),IF($AM88&lt;156,WeightSDS!O$17*$AM88^8+WeightSDS!P$17*$AM88^7+WeightSDS!Q$17*$AM88^6+WeightSDS!R$17*$AM88^5+WeightSDS!S$17*$AM88^4+WeightSDS!T$17*$AM88^3+WeightSDS!U$17*$AM88^2+WeightSDS!V$17*$AM88+WeightSDS!W$17,IF($AM88&lt;186,WeightSDS!$U$18+(WeightSDS!$V$18-WeightSDS!$U$18)/24*($AM88-186)+WeightSDS!$W$18*(-$AM88+186)^2-0.005,WeightSDS!$U$18+(WeightSDS!$V$18-WeightSDS!$U$18)/24*($AM88-186)-0.005)))</f>
        <v>0.14604529399999999</v>
      </c>
      <c r="AT88" s="4">
        <f t="shared" si="28"/>
        <v>0.56299999999999994</v>
      </c>
      <c r="AU88" s="4">
        <f t="shared" si="29"/>
        <v>69</v>
      </c>
      <c r="AV88" s="4">
        <f t="shared" si="30"/>
        <v>0.51</v>
      </c>
    </row>
    <row r="89" spans="1:48" x14ac:dyDescent="0.15">
      <c r="A89" s="4"/>
      <c r="B89" s="21"/>
      <c r="C89" s="21"/>
      <c r="D89" s="21"/>
      <c r="E89" s="22"/>
      <c r="F89" s="22"/>
      <c r="G89" s="23"/>
      <c r="H89" s="23"/>
      <c r="I89" s="181"/>
      <c r="J89" s="8" t="str">
        <f t="shared" si="22"/>
        <v/>
      </c>
      <c r="K89" s="2" t="str">
        <f t="shared" si="31"/>
        <v/>
      </c>
      <c r="L89" s="2" t="str">
        <f t="shared" si="23"/>
        <v/>
      </c>
      <c r="M89" s="2" t="str">
        <f t="shared" si="32"/>
        <v/>
      </c>
      <c r="N89" s="2" t="str">
        <f t="shared" si="40"/>
        <v/>
      </c>
      <c r="O89" s="2" t="str">
        <f t="shared" si="33"/>
        <v/>
      </c>
      <c r="P89" s="8" t="str">
        <f t="shared" si="34"/>
        <v/>
      </c>
      <c r="Q89" s="8" t="str">
        <f t="shared" si="35"/>
        <v/>
      </c>
      <c r="R89" s="111" t="str">
        <f t="shared" si="36"/>
        <v/>
      </c>
      <c r="S89" s="44" t="str">
        <f t="shared" si="37"/>
        <v/>
      </c>
      <c r="T89" s="37" t="str">
        <f t="shared" si="38"/>
        <v/>
      </c>
      <c r="U89" s="44" t="str">
        <f t="shared" si="39"/>
        <v/>
      </c>
      <c r="V89" s="26"/>
      <c r="W89" s="26"/>
      <c r="X89" s="26"/>
      <c r="Y89" s="26"/>
      <c r="Z89" s="24"/>
      <c r="AA89" s="169">
        <f t="shared" si="24"/>
        <v>0</v>
      </c>
      <c r="AB89" s="4">
        <f t="shared" si="25"/>
        <v>0</v>
      </c>
      <c r="AC89" s="170">
        <f t="shared" si="21"/>
        <v>0</v>
      </c>
      <c r="AD89" s="58"/>
      <c r="AE89" s="58"/>
      <c r="AF89" s="58"/>
      <c r="AG89" s="59">
        <f t="shared" si="26"/>
        <v>9.0359999999999996</v>
      </c>
      <c r="AH89" s="59">
        <f t="shared" si="27"/>
        <v>-184.49199999999999</v>
      </c>
      <c r="AJ89" s="4">
        <f>IF(D89="M",IF(AM89&lt;78,BMILMS!$D$5*AM89^3+BMILMS!$E$5*AM89^2+BMILMS!$F$5*AM89+BMILMS!$G$5,IF(AM89&lt;150,BMILMS!$D$6*AM89^3+BMILMS!$E$6*AM89^2+BMILMS!$F$6*AM89+BMILMS!$G$6,BMILMS!$D$7*AM89^3+BMILMS!$E$7*AM89^2+BMILMS!$F$7*AM89+BMILMS!$G$7)),IF(AM89&lt;69,BMILMS!$D$9*AM89^3+BMILMS!$E$9*AM89^2+BMILMS!$F$9*AM89+BMILMS!$G$9,IF(AM89&lt;150,BMILMS!$D$10*AM89^3+BMILMS!$E$10*AM89^2+BMILMS!$F$10*AM89+BMILMS!$G$10,BMILMS!$D$11*AM89^3+BMILMS!$E$11*AM89^2+BMILMS!$F$11*AM89+BMILMS!$G$11)))</f>
        <v>0.79584630099999998</v>
      </c>
      <c r="AK89" s="4">
        <f>IF(D89="M",(IF(AM89&lt;2.5,BMILMS!$D$21*AM89^3+BMILMS!$E$21*AM89^2+BMILMS!$F$21*AM89+BMILMS!$G$21,IF(AM89&lt;9.5,BMILMS!$D$22*AM89^3+BMILMS!$E$22*AM89^2+BMILMS!$F$22*AM89+BMILMS!$G$22,IF(AM89&lt;26.75,BMILMS!$D$23*AM89^3+BMILMS!$E$23*AM89^2+BMILMS!$F$23*AM89+BMILMS!$G$23,IF(AM89&lt;90,BMILMS!$D$24*AM89^3+BMILMS!$E$24*AM89^2+BMILMS!$F$24*AM89+BMILMS!$G$24,BMILMS!$D$25*AM89^3+BMILMS!$E$25*AM89^2+BMILMS!$F$25*AM89+BMILMS!$G$25))))),(IF(AM89&lt;2.5,BMILMS!$D$27*AM89^3+BMILMS!$E$27*AM89^2+BMILMS!$F$27*AM89+BMILMS!$G$27,IF(AM89&lt;9.5,BMILMS!$D$28*AM89^3+BMILMS!$E$28*AM89^2+BMILMS!$F$28*AM89+BMILMS!$G$28,IF(AM89&lt;26.75,BMILMS!$D$29*AM89^3+BMILMS!$E$29*AM89^2+BMILMS!$F$29*AM89+BMILMS!$G$29,IF(AM89&lt;90,BMILMS!$D$30*AM89^3+BMILMS!$E$30*AM89^2+BMILMS!$F$30*AM89+BMILMS!$G$30,IF(AM89&lt;150,BMILMS!$D$31*AM89^3+BMILMS!$E$31*AM89^2+BMILMS!$F$31*AM89+BMILMS!$G$31,BMILMS!$D$32*AM89^3+BMILMS!$E$32*AM89^2+BMILMS!$F$32*AM89+BMILMS!$G$32)))))))</f>
        <v>12.568967990000001</v>
      </c>
      <c r="AL89" s="4">
        <f>IF(D89="M",(IF(AM89&lt;90,BMILMS!$D$14*AM89^3+BMILMS!$E$14*AM89^2+BMILMS!$F$14*AM89+BMILMS!$G$14,BMILMS!$D$15*AM89^3+BMILMS!$E$15*AM89^2+BMILMS!$F$15*AM89+BMILMS!$G$15)),(IF(AM89&lt;90,BMILMS!$D$17*AM89^3+BMILMS!$E$17*AM89^2+BMILMS!$F$17*AM89+BMILMS!$G$17,BMILMS!$D$18*AM89^3+BMILMS!$E$18*AM89^2+BMILMS!$F$18*AM89+BMILMS!$G$18)))</f>
        <v>8.8969350000000003E-2</v>
      </c>
      <c r="AM89" s="4">
        <f t="shared" si="41"/>
        <v>0</v>
      </c>
      <c r="AO89" s="56">
        <f>IF(D89="M",WeightSDS!P$5*$AM89^7+WeightSDS!Q$5*$AM89^6+WeightSDS!R$5*$AM89^5+WeightSDS!S$5*$AM89^4+WeightSDS!T$5*$AM89^3+WeightSDS!U$5*$AM89^2+WeightSDS!V$5*$AM89+WeightSDS!W$5,IF($AM89&lt;186,WeightSDS!P$8*$AM89^7+WeightSDS!Q$8*$AM89^6+WeightSDS!R$8*$AM89^5+WeightSDS!S$8*$AM89^4+WeightSDS!T$8*$AM89^3+WeightSDS!U$8*$AM89^2+WeightSDS!V$8*$AM89+WeightSDS!W$8,WeightSDS!$U$9+WeightSDS!$V$9*($AM89-WeightSDS!$W$9)))</f>
        <v>0.75407122999999998</v>
      </c>
      <c r="AP89" s="4">
        <f>IF(D89="M",IF($AM89&lt;45,WeightSDS!M$23*$AM89^10+WeightSDS!N$23*$AM89^9+WeightSDS!O$23*$AM89^8+WeightSDS!P$23*$AM89^7+WeightSDS!Q$23*$AM89^6+WeightSDS!R$23*$AM89^5+WeightSDS!S$23*$AM89^4+WeightSDS!T$23*$AM89^3+WeightSDS!U$23*$AM89^2+WeightSDS!V$23*$AM89+WeightSDS!W$23,IF($AM89&lt;153,WeightSDS!M$25*$AM89^10+WeightSDS!N$25*$AM89^9+WeightSDS!O$25*$AM89^8+WeightSDS!P$25*$AM89^7+WeightSDS!Q$25*$AM89^6+WeightSDS!R$25*$AM89^5+WeightSDS!S$25*$AM89^4+WeightSDS!T$25*$AM89^3+WeightSDS!U$25*$AM89^2+WeightSDS!V$25*$AM89+WeightSDS!W$25,WeightSDS!M$27+WeightSDS!N$27/(1+EXP(WeightSDS!O$27+WeightSDS!P$27*$AM89)))),IF($AM89&lt;43.8,WeightSDS!M$29*$AM89^10+WeightSDS!N$29*$AM89^9+WeightSDS!O$29*$AM89^8+WeightSDS!P$29*$AM89^7+WeightSDS!Q$29*$AM89^6+WeightSDS!R$29*$AM89^5+WeightSDS!S$29*$AM89^4+WeightSDS!T$29*$AM89^3+WeightSDS!U$29*$AM89^2+WeightSDS!V$29*$AM89+WeightSDS!W$29-0.010431*(1-$AM89/210),IF($AM89&lt;123,WeightSDS!M$30*$AM89^10+WeightSDS!N$30*$AM89^9+WeightSDS!O$30*$AM89^8+WeightSDS!P$30*$AM89^7+WeightSDS!Q$30*$AM89^6+WeightSDS!R$30*$AM89^5+WeightSDS!S$30*$AM89^4+WeightSDS!T$30*$AM89^3+WeightSDS!U$30*$AM89^2+WeightSDS!V$30*$AM89+WeightSDS!W$30-0.010431*(1-1/$AM89),WeightSDS!M$32+WeightSDS!N$32/(1+EXP(WeightSDS!O$32+WeightSDS!P$32*$AM89))-0.010431*(1-$AM89/210))))</f>
        <v>2.9500001032655536</v>
      </c>
      <c r="AQ89" s="4">
        <f>IF(D89="M",IF($AM89&lt;162,WeightSDS!P$12*$AM89^7+WeightSDS!Q$12*$AM89^6+WeightSDS!R$12*$AM89^5+WeightSDS!S$12*$AM89^4+WeightSDS!T$12*$AM89^3+WeightSDS!U$12*$AM89^2+WeightSDS!V$12*$AM89+WeightSDS!W$12,WeightSDS!P$14*$AM89^7+WeightSDS!Q$14*$AM89^6+WeightSDS!R$14*$AM89^5+WeightSDS!S$14*$AM89^4+WeightSDS!T$14*$AM89^3+WeightSDS!U$14*$AM89^2+WeightSDS!V$14*$AM89+WeightSDS!W$14),IF($AM89&lt;156,WeightSDS!O$17*$AM89^8+WeightSDS!P$17*$AM89^7+WeightSDS!Q$17*$AM89^6+WeightSDS!R$17*$AM89^5+WeightSDS!S$17*$AM89^4+WeightSDS!T$17*$AM89^3+WeightSDS!U$17*$AM89^2+WeightSDS!V$17*$AM89+WeightSDS!W$17,IF($AM89&lt;186,WeightSDS!$U$18+(WeightSDS!$V$18-WeightSDS!$U$18)/24*($AM89-186)+WeightSDS!$W$18*(-$AM89+186)^2-0.005,WeightSDS!$U$18+(WeightSDS!$V$18-WeightSDS!$U$18)/24*($AM89-186)-0.005)))</f>
        <v>0.14604529399999999</v>
      </c>
      <c r="AT89" s="4">
        <f t="shared" si="28"/>
        <v>0.56299999999999994</v>
      </c>
      <c r="AU89" s="4">
        <f t="shared" si="29"/>
        <v>69</v>
      </c>
      <c r="AV89" s="4">
        <f t="shared" si="30"/>
        <v>0.51</v>
      </c>
    </row>
    <row r="90" spans="1:48" x14ac:dyDescent="0.15">
      <c r="A90" s="4"/>
      <c r="B90" s="21"/>
      <c r="C90" s="21"/>
      <c r="D90" s="21"/>
      <c r="E90" s="22"/>
      <c r="F90" s="22"/>
      <c r="G90" s="23"/>
      <c r="H90" s="23"/>
      <c r="I90" s="181"/>
      <c r="J90" s="8" t="str">
        <f t="shared" si="22"/>
        <v/>
      </c>
      <c r="K90" s="2" t="str">
        <f t="shared" si="31"/>
        <v/>
      </c>
      <c r="L90" s="2" t="str">
        <f t="shared" si="23"/>
        <v/>
      </c>
      <c r="M90" s="2" t="str">
        <f t="shared" si="32"/>
        <v/>
      </c>
      <c r="N90" s="2" t="str">
        <f t="shared" si="40"/>
        <v/>
      </c>
      <c r="O90" s="2" t="str">
        <f t="shared" si="33"/>
        <v/>
      </c>
      <c r="P90" s="8" t="str">
        <f t="shared" si="34"/>
        <v/>
      </c>
      <c r="Q90" s="8" t="str">
        <f t="shared" si="35"/>
        <v/>
      </c>
      <c r="R90" s="111" t="str">
        <f t="shared" si="36"/>
        <v/>
      </c>
      <c r="S90" s="44" t="str">
        <f t="shared" si="37"/>
        <v/>
      </c>
      <c r="T90" s="37" t="str">
        <f t="shared" si="38"/>
        <v/>
      </c>
      <c r="U90" s="44" t="str">
        <f t="shared" si="39"/>
        <v/>
      </c>
      <c r="V90" s="26"/>
      <c r="W90" s="26"/>
      <c r="X90" s="26"/>
      <c r="Y90" s="26"/>
      <c r="Z90" s="24"/>
      <c r="AA90" s="169">
        <f t="shared" si="24"/>
        <v>0</v>
      </c>
      <c r="AB90" s="4">
        <f t="shared" si="25"/>
        <v>0</v>
      </c>
      <c r="AC90" s="170">
        <f t="shared" si="21"/>
        <v>0</v>
      </c>
      <c r="AD90" s="58"/>
      <c r="AE90" s="58"/>
      <c r="AF90" s="58"/>
      <c r="AG90" s="59">
        <f t="shared" si="26"/>
        <v>9.0359999999999996</v>
      </c>
      <c r="AH90" s="59">
        <f t="shared" si="27"/>
        <v>-184.49199999999999</v>
      </c>
      <c r="AJ90" s="4">
        <f>IF(D90="M",IF(AM90&lt;78,BMILMS!$D$5*AM90^3+BMILMS!$E$5*AM90^2+BMILMS!$F$5*AM90+BMILMS!$G$5,IF(AM90&lt;150,BMILMS!$D$6*AM90^3+BMILMS!$E$6*AM90^2+BMILMS!$F$6*AM90+BMILMS!$G$6,BMILMS!$D$7*AM90^3+BMILMS!$E$7*AM90^2+BMILMS!$F$7*AM90+BMILMS!$G$7)),IF(AM90&lt;69,BMILMS!$D$9*AM90^3+BMILMS!$E$9*AM90^2+BMILMS!$F$9*AM90+BMILMS!$G$9,IF(AM90&lt;150,BMILMS!$D$10*AM90^3+BMILMS!$E$10*AM90^2+BMILMS!$F$10*AM90+BMILMS!$G$10,BMILMS!$D$11*AM90^3+BMILMS!$E$11*AM90^2+BMILMS!$F$11*AM90+BMILMS!$G$11)))</f>
        <v>0.79584630099999998</v>
      </c>
      <c r="AK90" s="4">
        <f>IF(D90="M",(IF(AM90&lt;2.5,BMILMS!$D$21*AM90^3+BMILMS!$E$21*AM90^2+BMILMS!$F$21*AM90+BMILMS!$G$21,IF(AM90&lt;9.5,BMILMS!$D$22*AM90^3+BMILMS!$E$22*AM90^2+BMILMS!$F$22*AM90+BMILMS!$G$22,IF(AM90&lt;26.75,BMILMS!$D$23*AM90^3+BMILMS!$E$23*AM90^2+BMILMS!$F$23*AM90+BMILMS!$G$23,IF(AM90&lt;90,BMILMS!$D$24*AM90^3+BMILMS!$E$24*AM90^2+BMILMS!$F$24*AM90+BMILMS!$G$24,BMILMS!$D$25*AM90^3+BMILMS!$E$25*AM90^2+BMILMS!$F$25*AM90+BMILMS!$G$25))))),(IF(AM90&lt;2.5,BMILMS!$D$27*AM90^3+BMILMS!$E$27*AM90^2+BMILMS!$F$27*AM90+BMILMS!$G$27,IF(AM90&lt;9.5,BMILMS!$D$28*AM90^3+BMILMS!$E$28*AM90^2+BMILMS!$F$28*AM90+BMILMS!$G$28,IF(AM90&lt;26.75,BMILMS!$D$29*AM90^3+BMILMS!$E$29*AM90^2+BMILMS!$F$29*AM90+BMILMS!$G$29,IF(AM90&lt;90,BMILMS!$D$30*AM90^3+BMILMS!$E$30*AM90^2+BMILMS!$F$30*AM90+BMILMS!$G$30,IF(AM90&lt;150,BMILMS!$D$31*AM90^3+BMILMS!$E$31*AM90^2+BMILMS!$F$31*AM90+BMILMS!$G$31,BMILMS!$D$32*AM90^3+BMILMS!$E$32*AM90^2+BMILMS!$F$32*AM90+BMILMS!$G$32)))))))</f>
        <v>12.568967990000001</v>
      </c>
      <c r="AL90" s="4">
        <f>IF(D90="M",(IF(AM90&lt;90,BMILMS!$D$14*AM90^3+BMILMS!$E$14*AM90^2+BMILMS!$F$14*AM90+BMILMS!$G$14,BMILMS!$D$15*AM90^3+BMILMS!$E$15*AM90^2+BMILMS!$F$15*AM90+BMILMS!$G$15)),(IF(AM90&lt;90,BMILMS!$D$17*AM90^3+BMILMS!$E$17*AM90^2+BMILMS!$F$17*AM90+BMILMS!$G$17,BMILMS!$D$18*AM90^3+BMILMS!$E$18*AM90^2+BMILMS!$F$18*AM90+BMILMS!$G$18)))</f>
        <v>8.8969350000000003E-2</v>
      </c>
      <c r="AM90" s="4">
        <f t="shared" si="41"/>
        <v>0</v>
      </c>
      <c r="AO90" s="56">
        <f>IF(D90="M",WeightSDS!P$5*$AM90^7+WeightSDS!Q$5*$AM90^6+WeightSDS!R$5*$AM90^5+WeightSDS!S$5*$AM90^4+WeightSDS!T$5*$AM90^3+WeightSDS!U$5*$AM90^2+WeightSDS!V$5*$AM90+WeightSDS!W$5,IF($AM90&lt;186,WeightSDS!P$8*$AM90^7+WeightSDS!Q$8*$AM90^6+WeightSDS!R$8*$AM90^5+WeightSDS!S$8*$AM90^4+WeightSDS!T$8*$AM90^3+WeightSDS!U$8*$AM90^2+WeightSDS!V$8*$AM90+WeightSDS!W$8,WeightSDS!$U$9+WeightSDS!$V$9*($AM90-WeightSDS!$W$9)))</f>
        <v>0.75407122999999998</v>
      </c>
      <c r="AP90" s="4">
        <f>IF(D90="M",IF($AM90&lt;45,WeightSDS!M$23*$AM90^10+WeightSDS!N$23*$AM90^9+WeightSDS!O$23*$AM90^8+WeightSDS!P$23*$AM90^7+WeightSDS!Q$23*$AM90^6+WeightSDS!R$23*$AM90^5+WeightSDS!S$23*$AM90^4+WeightSDS!T$23*$AM90^3+WeightSDS!U$23*$AM90^2+WeightSDS!V$23*$AM90+WeightSDS!W$23,IF($AM90&lt;153,WeightSDS!M$25*$AM90^10+WeightSDS!N$25*$AM90^9+WeightSDS!O$25*$AM90^8+WeightSDS!P$25*$AM90^7+WeightSDS!Q$25*$AM90^6+WeightSDS!R$25*$AM90^5+WeightSDS!S$25*$AM90^4+WeightSDS!T$25*$AM90^3+WeightSDS!U$25*$AM90^2+WeightSDS!V$25*$AM90+WeightSDS!W$25,WeightSDS!M$27+WeightSDS!N$27/(1+EXP(WeightSDS!O$27+WeightSDS!P$27*$AM90)))),IF($AM90&lt;43.8,WeightSDS!M$29*$AM90^10+WeightSDS!N$29*$AM90^9+WeightSDS!O$29*$AM90^8+WeightSDS!P$29*$AM90^7+WeightSDS!Q$29*$AM90^6+WeightSDS!R$29*$AM90^5+WeightSDS!S$29*$AM90^4+WeightSDS!T$29*$AM90^3+WeightSDS!U$29*$AM90^2+WeightSDS!V$29*$AM90+WeightSDS!W$29-0.010431*(1-$AM90/210),IF($AM90&lt;123,WeightSDS!M$30*$AM90^10+WeightSDS!N$30*$AM90^9+WeightSDS!O$30*$AM90^8+WeightSDS!P$30*$AM90^7+WeightSDS!Q$30*$AM90^6+WeightSDS!R$30*$AM90^5+WeightSDS!S$30*$AM90^4+WeightSDS!T$30*$AM90^3+WeightSDS!U$30*$AM90^2+WeightSDS!V$30*$AM90+WeightSDS!W$30-0.010431*(1-1/$AM90),WeightSDS!M$32+WeightSDS!N$32/(1+EXP(WeightSDS!O$32+WeightSDS!P$32*$AM90))-0.010431*(1-$AM90/210))))</f>
        <v>2.9500001032655536</v>
      </c>
      <c r="AQ90" s="4">
        <f>IF(D90="M",IF($AM90&lt;162,WeightSDS!P$12*$AM90^7+WeightSDS!Q$12*$AM90^6+WeightSDS!R$12*$AM90^5+WeightSDS!S$12*$AM90^4+WeightSDS!T$12*$AM90^3+WeightSDS!U$12*$AM90^2+WeightSDS!V$12*$AM90+WeightSDS!W$12,WeightSDS!P$14*$AM90^7+WeightSDS!Q$14*$AM90^6+WeightSDS!R$14*$AM90^5+WeightSDS!S$14*$AM90^4+WeightSDS!T$14*$AM90^3+WeightSDS!U$14*$AM90^2+WeightSDS!V$14*$AM90+WeightSDS!W$14),IF($AM90&lt;156,WeightSDS!O$17*$AM90^8+WeightSDS!P$17*$AM90^7+WeightSDS!Q$17*$AM90^6+WeightSDS!R$17*$AM90^5+WeightSDS!S$17*$AM90^4+WeightSDS!T$17*$AM90^3+WeightSDS!U$17*$AM90^2+WeightSDS!V$17*$AM90+WeightSDS!W$17,IF($AM90&lt;186,WeightSDS!$U$18+(WeightSDS!$V$18-WeightSDS!$U$18)/24*($AM90-186)+WeightSDS!$W$18*(-$AM90+186)^2-0.005,WeightSDS!$U$18+(WeightSDS!$V$18-WeightSDS!$U$18)/24*($AM90-186)-0.005)))</f>
        <v>0.14604529399999999</v>
      </c>
      <c r="AT90" s="4">
        <f t="shared" si="28"/>
        <v>0.56299999999999994</v>
      </c>
      <c r="AU90" s="4">
        <f t="shared" si="29"/>
        <v>69</v>
      </c>
      <c r="AV90" s="4">
        <f t="shared" si="30"/>
        <v>0.51</v>
      </c>
    </row>
    <row r="91" spans="1:48" x14ac:dyDescent="0.15">
      <c r="A91" s="4"/>
      <c r="B91" s="21"/>
      <c r="C91" s="21"/>
      <c r="D91" s="21"/>
      <c r="E91" s="22"/>
      <c r="F91" s="22"/>
      <c r="G91" s="23"/>
      <c r="H91" s="23"/>
      <c r="I91" s="181"/>
      <c r="J91" s="8" t="str">
        <f t="shared" si="22"/>
        <v/>
      </c>
      <c r="K91" s="2" t="str">
        <f t="shared" si="31"/>
        <v/>
      </c>
      <c r="L91" s="2" t="str">
        <f t="shared" si="23"/>
        <v/>
      </c>
      <c r="M91" s="2" t="str">
        <f t="shared" si="32"/>
        <v/>
      </c>
      <c r="N91" s="2" t="str">
        <f t="shared" si="40"/>
        <v/>
      </c>
      <c r="O91" s="2" t="str">
        <f t="shared" si="33"/>
        <v/>
      </c>
      <c r="P91" s="8" t="str">
        <f t="shared" si="34"/>
        <v/>
      </c>
      <c r="Q91" s="8" t="str">
        <f t="shared" si="35"/>
        <v/>
      </c>
      <c r="R91" s="111" t="str">
        <f t="shared" si="36"/>
        <v/>
      </c>
      <c r="S91" s="44" t="str">
        <f t="shared" si="37"/>
        <v/>
      </c>
      <c r="T91" s="37" t="str">
        <f t="shared" si="38"/>
        <v/>
      </c>
      <c r="U91" s="44" t="str">
        <f t="shared" si="39"/>
        <v/>
      </c>
      <c r="V91" s="26"/>
      <c r="W91" s="26"/>
      <c r="X91" s="26"/>
      <c r="Y91" s="26"/>
      <c r="Z91" s="24"/>
      <c r="AA91" s="169">
        <f t="shared" si="24"/>
        <v>0</v>
      </c>
      <c r="AB91" s="4">
        <f t="shared" si="25"/>
        <v>0</v>
      </c>
      <c r="AC91" s="170">
        <f t="shared" si="21"/>
        <v>0</v>
      </c>
      <c r="AD91" s="58"/>
      <c r="AE91" s="58"/>
      <c r="AF91" s="58"/>
      <c r="AG91" s="59">
        <f t="shared" si="26"/>
        <v>9.0359999999999996</v>
      </c>
      <c r="AH91" s="59">
        <f t="shared" si="27"/>
        <v>-184.49199999999999</v>
      </c>
      <c r="AJ91" s="4">
        <f>IF(D91="M",IF(AM91&lt;78,BMILMS!$D$5*AM91^3+BMILMS!$E$5*AM91^2+BMILMS!$F$5*AM91+BMILMS!$G$5,IF(AM91&lt;150,BMILMS!$D$6*AM91^3+BMILMS!$E$6*AM91^2+BMILMS!$F$6*AM91+BMILMS!$G$6,BMILMS!$D$7*AM91^3+BMILMS!$E$7*AM91^2+BMILMS!$F$7*AM91+BMILMS!$G$7)),IF(AM91&lt;69,BMILMS!$D$9*AM91^3+BMILMS!$E$9*AM91^2+BMILMS!$F$9*AM91+BMILMS!$G$9,IF(AM91&lt;150,BMILMS!$D$10*AM91^3+BMILMS!$E$10*AM91^2+BMILMS!$F$10*AM91+BMILMS!$G$10,BMILMS!$D$11*AM91^3+BMILMS!$E$11*AM91^2+BMILMS!$F$11*AM91+BMILMS!$G$11)))</f>
        <v>0.79584630099999998</v>
      </c>
      <c r="AK91" s="4">
        <f>IF(D91="M",(IF(AM91&lt;2.5,BMILMS!$D$21*AM91^3+BMILMS!$E$21*AM91^2+BMILMS!$F$21*AM91+BMILMS!$G$21,IF(AM91&lt;9.5,BMILMS!$D$22*AM91^3+BMILMS!$E$22*AM91^2+BMILMS!$F$22*AM91+BMILMS!$G$22,IF(AM91&lt;26.75,BMILMS!$D$23*AM91^3+BMILMS!$E$23*AM91^2+BMILMS!$F$23*AM91+BMILMS!$G$23,IF(AM91&lt;90,BMILMS!$D$24*AM91^3+BMILMS!$E$24*AM91^2+BMILMS!$F$24*AM91+BMILMS!$G$24,BMILMS!$D$25*AM91^3+BMILMS!$E$25*AM91^2+BMILMS!$F$25*AM91+BMILMS!$G$25))))),(IF(AM91&lt;2.5,BMILMS!$D$27*AM91^3+BMILMS!$E$27*AM91^2+BMILMS!$F$27*AM91+BMILMS!$G$27,IF(AM91&lt;9.5,BMILMS!$D$28*AM91^3+BMILMS!$E$28*AM91^2+BMILMS!$F$28*AM91+BMILMS!$G$28,IF(AM91&lt;26.75,BMILMS!$D$29*AM91^3+BMILMS!$E$29*AM91^2+BMILMS!$F$29*AM91+BMILMS!$G$29,IF(AM91&lt;90,BMILMS!$D$30*AM91^3+BMILMS!$E$30*AM91^2+BMILMS!$F$30*AM91+BMILMS!$G$30,IF(AM91&lt;150,BMILMS!$D$31*AM91^3+BMILMS!$E$31*AM91^2+BMILMS!$F$31*AM91+BMILMS!$G$31,BMILMS!$D$32*AM91^3+BMILMS!$E$32*AM91^2+BMILMS!$F$32*AM91+BMILMS!$G$32)))))))</f>
        <v>12.568967990000001</v>
      </c>
      <c r="AL91" s="4">
        <f>IF(D91="M",(IF(AM91&lt;90,BMILMS!$D$14*AM91^3+BMILMS!$E$14*AM91^2+BMILMS!$F$14*AM91+BMILMS!$G$14,BMILMS!$D$15*AM91^3+BMILMS!$E$15*AM91^2+BMILMS!$F$15*AM91+BMILMS!$G$15)),(IF(AM91&lt;90,BMILMS!$D$17*AM91^3+BMILMS!$E$17*AM91^2+BMILMS!$F$17*AM91+BMILMS!$G$17,BMILMS!$D$18*AM91^3+BMILMS!$E$18*AM91^2+BMILMS!$F$18*AM91+BMILMS!$G$18)))</f>
        <v>8.8969350000000003E-2</v>
      </c>
      <c r="AM91" s="4">
        <f t="shared" si="41"/>
        <v>0</v>
      </c>
      <c r="AO91" s="56">
        <f>IF(D91="M",WeightSDS!P$5*$AM91^7+WeightSDS!Q$5*$AM91^6+WeightSDS!R$5*$AM91^5+WeightSDS!S$5*$AM91^4+WeightSDS!T$5*$AM91^3+WeightSDS!U$5*$AM91^2+WeightSDS!V$5*$AM91+WeightSDS!W$5,IF($AM91&lt;186,WeightSDS!P$8*$AM91^7+WeightSDS!Q$8*$AM91^6+WeightSDS!R$8*$AM91^5+WeightSDS!S$8*$AM91^4+WeightSDS!T$8*$AM91^3+WeightSDS!U$8*$AM91^2+WeightSDS!V$8*$AM91+WeightSDS!W$8,WeightSDS!$U$9+WeightSDS!$V$9*($AM91-WeightSDS!$W$9)))</f>
        <v>0.75407122999999998</v>
      </c>
      <c r="AP91" s="4">
        <f>IF(D91="M",IF($AM91&lt;45,WeightSDS!M$23*$AM91^10+WeightSDS!N$23*$AM91^9+WeightSDS!O$23*$AM91^8+WeightSDS!P$23*$AM91^7+WeightSDS!Q$23*$AM91^6+WeightSDS!R$23*$AM91^5+WeightSDS!S$23*$AM91^4+WeightSDS!T$23*$AM91^3+WeightSDS!U$23*$AM91^2+WeightSDS!V$23*$AM91+WeightSDS!W$23,IF($AM91&lt;153,WeightSDS!M$25*$AM91^10+WeightSDS!N$25*$AM91^9+WeightSDS!O$25*$AM91^8+WeightSDS!P$25*$AM91^7+WeightSDS!Q$25*$AM91^6+WeightSDS!R$25*$AM91^5+WeightSDS!S$25*$AM91^4+WeightSDS!T$25*$AM91^3+WeightSDS!U$25*$AM91^2+WeightSDS!V$25*$AM91+WeightSDS!W$25,WeightSDS!M$27+WeightSDS!N$27/(1+EXP(WeightSDS!O$27+WeightSDS!P$27*$AM91)))),IF($AM91&lt;43.8,WeightSDS!M$29*$AM91^10+WeightSDS!N$29*$AM91^9+WeightSDS!O$29*$AM91^8+WeightSDS!P$29*$AM91^7+WeightSDS!Q$29*$AM91^6+WeightSDS!R$29*$AM91^5+WeightSDS!S$29*$AM91^4+WeightSDS!T$29*$AM91^3+WeightSDS!U$29*$AM91^2+WeightSDS!V$29*$AM91+WeightSDS!W$29-0.010431*(1-$AM91/210),IF($AM91&lt;123,WeightSDS!M$30*$AM91^10+WeightSDS!N$30*$AM91^9+WeightSDS!O$30*$AM91^8+WeightSDS!P$30*$AM91^7+WeightSDS!Q$30*$AM91^6+WeightSDS!R$30*$AM91^5+WeightSDS!S$30*$AM91^4+WeightSDS!T$30*$AM91^3+WeightSDS!U$30*$AM91^2+WeightSDS!V$30*$AM91+WeightSDS!W$30-0.010431*(1-1/$AM91),WeightSDS!M$32+WeightSDS!N$32/(1+EXP(WeightSDS!O$32+WeightSDS!P$32*$AM91))-0.010431*(1-$AM91/210))))</f>
        <v>2.9500001032655536</v>
      </c>
      <c r="AQ91" s="4">
        <f>IF(D91="M",IF($AM91&lt;162,WeightSDS!P$12*$AM91^7+WeightSDS!Q$12*$AM91^6+WeightSDS!R$12*$AM91^5+WeightSDS!S$12*$AM91^4+WeightSDS!T$12*$AM91^3+WeightSDS!U$12*$AM91^2+WeightSDS!V$12*$AM91+WeightSDS!W$12,WeightSDS!P$14*$AM91^7+WeightSDS!Q$14*$AM91^6+WeightSDS!R$14*$AM91^5+WeightSDS!S$14*$AM91^4+WeightSDS!T$14*$AM91^3+WeightSDS!U$14*$AM91^2+WeightSDS!V$14*$AM91+WeightSDS!W$14),IF($AM91&lt;156,WeightSDS!O$17*$AM91^8+WeightSDS!P$17*$AM91^7+WeightSDS!Q$17*$AM91^6+WeightSDS!R$17*$AM91^5+WeightSDS!S$17*$AM91^4+WeightSDS!T$17*$AM91^3+WeightSDS!U$17*$AM91^2+WeightSDS!V$17*$AM91+WeightSDS!W$17,IF($AM91&lt;186,WeightSDS!$U$18+(WeightSDS!$V$18-WeightSDS!$U$18)/24*($AM91-186)+WeightSDS!$W$18*(-$AM91+186)^2-0.005,WeightSDS!$U$18+(WeightSDS!$V$18-WeightSDS!$U$18)/24*($AM91-186)-0.005)))</f>
        <v>0.14604529399999999</v>
      </c>
      <c r="AT91" s="4">
        <f t="shared" si="28"/>
        <v>0.56299999999999994</v>
      </c>
      <c r="AU91" s="4">
        <f t="shared" si="29"/>
        <v>69</v>
      </c>
      <c r="AV91" s="4">
        <f t="shared" si="30"/>
        <v>0.51</v>
      </c>
    </row>
    <row r="92" spans="1:48" x14ac:dyDescent="0.15">
      <c r="A92" s="4"/>
      <c r="B92" s="21"/>
      <c r="C92" s="21"/>
      <c r="D92" s="21"/>
      <c r="E92" s="22"/>
      <c r="F92" s="22"/>
      <c r="G92" s="23"/>
      <c r="H92" s="23"/>
      <c r="I92" s="181"/>
      <c r="J92" s="8" t="str">
        <f t="shared" si="22"/>
        <v/>
      </c>
      <c r="K92" s="2" t="str">
        <f t="shared" si="31"/>
        <v/>
      </c>
      <c r="L92" s="2" t="str">
        <f t="shared" si="23"/>
        <v/>
      </c>
      <c r="M92" s="2" t="str">
        <f t="shared" si="32"/>
        <v/>
      </c>
      <c r="N92" s="2" t="str">
        <f t="shared" si="40"/>
        <v/>
      </c>
      <c r="O92" s="2" t="str">
        <f t="shared" si="33"/>
        <v/>
      </c>
      <c r="P92" s="8" t="str">
        <f t="shared" si="34"/>
        <v/>
      </c>
      <c r="Q92" s="8" t="str">
        <f t="shared" si="35"/>
        <v/>
      </c>
      <c r="R92" s="111" t="str">
        <f t="shared" si="36"/>
        <v/>
      </c>
      <c r="S92" s="44" t="str">
        <f t="shared" si="37"/>
        <v/>
      </c>
      <c r="T92" s="37" t="str">
        <f t="shared" si="38"/>
        <v/>
      </c>
      <c r="U92" s="44" t="str">
        <f t="shared" si="39"/>
        <v/>
      </c>
      <c r="V92" s="26"/>
      <c r="W92" s="26"/>
      <c r="X92" s="26"/>
      <c r="Y92" s="26"/>
      <c r="Z92" s="24"/>
      <c r="AA92" s="169">
        <f t="shared" si="24"/>
        <v>0</v>
      </c>
      <c r="AB92" s="4">
        <f t="shared" si="25"/>
        <v>0</v>
      </c>
      <c r="AC92" s="170">
        <f t="shared" si="21"/>
        <v>0</v>
      </c>
      <c r="AD92" s="58"/>
      <c r="AE92" s="58"/>
      <c r="AF92" s="58"/>
      <c r="AG92" s="59">
        <f t="shared" si="26"/>
        <v>9.0359999999999996</v>
      </c>
      <c r="AH92" s="59">
        <f t="shared" si="27"/>
        <v>-184.49199999999999</v>
      </c>
      <c r="AJ92" s="4">
        <f>IF(D92="M",IF(AM92&lt;78,BMILMS!$D$5*AM92^3+BMILMS!$E$5*AM92^2+BMILMS!$F$5*AM92+BMILMS!$G$5,IF(AM92&lt;150,BMILMS!$D$6*AM92^3+BMILMS!$E$6*AM92^2+BMILMS!$F$6*AM92+BMILMS!$G$6,BMILMS!$D$7*AM92^3+BMILMS!$E$7*AM92^2+BMILMS!$F$7*AM92+BMILMS!$G$7)),IF(AM92&lt;69,BMILMS!$D$9*AM92^3+BMILMS!$E$9*AM92^2+BMILMS!$F$9*AM92+BMILMS!$G$9,IF(AM92&lt;150,BMILMS!$D$10*AM92^3+BMILMS!$E$10*AM92^2+BMILMS!$F$10*AM92+BMILMS!$G$10,BMILMS!$D$11*AM92^3+BMILMS!$E$11*AM92^2+BMILMS!$F$11*AM92+BMILMS!$G$11)))</f>
        <v>0.79584630099999998</v>
      </c>
      <c r="AK92" s="4">
        <f>IF(D92="M",(IF(AM92&lt;2.5,BMILMS!$D$21*AM92^3+BMILMS!$E$21*AM92^2+BMILMS!$F$21*AM92+BMILMS!$G$21,IF(AM92&lt;9.5,BMILMS!$D$22*AM92^3+BMILMS!$E$22*AM92^2+BMILMS!$F$22*AM92+BMILMS!$G$22,IF(AM92&lt;26.75,BMILMS!$D$23*AM92^3+BMILMS!$E$23*AM92^2+BMILMS!$F$23*AM92+BMILMS!$G$23,IF(AM92&lt;90,BMILMS!$D$24*AM92^3+BMILMS!$E$24*AM92^2+BMILMS!$F$24*AM92+BMILMS!$G$24,BMILMS!$D$25*AM92^3+BMILMS!$E$25*AM92^2+BMILMS!$F$25*AM92+BMILMS!$G$25))))),(IF(AM92&lt;2.5,BMILMS!$D$27*AM92^3+BMILMS!$E$27*AM92^2+BMILMS!$F$27*AM92+BMILMS!$G$27,IF(AM92&lt;9.5,BMILMS!$D$28*AM92^3+BMILMS!$E$28*AM92^2+BMILMS!$F$28*AM92+BMILMS!$G$28,IF(AM92&lt;26.75,BMILMS!$D$29*AM92^3+BMILMS!$E$29*AM92^2+BMILMS!$F$29*AM92+BMILMS!$G$29,IF(AM92&lt;90,BMILMS!$D$30*AM92^3+BMILMS!$E$30*AM92^2+BMILMS!$F$30*AM92+BMILMS!$G$30,IF(AM92&lt;150,BMILMS!$D$31*AM92^3+BMILMS!$E$31*AM92^2+BMILMS!$F$31*AM92+BMILMS!$G$31,BMILMS!$D$32*AM92^3+BMILMS!$E$32*AM92^2+BMILMS!$F$32*AM92+BMILMS!$G$32)))))))</f>
        <v>12.568967990000001</v>
      </c>
      <c r="AL92" s="4">
        <f>IF(D92="M",(IF(AM92&lt;90,BMILMS!$D$14*AM92^3+BMILMS!$E$14*AM92^2+BMILMS!$F$14*AM92+BMILMS!$G$14,BMILMS!$D$15*AM92^3+BMILMS!$E$15*AM92^2+BMILMS!$F$15*AM92+BMILMS!$G$15)),(IF(AM92&lt;90,BMILMS!$D$17*AM92^3+BMILMS!$E$17*AM92^2+BMILMS!$F$17*AM92+BMILMS!$G$17,BMILMS!$D$18*AM92^3+BMILMS!$E$18*AM92^2+BMILMS!$F$18*AM92+BMILMS!$G$18)))</f>
        <v>8.8969350000000003E-2</v>
      </c>
      <c r="AM92" s="4">
        <f t="shared" si="41"/>
        <v>0</v>
      </c>
      <c r="AO92" s="56">
        <f>IF(D92="M",WeightSDS!P$5*$AM92^7+WeightSDS!Q$5*$AM92^6+WeightSDS!R$5*$AM92^5+WeightSDS!S$5*$AM92^4+WeightSDS!T$5*$AM92^3+WeightSDS!U$5*$AM92^2+WeightSDS!V$5*$AM92+WeightSDS!W$5,IF($AM92&lt;186,WeightSDS!P$8*$AM92^7+WeightSDS!Q$8*$AM92^6+WeightSDS!R$8*$AM92^5+WeightSDS!S$8*$AM92^4+WeightSDS!T$8*$AM92^3+WeightSDS!U$8*$AM92^2+WeightSDS!V$8*$AM92+WeightSDS!W$8,WeightSDS!$U$9+WeightSDS!$V$9*($AM92-WeightSDS!$W$9)))</f>
        <v>0.75407122999999998</v>
      </c>
      <c r="AP92" s="4">
        <f>IF(D92="M",IF($AM92&lt;45,WeightSDS!M$23*$AM92^10+WeightSDS!N$23*$AM92^9+WeightSDS!O$23*$AM92^8+WeightSDS!P$23*$AM92^7+WeightSDS!Q$23*$AM92^6+WeightSDS!R$23*$AM92^5+WeightSDS!S$23*$AM92^4+WeightSDS!T$23*$AM92^3+WeightSDS!U$23*$AM92^2+WeightSDS!V$23*$AM92+WeightSDS!W$23,IF($AM92&lt;153,WeightSDS!M$25*$AM92^10+WeightSDS!N$25*$AM92^9+WeightSDS!O$25*$AM92^8+WeightSDS!P$25*$AM92^7+WeightSDS!Q$25*$AM92^6+WeightSDS!R$25*$AM92^5+WeightSDS!S$25*$AM92^4+WeightSDS!T$25*$AM92^3+WeightSDS!U$25*$AM92^2+WeightSDS!V$25*$AM92+WeightSDS!W$25,WeightSDS!M$27+WeightSDS!N$27/(1+EXP(WeightSDS!O$27+WeightSDS!P$27*$AM92)))),IF($AM92&lt;43.8,WeightSDS!M$29*$AM92^10+WeightSDS!N$29*$AM92^9+WeightSDS!O$29*$AM92^8+WeightSDS!P$29*$AM92^7+WeightSDS!Q$29*$AM92^6+WeightSDS!R$29*$AM92^5+WeightSDS!S$29*$AM92^4+WeightSDS!T$29*$AM92^3+WeightSDS!U$29*$AM92^2+WeightSDS!V$29*$AM92+WeightSDS!W$29-0.010431*(1-$AM92/210),IF($AM92&lt;123,WeightSDS!M$30*$AM92^10+WeightSDS!N$30*$AM92^9+WeightSDS!O$30*$AM92^8+WeightSDS!P$30*$AM92^7+WeightSDS!Q$30*$AM92^6+WeightSDS!R$30*$AM92^5+WeightSDS!S$30*$AM92^4+WeightSDS!T$30*$AM92^3+WeightSDS!U$30*$AM92^2+WeightSDS!V$30*$AM92+WeightSDS!W$30-0.010431*(1-1/$AM92),WeightSDS!M$32+WeightSDS!N$32/(1+EXP(WeightSDS!O$32+WeightSDS!P$32*$AM92))-0.010431*(1-$AM92/210))))</f>
        <v>2.9500001032655536</v>
      </c>
      <c r="AQ92" s="4">
        <f>IF(D92="M",IF($AM92&lt;162,WeightSDS!P$12*$AM92^7+WeightSDS!Q$12*$AM92^6+WeightSDS!R$12*$AM92^5+WeightSDS!S$12*$AM92^4+WeightSDS!T$12*$AM92^3+WeightSDS!U$12*$AM92^2+WeightSDS!V$12*$AM92+WeightSDS!W$12,WeightSDS!P$14*$AM92^7+WeightSDS!Q$14*$AM92^6+WeightSDS!R$14*$AM92^5+WeightSDS!S$14*$AM92^4+WeightSDS!T$14*$AM92^3+WeightSDS!U$14*$AM92^2+WeightSDS!V$14*$AM92+WeightSDS!W$14),IF($AM92&lt;156,WeightSDS!O$17*$AM92^8+WeightSDS!P$17*$AM92^7+WeightSDS!Q$17*$AM92^6+WeightSDS!R$17*$AM92^5+WeightSDS!S$17*$AM92^4+WeightSDS!T$17*$AM92^3+WeightSDS!U$17*$AM92^2+WeightSDS!V$17*$AM92+WeightSDS!W$17,IF($AM92&lt;186,WeightSDS!$U$18+(WeightSDS!$V$18-WeightSDS!$U$18)/24*($AM92-186)+WeightSDS!$W$18*(-$AM92+186)^2-0.005,WeightSDS!$U$18+(WeightSDS!$V$18-WeightSDS!$U$18)/24*($AM92-186)-0.005)))</f>
        <v>0.14604529399999999</v>
      </c>
      <c r="AT92" s="4">
        <f t="shared" si="28"/>
        <v>0.56299999999999994</v>
      </c>
      <c r="AU92" s="4">
        <f t="shared" si="29"/>
        <v>69</v>
      </c>
      <c r="AV92" s="4">
        <f t="shared" si="30"/>
        <v>0.51</v>
      </c>
    </row>
    <row r="93" spans="1:48" x14ac:dyDescent="0.15">
      <c r="A93" s="4"/>
      <c r="B93" s="21"/>
      <c r="C93" s="21"/>
      <c r="D93" s="21"/>
      <c r="E93" s="22"/>
      <c r="F93" s="22"/>
      <c r="G93" s="23"/>
      <c r="H93" s="23"/>
      <c r="I93" s="181"/>
      <c r="J93" s="8" t="str">
        <f t="shared" si="22"/>
        <v/>
      </c>
      <c r="K93" s="2" t="str">
        <f t="shared" si="31"/>
        <v/>
      </c>
      <c r="L93" s="2" t="str">
        <f t="shared" si="23"/>
        <v/>
      </c>
      <c r="M93" s="2" t="str">
        <f t="shared" si="32"/>
        <v/>
      </c>
      <c r="N93" s="2" t="str">
        <f t="shared" si="40"/>
        <v/>
      </c>
      <c r="O93" s="2" t="str">
        <f t="shared" si="33"/>
        <v/>
      </c>
      <c r="P93" s="8" t="str">
        <f t="shared" si="34"/>
        <v/>
      </c>
      <c r="Q93" s="8" t="str">
        <f t="shared" si="35"/>
        <v/>
      </c>
      <c r="R93" s="111" t="str">
        <f t="shared" si="36"/>
        <v/>
      </c>
      <c r="S93" s="44" t="str">
        <f t="shared" si="37"/>
        <v/>
      </c>
      <c r="T93" s="37" t="str">
        <f t="shared" si="38"/>
        <v/>
      </c>
      <c r="U93" s="44" t="str">
        <f t="shared" si="39"/>
        <v/>
      </c>
      <c r="V93" s="26"/>
      <c r="W93" s="26"/>
      <c r="X93" s="26"/>
      <c r="Y93" s="26"/>
      <c r="Z93" s="24"/>
      <c r="AA93" s="169">
        <f t="shared" si="24"/>
        <v>0</v>
      </c>
      <c r="AB93" s="4">
        <f t="shared" si="25"/>
        <v>0</v>
      </c>
      <c r="AC93" s="170">
        <f t="shared" si="21"/>
        <v>0</v>
      </c>
      <c r="AD93" s="58"/>
      <c r="AE93" s="58"/>
      <c r="AF93" s="58"/>
      <c r="AG93" s="59">
        <f t="shared" si="26"/>
        <v>9.0359999999999996</v>
      </c>
      <c r="AH93" s="59">
        <f t="shared" si="27"/>
        <v>-184.49199999999999</v>
      </c>
      <c r="AJ93" s="4">
        <f>IF(D93="M",IF(AM93&lt;78,BMILMS!$D$5*AM93^3+BMILMS!$E$5*AM93^2+BMILMS!$F$5*AM93+BMILMS!$G$5,IF(AM93&lt;150,BMILMS!$D$6*AM93^3+BMILMS!$E$6*AM93^2+BMILMS!$F$6*AM93+BMILMS!$G$6,BMILMS!$D$7*AM93^3+BMILMS!$E$7*AM93^2+BMILMS!$F$7*AM93+BMILMS!$G$7)),IF(AM93&lt;69,BMILMS!$D$9*AM93^3+BMILMS!$E$9*AM93^2+BMILMS!$F$9*AM93+BMILMS!$G$9,IF(AM93&lt;150,BMILMS!$D$10*AM93^3+BMILMS!$E$10*AM93^2+BMILMS!$F$10*AM93+BMILMS!$G$10,BMILMS!$D$11*AM93^3+BMILMS!$E$11*AM93^2+BMILMS!$F$11*AM93+BMILMS!$G$11)))</f>
        <v>0.79584630099999998</v>
      </c>
      <c r="AK93" s="4">
        <f>IF(D93="M",(IF(AM93&lt;2.5,BMILMS!$D$21*AM93^3+BMILMS!$E$21*AM93^2+BMILMS!$F$21*AM93+BMILMS!$G$21,IF(AM93&lt;9.5,BMILMS!$D$22*AM93^3+BMILMS!$E$22*AM93^2+BMILMS!$F$22*AM93+BMILMS!$G$22,IF(AM93&lt;26.75,BMILMS!$D$23*AM93^3+BMILMS!$E$23*AM93^2+BMILMS!$F$23*AM93+BMILMS!$G$23,IF(AM93&lt;90,BMILMS!$D$24*AM93^3+BMILMS!$E$24*AM93^2+BMILMS!$F$24*AM93+BMILMS!$G$24,BMILMS!$D$25*AM93^3+BMILMS!$E$25*AM93^2+BMILMS!$F$25*AM93+BMILMS!$G$25))))),(IF(AM93&lt;2.5,BMILMS!$D$27*AM93^3+BMILMS!$E$27*AM93^2+BMILMS!$F$27*AM93+BMILMS!$G$27,IF(AM93&lt;9.5,BMILMS!$D$28*AM93^3+BMILMS!$E$28*AM93^2+BMILMS!$F$28*AM93+BMILMS!$G$28,IF(AM93&lt;26.75,BMILMS!$D$29*AM93^3+BMILMS!$E$29*AM93^2+BMILMS!$F$29*AM93+BMILMS!$G$29,IF(AM93&lt;90,BMILMS!$D$30*AM93^3+BMILMS!$E$30*AM93^2+BMILMS!$F$30*AM93+BMILMS!$G$30,IF(AM93&lt;150,BMILMS!$D$31*AM93^3+BMILMS!$E$31*AM93^2+BMILMS!$F$31*AM93+BMILMS!$G$31,BMILMS!$D$32*AM93^3+BMILMS!$E$32*AM93^2+BMILMS!$F$32*AM93+BMILMS!$G$32)))))))</f>
        <v>12.568967990000001</v>
      </c>
      <c r="AL93" s="4">
        <f>IF(D93="M",(IF(AM93&lt;90,BMILMS!$D$14*AM93^3+BMILMS!$E$14*AM93^2+BMILMS!$F$14*AM93+BMILMS!$G$14,BMILMS!$D$15*AM93^3+BMILMS!$E$15*AM93^2+BMILMS!$F$15*AM93+BMILMS!$G$15)),(IF(AM93&lt;90,BMILMS!$D$17*AM93^3+BMILMS!$E$17*AM93^2+BMILMS!$F$17*AM93+BMILMS!$G$17,BMILMS!$D$18*AM93^3+BMILMS!$E$18*AM93^2+BMILMS!$F$18*AM93+BMILMS!$G$18)))</f>
        <v>8.8969350000000003E-2</v>
      </c>
      <c r="AM93" s="4">
        <f t="shared" si="41"/>
        <v>0</v>
      </c>
      <c r="AO93" s="56">
        <f>IF(D93="M",WeightSDS!P$5*$AM93^7+WeightSDS!Q$5*$AM93^6+WeightSDS!R$5*$AM93^5+WeightSDS!S$5*$AM93^4+WeightSDS!T$5*$AM93^3+WeightSDS!U$5*$AM93^2+WeightSDS!V$5*$AM93+WeightSDS!W$5,IF($AM93&lt;186,WeightSDS!P$8*$AM93^7+WeightSDS!Q$8*$AM93^6+WeightSDS!R$8*$AM93^5+WeightSDS!S$8*$AM93^4+WeightSDS!T$8*$AM93^3+WeightSDS!U$8*$AM93^2+WeightSDS!V$8*$AM93+WeightSDS!W$8,WeightSDS!$U$9+WeightSDS!$V$9*($AM93-WeightSDS!$W$9)))</f>
        <v>0.75407122999999998</v>
      </c>
      <c r="AP93" s="4">
        <f>IF(D93="M",IF($AM93&lt;45,WeightSDS!M$23*$AM93^10+WeightSDS!N$23*$AM93^9+WeightSDS!O$23*$AM93^8+WeightSDS!P$23*$AM93^7+WeightSDS!Q$23*$AM93^6+WeightSDS!R$23*$AM93^5+WeightSDS!S$23*$AM93^4+WeightSDS!T$23*$AM93^3+WeightSDS!U$23*$AM93^2+WeightSDS!V$23*$AM93+WeightSDS!W$23,IF($AM93&lt;153,WeightSDS!M$25*$AM93^10+WeightSDS!N$25*$AM93^9+WeightSDS!O$25*$AM93^8+WeightSDS!P$25*$AM93^7+WeightSDS!Q$25*$AM93^6+WeightSDS!R$25*$AM93^5+WeightSDS!S$25*$AM93^4+WeightSDS!T$25*$AM93^3+WeightSDS!U$25*$AM93^2+WeightSDS!V$25*$AM93+WeightSDS!W$25,WeightSDS!M$27+WeightSDS!N$27/(1+EXP(WeightSDS!O$27+WeightSDS!P$27*$AM93)))),IF($AM93&lt;43.8,WeightSDS!M$29*$AM93^10+WeightSDS!N$29*$AM93^9+WeightSDS!O$29*$AM93^8+WeightSDS!P$29*$AM93^7+WeightSDS!Q$29*$AM93^6+WeightSDS!R$29*$AM93^5+WeightSDS!S$29*$AM93^4+WeightSDS!T$29*$AM93^3+WeightSDS!U$29*$AM93^2+WeightSDS!V$29*$AM93+WeightSDS!W$29-0.010431*(1-$AM93/210),IF($AM93&lt;123,WeightSDS!M$30*$AM93^10+WeightSDS!N$30*$AM93^9+WeightSDS!O$30*$AM93^8+WeightSDS!P$30*$AM93^7+WeightSDS!Q$30*$AM93^6+WeightSDS!R$30*$AM93^5+WeightSDS!S$30*$AM93^4+WeightSDS!T$30*$AM93^3+WeightSDS!U$30*$AM93^2+WeightSDS!V$30*$AM93+WeightSDS!W$30-0.010431*(1-1/$AM93),WeightSDS!M$32+WeightSDS!N$32/(1+EXP(WeightSDS!O$32+WeightSDS!P$32*$AM93))-0.010431*(1-$AM93/210))))</f>
        <v>2.9500001032655536</v>
      </c>
      <c r="AQ93" s="4">
        <f>IF(D93="M",IF($AM93&lt;162,WeightSDS!P$12*$AM93^7+WeightSDS!Q$12*$AM93^6+WeightSDS!R$12*$AM93^5+WeightSDS!S$12*$AM93^4+WeightSDS!T$12*$AM93^3+WeightSDS!U$12*$AM93^2+WeightSDS!V$12*$AM93+WeightSDS!W$12,WeightSDS!P$14*$AM93^7+WeightSDS!Q$14*$AM93^6+WeightSDS!R$14*$AM93^5+WeightSDS!S$14*$AM93^4+WeightSDS!T$14*$AM93^3+WeightSDS!U$14*$AM93^2+WeightSDS!V$14*$AM93+WeightSDS!W$14),IF($AM93&lt;156,WeightSDS!O$17*$AM93^8+WeightSDS!P$17*$AM93^7+WeightSDS!Q$17*$AM93^6+WeightSDS!R$17*$AM93^5+WeightSDS!S$17*$AM93^4+WeightSDS!T$17*$AM93^3+WeightSDS!U$17*$AM93^2+WeightSDS!V$17*$AM93+WeightSDS!W$17,IF($AM93&lt;186,WeightSDS!$U$18+(WeightSDS!$V$18-WeightSDS!$U$18)/24*($AM93-186)+WeightSDS!$W$18*(-$AM93+186)^2-0.005,WeightSDS!$U$18+(WeightSDS!$V$18-WeightSDS!$U$18)/24*($AM93-186)-0.005)))</f>
        <v>0.14604529399999999</v>
      </c>
      <c r="AT93" s="4">
        <f t="shared" si="28"/>
        <v>0.56299999999999994</v>
      </c>
      <c r="AU93" s="4">
        <f t="shared" si="29"/>
        <v>69</v>
      </c>
      <c r="AV93" s="4">
        <f t="shared" si="30"/>
        <v>0.51</v>
      </c>
    </row>
    <row r="94" spans="1:48" x14ac:dyDescent="0.15">
      <c r="A94" s="4"/>
      <c r="B94" s="21"/>
      <c r="C94" s="21"/>
      <c r="D94" s="21"/>
      <c r="E94" s="22"/>
      <c r="F94" s="22"/>
      <c r="G94" s="23"/>
      <c r="H94" s="23"/>
      <c r="I94" s="181"/>
      <c r="J94" s="8" t="str">
        <f t="shared" si="22"/>
        <v/>
      </c>
      <c r="K94" s="2" t="str">
        <f t="shared" si="31"/>
        <v/>
      </c>
      <c r="L94" s="2" t="str">
        <f t="shared" si="23"/>
        <v/>
      </c>
      <c r="M94" s="2" t="str">
        <f t="shared" si="32"/>
        <v/>
      </c>
      <c r="N94" s="2" t="str">
        <f t="shared" si="40"/>
        <v/>
      </c>
      <c r="O94" s="2" t="str">
        <f t="shared" si="33"/>
        <v/>
      </c>
      <c r="P94" s="8" t="str">
        <f t="shared" si="34"/>
        <v/>
      </c>
      <c r="Q94" s="8" t="str">
        <f t="shared" si="35"/>
        <v/>
      </c>
      <c r="R94" s="111" t="str">
        <f t="shared" si="36"/>
        <v/>
      </c>
      <c r="S94" s="44" t="str">
        <f t="shared" si="37"/>
        <v/>
      </c>
      <c r="T94" s="37" t="str">
        <f t="shared" si="38"/>
        <v/>
      </c>
      <c r="U94" s="44" t="str">
        <f t="shared" si="39"/>
        <v/>
      </c>
      <c r="V94" s="26"/>
      <c r="W94" s="26"/>
      <c r="X94" s="26"/>
      <c r="Y94" s="26"/>
      <c r="Z94" s="24"/>
      <c r="AA94" s="169">
        <f t="shared" si="24"/>
        <v>0</v>
      </c>
      <c r="AB94" s="4">
        <f t="shared" si="25"/>
        <v>0</v>
      </c>
      <c r="AC94" s="170">
        <f t="shared" ref="AC94:AC157" si="42">DATEDIF(E94,F94,"Y")+(F94-(DATE(YEAR(E94)+DATEDIF(E94,F94,"Y"),MONTH(E94),DAY(E94))))/(365+IF(MOD(YEAR((DATE(YEAR(F94)-1,MONTH(E94),DAY(E94)))),4)=0,IF((DATE(YEAR(F94)-1,MONTH(E94),DAY(E94)))&gt;DATE(YEAR((DATE(YEAR(F94)-1,MONTH(E94),DAY(E94)))),2,29),0,1),0)+IF(MOD(YEAR(F94),4)=0,IF(F94&gt;DATE(YEAR(F94),2,29),1,0),0))</f>
        <v>0</v>
      </c>
      <c r="AD94" s="58"/>
      <c r="AE94" s="58"/>
      <c r="AF94" s="58"/>
      <c r="AG94" s="59">
        <f t="shared" si="26"/>
        <v>9.0359999999999996</v>
      </c>
      <c r="AH94" s="59">
        <f t="shared" si="27"/>
        <v>-184.49199999999999</v>
      </c>
      <c r="AJ94" s="4">
        <f>IF(D94="M",IF(AM94&lt;78,BMILMS!$D$5*AM94^3+BMILMS!$E$5*AM94^2+BMILMS!$F$5*AM94+BMILMS!$G$5,IF(AM94&lt;150,BMILMS!$D$6*AM94^3+BMILMS!$E$6*AM94^2+BMILMS!$F$6*AM94+BMILMS!$G$6,BMILMS!$D$7*AM94^3+BMILMS!$E$7*AM94^2+BMILMS!$F$7*AM94+BMILMS!$G$7)),IF(AM94&lt;69,BMILMS!$D$9*AM94^3+BMILMS!$E$9*AM94^2+BMILMS!$F$9*AM94+BMILMS!$G$9,IF(AM94&lt;150,BMILMS!$D$10*AM94^3+BMILMS!$E$10*AM94^2+BMILMS!$F$10*AM94+BMILMS!$G$10,BMILMS!$D$11*AM94^3+BMILMS!$E$11*AM94^2+BMILMS!$F$11*AM94+BMILMS!$G$11)))</f>
        <v>0.79584630099999998</v>
      </c>
      <c r="AK94" s="4">
        <f>IF(D94="M",(IF(AM94&lt;2.5,BMILMS!$D$21*AM94^3+BMILMS!$E$21*AM94^2+BMILMS!$F$21*AM94+BMILMS!$G$21,IF(AM94&lt;9.5,BMILMS!$D$22*AM94^3+BMILMS!$E$22*AM94^2+BMILMS!$F$22*AM94+BMILMS!$G$22,IF(AM94&lt;26.75,BMILMS!$D$23*AM94^3+BMILMS!$E$23*AM94^2+BMILMS!$F$23*AM94+BMILMS!$G$23,IF(AM94&lt;90,BMILMS!$D$24*AM94^3+BMILMS!$E$24*AM94^2+BMILMS!$F$24*AM94+BMILMS!$G$24,BMILMS!$D$25*AM94^3+BMILMS!$E$25*AM94^2+BMILMS!$F$25*AM94+BMILMS!$G$25))))),(IF(AM94&lt;2.5,BMILMS!$D$27*AM94^3+BMILMS!$E$27*AM94^2+BMILMS!$F$27*AM94+BMILMS!$G$27,IF(AM94&lt;9.5,BMILMS!$D$28*AM94^3+BMILMS!$E$28*AM94^2+BMILMS!$F$28*AM94+BMILMS!$G$28,IF(AM94&lt;26.75,BMILMS!$D$29*AM94^3+BMILMS!$E$29*AM94^2+BMILMS!$F$29*AM94+BMILMS!$G$29,IF(AM94&lt;90,BMILMS!$D$30*AM94^3+BMILMS!$E$30*AM94^2+BMILMS!$F$30*AM94+BMILMS!$G$30,IF(AM94&lt;150,BMILMS!$D$31*AM94^3+BMILMS!$E$31*AM94^2+BMILMS!$F$31*AM94+BMILMS!$G$31,BMILMS!$D$32*AM94^3+BMILMS!$E$32*AM94^2+BMILMS!$F$32*AM94+BMILMS!$G$32)))))))</f>
        <v>12.568967990000001</v>
      </c>
      <c r="AL94" s="4">
        <f>IF(D94="M",(IF(AM94&lt;90,BMILMS!$D$14*AM94^3+BMILMS!$E$14*AM94^2+BMILMS!$F$14*AM94+BMILMS!$G$14,BMILMS!$D$15*AM94^3+BMILMS!$E$15*AM94^2+BMILMS!$F$15*AM94+BMILMS!$G$15)),(IF(AM94&lt;90,BMILMS!$D$17*AM94^3+BMILMS!$E$17*AM94^2+BMILMS!$F$17*AM94+BMILMS!$G$17,BMILMS!$D$18*AM94^3+BMILMS!$E$18*AM94^2+BMILMS!$F$18*AM94+BMILMS!$G$18)))</f>
        <v>8.8969350000000003E-2</v>
      </c>
      <c r="AM94" s="4">
        <f t="shared" si="41"/>
        <v>0</v>
      </c>
      <c r="AO94" s="56">
        <f>IF(D94="M",WeightSDS!P$5*$AM94^7+WeightSDS!Q$5*$AM94^6+WeightSDS!R$5*$AM94^5+WeightSDS!S$5*$AM94^4+WeightSDS!T$5*$AM94^3+WeightSDS!U$5*$AM94^2+WeightSDS!V$5*$AM94+WeightSDS!W$5,IF($AM94&lt;186,WeightSDS!P$8*$AM94^7+WeightSDS!Q$8*$AM94^6+WeightSDS!R$8*$AM94^5+WeightSDS!S$8*$AM94^4+WeightSDS!T$8*$AM94^3+WeightSDS!U$8*$AM94^2+WeightSDS!V$8*$AM94+WeightSDS!W$8,WeightSDS!$U$9+WeightSDS!$V$9*($AM94-WeightSDS!$W$9)))</f>
        <v>0.75407122999999998</v>
      </c>
      <c r="AP94" s="4">
        <f>IF(D94="M",IF($AM94&lt;45,WeightSDS!M$23*$AM94^10+WeightSDS!N$23*$AM94^9+WeightSDS!O$23*$AM94^8+WeightSDS!P$23*$AM94^7+WeightSDS!Q$23*$AM94^6+WeightSDS!R$23*$AM94^5+WeightSDS!S$23*$AM94^4+WeightSDS!T$23*$AM94^3+WeightSDS!U$23*$AM94^2+WeightSDS!V$23*$AM94+WeightSDS!W$23,IF($AM94&lt;153,WeightSDS!M$25*$AM94^10+WeightSDS!N$25*$AM94^9+WeightSDS!O$25*$AM94^8+WeightSDS!P$25*$AM94^7+WeightSDS!Q$25*$AM94^6+WeightSDS!R$25*$AM94^5+WeightSDS!S$25*$AM94^4+WeightSDS!T$25*$AM94^3+WeightSDS!U$25*$AM94^2+WeightSDS!V$25*$AM94+WeightSDS!W$25,WeightSDS!M$27+WeightSDS!N$27/(1+EXP(WeightSDS!O$27+WeightSDS!P$27*$AM94)))),IF($AM94&lt;43.8,WeightSDS!M$29*$AM94^10+WeightSDS!N$29*$AM94^9+WeightSDS!O$29*$AM94^8+WeightSDS!P$29*$AM94^7+WeightSDS!Q$29*$AM94^6+WeightSDS!R$29*$AM94^5+WeightSDS!S$29*$AM94^4+WeightSDS!T$29*$AM94^3+WeightSDS!U$29*$AM94^2+WeightSDS!V$29*$AM94+WeightSDS!W$29-0.010431*(1-$AM94/210),IF($AM94&lt;123,WeightSDS!M$30*$AM94^10+WeightSDS!N$30*$AM94^9+WeightSDS!O$30*$AM94^8+WeightSDS!P$30*$AM94^7+WeightSDS!Q$30*$AM94^6+WeightSDS!R$30*$AM94^5+WeightSDS!S$30*$AM94^4+WeightSDS!T$30*$AM94^3+WeightSDS!U$30*$AM94^2+WeightSDS!V$30*$AM94+WeightSDS!W$30-0.010431*(1-1/$AM94),WeightSDS!M$32+WeightSDS!N$32/(1+EXP(WeightSDS!O$32+WeightSDS!P$32*$AM94))-0.010431*(1-$AM94/210))))</f>
        <v>2.9500001032655536</v>
      </c>
      <c r="AQ94" s="4">
        <f>IF(D94="M",IF($AM94&lt;162,WeightSDS!P$12*$AM94^7+WeightSDS!Q$12*$AM94^6+WeightSDS!R$12*$AM94^5+WeightSDS!S$12*$AM94^4+WeightSDS!T$12*$AM94^3+WeightSDS!U$12*$AM94^2+WeightSDS!V$12*$AM94+WeightSDS!W$12,WeightSDS!P$14*$AM94^7+WeightSDS!Q$14*$AM94^6+WeightSDS!R$14*$AM94^5+WeightSDS!S$14*$AM94^4+WeightSDS!T$14*$AM94^3+WeightSDS!U$14*$AM94^2+WeightSDS!V$14*$AM94+WeightSDS!W$14),IF($AM94&lt;156,WeightSDS!O$17*$AM94^8+WeightSDS!P$17*$AM94^7+WeightSDS!Q$17*$AM94^6+WeightSDS!R$17*$AM94^5+WeightSDS!S$17*$AM94^4+WeightSDS!T$17*$AM94^3+WeightSDS!U$17*$AM94^2+WeightSDS!V$17*$AM94+WeightSDS!W$17,IF($AM94&lt;186,WeightSDS!$U$18+(WeightSDS!$V$18-WeightSDS!$U$18)/24*($AM94-186)+WeightSDS!$W$18*(-$AM94+186)^2-0.005,WeightSDS!$U$18+(WeightSDS!$V$18-WeightSDS!$U$18)/24*($AM94-186)-0.005)))</f>
        <v>0.14604529399999999</v>
      </c>
      <c r="AT94" s="4">
        <f t="shared" si="28"/>
        <v>0.56299999999999994</v>
      </c>
      <c r="AU94" s="4">
        <f t="shared" si="29"/>
        <v>69</v>
      </c>
      <c r="AV94" s="4">
        <f t="shared" si="30"/>
        <v>0.51</v>
      </c>
    </row>
    <row r="95" spans="1:48" x14ac:dyDescent="0.15">
      <c r="A95" s="4"/>
      <c r="B95" s="21"/>
      <c r="C95" s="21"/>
      <c r="D95" s="21"/>
      <c r="E95" s="22"/>
      <c r="F95" s="22"/>
      <c r="G95" s="23"/>
      <c r="H95" s="23"/>
      <c r="I95" s="181"/>
      <c r="J95" s="8" t="str">
        <f t="shared" si="22"/>
        <v/>
      </c>
      <c r="K95" s="2" t="str">
        <f t="shared" si="31"/>
        <v/>
      </c>
      <c r="L95" s="2" t="str">
        <f t="shared" si="23"/>
        <v/>
      </c>
      <c r="M95" s="2" t="str">
        <f t="shared" si="32"/>
        <v/>
      </c>
      <c r="N95" s="2" t="str">
        <f t="shared" si="40"/>
        <v/>
      </c>
      <c r="O95" s="2" t="str">
        <f t="shared" si="33"/>
        <v/>
      </c>
      <c r="P95" s="8" t="str">
        <f t="shared" si="34"/>
        <v/>
      </c>
      <c r="Q95" s="8" t="str">
        <f t="shared" si="35"/>
        <v/>
      </c>
      <c r="R95" s="111" t="str">
        <f t="shared" si="36"/>
        <v/>
      </c>
      <c r="S95" s="44" t="str">
        <f t="shared" si="37"/>
        <v/>
      </c>
      <c r="T95" s="37" t="str">
        <f t="shared" si="38"/>
        <v/>
      </c>
      <c r="U95" s="44" t="str">
        <f t="shared" si="39"/>
        <v/>
      </c>
      <c r="V95" s="26"/>
      <c r="W95" s="26"/>
      <c r="X95" s="26"/>
      <c r="Y95" s="26"/>
      <c r="Z95" s="24"/>
      <c r="AA95" s="169">
        <f t="shared" si="24"/>
        <v>0</v>
      </c>
      <c r="AB95" s="4">
        <f t="shared" si="25"/>
        <v>0</v>
      </c>
      <c r="AC95" s="170">
        <f t="shared" si="42"/>
        <v>0</v>
      </c>
      <c r="AD95" s="58"/>
      <c r="AE95" s="58"/>
      <c r="AF95" s="58"/>
      <c r="AG95" s="59">
        <f t="shared" si="26"/>
        <v>9.0359999999999996</v>
      </c>
      <c r="AH95" s="59">
        <f t="shared" si="27"/>
        <v>-184.49199999999999</v>
      </c>
      <c r="AJ95" s="4">
        <f>IF(D95="M",IF(AM95&lt;78,BMILMS!$D$5*AM95^3+BMILMS!$E$5*AM95^2+BMILMS!$F$5*AM95+BMILMS!$G$5,IF(AM95&lt;150,BMILMS!$D$6*AM95^3+BMILMS!$E$6*AM95^2+BMILMS!$F$6*AM95+BMILMS!$G$6,BMILMS!$D$7*AM95^3+BMILMS!$E$7*AM95^2+BMILMS!$F$7*AM95+BMILMS!$G$7)),IF(AM95&lt;69,BMILMS!$D$9*AM95^3+BMILMS!$E$9*AM95^2+BMILMS!$F$9*AM95+BMILMS!$G$9,IF(AM95&lt;150,BMILMS!$D$10*AM95^3+BMILMS!$E$10*AM95^2+BMILMS!$F$10*AM95+BMILMS!$G$10,BMILMS!$D$11*AM95^3+BMILMS!$E$11*AM95^2+BMILMS!$F$11*AM95+BMILMS!$G$11)))</f>
        <v>0.79584630099999998</v>
      </c>
      <c r="AK95" s="4">
        <f>IF(D95="M",(IF(AM95&lt;2.5,BMILMS!$D$21*AM95^3+BMILMS!$E$21*AM95^2+BMILMS!$F$21*AM95+BMILMS!$G$21,IF(AM95&lt;9.5,BMILMS!$D$22*AM95^3+BMILMS!$E$22*AM95^2+BMILMS!$F$22*AM95+BMILMS!$G$22,IF(AM95&lt;26.75,BMILMS!$D$23*AM95^3+BMILMS!$E$23*AM95^2+BMILMS!$F$23*AM95+BMILMS!$G$23,IF(AM95&lt;90,BMILMS!$D$24*AM95^3+BMILMS!$E$24*AM95^2+BMILMS!$F$24*AM95+BMILMS!$G$24,BMILMS!$D$25*AM95^3+BMILMS!$E$25*AM95^2+BMILMS!$F$25*AM95+BMILMS!$G$25))))),(IF(AM95&lt;2.5,BMILMS!$D$27*AM95^3+BMILMS!$E$27*AM95^2+BMILMS!$F$27*AM95+BMILMS!$G$27,IF(AM95&lt;9.5,BMILMS!$D$28*AM95^3+BMILMS!$E$28*AM95^2+BMILMS!$F$28*AM95+BMILMS!$G$28,IF(AM95&lt;26.75,BMILMS!$D$29*AM95^3+BMILMS!$E$29*AM95^2+BMILMS!$F$29*AM95+BMILMS!$G$29,IF(AM95&lt;90,BMILMS!$D$30*AM95^3+BMILMS!$E$30*AM95^2+BMILMS!$F$30*AM95+BMILMS!$G$30,IF(AM95&lt;150,BMILMS!$D$31*AM95^3+BMILMS!$E$31*AM95^2+BMILMS!$F$31*AM95+BMILMS!$G$31,BMILMS!$D$32*AM95^3+BMILMS!$E$32*AM95^2+BMILMS!$F$32*AM95+BMILMS!$G$32)))))))</f>
        <v>12.568967990000001</v>
      </c>
      <c r="AL95" s="4">
        <f>IF(D95="M",(IF(AM95&lt;90,BMILMS!$D$14*AM95^3+BMILMS!$E$14*AM95^2+BMILMS!$F$14*AM95+BMILMS!$G$14,BMILMS!$D$15*AM95^3+BMILMS!$E$15*AM95^2+BMILMS!$F$15*AM95+BMILMS!$G$15)),(IF(AM95&lt;90,BMILMS!$D$17*AM95^3+BMILMS!$E$17*AM95^2+BMILMS!$F$17*AM95+BMILMS!$G$17,BMILMS!$D$18*AM95^3+BMILMS!$E$18*AM95^2+BMILMS!$F$18*AM95+BMILMS!$G$18)))</f>
        <v>8.8969350000000003E-2</v>
      </c>
      <c r="AM95" s="4">
        <f t="shared" si="41"/>
        <v>0</v>
      </c>
      <c r="AO95" s="56">
        <f>IF(D95="M",WeightSDS!P$5*$AM95^7+WeightSDS!Q$5*$AM95^6+WeightSDS!R$5*$AM95^5+WeightSDS!S$5*$AM95^4+WeightSDS!T$5*$AM95^3+WeightSDS!U$5*$AM95^2+WeightSDS!V$5*$AM95+WeightSDS!W$5,IF($AM95&lt;186,WeightSDS!P$8*$AM95^7+WeightSDS!Q$8*$AM95^6+WeightSDS!R$8*$AM95^5+WeightSDS!S$8*$AM95^4+WeightSDS!T$8*$AM95^3+WeightSDS!U$8*$AM95^2+WeightSDS!V$8*$AM95+WeightSDS!W$8,WeightSDS!$U$9+WeightSDS!$V$9*($AM95-WeightSDS!$W$9)))</f>
        <v>0.75407122999999998</v>
      </c>
      <c r="AP95" s="4">
        <f>IF(D95="M",IF($AM95&lt;45,WeightSDS!M$23*$AM95^10+WeightSDS!N$23*$AM95^9+WeightSDS!O$23*$AM95^8+WeightSDS!P$23*$AM95^7+WeightSDS!Q$23*$AM95^6+WeightSDS!R$23*$AM95^5+WeightSDS!S$23*$AM95^4+WeightSDS!T$23*$AM95^3+WeightSDS!U$23*$AM95^2+WeightSDS!V$23*$AM95+WeightSDS!W$23,IF($AM95&lt;153,WeightSDS!M$25*$AM95^10+WeightSDS!N$25*$AM95^9+WeightSDS!O$25*$AM95^8+WeightSDS!P$25*$AM95^7+WeightSDS!Q$25*$AM95^6+WeightSDS!R$25*$AM95^5+WeightSDS!S$25*$AM95^4+WeightSDS!T$25*$AM95^3+WeightSDS!U$25*$AM95^2+WeightSDS!V$25*$AM95+WeightSDS!W$25,WeightSDS!M$27+WeightSDS!N$27/(1+EXP(WeightSDS!O$27+WeightSDS!P$27*$AM95)))),IF($AM95&lt;43.8,WeightSDS!M$29*$AM95^10+WeightSDS!N$29*$AM95^9+WeightSDS!O$29*$AM95^8+WeightSDS!P$29*$AM95^7+WeightSDS!Q$29*$AM95^6+WeightSDS!R$29*$AM95^5+WeightSDS!S$29*$AM95^4+WeightSDS!T$29*$AM95^3+WeightSDS!U$29*$AM95^2+WeightSDS!V$29*$AM95+WeightSDS!W$29-0.010431*(1-$AM95/210),IF($AM95&lt;123,WeightSDS!M$30*$AM95^10+WeightSDS!N$30*$AM95^9+WeightSDS!O$30*$AM95^8+WeightSDS!P$30*$AM95^7+WeightSDS!Q$30*$AM95^6+WeightSDS!R$30*$AM95^5+WeightSDS!S$30*$AM95^4+WeightSDS!T$30*$AM95^3+WeightSDS!U$30*$AM95^2+WeightSDS!V$30*$AM95+WeightSDS!W$30-0.010431*(1-1/$AM95),WeightSDS!M$32+WeightSDS!N$32/(1+EXP(WeightSDS!O$32+WeightSDS!P$32*$AM95))-0.010431*(1-$AM95/210))))</f>
        <v>2.9500001032655536</v>
      </c>
      <c r="AQ95" s="4">
        <f>IF(D95="M",IF($AM95&lt;162,WeightSDS!P$12*$AM95^7+WeightSDS!Q$12*$AM95^6+WeightSDS!R$12*$AM95^5+WeightSDS!S$12*$AM95^4+WeightSDS!T$12*$AM95^3+WeightSDS!U$12*$AM95^2+WeightSDS!V$12*$AM95+WeightSDS!W$12,WeightSDS!P$14*$AM95^7+WeightSDS!Q$14*$AM95^6+WeightSDS!R$14*$AM95^5+WeightSDS!S$14*$AM95^4+WeightSDS!T$14*$AM95^3+WeightSDS!U$14*$AM95^2+WeightSDS!V$14*$AM95+WeightSDS!W$14),IF($AM95&lt;156,WeightSDS!O$17*$AM95^8+WeightSDS!P$17*$AM95^7+WeightSDS!Q$17*$AM95^6+WeightSDS!R$17*$AM95^5+WeightSDS!S$17*$AM95^4+WeightSDS!T$17*$AM95^3+WeightSDS!U$17*$AM95^2+WeightSDS!V$17*$AM95+WeightSDS!W$17,IF($AM95&lt;186,WeightSDS!$U$18+(WeightSDS!$V$18-WeightSDS!$U$18)/24*($AM95-186)+WeightSDS!$W$18*(-$AM95+186)^2-0.005,WeightSDS!$U$18+(WeightSDS!$V$18-WeightSDS!$U$18)/24*($AM95-186)-0.005)))</f>
        <v>0.14604529399999999</v>
      </c>
      <c r="AT95" s="4">
        <f t="shared" si="28"/>
        <v>0.56299999999999994</v>
      </c>
      <c r="AU95" s="4">
        <f t="shared" si="29"/>
        <v>69</v>
      </c>
      <c r="AV95" s="4">
        <f t="shared" si="30"/>
        <v>0.51</v>
      </c>
    </row>
    <row r="96" spans="1:48" x14ac:dyDescent="0.15">
      <c r="A96" s="4"/>
      <c r="B96" s="21"/>
      <c r="C96" s="21"/>
      <c r="D96" s="21"/>
      <c r="E96" s="22"/>
      <c r="F96" s="22"/>
      <c r="G96" s="23"/>
      <c r="H96" s="23"/>
      <c r="I96" s="181"/>
      <c r="J96" s="8" t="str">
        <f t="shared" si="22"/>
        <v/>
      </c>
      <c r="K96" s="2" t="str">
        <f t="shared" si="31"/>
        <v/>
      </c>
      <c r="L96" s="2" t="str">
        <f t="shared" si="23"/>
        <v/>
      </c>
      <c r="M96" s="2" t="str">
        <f t="shared" si="32"/>
        <v/>
      </c>
      <c r="N96" s="2" t="str">
        <f t="shared" si="40"/>
        <v/>
      </c>
      <c r="O96" s="2" t="str">
        <f t="shared" si="33"/>
        <v/>
      </c>
      <c r="P96" s="8" t="str">
        <f t="shared" si="34"/>
        <v/>
      </c>
      <c r="Q96" s="8" t="str">
        <f t="shared" si="35"/>
        <v/>
      </c>
      <c r="R96" s="111" t="str">
        <f t="shared" si="36"/>
        <v/>
      </c>
      <c r="S96" s="44" t="str">
        <f t="shared" si="37"/>
        <v/>
      </c>
      <c r="T96" s="37" t="str">
        <f t="shared" si="38"/>
        <v/>
      </c>
      <c r="U96" s="44" t="str">
        <f t="shared" si="39"/>
        <v/>
      </c>
      <c r="V96" s="26"/>
      <c r="W96" s="26"/>
      <c r="X96" s="26"/>
      <c r="Y96" s="26"/>
      <c r="Z96" s="24"/>
      <c r="AA96" s="169">
        <f t="shared" si="24"/>
        <v>0</v>
      </c>
      <c r="AB96" s="4">
        <f t="shared" si="25"/>
        <v>0</v>
      </c>
      <c r="AC96" s="170">
        <f t="shared" si="42"/>
        <v>0</v>
      </c>
      <c r="AD96" s="58"/>
      <c r="AE96" s="58"/>
      <c r="AF96" s="58"/>
      <c r="AG96" s="59">
        <f t="shared" si="26"/>
        <v>9.0359999999999996</v>
      </c>
      <c r="AH96" s="59">
        <f t="shared" si="27"/>
        <v>-184.49199999999999</v>
      </c>
      <c r="AJ96" s="4">
        <f>IF(D96="M",IF(AM96&lt;78,BMILMS!$D$5*AM96^3+BMILMS!$E$5*AM96^2+BMILMS!$F$5*AM96+BMILMS!$G$5,IF(AM96&lt;150,BMILMS!$D$6*AM96^3+BMILMS!$E$6*AM96^2+BMILMS!$F$6*AM96+BMILMS!$G$6,BMILMS!$D$7*AM96^3+BMILMS!$E$7*AM96^2+BMILMS!$F$7*AM96+BMILMS!$G$7)),IF(AM96&lt;69,BMILMS!$D$9*AM96^3+BMILMS!$E$9*AM96^2+BMILMS!$F$9*AM96+BMILMS!$G$9,IF(AM96&lt;150,BMILMS!$D$10*AM96^3+BMILMS!$E$10*AM96^2+BMILMS!$F$10*AM96+BMILMS!$G$10,BMILMS!$D$11*AM96^3+BMILMS!$E$11*AM96^2+BMILMS!$F$11*AM96+BMILMS!$G$11)))</f>
        <v>0.79584630099999998</v>
      </c>
      <c r="AK96" s="4">
        <f>IF(D96="M",(IF(AM96&lt;2.5,BMILMS!$D$21*AM96^3+BMILMS!$E$21*AM96^2+BMILMS!$F$21*AM96+BMILMS!$G$21,IF(AM96&lt;9.5,BMILMS!$D$22*AM96^3+BMILMS!$E$22*AM96^2+BMILMS!$F$22*AM96+BMILMS!$G$22,IF(AM96&lt;26.75,BMILMS!$D$23*AM96^3+BMILMS!$E$23*AM96^2+BMILMS!$F$23*AM96+BMILMS!$G$23,IF(AM96&lt;90,BMILMS!$D$24*AM96^3+BMILMS!$E$24*AM96^2+BMILMS!$F$24*AM96+BMILMS!$G$24,BMILMS!$D$25*AM96^3+BMILMS!$E$25*AM96^2+BMILMS!$F$25*AM96+BMILMS!$G$25))))),(IF(AM96&lt;2.5,BMILMS!$D$27*AM96^3+BMILMS!$E$27*AM96^2+BMILMS!$F$27*AM96+BMILMS!$G$27,IF(AM96&lt;9.5,BMILMS!$D$28*AM96^3+BMILMS!$E$28*AM96^2+BMILMS!$F$28*AM96+BMILMS!$G$28,IF(AM96&lt;26.75,BMILMS!$D$29*AM96^3+BMILMS!$E$29*AM96^2+BMILMS!$F$29*AM96+BMILMS!$G$29,IF(AM96&lt;90,BMILMS!$D$30*AM96^3+BMILMS!$E$30*AM96^2+BMILMS!$F$30*AM96+BMILMS!$G$30,IF(AM96&lt;150,BMILMS!$D$31*AM96^3+BMILMS!$E$31*AM96^2+BMILMS!$F$31*AM96+BMILMS!$G$31,BMILMS!$D$32*AM96^3+BMILMS!$E$32*AM96^2+BMILMS!$F$32*AM96+BMILMS!$G$32)))))))</f>
        <v>12.568967990000001</v>
      </c>
      <c r="AL96" s="4">
        <f>IF(D96="M",(IF(AM96&lt;90,BMILMS!$D$14*AM96^3+BMILMS!$E$14*AM96^2+BMILMS!$F$14*AM96+BMILMS!$G$14,BMILMS!$D$15*AM96^3+BMILMS!$E$15*AM96^2+BMILMS!$F$15*AM96+BMILMS!$G$15)),(IF(AM96&lt;90,BMILMS!$D$17*AM96^3+BMILMS!$E$17*AM96^2+BMILMS!$F$17*AM96+BMILMS!$G$17,BMILMS!$D$18*AM96^3+BMILMS!$E$18*AM96^2+BMILMS!$F$18*AM96+BMILMS!$G$18)))</f>
        <v>8.8969350000000003E-2</v>
      </c>
      <c r="AM96" s="4">
        <f t="shared" si="41"/>
        <v>0</v>
      </c>
      <c r="AO96" s="56">
        <f>IF(D96="M",WeightSDS!P$5*$AM96^7+WeightSDS!Q$5*$AM96^6+WeightSDS!R$5*$AM96^5+WeightSDS!S$5*$AM96^4+WeightSDS!T$5*$AM96^3+WeightSDS!U$5*$AM96^2+WeightSDS!V$5*$AM96+WeightSDS!W$5,IF($AM96&lt;186,WeightSDS!P$8*$AM96^7+WeightSDS!Q$8*$AM96^6+WeightSDS!R$8*$AM96^5+WeightSDS!S$8*$AM96^4+WeightSDS!T$8*$AM96^3+WeightSDS!U$8*$AM96^2+WeightSDS!V$8*$AM96+WeightSDS!W$8,WeightSDS!$U$9+WeightSDS!$V$9*($AM96-WeightSDS!$W$9)))</f>
        <v>0.75407122999999998</v>
      </c>
      <c r="AP96" s="4">
        <f>IF(D96="M",IF($AM96&lt;45,WeightSDS!M$23*$AM96^10+WeightSDS!N$23*$AM96^9+WeightSDS!O$23*$AM96^8+WeightSDS!P$23*$AM96^7+WeightSDS!Q$23*$AM96^6+WeightSDS!R$23*$AM96^5+WeightSDS!S$23*$AM96^4+WeightSDS!T$23*$AM96^3+WeightSDS!U$23*$AM96^2+WeightSDS!V$23*$AM96+WeightSDS!W$23,IF($AM96&lt;153,WeightSDS!M$25*$AM96^10+WeightSDS!N$25*$AM96^9+WeightSDS!O$25*$AM96^8+WeightSDS!P$25*$AM96^7+WeightSDS!Q$25*$AM96^6+WeightSDS!R$25*$AM96^5+WeightSDS!S$25*$AM96^4+WeightSDS!T$25*$AM96^3+WeightSDS!U$25*$AM96^2+WeightSDS!V$25*$AM96+WeightSDS!W$25,WeightSDS!M$27+WeightSDS!N$27/(1+EXP(WeightSDS!O$27+WeightSDS!P$27*$AM96)))),IF($AM96&lt;43.8,WeightSDS!M$29*$AM96^10+WeightSDS!N$29*$AM96^9+WeightSDS!O$29*$AM96^8+WeightSDS!P$29*$AM96^7+WeightSDS!Q$29*$AM96^6+WeightSDS!R$29*$AM96^5+WeightSDS!S$29*$AM96^4+WeightSDS!T$29*$AM96^3+WeightSDS!U$29*$AM96^2+WeightSDS!V$29*$AM96+WeightSDS!W$29-0.010431*(1-$AM96/210),IF($AM96&lt;123,WeightSDS!M$30*$AM96^10+WeightSDS!N$30*$AM96^9+WeightSDS!O$30*$AM96^8+WeightSDS!P$30*$AM96^7+WeightSDS!Q$30*$AM96^6+WeightSDS!R$30*$AM96^5+WeightSDS!S$30*$AM96^4+WeightSDS!T$30*$AM96^3+WeightSDS!U$30*$AM96^2+WeightSDS!V$30*$AM96+WeightSDS!W$30-0.010431*(1-1/$AM96),WeightSDS!M$32+WeightSDS!N$32/(1+EXP(WeightSDS!O$32+WeightSDS!P$32*$AM96))-0.010431*(1-$AM96/210))))</f>
        <v>2.9500001032655536</v>
      </c>
      <c r="AQ96" s="4">
        <f>IF(D96="M",IF($AM96&lt;162,WeightSDS!P$12*$AM96^7+WeightSDS!Q$12*$AM96^6+WeightSDS!R$12*$AM96^5+WeightSDS!S$12*$AM96^4+WeightSDS!T$12*$AM96^3+WeightSDS!U$12*$AM96^2+WeightSDS!V$12*$AM96+WeightSDS!W$12,WeightSDS!P$14*$AM96^7+WeightSDS!Q$14*$AM96^6+WeightSDS!R$14*$AM96^5+WeightSDS!S$14*$AM96^4+WeightSDS!T$14*$AM96^3+WeightSDS!U$14*$AM96^2+WeightSDS!V$14*$AM96+WeightSDS!W$14),IF($AM96&lt;156,WeightSDS!O$17*$AM96^8+WeightSDS!P$17*$AM96^7+WeightSDS!Q$17*$AM96^6+WeightSDS!R$17*$AM96^5+WeightSDS!S$17*$AM96^4+WeightSDS!T$17*$AM96^3+WeightSDS!U$17*$AM96^2+WeightSDS!V$17*$AM96+WeightSDS!W$17,IF($AM96&lt;186,WeightSDS!$U$18+(WeightSDS!$V$18-WeightSDS!$U$18)/24*($AM96-186)+WeightSDS!$W$18*(-$AM96+186)^2-0.005,WeightSDS!$U$18+(WeightSDS!$V$18-WeightSDS!$U$18)/24*($AM96-186)-0.005)))</f>
        <v>0.14604529399999999</v>
      </c>
      <c r="AT96" s="4">
        <f t="shared" si="28"/>
        <v>0.56299999999999994</v>
      </c>
      <c r="AU96" s="4">
        <f t="shared" si="29"/>
        <v>69</v>
      </c>
      <c r="AV96" s="4">
        <f t="shared" si="30"/>
        <v>0.51</v>
      </c>
    </row>
    <row r="97" spans="1:48" x14ac:dyDescent="0.15">
      <c r="A97" s="4"/>
      <c r="B97" s="21"/>
      <c r="C97" s="21"/>
      <c r="D97" s="21"/>
      <c r="E97" s="22"/>
      <c r="F97" s="22"/>
      <c r="G97" s="23"/>
      <c r="H97" s="23"/>
      <c r="I97" s="181"/>
      <c r="J97" s="8" t="str">
        <f t="shared" si="22"/>
        <v/>
      </c>
      <c r="K97" s="2" t="str">
        <f t="shared" si="31"/>
        <v/>
      </c>
      <c r="L97" s="2" t="str">
        <f t="shared" si="23"/>
        <v/>
      </c>
      <c r="M97" s="2" t="str">
        <f t="shared" si="32"/>
        <v/>
      </c>
      <c r="N97" s="2" t="str">
        <f t="shared" si="40"/>
        <v/>
      </c>
      <c r="O97" s="2" t="str">
        <f t="shared" si="33"/>
        <v/>
      </c>
      <c r="P97" s="8" t="str">
        <f t="shared" si="34"/>
        <v/>
      </c>
      <c r="Q97" s="8" t="str">
        <f t="shared" si="35"/>
        <v/>
      </c>
      <c r="R97" s="111" t="str">
        <f t="shared" si="36"/>
        <v/>
      </c>
      <c r="S97" s="44" t="str">
        <f t="shared" si="37"/>
        <v/>
      </c>
      <c r="T97" s="37" t="str">
        <f t="shared" si="38"/>
        <v/>
      </c>
      <c r="U97" s="44" t="str">
        <f t="shared" si="39"/>
        <v/>
      </c>
      <c r="V97" s="26"/>
      <c r="W97" s="26"/>
      <c r="X97" s="26"/>
      <c r="Y97" s="26"/>
      <c r="Z97" s="24"/>
      <c r="AA97" s="169">
        <f t="shared" si="24"/>
        <v>0</v>
      </c>
      <c r="AB97" s="4">
        <f t="shared" si="25"/>
        <v>0</v>
      </c>
      <c r="AC97" s="170">
        <f t="shared" si="42"/>
        <v>0</v>
      </c>
      <c r="AD97" s="58"/>
      <c r="AE97" s="58"/>
      <c r="AF97" s="58"/>
      <c r="AG97" s="59">
        <f t="shared" si="26"/>
        <v>9.0359999999999996</v>
      </c>
      <c r="AH97" s="59">
        <f t="shared" si="27"/>
        <v>-184.49199999999999</v>
      </c>
      <c r="AJ97" s="4">
        <f>IF(D97="M",IF(AM97&lt;78,BMILMS!$D$5*AM97^3+BMILMS!$E$5*AM97^2+BMILMS!$F$5*AM97+BMILMS!$G$5,IF(AM97&lt;150,BMILMS!$D$6*AM97^3+BMILMS!$E$6*AM97^2+BMILMS!$F$6*AM97+BMILMS!$G$6,BMILMS!$D$7*AM97^3+BMILMS!$E$7*AM97^2+BMILMS!$F$7*AM97+BMILMS!$G$7)),IF(AM97&lt;69,BMILMS!$D$9*AM97^3+BMILMS!$E$9*AM97^2+BMILMS!$F$9*AM97+BMILMS!$G$9,IF(AM97&lt;150,BMILMS!$D$10*AM97^3+BMILMS!$E$10*AM97^2+BMILMS!$F$10*AM97+BMILMS!$G$10,BMILMS!$D$11*AM97^3+BMILMS!$E$11*AM97^2+BMILMS!$F$11*AM97+BMILMS!$G$11)))</f>
        <v>0.79584630099999998</v>
      </c>
      <c r="AK97" s="4">
        <f>IF(D97="M",(IF(AM97&lt;2.5,BMILMS!$D$21*AM97^3+BMILMS!$E$21*AM97^2+BMILMS!$F$21*AM97+BMILMS!$G$21,IF(AM97&lt;9.5,BMILMS!$D$22*AM97^3+BMILMS!$E$22*AM97^2+BMILMS!$F$22*AM97+BMILMS!$G$22,IF(AM97&lt;26.75,BMILMS!$D$23*AM97^3+BMILMS!$E$23*AM97^2+BMILMS!$F$23*AM97+BMILMS!$G$23,IF(AM97&lt;90,BMILMS!$D$24*AM97^3+BMILMS!$E$24*AM97^2+BMILMS!$F$24*AM97+BMILMS!$G$24,BMILMS!$D$25*AM97^3+BMILMS!$E$25*AM97^2+BMILMS!$F$25*AM97+BMILMS!$G$25))))),(IF(AM97&lt;2.5,BMILMS!$D$27*AM97^3+BMILMS!$E$27*AM97^2+BMILMS!$F$27*AM97+BMILMS!$G$27,IF(AM97&lt;9.5,BMILMS!$D$28*AM97^3+BMILMS!$E$28*AM97^2+BMILMS!$F$28*AM97+BMILMS!$G$28,IF(AM97&lt;26.75,BMILMS!$D$29*AM97^3+BMILMS!$E$29*AM97^2+BMILMS!$F$29*AM97+BMILMS!$G$29,IF(AM97&lt;90,BMILMS!$D$30*AM97^3+BMILMS!$E$30*AM97^2+BMILMS!$F$30*AM97+BMILMS!$G$30,IF(AM97&lt;150,BMILMS!$D$31*AM97^3+BMILMS!$E$31*AM97^2+BMILMS!$F$31*AM97+BMILMS!$G$31,BMILMS!$D$32*AM97^3+BMILMS!$E$32*AM97^2+BMILMS!$F$32*AM97+BMILMS!$G$32)))))))</f>
        <v>12.568967990000001</v>
      </c>
      <c r="AL97" s="4">
        <f>IF(D97="M",(IF(AM97&lt;90,BMILMS!$D$14*AM97^3+BMILMS!$E$14*AM97^2+BMILMS!$F$14*AM97+BMILMS!$G$14,BMILMS!$D$15*AM97^3+BMILMS!$E$15*AM97^2+BMILMS!$F$15*AM97+BMILMS!$G$15)),(IF(AM97&lt;90,BMILMS!$D$17*AM97^3+BMILMS!$E$17*AM97^2+BMILMS!$F$17*AM97+BMILMS!$G$17,BMILMS!$D$18*AM97^3+BMILMS!$E$18*AM97^2+BMILMS!$F$18*AM97+BMILMS!$G$18)))</f>
        <v>8.8969350000000003E-2</v>
      </c>
      <c r="AM97" s="4">
        <f t="shared" si="41"/>
        <v>0</v>
      </c>
      <c r="AO97" s="56">
        <f>IF(D97="M",WeightSDS!P$5*$AM97^7+WeightSDS!Q$5*$AM97^6+WeightSDS!R$5*$AM97^5+WeightSDS!S$5*$AM97^4+WeightSDS!T$5*$AM97^3+WeightSDS!U$5*$AM97^2+WeightSDS!V$5*$AM97+WeightSDS!W$5,IF($AM97&lt;186,WeightSDS!P$8*$AM97^7+WeightSDS!Q$8*$AM97^6+WeightSDS!R$8*$AM97^5+WeightSDS!S$8*$AM97^4+WeightSDS!T$8*$AM97^3+WeightSDS!U$8*$AM97^2+WeightSDS!V$8*$AM97+WeightSDS!W$8,WeightSDS!$U$9+WeightSDS!$V$9*($AM97-WeightSDS!$W$9)))</f>
        <v>0.75407122999999998</v>
      </c>
      <c r="AP97" s="4">
        <f>IF(D97="M",IF($AM97&lt;45,WeightSDS!M$23*$AM97^10+WeightSDS!N$23*$AM97^9+WeightSDS!O$23*$AM97^8+WeightSDS!P$23*$AM97^7+WeightSDS!Q$23*$AM97^6+WeightSDS!R$23*$AM97^5+WeightSDS!S$23*$AM97^4+WeightSDS!T$23*$AM97^3+WeightSDS!U$23*$AM97^2+WeightSDS!V$23*$AM97+WeightSDS!W$23,IF($AM97&lt;153,WeightSDS!M$25*$AM97^10+WeightSDS!N$25*$AM97^9+WeightSDS!O$25*$AM97^8+WeightSDS!P$25*$AM97^7+WeightSDS!Q$25*$AM97^6+WeightSDS!R$25*$AM97^5+WeightSDS!S$25*$AM97^4+WeightSDS!T$25*$AM97^3+WeightSDS!U$25*$AM97^2+WeightSDS!V$25*$AM97+WeightSDS!W$25,WeightSDS!M$27+WeightSDS!N$27/(1+EXP(WeightSDS!O$27+WeightSDS!P$27*$AM97)))),IF($AM97&lt;43.8,WeightSDS!M$29*$AM97^10+WeightSDS!N$29*$AM97^9+WeightSDS!O$29*$AM97^8+WeightSDS!P$29*$AM97^7+WeightSDS!Q$29*$AM97^6+WeightSDS!R$29*$AM97^5+WeightSDS!S$29*$AM97^4+WeightSDS!T$29*$AM97^3+WeightSDS!U$29*$AM97^2+WeightSDS!V$29*$AM97+WeightSDS!W$29-0.010431*(1-$AM97/210),IF($AM97&lt;123,WeightSDS!M$30*$AM97^10+WeightSDS!N$30*$AM97^9+WeightSDS!O$30*$AM97^8+WeightSDS!P$30*$AM97^7+WeightSDS!Q$30*$AM97^6+WeightSDS!R$30*$AM97^5+WeightSDS!S$30*$AM97^4+WeightSDS!T$30*$AM97^3+WeightSDS!U$30*$AM97^2+WeightSDS!V$30*$AM97+WeightSDS!W$30-0.010431*(1-1/$AM97),WeightSDS!M$32+WeightSDS!N$32/(1+EXP(WeightSDS!O$32+WeightSDS!P$32*$AM97))-0.010431*(1-$AM97/210))))</f>
        <v>2.9500001032655536</v>
      </c>
      <c r="AQ97" s="4">
        <f>IF(D97="M",IF($AM97&lt;162,WeightSDS!P$12*$AM97^7+WeightSDS!Q$12*$AM97^6+WeightSDS!R$12*$AM97^5+WeightSDS!S$12*$AM97^4+WeightSDS!T$12*$AM97^3+WeightSDS!U$12*$AM97^2+WeightSDS!V$12*$AM97+WeightSDS!W$12,WeightSDS!P$14*$AM97^7+WeightSDS!Q$14*$AM97^6+WeightSDS!R$14*$AM97^5+WeightSDS!S$14*$AM97^4+WeightSDS!T$14*$AM97^3+WeightSDS!U$14*$AM97^2+WeightSDS!V$14*$AM97+WeightSDS!W$14),IF($AM97&lt;156,WeightSDS!O$17*$AM97^8+WeightSDS!P$17*$AM97^7+WeightSDS!Q$17*$AM97^6+WeightSDS!R$17*$AM97^5+WeightSDS!S$17*$AM97^4+WeightSDS!T$17*$AM97^3+WeightSDS!U$17*$AM97^2+WeightSDS!V$17*$AM97+WeightSDS!W$17,IF($AM97&lt;186,WeightSDS!$U$18+(WeightSDS!$V$18-WeightSDS!$U$18)/24*($AM97-186)+WeightSDS!$W$18*(-$AM97+186)^2-0.005,WeightSDS!$U$18+(WeightSDS!$V$18-WeightSDS!$U$18)/24*($AM97-186)-0.005)))</f>
        <v>0.14604529399999999</v>
      </c>
      <c r="AT97" s="4">
        <f t="shared" si="28"/>
        <v>0.56299999999999994</v>
      </c>
      <c r="AU97" s="4">
        <f t="shared" si="29"/>
        <v>69</v>
      </c>
      <c r="AV97" s="4">
        <f t="shared" si="30"/>
        <v>0.51</v>
      </c>
    </row>
    <row r="98" spans="1:48" x14ac:dyDescent="0.15">
      <c r="A98" s="4"/>
      <c r="B98" s="21"/>
      <c r="C98" s="21"/>
      <c r="D98" s="21"/>
      <c r="E98" s="22"/>
      <c r="F98" s="22"/>
      <c r="G98" s="23"/>
      <c r="H98" s="23"/>
      <c r="I98" s="181"/>
      <c r="J98" s="8" t="str">
        <f t="shared" si="22"/>
        <v/>
      </c>
      <c r="K98" s="2" t="str">
        <f t="shared" si="31"/>
        <v/>
      </c>
      <c r="L98" s="2" t="str">
        <f t="shared" si="23"/>
        <v/>
      </c>
      <c r="M98" s="2" t="str">
        <f t="shared" si="32"/>
        <v/>
      </c>
      <c r="N98" s="2" t="str">
        <f t="shared" si="40"/>
        <v/>
      </c>
      <c r="O98" s="2" t="str">
        <f t="shared" si="33"/>
        <v/>
      </c>
      <c r="P98" s="8" t="str">
        <f t="shared" si="34"/>
        <v/>
      </c>
      <c r="Q98" s="8" t="str">
        <f t="shared" si="35"/>
        <v/>
      </c>
      <c r="R98" s="111" t="str">
        <f t="shared" si="36"/>
        <v/>
      </c>
      <c r="S98" s="44" t="str">
        <f t="shared" si="37"/>
        <v/>
      </c>
      <c r="T98" s="37" t="str">
        <f t="shared" si="38"/>
        <v/>
      </c>
      <c r="U98" s="44" t="str">
        <f t="shared" si="39"/>
        <v/>
      </c>
      <c r="V98" s="26"/>
      <c r="W98" s="26"/>
      <c r="X98" s="26"/>
      <c r="Y98" s="26"/>
      <c r="Z98" s="24"/>
      <c r="AA98" s="169">
        <f t="shared" si="24"/>
        <v>0</v>
      </c>
      <c r="AB98" s="4">
        <f t="shared" si="25"/>
        <v>0</v>
      </c>
      <c r="AC98" s="170">
        <f t="shared" si="42"/>
        <v>0</v>
      </c>
      <c r="AD98" s="58"/>
      <c r="AE98" s="58"/>
      <c r="AF98" s="58"/>
      <c r="AG98" s="59">
        <f t="shared" si="26"/>
        <v>9.0359999999999996</v>
      </c>
      <c r="AH98" s="59">
        <f t="shared" si="27"/>
        <v>-184.49199999999999</v>
      </c>
      <c r="AJ98" s="4">
        <f>IF(D98="M",IF(AM98&lt;78,BMILMS!$D$5*AM98^3+BMILMS!$E$5*AM98^2+BMILMS!$F$5*AM98+BMILMS!$G$5,IF(AM98&lt;150,BMILMS!$D$6*AM98^3+BMILMS!$E$6*AM98^2+BMILMS!$F$6*AM98+BMILMS!$G$6,BMILMS!$D$7*AM98^3+BMILMS!$E$7*AM98^2+BMILMS!$F$7*AM98+BMILMS!$G$7)),IF(AM98&lt;69,BMILMS!$D$9*AM98^3+BMILMS!$E$9*AM98^2+BMILMS!$F$9*AM98+BMILMS!$G$9,IF(AM98&lt;150,BMILMS!$D$10*AM98^3+BMILMS!$E$10*AM98^2+BMILMS!$F$10*AM98+BMILMS!$G$10,BMILMS!$D$11*AM98^3+BMILMS!$E$11*AM98^2+BMILMS!$F$11*AM98+BMILMS!$G$11)))</f>
        <v>0.79584630099999998</v>
      </c>
      <c r="AK98" s="4">
        <f>IF(D98="M",(IF(AM98&lt;2.5,BMILMS!$D$21*AM98^3+BMILMS!$E$21*AM98^2+BMILMS!$F$21*AM98+BMILMS!$G$21,IF(AM98&lt;9.5,BMILMS!$D$22*AM98^3+BMILMS!$E$22*AM98^2+BMILMS!$F$22*AM98+BMILMS!$G$22,IF(AM98&lt;26.75,BMILMS!$D$23*AM98^3+BMILMS!$E$23*AM98^2+BMILMS!$F$23*AM98+BMILMS!$G$23,IF(AM98&lt;90,BMILMS!$D$24*AM98^3+BMILMS!$E$24*AM98^2+BMILMS!$F$24*AM98+BMILMS!$G$24,BMILMS!$D$25*AM98^3+BMILMS!$E$25*AM98^2+BMILMS!$F$25*AM98+BMILMS!$G$25))))),(IF(AM98&lt;2.5,BMILMS!$D$27*AM98^3+BMILMS!$E$27*AM98^2+BMILMS!$F$27*AM98+BMILMS!$G$27,IF(AM98&lt;9.5,BMILMS!$D$28*AM98^3+BMILMS!$E$28*AM98^2+BMILMS!$F$28*AM98+BMILMS!$G$28,IF(AM98&lt;26.75,BMILMS!$D$29*AM98^3+BMILMS!$E$29*AM98^2+BMILMS!$F$29*AM98+BMILMS!$G$29,IF(AM98&lt;90,BMILMS!$D$30*AM98^3+BMILMS!$E$30*AM98^2+BMILMS!$F$30*AM98+BMILMS!$G$30,IF(AM98&lt;150,BMILMS!$D$31*AM98^3+BMILMS!$E$31*AM98^2+BMILMS!$F$31*AM98+BMILMS!$G$31,BMILMS!$D$32*AM98^3+BMILMS!$E$32*AM98^2+BMILMS!$F$32*AM98+BMILMS!$G$32)))))))</f>
        <v>12.568967990000001</v>
      </c>
      <c r="AL98" s="4">
        <f>IF(D98="M",(IF(AM98&lt;90,BMILMS!$D$14*AM98^3+BMILMS!$E$14*AM98^2+BMILMS!$F$14*AM98+BMILMS!$G$14,BMILMS!$D$15*AM98^3+BMILMS!$E$15*AM98^2+BMILMS!$F$15*AM98+BMILMS!$G$15)),(IF(AM98&lt;90,BMILMS!$D$17*AM98^3+BMILMS!$E$17*AM98^2+BMILMS!$F$17*AM98+BMILMS!$G$17,BMILMS!$D$18*AM98^3+BMILMS!$E$18*AM98^2+BMILMS!$F$18*AM98+BMILMS!$G$18)))</f>
        <v>8.8969350000000003E-2</v>
      </c>
      <c r="AM98" s="4">
        <f t="shared" si="41"/>
        <v>0</v>
      </c>
      <c r="AO98" s="56">
        <f>IF(D98="M",WeightSDS!P$5*$AM98^7+WeightSDS!Q$5*$AM98^6+WeightSDS!R$5*$AM98^5+WeightSDS!S$5*$AM98^4+WeightSDS!T$5*$AM98^3+WeightSDS!U$5*$AM98^2+WeightSDS!V$5*$AM98+WeightSDS!W$5,IF($AM98&lt;186,WeightSDS!P$8*$AM98^7+WeightSDS!Q$8*$AM98^6+WeightSDS!R$8*$AM98^5+WeightSDS!S$8*$AM98^4+WeightSDS!T$8*$AM98^3+WeightSDS!U$8*$AM98^2+WeightSDS!V$8*$AM98+WeightSDS!W$8,WeightSDS!$U$9+WeightSDS!$V$9*($AM98-WeightSDS!$W$9)))</f>
        <v>0.75407122999999998</v>
      </c>
      <c r="AP98" s="4">
        <f>IF(D98="M",IF($AM98&lt;45,WeightSDS!M$23*$AM98^10+WeightSDS!N$23*$AM98^9+WeightSDS!O$23*$AM98^8+WeightSDS!P$23*$AM98^7+WeightSDS!Q$23*$AM98^6+WeightSDS!R$23*$AM98^5+WeightSDS!S$23*$AM98^4+WeightSDS!T$23*$AM98^3+WeightSDS!U$23*$AM98^2+WeightSDS!V$23*$AM98+WeightSDS!W$23,IF($AM98&lt;153,WeightSDS!M$25*$AM98^10+WeightSDS!N$25*$AM98^9+WeightSDS!O$25*$AM98^8+WeightSDS!P$25*$AM98^7+WeightSDS!Q$25*$AM98^6+WeightSDS!R$25*$AM98^5+WeightSDS!S$25*$AM98^4+WeightSDS!T$25*$AM98^3+WeightSDS!U$25*$AM98^2+WeightSDS!V$25*$AM98+WeightSDS!W$25,WeightSDS!M$27+WeightSDS!N$27/(1+EXP(WeightSDS!O$27+WeightSDS!P$27*$AM98)))),IF($AM98&lt;43.8,WeightSDS!M$29*$AM98^10+WeightSDS!N$29*$AM98^9+WeightSDS!O$29*$AM98^8+WeightSDS!P$29*$AM98^7+WeightSDS!Q$29*$AM98^6+WeightSDS!R$29*$AM98^5+WeightSDS!S$29*$AM98^4+WeightSDS!T$29*$AM98^3+WeightSDS!U$29*$AM98^2+WeightSDS!V$29*$AM98+WeightSDS!W$29-0.010431*(1-$AM98/210),IF($AM98&lt;123,WeightSDS!M$30*$AM98^10+WeightSDS!N$30*$AM98^9+WeightSDS!O$30*$AM98^8+WeightSDS!P$30*$AM98^7+WeightSDS!Q$30*$AM98^6+WeightSDS!R$30*$AM98^5+WeightSDS!S$30*$AM98^4+WeightSDS!T$30*$AM98^3+WeightSDS!U$30*$AM98^2+WeightSDS!V$30*$AM98+WeightSDS!W$30-0.010431*(1-1/$AM98),WeightSDS!M$32+WeightSDS!N$32/(1+EXP(WeightSDS!O$32+WeightSDS!P$32*$AM98))-0.010431*(1-$AM98/210))))</f>
        <v>2.9500001032655536</v>
      </c>
      <c r="AQ98" s="4">
        <f>IF(D98="M",IF($AM98&lt;162,WeightSDS!P$12*$AM98^7+WeightSDS!Q$12*$AM98^6+WeightSDS!R$12*$AM98^5+WeightSDS!S$12*$AM98^4+WeightSDS!T$12*$AM98^3+WeightSDS!U$12*$AM98^2+WeightSDS!V$12*$AM98+WeightSDS!W$12,WeightSDS!P$14*$AM98^7+WeightSDS!Q$14*$AM98^6+WeightSDS!R$14*$AM98^5+WeightSDS!S$14*$AM98^4+WeightSDS!T$14*$AM98^3+WeightSDS!U$14*$AM98^2+WeightSDS!V$14*$AM98+WeightSDS!W$14),IF($AM98&lt;156,WeightSDS!O$17*$AM98^8+WeightSDS!P$17*$AM98^7+WeightSDS!Q$17*$AM98^6+WeightSDS!R$17*$AM98^5+WeightSDS!S$17*$AM98^4+WeightSDS!T$17*$AM98^3+WeightSDS!U$17*$AM98^2+WeightSDS!V$17*$AM98+WeightSDS!W$17,IF($AM98&lt;186,WeightSDS!$U$18+(WeightSDS!$V$18-WeightSDS!$U$18)/24*($AM98-186)+WeightSDS!$W$18*(-$AM98+186)^2-0.005,WeightSDS!$U$18+(WeightSDS!$V$18-WeightSDS!$U$18)/24*($AM98-186)-0.005)))</f>
        <v>0.14604529399999999</v>
      </c>
      <c r="AT98" s="4">
        <f t="shared" si="28"/>
        <v>0.56299999999999994</v>
      </c>
      <c r="AU98" s="4">
        <f t="shared" si="29"/>
        <v>69</v>
      </c>
      <c r="AV98" s="4">
        <f t="shared" si="30"/>
        <v>0.51</v>
      </c>
    </row>
    <row r="99" spans="1:48" x14ac:dyDescent="0.15">
      <c r="A99" s="4"/>
      <c r="B99" s="21"/>
      <c r="C99" s="21"/>
      <c r="D99" s="21"/>
      <c r="E99" s="22"/>
      <c r="F99" s="22"/>
      <c r="G99" s="23"/>
      <c r="H99" s="23"/>
      <c r="I99" s="181"/>
      <c r="J99" s="8" t="str">
        <f t="shared" si="22"/>
        <v/>
      </c>
      <c r="K99" s="2" t="str">
        <f t="shared" si="31"/>
        <v/>
      </c>
      <c r="L99" s="2" t="str">
        <f t="shared" si="23"/>
        <v/>
      </c>
      <c r="M99" s="2" t="str">
        <f t="shared" si="32"/>
        <v/>
      </c>
      <c r="N99" s="2" t="str">
        <f t="shared" si="40"/>
        <v/>
      </c>
      <c r="O99" s="2" t="str">
        <f t="shared" si="33"/>
        <v/>
      </c>
      <c r="P99" s="8" t="str">
        <f t="shared" si="34"/>
        <v/>
      </c>
      <c r="Q99" s="8" t="str">
        <f t="shared" si="35"/>
        <v/>
      </c>
      <c r="R99" s="111" t="str">
        <f t="shared" si="36"/>
        <v/>
      </c>
      <c r="S99" s="44" t="str">
        <f t="shared" si="37"/>
        <v/>
      </c>
      <c r="T99" s="37" t="str">
        <f t="shared" si="38"/>
        <v/>
      </c>
      <c r="U99" s="44" t="str">
        <f t="shared" si="39"/>
        <v/>
      </c>
      <c r="V99" s="26"/>
      <c r="W99" s="26"/>
      <c r="X99" s="26"/>
      <c r="Y99" s="26"/>
      <c r="Z99" s="24"/>
      <c r="AA99" s="169">
        <f t="shared" si="24"/>
        <v>0</v>
      </c>
      <c r="AB99" s="4">
        <f t="shared" si="25"/>
        <v>0</v>
      </c>
      <c r="AC99" s="170">
        <f t="shared" si="42"/>
        <v>0</v>
      </c>
      <c r="AD99" s="58"/>
      <c r="AE99" s="58"/>
      <c r="AF99" s="58"/>
      <c r="AG99" s="59">
        <f t="shared" si="26"/>
        <v>9.0359999999999996</v>
      </c>
      <c r="AH99" s="59">
        <f t="shared" si="27"/>
        <v>-184.49199999999999</v>
      </c>
      <c r="AJ99" s="4">
        <f>IF(D99="M",IF(AM99&lt;78,BMILMS!$D$5*AM99^3+BMILMS!$E$5*AM99^2+BMILMS!$F$5*AM99+BMILMS!$G$5,IF(AM99&lt;150,BMILMS!$D$6*AM99^3+BMILMS!$E$6*AM99^2+BMILMS!$F$6*AM99+BMILMS!$G$6,BMILMS!$D$7*AM99^3+BMILMS!$E$7*AM99^2+BMILMS!$F$7*AM99+BMILMS!$G$7)),IF(AM99&lt;69,BMILMS!$D$9*AM99^3+BMILMS!$E$9*AM99^2+BMILMS!$F$9*AM99+BMILMS!$G$9,IF(AM99&lt;150,BMILMS!$D$10*AM99^3+BMILMS!$E$10*AM99^2+BMILMS!$F$10*AM99+BMILMS!$G$10,BMILMS!$D$11*AM99^3+BMILMS!$E$11*AM99^2+BMILMS!$F$11*AM99+BMILMS!$G$11)))</f>
        <v>0.79584630099999998</v>
      </c>
      <c r="AK99" s="4">
        <f>IF(D99="M",(IF(AM99&lt;2.5,BMILMS!$D$21*AM99^3+BMILMS!$E$21*AM99^2+BMILMS!$F$21*AM99+BMILMS!$G$21,IF(AM99&lt;9.5,BMILMS!$D$22*AM99^3+BMILMS!$E$22*AM99^2+BMILMS!$F$22*AM99+BMILMS!$G$22,IF(AM99&lt;26.75,BMILMS!$D$23*AM99^3+BMILMS!$E$23*AM99^2+BMILMS!$F$23*AM99+BMILMS!$G$23,IF(AM99&lt;90,BMILMS!$D$24*AM99^3+BMILMS!$E$24*AM99^2+BMILMS!$F$24*AM99+BMILMS!$G$24,BMILMS!$D$25*AM99^3+BMILMS!$E$25*AM99^2+BMILMS!$F$25*AM99+BMILMS!$G$25))))),(IF(AM99&lt;2.5,BMILMS!$D$27*AM99^3+BMILMS!$E$27*AM99^2+BMILMS!$F$27*AM99+BMILMS!$G$27,IF(AM99&lt;9.5,BMILMS!$D$28*AM99^3+BMILMS!$E$28*AM99^2+BMILMS!$F$28*AM99+BMILMS!$G$28,IF(AM99&lt;26.75,BMILMS!$D$29*AM99^3+BMILMS!$E$29*AM99^2+BMILMS!$F$29*AM99+BMILMS!$G$29,IF(AM99&lt;90,BMILMS!$D$30*AM99^3+BMILMS!$E$30*AM99^2+BMILMS!$F$30*AM99+BMILMS!$G$30,IF(AM99&lt;150,BMILMS!$D$31*AM99^3+BMILMS!$E$31*AM99^2+BMILMS!$F$31*AM99+BMILMS!$G$31,BMILMS!$D$32*AM99^3+BMILMS!$E$32*AM99^2+BMILMS!$F$32*AM99+BMILMS!$G$32)))))))</f>
        <v>12.568967990000001</v>
      </c>
      <c r="AL99" s="4">
        <f>IF(D99="M",(IF(AM99&lt;90,BMILMS!$D$14*AM99^3+BMILMS!$E$14*AM99^2+BMILMS!$F$14*AM99+BMILMS!$G$14,BMILMS!$D$15*AM99^3+BMILMS!$E$15*AM99^2+BMILMS!$F$15*AM99+BMILMS!$G$15)),(IF(AM99&lt;90,BMILMS!$D$17*AM99^3+BMILMS!$E$17*AM99^2+BMILMS!$F$17*AM99+BMILMS!$G$17,BMILMS!$D$18*AM99^3+BMILMS!$E$18*AM99^2+BMILMS!$F$18*AM99+BMILMS!$G$18)))</f>
        <v>8.8969350000000003E-2</v>
      </c>
      <c r="AM99" s="4">
        <f t="shared" si="41"/>
        <v>0</v>
      </c>
      <c r="AO99" s="56">
        <f>IF(D99="M",WeightSDS!P$5*$AM99^7+WeightSDS!Q$5*$AM99^6+WeightSDS!R$5*$AM99^5+WeightSDS!S$5*$AM99^4+WeightSDS!T$5*$AM99^3+WeightSDS!U$5*$AM99^2+WeightSDS!V$5*$AM99+WeightSDS!W$5,IF($AM99&lt;186,WeightSDS!P$8*$AM99^7+WeightSDS!Q$8*$AM99^6+WeightSDS!R$8*$AM99^5+WeightSDS!S$8*$AM99^4+WeightSDS!T$8*$AM99^3+WeightSDS!U$8*$AM99^2+WeightSDS!V$8*$AM99+WeightSDS!W$8,WeightSDS!$U$9+WeightSDS!$V$9*($AM99-WeightSDS!$W$9)))</f>
        <v>0.75407122999999998</v>
      </c>
      <c r="AP99" s="4">
        <f>IF(D99="M",IF($AM99&lt;45,WeightSDS!M$23*$AM99^10+WeightSDS!N$23*$AM99^9+WeightSDS!O$23*$AM99^8+WeightSDS!P$23*$AM99^7+WeightSDS!Q$23*$AM99^6+WeightSDS!R$23*$AM99^5+WeightSDS!S$23*$AM99^4+WeightSDS!T$23*$AM99^3+WeightSDS!U$23*$AM99^2+WeightSDS!V$23*$AM99+WeightSDS!W$23,IF($AM99&lt;153,WeightSDS!M$25*$AM99^10+WeightSDS!N$25*$AM99^9+WeightSDS!O$25*$AM99^8+WeightSDS!P$25*$AM99^7+WeightSDS!Q$25*$AM99^6+WeightSDS!R$25*$AM99^5+WeightSDS!S$25*$AM99^4+WeightSDS!T$25*$AM99^3+WeightSDS!U$25*$AM99^2+WeightSDS!V$25*$AM99+WeightSDS!W$25,WeightSDS!M$27+WeightSDS!N$27/(1+EXP(WeightSDS!O$27+WeightSDS!P$27*$AM99)))),IF($AM99&lt;43.8,WeightSDS!M$29*$AM99^10+WeightSDS!N$29*$AM99^9+WeightSDS!O$29*$AM99^8+WeightSDS!P$29*$AM99^7+WeightSDS!Q$29*$AM99^6+WeightSDS!R$29*$AM99^5+WeightSDS!S$29*$AM99^4+WeightSDS!T$29*$AM99^3+WeightSDS!U$29*$AM99^2+WeightSDS!V$29*$AM99+WeightSDS!W$29-0.010431*(1-$AM99/210),IF($AM99&lt;123,WeightSDS!M$30*$AM99^10+WeightSDS!N$30*$AM99^9+WeightSDS!O$30*$AM99^8+WeightSDS!P$30*$AM99^7+WeightSDS!Q$30*$AM99^6+WeightSDS!R$30*$AM99^5+WeightSDS!S$30*$AM99^4+WeightSDS!T$30*$AM99^3+WeightSDS!U$30*$AM99^2+WeightSDS!V$30*$AM99+WeightSDS!W$30-0.010431*(1-1/$AM99),WeightSDS!M$32+WeightSDS!N$32/(1+EXP(WeightSDS!O$32+WeightSDS!P$32*$AM99))-0.010431*(1-$AM99/210))))</f>
        <v>2.9500001032655536</v>
      </c>
      <c r="AQ99" s="4">
        <f>IF(D99="M",IF($AM99&lt;162,WeightSDS!P$12*$AM99^7+WeightSDS!Q$12*$AM99^6+WeightSDS!R$12*$AM99^5+WeightSDS!S$12*$AM99^4+WeightSDS!T$12*$AM99^3+WeightSDS!U$12*$AM99^2+WeightSDS!V$12*$AM99+WeightSDS!W$12,WeightSDS!P$14*$AM99^7+WeightSDS!Q$14*$AM99^6+WeightSDS!R$14*$AM99^5+WeightSDS!S$14*$AM99^4+WeightSDS!T$14*$AM99^3+WeightSDS!U$14*$AM99^2+WeightSDS!V$14*$AM99+WeightSDS!W$14),IF($AM99&lt;156,WeightSDS!O$17*$AM99^8+WeightSDS!P$17*$AM99^7+WeightSDS!Q$17*$AM99^6+WeightSDS!R$17*$AM99^5+WeightSDS!S$17*$AM99^4+WeightSDS!T$17*$AM99^3+WeightSDS!U$17*$AM99^2+WeightSDS!V$17*$AM99+WeightSDS!W$17,IF($AM99&lt;186,WeightSDS!$U$18+(WeightSDS!$V$18-WeightSDS!$U$18)/24*($AM99-186)+WeightSDS!$W$18*(-$AM99+186)^2-0.005,WeightSDS!$U$18+(WeightSDS!$V$18-WeightSDS!$U$18)/24*($AM99-186)-0.005)))</f>
        <v>0.14604529399999999</v>
      </c>
      <c r="AT99" s="4">
        <f t="shared" si="28"/>
        <v>0.56299999999999994</v>
      </c>
      <c r="AU99" s="4">
        <f t="shared" si="29"/>
        <v>69</v>
      </c>
      <c r="AV99" s="4">
        <f t="shared" si="30"/>
        <v>0.51</v>
      </c>
    </row>
    <row r="100" spans="1:48" x14ac:dyDescent="0.15">
      <c r="A100" s="4"/>
      <c r="B100" s="21"/>
      <c r="C100" s="21"/>
      <c r="D100" s="21"/>
      <c r="E100" s="22"/>
      <c r="F100" s="22"/>
      <c r="G100" s="23"/>
      <c r="H100" s="23"/>
      <c r="I100" s="181"/>
      <c r="J100" s="8" t="str">
        <f t="shared" si="22"/>
        <v/>
      </c>
      <c r="K100" s="2" t="str">
        <f t="shared" si="31"/>
        <v/>
      </c>
      <c r="L100" s="2" t="str">
        <f t="shared" si="23"/>
        <v/>
      </c>
      <c r="M100" s="2" t="str">
        <f t="shared" si="32"/>
        <v/>
      </c>
      <c r="N100" s="2" t="str">
        <f t="shared" si="40"/>
        <v/>
      </c>
      <c r="O100" s="2" t="str">
        <f t="shared" si="33"/>
        <v/>
      </c>
      <c r="P100" s="8" t="str">
        <f t="shared" si="34"/>
        <v/>
      </c>
      <c r="Q100" s="8" t="str">
        <f t="shared" si="35"/>
        <v/>
      </c>
      <c r="R100" s="111" t="str">
        <f t="shared" si="36"/>
        <v/>
      </c>
      <c r="S100" s="44" t="str">
        <f t="shared" si="37"/>
        <v/>
      </c>
      <c r="T100" s="37" t="str">
        <f t="shared" si="38"/>
        <v/>
      </c>
      <c r="U100" s="44" t="str">
        <f t="shared" si="39"/>
        <v/>
      </c>
      <c r="V100" s="26"/>
      <c r="W100" s="26"/>
      <c r="X100" s="26"/>
      <c r="Y100" s="26"/>
      <c r="Z100" s="24"/>
      <c r="AA100" s="169">
        <f t="shared" si="24"/>
        <v>0</v>
      </c>
      <c r="AB100" s="4">
        <f t="shared" si="25"/>
        <v>0</v>
      </c>
      <c r="AC100" s="170">
        <f t="shared" si="42"/>
        <v>0</v>
      </c>
      <c r="AD100" s="58"/>
      <c r="AE100" s="58"/>
      <c r="AF100" s="58"/>
      <c r="AG100" s="59">
        <f t="shared" si="26"/>
        <v>9.0359999999999996</v>
      </c>
      <c r="AH100" s="59">
        <f t="shared" si="27"/>
        <v>-184.49199999999999</v>
      </c>
      <c r="AJ100" s="4">
        <f>IF(D100="M",IF(AM100&lt;78,BMILMS!$D$5*AM100^3+BMILMS!$E$5*AM100^2+BMILMS!$F$5*AM100+BMILMS!$G$5,IF(AM100&lt;150,BMILMS!$D$6*AM100^3+BMILMS!$E$6*AM100^2+BMILMS!$F$6*AM100+BMILMS!$G$6,BMILMS!$D$7*AM100^3+BMILMS!$E$7*AM100^2+BMILMS!$F$7*AM100+BMILMS!$G$7)),IF(AM100&lt;69,BMILMS!$D$9*AM100^3+BMILMS!$E$9*AM100^2+BMILMS!$F$9*AM100+BMILMS!$G$9,IF(AM100&lt;150,BMILMS!$D$10*AM100^3+BMILMS!$E$10*AM100^2+BMILMS!$F$10*AM100+BMILMS!$G$10,BMILMS!$D$11*AM100^3+BMILMS!$E$11*AM100^2+BMILMS!$F$11*AM100+BMILMS!$G$11)))</f>
        <v>0.79584630099999998</v>
      </c>
      <c r="AK100" s="4">
        <f>IF(D100="M",(IF(AM100&lt;2.5,BMILMS!$D$21*AM100^3+BMILMS!$E$21*AM100^2+BMILMS!$F$21*AM100+BMILMS!$G$21,IF(AM100&lt;9.5,BMILMS!$D$22*AM100^3+BMILMS!$E$22*AM100^2+BMILMS!$F$22*AM100+BMILMS!$G$22,IF(AM100&lt;26.75,BMILMS!$D$23*AM100^3+BMILMS!$E$23*AM100^2+BMILMS!$F$23*AM100+BMILMS!$G$23,IF(AM100&lt;90,BMILMS!$D$24*AM100^3+BMILMS!$E$24*AM100^2+BMILMS!$F$24*AM100+BMILMS!$G$24,BMILMS!$D$25*AM100^3+BMILMS!$E$25*AM100^2+BMILMS!$F$25*AM100+BMILMS!$G$25))))),(IF(AM100&lt;2.5,BMILMS!$D$27*AM100^3+BMILMS!$E$27*AM100^2+BMILMS!$F$27*AM100+BMILMS!$G$27,IF(AM100&lt;9.5,BMILMS!$D$28*AM100^3+BMILMS!$E$28*AM100^2+BMILMS!$F$28*AM100+BMILMS!$G$28,IF(AM100&lt;26.75,BMILMS!$D$29*AM100^3+BMILMS!$E$29*AM100^2+BMILMS!$F$29*AM100+BMILMS!$G$29,IF(AM100&lt;90,BMILMS!$D$30*AM100^3+BMILMS!$E$30*AM100^2+BMILMS!$F$30*AM100+BMILMS!$G$30,IF(AM100&lt;150,BMILMS!$D$31*AM100^3+BMILMS!$E$31*AM100^2+BMILMS!$F$31*AM100+BMILMS!$G$31,BMILMS!$D$32*AM100^3+BMILMS!$E$32*AM100^2+BMILMS!$F$32*AM100+BMILMS!$G$32)))))))</f>
        <v>12.568967990000001</v>
      </c>
      <c r="AL100" s="4">
        <f>IF(D100="M",(IF(AM100&lt;90,BMILMS!$D$14*AM100^3+BMILMS!$E$14*AM100^2+BMILMS!$F$14*AM100+BMILMS!$G$14,BMILMS!$D$15*AM100^3+BMILMS!$E$15*AM100^2+BMILMS!$F$15*AM100+BMILMS!$G$15)),(IF(AM100&lt;90,BMILMS!$D$17*AM100^3+BMILMS!$E$17*AM100^2+BMILMS!$F$17*AM100+BMILMS!$G$17,BMILMS!$D$18*AM100^3+BMILMS!$E$18*AM100^2+BMILMS!$F$18*AM100+BMILMS!$G$18)))</f>
        <v>8.8969350000000003E-2</v>
      </c>
      <c r="AM100" s="4">
        <f t="shared" si="41"/>
        <v>0</v>
      </c>
      <c r="AO100" s="56">
        <f>IF(D100="M",WeightSDS!P$5*$AM100^7+WeightSDS!Q$5*$AM100^6+WeightSDS!R$5*$AM100^5+WeightSDS!S$5*$AM100^4+WeightSDS!T$5*$AM100^3+WeightSDS!U$5*$AM100^2+WeightSDS!V$5*$AM100+WeightSDS!W$5,IF($AM100&lt;186,WeightSDS!P$8*$AM100^7+WeightSDS!Q$8*$AM100^6+WeightSDS!R$8*$AM100^5+WeightSDS!S$8*$AM100^4+WeightSDS!T$8*$AM100^3+WeightSDS!U$8*$AM100^2+WeightSDS!V$8*$AM100+WeightSDS!W$8,WeightSDS!$U$9+WeightSDS!$V$9*($AM100-WeightSDS!$W$9)))</f>
        <v>0.75407122999999998</v>
      </c>
      <c r="AP100" s="4">
        <f>IF(D100="M",IF($AM100&lt;45,WeightSDS!M$23*$AM100^10+WeightSDS!N$23*$AM100^9+WeightSDS!O$23*$AM100^8+WeightSDS!P$23*$AM100^7+WeightSDS!Q$23*$AM100^6+WeightSDS!R$23*$AM100^5+WeightSDS!S$23*$AM100^4+WeightSDS!T$23*$AM100^3+WeightSDS!U$23*$AM100^2+WeightSDS!V$23*$AM100+WeightSDS!W$23,IF($AM100&lt;153,WeightSDS!M$25*$AM100^10+WeightSDS!N$25*$AM100^9+WeightSDS!O$25*$AM100^8+WeightSDS!P$25*$AM100^7+WeightSDS!Q$25*$AM100^6+WeightSDS!R$25*$AM100^5+WeightSDS!S$25*$AM100^4+WeightSDS!T$25*$AM100^3+WeightSDS!U$25*$AM100^2+WeightSDS!V$25*$AM100+WeightSDS!W$25,WeightSDS!M$27+WeightSDS!N$27/(1+EXP(WeightSDS!O$27+WeightSDS!P$27*$AM100)))),IF($AM100&lt;43.8,WeightSDS!M$29*$AM100^10+WeightSDS!N$29*$AM100^9+WeightSDS!O$29*$AM100^8+WeightSDS!P$29*$AM100^7+WeightSDS!Q$29*$AM100^6+WeightSDS!R$29*$AM100^5+WeightSDS!S$29*$AM100^4+WeightSDS!T$29*$AM100^3+WeightSDS!U$29*$AM100^2+WeightSDS!V$29*$AM100+WeightSDS!W$29-0.010431*(1-$AM100/210),IF($AM100&lt;123,WeightSDS!M$30*$AM100^10+WeightSDS!N$30*$AM100^9+WeightSDS!O$30*$AM100^8+WeightSDS!P$30*$AM100^7+WeightSDS!Q$30*$AM100^6+WeightSDS!R$30*$AM100^5+WeightSDS!S$30*$AM100^4+WeightSDS!T$30*$AM100^3+WeightSDS!U$30*$AM100^2+WeightSDS!V$30*$AM100+WeightSDS!W$30-0.010431*(1-1/$AM100),WeightSDS!M$32+WeightSDS!N$32/(1+EXP(WeightSDS!O$32+WeightSDS!P$32*$AM100))-0.010431*(1-$AM100/210))))</f>
        <v>2.9500001032655536</v>
      </c>
      <c r="AQ100" s="4">
        <f>IF(D100="M",IF($AM100&lt;162,WeightSDS!P$12*$AM100^7+WeightSDS!Q$12*$AM100^6+WeightSDS!R$12*$AM100^5+WeightSDS!S$12*$AM100^4+WeightSDS!T$12*$AM100^3+WeightSDS!U$12*$AM100^2+WeightSDS!V$12*$AM100+WeightSDS!W$12,WeightSDS!P$14*$AM100^7+WeightSDS!Q$14*$AM100^6+WeightSDS!R$14*$AM100^5+WeightSDS!S$14*$AM100^4+WeightSDS!T$14*$AM100^3+WeightSDS!U$14*$AM100^2+WeightSDS!V$14*$AM100+WeightSDS!W$14),IF($AM100&lt;156,WeightSDS!O$17*$AM100^8+WeightSDS!P$17*$AM100^7+WeightSDS!Q$17*$AM100^6+WeightSDS!R$17*$AM100^5+WeightSDS!S$17*$AM100^4+WeightSDS!T$17*$AM100^3+WeightSDS!U$17*$AM100^2+WeightSDS!V$17*$AM100+WeightSDS!W$17,IF($AM100&lt;186,WeightSDS!$U$18+(WeightSDS!$V$18-WeightSDS!$U$18)/24*($AM100-186)+WeightSDS!$W$18*(-$AM100+186)^2-0.005,WeightSDS!$U$18+(WeightSDS!$V$18-WeightSDS!$U$18)/24*($AM100-186)-0.005)))</f>
        <v>0.14604529399999999</v>
      </c>
      <c r="AT100" s="4">
        <f t="shared" si="28"/>
        <v>0.56299999999999994</v>
      </c>
      <c r="AU100" s="4">
        <f t="shared" si="29"/>
        <v>69</v>
      </c>
      <c r="AV100" s="4">
        <f t="shared" si="30"/>
        <v>0.51</v>
      </c>
    </row>
    <row r="101" spans="1:48" x14ac:dyDescent="0.15">
      <c r="A101" s="4"/>
      <c r="B101" s="21"/>
      <c r="C101" s="21"/>
      <c r="D101" s="21"/>
      <c r="E101" s="22"/>
      <c r="F101" s="22"/>
      <c r="G101" s="23"/>
      <c r="H101" s="23"/>
      <c r="I101" s="181"/>
      <c r="J101" s="8" t="str">
        <f t="shared" si="22"/>
        <v/>
      </c>
      <c r="K101" s="2" t="str">
        <f t="shared" si="31"/>
        <v/>
      </c>
      <c r="L101" s="2" t="str">
        <f t="shared" si="23"/>
        <v/>
      </c>
      <c r="M101" s="2" t="str">
        <f t="shared" si="32"/>
        <v/>
      </c>
      <c r="N101" s="2" t="str">
        <f t="shared" si="40"/>
        <v/>
      </c>
      <c r="O101" s="2" t="str">
        <f t="shared" si="33"/>
        <v/>
      </c>
      <c r="P101" s="8" t="str">
        <f t="shared" si="34"/>
        <v/>
      </c>
      <c r="Q101" s="8" t="str">
        <f t="shared" si="35"/>
        <v/>
      </c>
      <c r="R101" s="111" t="str">
        <f t="shared" si="36"/>
        <v/>
      </c>
      <c r="S101" s="44" t="str">
        <f t="shared" si="37"/>
        <v/>
      </c>
      <c r="T101" s="37" t="str">
        <f t="shared" si="38"/>
        <v/>
      </c>
      <c r="U101" s="44" t="str">
        <f t="shared" si="39"/>
        <v/>
      </c>
      <c r="V101" s="26"/>
      <c r="W101" s="26"/>
      <c r="X101" s="26"/>
      <c r="Y101" s="26"/>
      <c r="Z101" s="24"/>
      <c r="AA101" s="169">
        <f t="shared" si="24"/>
        <v>0</v>
      </c>
      <c r="AB101" s="4">
        <f t="shared" si="25"/>
        <v>0</v>
      </c>
      <c r="AC101" s="170">
        <f t="shared" si="42"/>
        <v>0</v>
      </c>
      <c r="AD101" s="58"/>
      <c r="AE101" s="58"/>
      <c r="AF101" s="58"/>
      <c r="AG101" s="59">
        <f t="shared" si="26"/>
        <v>9.0359999999999996</v>
      </c>
      <c r="AH101" s="59">
        <f t="shared" si="27"/>
        <v>-184.49199999999999</v>
      </c>
      <c r="AJ101" s="4">
        <f>IF(D101="M",IF(AM101&lt;78,BMILMS!$D$5*AM101^3+BMILMS!$E$5*AM101^2+BMILMS!$F$5*AM101+BMILMS!$G$5,IF(AM101&lt;150,BMILMS!$D$6*AM101^3+BMILMS!$E$6*AM101^2+BMILMS!$F$6*AM101+BMILMS!$G$6,BMILMS!$D$7*AM101^3+BMILMS!$E$7*AM101^2+BMILMS!$F$7*AM101+BMILMS!$G$7)),IF(AM101&lt;69,BMILMS!$D$9*AM101^3+BMILMS!$E$9*AM101^2+BMILMS!$F$9*AM101+BMILMS!$G$9,IF(AM101&lt;150,BMILMS!$D$10*AM101^3+BMILMS!$E$10*AM101^2+BMILMS!$F$10*AM101+BMILMS!$G$10,BMILMS!$D$11*AM101^3+BMILMS!$E$11*AM101^2+BMILMS!$F$11*AM101+BMILMS!$G$11)))</f>
        <v>0.79584630099999998</v>
      </c>
      <c r="AK101" s="4">
        <f>IF(D101="M",(IF(AM101&lt;2.5,BMILMS!$D$21*AM101^3+BMILMS!$E$21*AM101^2+BMILMS!$F$21*AM101+BMILMS!$G$21,IF(AM101&lt;9.5,BMILMS!$D$22*AM101^3+BMILMS!$E$22*AM101^2+BMILMS!$F$22*AM101+BMILMS!$G$22,IF(AM101&lt;26.75,BMILMS!$D$23*AM101^3+BMILMS!$E$23*AM101^2+BMILMS!$F$23*AM101+BMILMS!$G$23,IF(AM101&lt;90,BMILMS!$D$24*AM101^3+BMILMS!$E$24*AM101^2+BMILMS!$F$24*AM101+BMILMS!$G$24,BMILMS!$D$25*AM101^3+BMILMS!$E$25*AM101^2+BMILMS!$F$25*AM101+BMILMS!$G$25))))),(IF(AM101&lt;2.5,BMILMS!$D$27*AM101^3+BMILMS!$E$27*AM101^2+BMILMS!$F$27*AM101+BMILMS!$G$27,IF(AM101&lt;9.5,BMILMS!$D$28*AM101^3+BMILMS!$E$28*AM101^2+BMILMS!$F$28*AM101+BMILMS!$G$28,IF(AM101&lt;26.75,BMILMS!$D$29*AM101^3+BMILMS!$E$29*AM101^2+BMILMS!$F$29*AM101+BMILMS!$G$29,IF(AM101&lt;90,BMILMS!$D$30*AM101^3+BMILMS!$E$30*AM101^2+BMILMS!$F$30*AM101+BMILMS!$G$30,IF(AM101&lt;150,BMILMS!$D$31*AM101^3+BMILMS!$E$31*AM101^2+BMILMS!$F$31*AM101+BMILMS!$G$31,BMILMS!$D$32*AM101^3+BMILMS!$E$32*AM101^2+BMILMS!$F$32*AM101+BMILMS!$G$32)))))))</f>
        <v>12.568967990000001</v>
      </c>
      <c r="AL101" s="4">
        <f>IF(D101="M",(IF(AM101&lt;90,BMILMS!$D$14*AM101^3+BMILMS!$E$14*AM101^2+BMILMS!$F$14*AM101+BMILMS!$G$14,BMILMS!$D$15*AM101^3+BMILMS!$E$15*AM101^2+BMILMS!$F$15*AM101+BMILMS!$G$15)),(IF(AM101&lt;90,BMILMS!$D$17*AM101^3+BMILMS!$E$17*AM101^2+BMILMS!$F$17*AM101+BMILMS!$G$17,BMILMS!$D$18*AM101^3+BMILMS!$E$18*AM101^2+BMILMS!$F$18*AM101+BMILMS!$G$18)))</f>
        <v>8.8969350000000003E-2</v>
      </c>
      <c r="AM101" s="4">
        <f t="shared" si="41"/>
        <v>0</v>
      </c>
      <c r="AO101" s="56">
        <f>IF(D101="M",WeightSDS!P$5*$AM101^7+WeightSDS!Q$5*$AM101^6+WeightSDS!R$5*$AM101^5+WeightSDS!S$5*$AM101^4+WeightSDS!T$5*$AM101^3+WeightSDS!U$5*$AM101^2+WeightSDS!V$5*$AM101+WeightSDS!W$5,IF($AM101&lt;186,WeightSDS!P$8*$AM101^7+WeightSDS!Q$8*$AM101^6+WeightSDS!R$8*$AM101^5+WeightSDS!S$8*$AM101^4+WeightSDS!T$8*$AM101^3+WeightSDS!U$8*$AM101^2+WeightSDS!V$8*$AM101+WeightSDS!W$8,WeightSDS!$U$9+WeightSDS!$V$9*($AM101-WeightSDS!$W$9)))</f>
        <v>0.75407122999999998</v>
      </c>
      <c r="AP101" s="4">
        <f>IF(D101="M",IF($AM101&lt;45,WeightSDS!M$23*$AM101^10+WeightSDS!N$23*$AM101^9+WeightSDS!O$23*$AM101^8+WeightSDS!P$23*$AM101^7+WeightSDS!Q$23*$AM101^6+WeightSDS!R$23*$AM101^5+WeightSDS!S$23*$AM101^4+WeightSDS!T$23*$AM101^3+WeightSDS!U$23*$AM101^2+WeightSDS!V$23*$AM101+WeightSDS!W$23,IF($AM101&lt;153,WeightSDS!M$25*$AM101^10+WeightSDS!N$25*$AM101^9+WeightSDS!O$25*$AM101^8+WeightSDS!P$25*$AM101^7+WeightSDS!Q$25*$AM101^6+WeightSDS!R$25*$AM101^5+WeightSDS!S$25*$AM101^4+WeightSDS!T$25*$AM101^3+WeightSDS!U$25*$AM101^2+WeightSDS!V$25*$AM101+WeightSDS!W$25,WeightSDS!M$27+WeightSDS!N$27/(1+EXP(WeightSDS!O$27+WeightSDS!P$27*$AM101)))),IF($AM101&lt;43.8,WeightSDS!M$29*$AM101^10+WeightSDS!N$29*$AM101^9+WeightSDS!O$29*$AM101^8+WeightSDS!P$29*$AM101^7+WeightSDS!Q$29*$AM101^6+WeightSDS!R$29*$AM101^5+WeightSDS!S$29*$AM101^4+WeightSDS!T$29*$AM101^3+WeightSDS!U$29*$AM101^2+WeightSDS!V$29*$AM101+WeightSDS!W$29-0.010431*(1-$AM101/210),IF($AM101&lt;123,WeightSDS!M$30*$AM101^10+WeightSDS!N$30*$AM101^9+WeightSDS!O$30*$AM101^8+WeightSDS!P$30*$AM101^7+WeightSDS!Q$30*$AM101^6+WeightSDS!R$30*$AM101^5+WeightSDS!S$30*$AM101^4+WeightSDS!T$30*$AM101^3+WeightSDS!U$30*$AM101^2+WeightSDS!V$30*$AM101+WeightSDS!W$30-0.010431*(1-1/$AM101),WeightSDS!M$32+WeightSDS!N$32/(1+EXP(WeightSDS!O$32+WeightSDS!P$32*$AM101))-0.010431*(1-$AM101/210))))</f>
        <v>2.9500001032655536</v>
      </c>
      <c r="AQ101" s="4">
        <f>IF(D101="M",IF($AM101&lt;162,WeightSDS!P$12*$AM101^7+WeightSDS!Q$12*$AM101^6+WeightSDS!R$12*$AM101^5+WeightSDS!S$12*$AM101^4+WeightSDS!T$12*$AM101^3+WeightSDS!U$12*$AM101^2+WeightSDS!V$12*$AM101+WeightSDS!W$12,WeightSDS!P$14*$AM101^7+WeightSDS!Q$14*$AM101^6+WeightSDS!R$14*$AM101^5+WeightSDS!S$14*$AM101^4+WeightSDS!T$14*$AM101^3+WeightSDS!U$14*$AM101^2+WeightSDS!V$14*$AM101+WeightSDS!W$14),IF($AM101&lt;156,WeightSDS!O$17*$AM101^8+WeightSDS!P$17*$AM101^7+WeightSDS!Q$17*$AM101^6+WeightSDS!R$17*$AM101^5+WeightSDS!S$17*$AM101^4+WeightSDS!T$17*$AM101^3+WeightSDS!U$17*$AM101^2+WeightSDS!V$17*$AM101+WeightSDS!W$17,IF($AM101&lt;186,WeightSDS!$U$18+(WeightSDS!$V$18-WeightSDS!$U$18)/24*($AM101-186)+WeightSDS!$W$18*(-$AM101+186)^2-0.005,WeightSDS!$U$18+(WeightSDS!$V$18-WeightSDS!$U$18)/24*($AM101-186)-0.005)))</f>
        <v>0.14604529399999999</v>
      </c>
      <c r="AT101" s="4">
        <f t="shared" si="28"/>
        <v>0.56299999999999994</v>
      </c>
      <c r="AU101" s="4">
        <f t="shared" si="29"/>
        <v>69</v>
      </c>
      <c r="AV101" s="4">
        <f t="shared" si="30"/>
        <v>0.51</v>
      </c>
    </row>
    <row r="102" spans="1:48" x14ac:dyDescent="0.15">
      <c r="A102" s="4"/>
      <c r="B102" s="21"/>
      <c r="C102" s="21"/>
      <c r="D102" s="21"/>
      <c r="E102" s="22"/>
      <c r="F102" s="22"/>
      <c r="G102" s="23"/>
      <c r="H102" s="23"/>
      <c r="I102" s="181"/>
      <c r="J102" s="8" t="str">
        <f t="shared" si="22"/>
        <v/>
      </c>
      <c r="K102" s="2" t="str">
        <f t="shared" si="31"/>
        <v/>
      </c>
      <c r="L102" s="2" t="str">
        <f t="shared" si="23"/>
        <v/>
      </c>
      <c r="M102" s="2" t="str">
        <f t="shared" si="32"/>
        <v/>
      </c>
      <c r="N102" s="2" t="str">
        <f t="shared" si="40"/>
        <v/>
      </c>
      <c r="O102" s="2" t="str">
        <f t="shared" si="33"/>
        <v/>
      </c>
      <c r="P102" s="8" t="str">
        <f t="shared" si="34"/>
        <v/>
      </c>
      <c r="Q102" s="8" t="str">
        <f t="shared" si="35"/>
        <v/>
      </c>
      <c r="R102" s="111" t="str">
        <f t="shared" si="36"/>
        <v/>
      </c>
      <c r="S102" s="44" t="str">
        <f t="shared" si="37"/>
        <v/>
      </c>
      <c r="T102" s="37" t="str">
        <f t="shared" si="38"/>
        <v/>
      </c>
      <c r="U102" s="44" t="str">
        <f t="shared" si="39"/>
        <v/>
      </c>
      <c r="V102" s="26"/>
      <c r="W102" s="26"/>
      <c r="X102" s="26"/>
      <c r="Y102" s="26"/>
      <c r="Z102" s="24"/>
      <c r="AA102" s="169">
        <f t="shared" si="24"/>
        <v>0</v>
      </c>
      <c r="AB102" s="4">
        <f t="shared" si="25"/>
        <v>0</v>
      </c>
      <c r="AC102" s="170">
        <f t="shared" si="42"/>
        <v>0</v>
      </c>
      <c r="AD102" s="58"/>
      <c r="AE102" s="58"/>
      <c r="AF102" s="58"/>
      <c r="AG102" s="59">
        <f t="shared" si="26"/>
        <v>9.0359999999999996</v>
      </c>
      <c r="AH102" s="59">
        <f t="shared" si="27"/>
        <v>-184.49199999999999</v>
      </c>
      <c r="AJ102" s="4">
        <f>IF(D102="M",IF(AM102&lt;78,BMILMS!$D$5*AM102^3+BMILMS!$E$5*AM102^2+BMILMS!$F$5*AM102+BMILMS!$G$5,IF(AM102&lt;150,BMILMS!$D$6*AM102^3+BMILMS!$E$6*AM102^2+BMILMS!$F$6*AM102+BMILMS!$G$6,BMILMS!$D$7*AM102^3+BMILMS!$E$7*AM102^2+BMILMS!$F$7*AM102+BMILMS!$G$7)),IF(AM102&lt;69,BMILMS!$D$9*AM102^3+BMILMS!$E$9*AM102^2+BMILMS!$F$9*AM102+BMILMS!$G$9,IF(AM102&lt;150,BMILMS!$D$10*AM102^3+BMILMS!$E$10*AM102^2+BMILMS!$F$10*AM102+BMILMS!$G$10,BMILMS!$D$11*AM102^3+BMILMS!$E$11*AM102^2+BMILMS!$F$11*AM102+BMILMS!$G$11)))</f>
        <v>0.79584630099999998</v>
      </c>
      <c r="AK102" s="4">
        <f>IF(D102="M",(IF(AM102&lt;2.5,BMILMS!$D$21*AM102^3+BMILMS!$E$21*AM102^2+BMILMS!$F$21*AM102+BMILMS!$G$21,IF(AM102&lt;9.5,BMILMS!$D$22*AM102^3+BMILMS!$E$22*AM102^2+BMILMS!$F$22*AM102+BMILMS!$G$22,IF(AM102&lt;26.75,BMILMS!$D$23*AM102^3+BMILMS!$E$23*AM102^2+BMILMS!$F$23*AM102+BMILMS!$G$23,IF(AM102&lt;90,BMILMS!$D$24*AM102^3+BMILMS!$E$24*AM102^2+BMILMS!$F$24*AM102+BMILMS!$G$24,BMILMS!$D$25*AM102^3+BMILMS!$E$25*AM102^2+BMILMS!$F$25*AM102+BMILMS!$G$25))))),(IF(AM102&lt;2.5,BMILMS!$D$27*AM102^3+BMILMS!$E$27*AM102^2+BMILMS!$F$27*AM102+BMILMS!$G$27,IF(AM102&lt;9.5,BMILMS!$D$28*AM102^3+BMILMS!$E$28*AM102^2+BMILMS!$F$28*AM102+BMILMS!$G$28,IF(AM102&lt;26.75,BMILMS!$D$29*AM102^3+BMILMS!$E$29*AM102^2+BMILMS!$F$29*AM102+BMILMS!$G$29,IF(AM102&lt;90,BMILMS!$D$30*AM102^3+BMILMS!$E$30*AM102^2+BMILMS!$F$30*AM102+BMILMS!$G$30,IF(AM102&lt;150,BMILMS!$D$31*AM102^3+BMILMS!$E$31*AM102^2+BMILMS!$F$31*AM102+BMILMS!$G$31,BMILMS!$D$32*AM102^3+BMILMS!$E$32*AM102^2+BMILMS!$F$32*AM102+BMILMS!$G$32)))))))</f>
        <v>12.568967990000001</v>
      </c>
      <c r="AL102" s="4">
        <f>IF(D102="M",(IF(AM102&lt;90,BMILMS!$D$14*AM102^3+BMILMS!$E$14*AM102^2+BMILMS!$F$14*AM102+BMILMS!$G$14,BMILMS!$D$15*AM102^3+BMILMS!$E$15*AM102^2+BMILMS!$F$15*AM102+BMILMS!$G$15)),(IF(AM102&lt;90,BMILMS!$D$17*AM102^3+BMILMS!$E$17*AM102^2+BMILMS!$F$17*AM102+BMILMS!$G$17,BMILMS!$D$18*AM102^3+BMILMS!$E$18*AM102^2+BMILMS!$F$18*AM102+BMILMS!$G$18)))</f>
        <v>8.8969350000000003E-2</v>
      </c>
      <c r="AM102" s="4">
        <f t="shared" si="41"/>
        <v>0</v>
      </c>
      <c r="AO102" s="56">
        <f>IF(D102="M",WeightSDS!P$5*$AM102^7+WeightSDS!Q$5*$AM102^6+WeightSDS!R$5*$AM102^5+WeightSDS!S$5*$AM102^4+WeightSDS!T$5*$AM102^3+WeightSDS!U$5*$AM102^2+WeightSDS!V$5*$AM102+WeightSDS!W$5,IF($AM102&lt;186,WeightSDS!P$8*$AM102^7+WeightSDS!Q$8*$AM102^6+WeightSDS!R$8*$AM102^5+WeightSDS!S$8*$AM102^4+WeightSDS!T$8*$AM102^3+WeightSDS!U$8*$AM102^2+WeightSDS!V$8*$AM102+WeightSDS!W$8,WeightSDS!$U$9+WeightSDS!$V$9*($AM102-WeightSDS!$W$9)))</f>
        <v>0.75407122999999998</v>
      </c>
      <c r="AP102" s="4">
        <f>IF(D102="M",IF($AM102&lt;45,WeightSDS!M$23*$AM102^10+WeightSDS!N$23*$AM102^9+WeightSDS!O$23*$AM102^8+WeightSDS!P$23*$AM102^7+WeightSDS!Q$23*$AM102^6+WeightSDS!R$23*$AM102^5+WeightSDS!S$23*$AM102^4+WeightSDS!T$23*$AM102^3+WeightSDS!U$23*$AM102^2+WeightSDS!V$23*$AM102+WeightSDS!W$23,IF($AM102&lt;153,WeightSDS!M$25*$AM102^10+WeightSDS!N$25*$AM102^9+WeightSDS!O$25*$AM102^8+WeightSDS!P$25*$AM102^7+WeightSDS!Q$25*$AM102^6+WeightSDS!R$25*$AM102^5+WeightSDS!S$25*$AM102^4+WeightSDS!T$25*$AM102^3+WeightSDS!U$25*$AM102^2+WeightSDS!V$25*$AM102+WeightSDS!W$25,WeightSDS!M$27+WeightSDS!N$27/(1+EXP(WeightSDS!O$27+WeightSDS!P$27*$AM102)))),IF($AM102&lt;43.8,WeightSDS!M$29*$AM102^10+WeightSDS!N$29*$AM102^9+WeightSDS!O$29*$AM102^8+WeightSDS!P$29*$AM102^7+WeightSDS!Q$29*$AM102^6+WeightSDS!R$29*$AM102^5+WeightSDS!S$29*$AM102^4+WeightSDS!T$29*$AM102^3+WeightSDS!U$29*$AM102^2+WeightSDS!V$29*$AM102+WeightSDS!W$29-0.010431*(1-$AM102/210),IF($AM102&lt;123,WeightSDS!M$30*$AM102^10+WeightSDS!N$30*$AM102^9+WeightSDS!O$30*$AM102^8+WeightSDS!P$30*$AM102^7+WeightSDS!Q$30*$AM102^6+WeightSDS!R$30*$AM102^5+WeightSDS!S$30*$AM102^4+WeightSDS!T$30*$AM102^3+WeightSDS!U$30*$AM102^2+WeightSDS!V$30*$AM102+WeightSDS!W$30-0.010431*(1-1/$AM102),WeightSDS!M$32+WeightSDS!N$32/(1+EXP(WeightSDS!O$32+WeightSDS!P$32*$AM102))-0.010431*(1-$AM102/210))))</f>
        <v>2.9500001032655536</v>
      </c>
      <c r="AQ102" s="4">
        <f>IF(D102="M",IF($AM102&lt;162,WeightSDS!P$12*$AM102^7+WeightSDS!Q$12*$AM102^6+WeightSDS!R$12*$AM102^5+WeightSDS!S$12*$AM102^4+WeightSDS!T$12*$AM102^3+WeightSDS!U$12*$AM102^2+WeightSDS!V$12*$AM102+WeightSDS!W$12,WeightSDS!P$14*$AM102^7+WeightSDS!Q$14*$AM102^6+WeightSDS!R$14*$AM102^5+WeightSDS!S$14*$AM102^4+WeightSDS!T$14*$AM102^3+WeightSDS!U$14*$AM102^2+WeightSDS!V$14*$AM102+WeightSDS!W$14),IF($AM102&lt;156,WeightSDS!O$17*$AM102^8+WeightSDS!P$17*$AM102^7+WeightSDS!Q$17*$AM102^6+WeightSDS!R$17*$AM102^5+WeightSDS!S$17*$AM102^4+WeightSDS!T$17*$AM102^3+WeightSDS!U$17*$AM102^2+WeightSDS!V$17*$AM102+WeightSDS!W$17,IF($AM102&lt;186,WeightSDS!$U$18+(WeightSDS!$V$18-WeightSDS!$U$18)/24*($AM102-186)+WeightSDS!$W$18*(-$AM102+186)^2-0.005,WeightSDS!$U$18+(WeightSDS!$V$18-WeightSDS!$U$18)/24*($AM102-186)-0.005)))</f>
        <v>0.14604529399999999</v>
      </c>
      <c r="AT102" s="4">
        <f t="shared" si="28"/>
        <v>0.56299999999999994</v>
      </c>
      <c r="AU102" s="4">
        <f t="shared" si="29"/>
        <v>69</v>
      </c>
      <c r="AV102" s="4">
        <f t="shared" si="30"/>
        <v>0.51</v>
      </c>
    </row>
    <row r="103" spans="1:48" x14ac:dyDescent="0.15">
      <c r="A103" s="4"/>
      <c r="B103" s="21"/>
      <c r="C103" s="21"/>
      <c r="D103" s="21"/>
      <c r="E103" s="22"/>
      <c r="F103" s="22"/>
      <c r="G103" s="23"/>
      <c r="H103" s="23"/>
      <c r="I103" s="181"/>
      <c r="J103" s="8" t="str">
        <f t="shared" si="22"/>
        <v/>
      </c>
      <c r="K103" s="2" t="str">
        <f t="shared" si="31"/>
        <v/>
      </c>
      <c r="L103" s="2" t="str">
        <f t="shared" si="23"/>
        <v/>
      </c>
      <c r="M103" s="2" t="str">
        <f t="shared" si="32"/>
        <v/>
      </c>
      <c r="N103" s="2" t="str">
        <f t="shared" si="40"/>
        <v/>
      </c>
      <c r="O103" s="2" t="str">
        <f t="shared" si="33"/>
        <v/>
      </c>
      <c r="P103" s="8" t="str">
        <f t="shared" si="34"/>
        <v/>
      </c>
      <c r="Q103" s="8" t="str">
        <f t="shared" si="35"/>
        <v/>
      </c>
      <c r="R103" s="111" t="str">
        <f t="shared" si="36"/>
        <v/>
      </c>
      <c r="S103" s="44" t="str">
        <f t="shared" si="37"/>
        <v/>
      </c>
      <c r="T103" s="37" t="str">
        <f t="shared" si="38"/>
        <v/>
      </c>
      <c r="U103" s="44" t="str">
        <f t="shared" si="39"/>
        <v/>
      </c>
      <c r="V103" s="26"/>
      <c r="W103" s="26"/>
      <c r="X103" s="26"/>
      <c r="Y103" s="26"/>
      <c r="Z103" s="24"/>
      <c r="AA103" s="169">
        <f t="shared" si="24"/>
        <v>0</v>
      </c>
      <c r="AB103" s="4">
        <f t="shared" si="25"/>
        <v>0</v>
      </c>
      <c r="AC103" s="170">
        <f t="shared" si="42"/>
        <v>0</v>
      </c>
      <c r="AD103" s="58"/>
      <c r="AE103" s="58"/>
      <c r="AF103" s="58"/>
      <c r="AG103" s="59">
        <f t="shared" si="26"/>
        <v>9.0359999999999996</v>
      </c>
      <c r="AH103" s="59">
        <f t="shared" si="27"/>
        <v>-184.49199999999999</v>
      </c>
      <c r="AJ103" s="4">
        <f>IF(D103="M",IF(AM103&lt;78,BMILMS!$D$5*AM103^3+BMILMS!$E$5*AM103^2+BMILMS!$F$5*AM103+BMILMS!$G$5,IF(AM103&lt;150,BMILMS!$D$6*AM103^3+BMILMS!$E$6*AM103^2+BMILMS!$F$6*AM103+BMILMS!$G$6,BMILMS!$D$7*AM103^3+BMILMS!$E$7*AM103^2+BMILMS!$F$7*AM103+BMILMS!$G$7)),IF(AM103&lt;69,BMILMS!$D$9*AM103^3+BMILMS!$E$9*AM103^2+BMILMS!$F$9*AM103+BMILMS!$G$9,IF(AM103&lt;150,BMILMS!$D$10*AM103^3+BMILMS!$E$10*AM103^2+BMILMS!$F$10*AM103+BMILMS!$G$10,BMILMS!$D$11*AM103^3+BMILMS!$E$11*AM103^2+BMILMS!$F$11*AM103+BMILMS!$G$11)))</f>
        <v>0.79584630099999998</v>
      </c>
      <c r="AK103" s="4">
        <f>IF(D103="M",(IF(AM103&lt;2.5,BMILMS!$D$21*AM103^3+BMILMS!$E$21*AM103^2+BMILMS!$F$21*AM103+BMILMS!$G$21,IF(AM103&lt;9.5,BMILMS!$D$22*AM103^3+BMILMS!$E$22*AM103^2+BMILMS!$F$22*AM103+BMILMS!$G$22,IF(AM103&lt;26.75,BMILMS!$D$23*AM103^3+BMILMS!$E$23*AM103^2+BMILMS!$F$23*AM103+BMILMS!$G$23,IF(AM103&lt;90,BMILMS!$D$24*AM103^3+BMILMS!$E$24*AM103^2+BMILMS!$F$24*AM103+BMILMS!$G$24,BMILMS!$D$25*AM103^3+BMILMS!$E$25*AM103^2+BMILMS!$F$25*AM103+BMILMS!$G$25))))),(IF(AM103&lt;2.5,BMILMS!$D$27*AM103^3+BMILMS!$E$27*AM103^2+BMILMS!$F$27*AM103+BMILMS!$G$27,IF(AM103&lt;9.5,BMILMS!$D$28*AM103^3+BMILMS!$E$28*AM103^2+BMILMS!$F$28*AM103+BMILMS!$G$28,IF(AM103&lt;26.75,BMILMS!$D$29*AM103^3+BMILMS!$E$29*AM103^2+BMILMS!$F$29*AM103+BMILMS!$G$29,IF(AM103&lt;90,BMILMS!$D$30*AM103^3+BMILMS!$E$30*AM103^2+BMILMS!$F$30*AM103+BMILMS!$G$30,IF(AM103&lt;150,BMILMS!$D$31*AM103^3+BMILMS!$E$31*AM103^2+BMILMS!$F$31*AM103+BMILMS!$G$31,BMILMS!$D$32*AM103^3+BMILMS!$E$32*AM103^2+BMILMS!$F$32*AM103+BMILMS!$G$32)))))))</f>
        <v>12.568967990000001</v>
      </c>
      <c r="AL103" s="4">
        <f>IF(D103="M",(IF(AM103&lt;90,BMILMS!$D$14*AM103^3+BMILMS!$E$14*AM103^2+BMILMS!$F$14*AM103+BMILMS!$G$14,BMILMS!$D$15*AM103^3+BMILMS!$E$15*AM103^2+BMILMS!$F$15*AM103+BMILMS!$G$15)),(IF(AM103&lt;90,BMILMS!$D$17*AM103^3+BMILMS!$E$17*AM103^2+BMILMS!$F$17*AM103+BMILMS!$G$17,BMILMS!$D$18*AM103^3+BMILMS!$E$18*AM103^2+BMILMS!$F$18*AM103+BMILMS!$G$18)))</f>
        <v>8.8969350000000003E-2</v>
      </c>
      <c r="AM103" s="4">
        <f t="shared" si="41"/>
        <v>0</v>
      </c>
      <c r="AO103" s="56">
        <f>IF(D103="M",WeightSDS!P$5*$AM103^7+WeightSDS!Q$5*$AM103^6+WeightSDS!R$5*$AM103^5+WeightSDS!S$5*$AM103^4+WeightSDS!T$5*$AM103^3+WeightSDS!U$5*$AM103^2+WeightSDS!V$5*$AM103+WeightSDS!W$5,IF($AM103&lt;186,WeightSDS!P$8*$AM103^7+WeightSDS!Q$8*$AM103^6+WeightSDS!R$8*$AM103^5+WeightSDS!S$8*$AM103^4+WeightSDS!T$8*$AM103^3+WeightSDS!U$8*$AM103^2+WeightSDS!V$8*$AM103+WeightSDS!W$8,WeightSDS!$U$9+WeightSDS!$V$9*($AM103-WeightSDS!$W$9)))</f>
        <v>0.75407122999999998</v>
      </c>
      <c r="AP103" s="4">
        <f>IF(D103="M",IF($AM103&lt;45,WeightSDS!M$23*$AM103^10+WeightSDS!N$23*$AM103^9+WeightSDS!O$23*$AM103^8+WeightSDS!P$23*$AM103^7+WeightSDS!Q$23*$AM103^6+WeightSDS!R$23*$AM103^5+WeightSDS!S$23*$AM103^4+WeightSDS!T$23*$AM103^3+WeightSDS!U$23*$AM103^2+WeightSDS!V$23*$AM103+WeightSDS!W$23,IF($AM103&lt;153,WeightSDS!M$25*$AM103^10+WeightSDS!N$25*$AM103^9+WeightSDS!O$25*$AM103^8+WeightSDS!P$25*$AM103^7+WeightSDS!Q$25*$AM103^6+WeightSDS!R$25*$AM103^5+WeightSDS!S$25*$AM103^4+WeightSDS!T$25*$AM103^3+WeightSDS!U$25*$AM103^2+WeightSDS!V$25*$AM103+WeightSDS!W$25,WeightSDS!M$27+WeightSDS!N$27/(1+EXP(WeightSDS!O$27+WeightSDS!P$27*$AM103)))),IF($AM103&lt;43.8,WeightSDS!M$29*$AM103^10+WeightSDS!N$29*$AM103^9+WeightSDS!O$29*$AM103^8+WeightSDS!P$29*$AM103^7+WeightSDS!Q$29*$AM103^6+WeightSDS!R$29*$AM103^5+WeightSDS!S$29*$AM103^4+WeightSDS!T$29*$AM103^3+WeightSDS!U$29*$AM103^2+WeightSDS!V$29*$AM103+WeightSDS!W$29-0.010431*(1-$AM103/210),IF($AM103&lt;123,WeightSDS!M$30*$AM103^10+WeightSDS!N$30*$AM103^9+WeightSDS!O$30*$AM103^8+WeightSDS!P$30*$AM103^7+WeightSDS!Q$30*$AM103^6+WeightSDS!R$30*$AM103^5+WeightSDS!S$30*$AM103^4+WeightSDS!T$30*$AM103^3+WeightSDS!U$30*$AM103^2+WeightSDS!V$30*$AM103+WeightSDS!W$30-0.010431*(1-1/$AM103),WeightSDS!M$32+WeightSDS!N$32/(1+EXP(WeightSDS!O$32+WeightSDS!P$32*$AM103))-0.010431*(1-$AM103/210))))</f>
        <v>2.9500001032655536</v>
      </c>
      <c r="AQ103" s="4">
        <f>IF(D103="M",IF($AM103&lt;162,WeightSDS!P$12*$AM103^7+WeightSDS!Q$12*$AM103^6+WeightSDS!R$12*$AM103^5+WeightSDS!S$12*$AM103^4+WeightSDS!T$12*$AM103^3+WeightSDS!U$12*$AM103^2+WeightSDS!V$12*$AM103+WeightSDS!W$12,WeightSDS!P$14*$AM103^7+WeightSDS!Q$14*$AM103^6+WeightSDS!R$14*$AM103^5+WeightSDS!S$14*$AM103^4+WeightSDS!T$14*$AM103^3+WeightSDS!U$14*$AM103^2+WeightSDS!V$14*$AM103+WeightSDS!W$14),IF($AM103&lt;156,WeightSDS!O$17*$AM103^8+WeightSDS!P$17*$AM103^7+WeightSDS!Q$17*$AM103^6+WeightSDS!R$17*$AM103^5+WeightSDS!S$17*$AM103^4+WeightSDS!T$17*$AM103^3+WeightSDS!U$17*$AM103^2+WeightSDS!V$17*$AM103+WeightSDS!W$17,IF($AM103&lt;186,WeightSDS!$U$18+(WeightSDS!$V$18-WeightSDS!$U$18)/24*($AM103-186)+WeightSDS!$W$18*(-$AM103+186)^2-0.005,WeightSDS!$U$18+(WeightSDS!$V$18-WeightSDS!$U$18)/24*($AM103-186)-0.005)))</f>
        <v>0.14604529399999999</v>
      </c>
      <c r="AT103" s="4">
        <f t="shared" si="28"/>
        <v>0.56299999999999994</v>
      </c>
      <c r="AU103" s="4">
        <f t="shared" si="29"/>
        <v>69</v>
      </c>
      <c r="AV103" s="4">
        <f t="shared" si="30"/>
        <v>0.51</v>
      </c>
    </row>
    <row r="104" spans="1:48" x14ac:dyDescent="0.15">
      <c r="A104" s="4"/>
      <c r="B104" s="21"/>
      <c r="C104" s="21"/>
      <c r="D104" s="21"/>
      <c r="E104" s="22"/>
      <c r="F104" s="22"/>
      <c r="G104" s="23"/>
      <c r="H104" s="23"/>
      <c r="I104" s="181"/>
      <c r="J104" s="8" t="str">
        <f t="shared" si="22"/>
        <v/>
      </c>
      <c r="K104" s="2" t="str">
        <f t="shared" si="31"/>
        <v/>
      </c>
      <c r="L104" s="2" t="str">
        <f t="shared" si="23"/>
        <v/>
      </c>
      <c r="M104" s="2" t="str">
        <f t="shared" si="32"/>
        <v/>
      </c>
      <c r="N104" s="2" t="str">
        <f t="shared" si="40"/>
        <v/>
      </c>
      <c r="O104" s="2" t="str">
        <f t="shared" si="33"/>
        <v/>
      </c>
      <c r="P104" s="8" t="str">
        <f t="shared" si="34"/>
        <v/>
      </c>
      <c r="Q104" s="8" t="str">
        <f t="shared" si="35"/>
        <v/>
      </c>
      <c r="R104" s="111" t="str">
        <f t="shared" si="36"/>
        <v/>
      </c>
      <c r="S104" s="44" t="str">
        <f t="shared" si="37"/>
        <v/>
      </c>
      <c r="T104" s="37" t="str">
        <f t="shared" si="38"/>
        <v/>
      </c>
      <c r="U104" s="44" t="str">
        <f t="shared" si="39"/>
        <v/>
      </c>
      <c r="V104" s="26"/>
      <c r="W104" s="26"/>
      <c r="X104" s="26"/>
      <c r="Y104" s="26"/>
      <c r="Z104" s="24"/>
      <c r="AA104" s="169">
        <f t="shared" si="24"/>
        <v>0</v>
      </c>
      <c r="AB104" s="4">
        <f t="shared" si="25"/>
        <v>0</v>
      </c>
      <c r="AC104" s="170">
        <f t="shared" si="42"/>
        <v>0</v>
      </c>
      <c r="AD104" s="58"/>
      <c r="AE104" s="58"/>
      <c r="AF104" s="58"/>
      <c r="AG104" s="59">
        <f t="shared" si="26"/>
        <v>9.0359999999999996</v>
      </c>
      <c r="AH104" s="59">
        <f t="shared" si="27"/>
        <v>-184.49199999999999</v>
      </c>
      <c r="AJ104" s="4">
        <f>IF(D104="M",IF(AM104&lt;78,BMILMS!$D$5*AM104^3+BMILMS!$E$5*AM104^2+BMILMS!$F$5*AM104+BMILMS!$G$5,IF(AM104&lt;150,BMILMS!$D$6*AM104^3+BMILMS!$E$6*AM104^2+BMILMS!$F$6*AM104+BMILMS!$G$6,BMILMS!$D$7*AM104^3+BMILMS!$E$7*AM104^2+BMILMS!$F$7*AM104+BMILMS!$G$7)),IF(AM104&lt;69,BMILMS!$D$9*AM104^3+BMILMS!$E$9*AM104^2+BMILMS!$F$9*AM104+BMILMS!$G$9,IF(AM104&lt;150,BMILMS!$D$10*AM104^3+BMILMS!$E$10*AM104^2+BMILMS!$F$10*AM104+BMILMS!$G$10,BMILMS!$D$11*AM104^3+BMILMS!$E$11*AM104^2+BMILMS!$F$11*AM104+BMILMS!$G$11)))</f>
        <v>0.79584630099999998</v>
      </c>
      <c r="AK104" s="4">
        <f>IF(D104="M",(IF(AM104&lt;2.5,BMILMS!$D$21*AM104^3+BMILMS!$E$21*AM104^2+BMILMS!$F$21*AM104+BMILMS!$G$21,IF(AM104&lt;9.5,BMILMS!$D$22*AM104^3+BMILMS!$E$22*AM104^2+BMILMS!$F$22*AM104+BMILMS!$G$22,IF(AM104&lt;26.75,BMILMS!$D$23*AM104^3+BMILMS!$E$23*AM104^2+BMILMS!$F$23*AM104+BMILMS!$G$23,IF(AM104&lt;90,BMILMS!$D$24*AM104^3+BMILMS!$E$24*AM104^2+BMILMS!$F$24*AM104+BMILMS!$G$24,BMILMS!$D$25*AM104^3+BMILMS!$E$25*AM104^2+BMILMS!$F$25*AM104+BMILMS!$G$25))))),(IF(AM104&lt;2.5,BMILMS!$D$27*AM104^3+BMILMS!$E$27*AM104^2+BMILMS!$F$27*AM104+BMILMS!$G$27,IF(AM104&lt;9.5,BMILMS!$D$28*AM104^3+BMILMS!$E$28*AM104^2+BMILMS!$F$28*AM104+BMILMS!$G$28,IF(AM104&lt;26.75,BMILMS!$D$29*AM104^3+BMILMS!$E$29*AM104^2+BMILMS!$F$29*AM104+BMILMS!$G$29,IF(AM104&lt;90,BMILMS!$D$30*AM104^3+BMILMS!$E$30*AM104^2+BMILMS!$F$30*AM104+BMILMS!$G$30,IF(AM104&lt;150,BMILMS!$D$31*AM104^3+BMILMS!$E$31*AM104^2+BMILMS!$F$31*AM104+BMILMS!$G$31,BMILMS!$D$32*AM104^3+BMILMS!$E$32*AM104^2+BMILMS!$F$32*AM104+BMILMS!$G$32)))))))</f>
        <v>12.568967990000001</v>
      </c>
      <c r="AL104" s="4">
        <f>IF(D104="M",(IF(AM104&lt;90,BMILMS!$D$14*AM104^3+BMILMS!$E$14*AM104^2+BMILMS!$F$14*AM104+BMILMS!$G$14,BMILMS!$D$15*AM104^3+BMILMS!$E$15*AM104^2+BMILMS!$F$15*AM104+BMILMS!$G$15)),(IF(AM104&lt;90,BMILMS!$D$17*AM104^3+BMILMS!$E$17*AM104^2+BMILMS!$F$17*AM104+BMILMS!$G$17,BMILMS!$D$18*AM104^3+BMILMS!$E$18*AM104^2+BMILMS!$F$18*AM104+BMILMS!$G$18)))</f>
        <v>8.8969350000000003E-2</v>
      </c>
      <c r="AM104" s="4">
        <f t="shared" si="41"/>
        <v>0</v>
      </c>
      <c r="AO104" s="56">
        <f>IF(D104="M",WeightSDS!P$5*$AM104^7+WeightSDS!Q$5*$AM104^6+WeightSDS!R$5*$AM104^5+WeightSDS!S$5*$AM104^4+WeightSDS!T$5*$AM104^3+WeightSDS!U$5*$AM104^2+WeightSDS!V$5*$AM104+WeightSDS!W$5,IF($AM104&lt;186,WeightSDS!P$8*$AM104^7+WeightSDS!Q$8*$AM104^6+WeightSDS!R$8*$AM104^5+WeightSDS!S$8*$AM104^4+WeightSDS!T$8*$AM104^3+WeightSDS!U$8*$AM104^2+WeightSDS!V$8*$AM104+WeightSDS!W$8,WeightSDS!$U$9+WeightSDS!$V$9*($AM104-WeightSDS!$W$9)))</f>
        <v>0.75407122999999998</v>
      </c>
      <c r="AP104" s="4">
        <f>IF(D104="M",IF($AM104&lt;45,WeightSDS!M$23*$AM104^10+WeightSDS!N$23*$AM104^9+WeightSDS!O$23*$AM104^8+WeightSDS!P$23*$AM104^7+WeightSDS!Q$23*$AM104^6+WeightSDS!R$23*$AM104^5+WeightSDS!S$23*$AM104^4+WeightSDS!T$23*$AM104^3+WeightSDS!U$23*$AM104^2+WeightSDS!V$23*$AM104+WeightSDS!W$23,IF($AM104&lt;153,WeightSDS!M$25*$AM104^10+WeightSDS!N$25*$AM104^9+WeightSDS!O$25*$AM104^8+WeightSDS!P$25*$AM104^7+WeightSDS!Q$25*$AM104^6+WeightSDS!R$25*$AM104^5+WeightSDS!S$25*$AM104^4+WeightSDS!T$25*$AM104^3+WeightSDS!U$25*$AM104^2+WeightSDS!V$25*$AM104+WeightSDS!W$25,WeightSDS!M$27+WeightSDS!N$27/(1+EXP(WeightSDS!O$27+WeightSDS!P$27*$AM104)))),IF($AM104&lt;43.8,WeightSDS!M$29*$AM104^10+WeightSDS!N$29*$AM104^9+WeightSDS!O$29*$AM104^8+WeightSDS!P$29*$AM104^7+WeightSDS!Q$29*$AM104^6+WeightSDS!R$29*$AM104^5+WeightSDS!S$29*$AM104^4+WeightSDS!T$29*$AM104^3+WeightSDS!U$29*$AM104^2+WeightSDS!V$29*$AM104+WeightSDS!W$29-0.010431*(1-$AM104/210),IF($AM104&lt;123,WeightSDS!M$30*$AM104^10+WeightSDS!N$30*$AM104^9+WeightSDS!O$30*$AM104^8+WeightSDS!P$30*$AM104^7+WeightSDS!Q$30*$AM104^6+WeightSDS!R$30*$AM104^5+WeightSDS!S$30*$AM104^4+WeightSDS!T$30*$AM104^3+WeightSDS!U$30*$AM104^2+WeightSDS!V$30*$AM104+WeightSDS!W$30-0.010431*(1-1/$AM104),WeightSDS!M$32+WeightSDS!N$32/(1+EXP(WeightSDS!O$32+WeightSDS!P$32*$AM104))-0.010431*(1-$AM104/210))))</f>
        <v>2.9500001032655536</v>
      </c>
      <c r="AQ104" s="4">
        <f>IF(D104="M",IF($AM104&lt;162,WeightSDS!P$12*$AM104^7+WeightSDS!Q$12*$AM104^6+WeightSDS!R$12*$AM104^5+WeightSDS!S$12*$AM104^4+WeightSDS!T$12*$AM104^3+WeightSDS!U$12*$AM104^2+WeightSDS!V$12*$AM104+WeightSDS!W$12,WeightSDS!P$14*$AM104^7+WeightSDS!Q$14*$AM104^6+WeightSDS!R$14*$AM104^5+WeightSDS!S$14*$AM104^4+WeightSDS!T$14*$AM104^3+WeightSDS!U$14*$AM104^2+WeightSDS!V$14*$AM104+WeightSDS!W$14),IF($AM104&lt;156,WeightSDS!O$17*$AM104^8+WeightSDS!P$17*$AM104^7+WeightSDS!Q$17*$AM104^6+WeightSDS!R$17*$AM104^5+WeightSDS!S$17*$AM104^4+WeightSDS!T$17*$AM104^3+WeightSDS!U$17*$AM104^2+WeightSDS!V$17*$AM104+WeightSDS!W$17,IF($AM104&lt;186,WeightSDS!$U$18+(WeightSDS!$V$18-WeightSDS!$U$18)/24*($AM104-186)+WeightSDS!$W$18*(-$AM104+186)^2-0.005,WeightSDS!$U$18+(WeightSDS!$V$18-WeightSDS!$U$18)/24*($AM104-186)-0.005)))</f>
        <v>0.14604529399999999</v>
      </c>
      <c r="AT104" s="4">
        <f t="shared" si="28"/>
        <v>0.56299999999999994</v>
      </c>
      <c r="AU104" s="4">
        <f t="shared" si="29"/>
        <v>69</v>
      </c>
      <c r="AV104" s="4">
        <f t="shared" si="30"/>
        <v>0.51</v>
      </c>
    </row>
    <row r="105" spans="1:48" x14ac:dyDescent="0.15">
      <c r="A105" s="4"/>
      <c r="B105" s="21"/>
      <c r="C105" s="21"/>
      <c r="D105" s="21"/>
      <c r="E105" s="22"/>
      <c r="F105" s="22"/>
      <c r="G105" s="23"/>
      <c r="H105" s="23"/>
      <c r="I105" s="181"/>
      <c r="J105" s="8" t="str">
        <f t="shared" si="22"/>
        <v/>
      </c>
      <c r="K105" s="2" t="str">
        <f t="shared" si="31"/>
        <v/>
      </c>
      <c r="L105" s="2" t="str">
        <f t="shared" si="23"/>
        <v/>
      </c>
      <c r="M105" s="2" t="str">
        <f t="shared" si="32"/>
        <v/>
      </c>
      <c r="N105" s="2" t="str">
        <f t="shared" si="40"/>
        <v/>
      </c>
      <c r="O105" s="2" t="str">
        <f t="shared" si="33"/>
        <v/>
      </c>
      <c r="P105" s="8" t="str">
        <f t="shared" si="34"/>
        <v/>
      </c>
      <c r="Q105" s="8" t="str">
        <f t="shared" si="35"/>
        <v/>
      </c>
      <c r="R105" s="111" t="str">
        <f t="shared" si="36"/>
        <v/>
      </c>
      <c r="S105" s="44" t="str">
        <f t="shared" si="37"/>
        <v/>
      </c>
      <c r="T105" s="37" t="str">
        <f t="shared" si="38"/>
        <v/>
      </c>
      <c r="U105" s="44" t="str">
        <f t="shared" si="39"/>
        <v/>
      </c>
      <c r="V105" s="26"/>
      <c r="W105" s="26"/>
      <c r="X105" s="26"/>
      <c r="Y105" s="26"/>
      <c r="Z105" s="24"/>
      <c r="AA105" s="169">
        <f t="shared" si="24"/>
        <v>0</v>
      </c>
      <c r="AB105" s="4">
        <f t="shared" si="25"/>
        <v>0</v>
      </c>
      <c r="AC105" s="170">
        <f t="shared" si="42"/>
        <v>0</v>
      </c>
      <c r="AD105" s="58"/>
      <c r="AE105" s="58"/>
      <c r="AF105" s="58"/>
      <c r="AG105" s="59">
        <f t="shared" si="26"/>
        <v>9.0359999999999996</v>
      </c>
      <c r="AH105" s="59">
        <f t="shared" si="27"/>
        <v>-184.49199999999999</v>
      </c>
      <c r="AJ105" s="4">
        <f>IF(D105="M",IF(AM105&lt;78,BMILMS!$D$5*AM105^3+BMILMS!$E$5*AM105^2+BMILMS!$F$5*AM105+BMILMS!$G$5,IF(AM105&lt;150,BMILMS!$D$6*AM105^3+BMILMS!$E$6*AM105^2+BMILMS!$F$6*AM105+BMILMS!$G$6,BMILMS!$D$7*AM105^3+BMILMS!$E$7*AM105^2+BMILMS!$F$7*AM105+BMILMS!$G$7)),IF(AM105&lt;69,BMILMS!$D$9*AM105^3+BMILMS!$E$9*AM105^2+BMILMS!$F$9*AM105+BMILMS!$G$9,IF(AM105&lt;150,BMILMS!$D$10*AM105^3+BMILMS!$E$10*AM105^2+BMILMS!$F$10*AM105+BMILMS!$G$10,BMILMS!$D$11*AM105^3+BMILMS!$E$11*AM105^2+BMILMS!$F$11*AM105+BMILMS!$G$11)))</f>
        <v>0.79584630099999998</v>
      </c>
      <c r="AK105" s="4">
        <f>IF(D105="M",(IF(AM105&lt;2.5,BMILMS!$D$21*AM105^3+BMILMS!$E$21*AM105^2+BMILMS!$F$21*AM105+BMILMS!$G$21,IF(AM105&lt;9.5,BMILMS!$D$22*AM105^3+BMILMS!$E$22*AM105^2+BMILMS!$F$22*AM105+BMILMS!$G$22,IF(AM105&lt;26.75,BMILMS!$D$23*AM105^3+BMILMS!$E$23*AM105^2+BMILMS!$F$23*AM105+BMILMS!$G$23,IF(AM105&lt;90,BMILMS!$D$24*AM105^3+BMILMS!$E$24*AM105^2+BMILMS!$F$24*AM105+BMILMS!$G$24,BMILMS!$D$25*AM105^3+BMILMS!$E$25*AM105^2+BMILMS!$F$25*AM105+BMILMS!$G$25))))),(IF(AM105&lt;2.5,BMILMS!$D$27*AM105^3+BMILMS!$E$27*AM105^2+BMILMS!$F$27*AM105+BMILMS!$G$27,IF(AM105&lt;9.5,BMILMS!$D$28*AM105^3+BMILMS!$E$28*AM105^2+BMILMS!$F$28*AM105+BMILMS!$G$28,IF(AM105&lt;26.75,BMILMS!$D$29*AM105^3+BMILMS!$E$29*AM105^2+BMILMS!$F$29*AM105+BMILMS!$G$29,IF(AM105&lt;90,BMILMS!$D$30*AM105^3+BMILMS!$E$30*AM105^2+BMILMS!$F$30*AM105+BMILMS!$G$30,IF(AM105&lt;150,BMILMS!$D$31*AM105^3+BMILMS!$E$31*AM105^2+BMILMS!$F$31*AM105+BMILMS!$G$31,BMILMS!$D$32*AM105^3+BMILMS!$E$32*AM105^2+BMILMS!$F$32*AM105+BMILMS!$G$32)))))))</f>
        <v>12.568967990000001</v>
      </c>
      <c r="AL105" s="4">
        <f>IF(D105="M",(IF(AM105&lt;90,BMILMS!$D$14*AM105^3+BMILMS!$E$14*AM105^2+BMILMS!$F$14*AM105+BMILMS!$G$14,BMILMS!$D$15*AM105^3+BMILMS!$E$15*AM105^2+BMILMS!$F$15*AM105+BMILMS!$G$15)),(IF(AM105&lt;90,BMILMS!$D$17*AM105^3+BMILMS!$E$17*AM105^2+BMILMS!$F$17*AM105+BMILMS!$G$17,BMILMS!$D$18*AM105^3+BMILMS!$E$18*AM105^2+BMILMS!$F$18*AM105+BMILMS!$G$18)))</f>
        <v>8.8969350000000003E-2</v>
      </c>
      <c r="AM105" s="4">
        <f t="shared" si="41"/>
        <v>0</v>
      </c>
      <c r="AO105" s="56">
        <f>IF(D105="M",WeightSDS!P$5*$AM105^7+WeightSDS!Q$5*$AM105^6+WeightSDS!R$5*$AM105^5+WeightSDS!S$5*$AM105^4+WeightSDS!T$5*$AM105^3+WeightSDS!U$5*$AM105^2+WeightSDS!V$5*$AM105+WeightSDS!W$5,IF($AM105&lt;186,WeightSDS!P$8*$AM105^7+WeightSDS!Q$8*$AM105^6+WeightSDS!R$8*$AM105^5+WeightSDS!S$8*$AM105^4+WeightSDS!T$8*$AM105^3+WeightSDS!U$8*$AM105^2+WeightSDS!V$8*$AM105+WeightSDS!W$8,WeightSDS!$U$9+WeightSDS!$V$9*($AM105-WeightSDS!$W$9)))</f>
        <v>0.75407122999999998</v>
      </c>
      <c r="AP105" s="4">
        <f>IF(D105="M",IF($AM105&lt;45,WeightSDS!M$23*$AM105^10+WeightSDS!N$23*$AM105^9+WeightSDS!O$23*$AM105^8+WeightSDS!P$23*$AM105^7+WeightSDS!Q$23*$AM105^6+WeightSDS!R$23*$AM105^5+WeightSDS!S$23*$AM105^4+WeightSDS!T$23*$AM105^3+WeightSDS!U$23*$AM105^2+WeightSDS!V$23*$AM105+WeightSDS!W$23,IF($AM105&lt;153,WeightSDS!M$25*$AM105^10+WeightSDS!N$25*$AM105^9+WeightSDS!O$25*$AM105^8+WeightSDS!P$25*$AM105^7+WeightSDS!Q$25*$AM105^6+WeightSDS!R$25*$AM105^5+WeightSDS!S$25*$AM105^4+WeightSDS!T$25*$AM105^3+WeightSDS!U$25*$AM105^2+WeightSDS!V$25*$AM105+WeightSDS!W$25,WeightSDS!M$27+WeightSDS!N$27/(1+EXP(WeightSDS!O$27+WeightSDS!P$27*$AM105)))),IF($AM105&lt;43.8,WeightSDS!M$29*$AM105^10+WeightSDS!N$29*$AM105^9+WeightSDS!O$29*$AM105^8+WeightSDS!P$29*$AM105^7+WeightSDS!Q$29*$AM105^6+WeightSDS!R$29*$AM105^5+WeightSDS!S$29*$AM105^4+WeightSDS!T$29*$AM105^3+WeightSDS!U$29*$AM105^2+WeightSDS!V$29*$AM105+WeightSDS!W$29-0.010431*(1-$AM105/210),IF($AM105&lt;123,WeightSDS!M$30*$AM105^10+WeightSDS!N$30*$AM105^9+WeightSDS!O$30*$AM105^8+WeightSDS!P$30*$AM105^7+WeightSDS!Q$30*$AM105^6+WeightSDS!R$30*$AM105^5+WeightSDS!S$30*$AM105^4+WeightSDS!T$30*$AM105^3+WeightSDS!U$30*$AM105^2+WeightSDS!V$30*$AM105+WeightSDS!W$30-0.010431*(1-1/$AM105),WeightSDS!M$32+WeightSDS!N$32/(1+EXP(WeightSDS!O$32+WeightSDS!P$32*$AM105))-0.010431*(1-$AM105/210))))</f>
        <v>2.9500001032655536</v>
      </c>
      <c r="AQ105" s="4">
        <f>IF(D105="M",IF($AM105&lt;162,WeightSDS!P$12*$AM105^7+WeightSDS!Q$12*$AM105^6+WeightSDS!R$12*$AM105^5+WeightSDS!S$12*$AM105^4+WeightSDS!T$12*$AM105^3+WeightSDS!U$12*$AM105^2+WeightSDS!V$12*$AM105+WeightSDS!W$12,WeightSDS!P$14*$AM105^7+WeightSDS!Q$14*$AM105^6+WeightSDS!R$14*$AM105^5+WeightSDS!S$14*$AM105^4+WeightSDS!T$14*$AM105^3+WeightSDS!U$14*$AM105^2+WeightSDS!V$14*$AM105+WeightSDS!W$14),IF($AM105&lt;156,WeightSDS!O$17*$AM105^8+WeightSDS!P$17*$AM105^7+WeightSDS!Q$17*$AM105^6+WeightSDS!R$17*$AM105^5+WeightSDS!S$17*$AM105^4+WeightSDS!T$17*$AM105^3+WeightSDS!U$17*$AM105^2+WeightSDS!V$17*$AM105+WeightSDS!W$17,IF($AM105&lt;186,WeightSDS!$U$18+(WeightSDS!$V$18-WeightSDS!$U$18)/24*($AM105-186)+WeightSDS!$W$18*(-$AM105+186)^2-0.005,WeightSDS!$U$18+(WeightSDS!$V$18-WeightSDS!$U$18)/24*($AM105-186)-0.005)))</f>
        <v>0.14604529399999999</v>
      </c>
      <c r="AT105" s="4">
        <f t="shared" si="28"/>
        <v>0.56299999999999994</v>
      </c>
      <c r="AU105" s="4">
        <f t="shared" si="29"/>
        <v>69</v>
      </c>
      <c r="AV105" s="4">
        <f t="shared" si="30"/>
        <v>0.51</v>
      </c>
    </row>
    <row r="106" spans="1:48" x14ac:dyDescent="0.15">
      <c r="A106" s="4"/>
      <c r="B106" s="21"/>
      <c r="C106" s="21"/>
      <c r="D106" s="21"/>
      <c r="E106" s="22"/>
      <c r="F106" s="22"/>
      <c r="G106" s="23"/>
      <c r="H106" s="23"/>
      <c r="I106" s="181"/>
      <c r="J106" s="8" t="str">
        <f t="shared" si="22"/>
        <v/>
      </c>
      <c r="K106" s="2" t="str">
        <f t="shared" si="31"/>
        <v/>
      </c>
      <c r="L106" s="2" t="str">
        <f t="shared" si="23"/>
        <v/>
      </c>
      <c r="M106" s="2" t="str">
        <f t="shared" si="32"/>
        <v/>
      </c>
      <c r="N106" s="2" t="str">
        <f t="shared" si="40"/>
        <v/>
      </c>
      <c r="O106" s="2" t="str">
        <f t="shared" si="33"/>
        <v/>
      </c>
      <c r="P106" s="8" t="str">
        <f t="shared" si="34"/>
        <v/>
      </c>
      <c r="Q106" s="8" t="str">
        <f t="shared" si="35"/>
        <v/>
      </c>
      <c r="R106" s="111" t="str">
        <f t="shared" si="36"/>
        <v/>
      </c>
      <c r="S106" s="44" t="str">
        <f t="shared" si="37"/>
        <v/>
      </c>
      <c r="T106" s="37" t="str">
        <f t="shared" si="38"/>
        <v/>
      </c>
      <c r="U106" s="44" t="str">
        <f t="shared" si="39"/>
        <v/>
      </c>
      <c r="V106" s="26"/>
      <c r="W106" s="26"/>
      <c r="X106" s="26"/>
      <c r="Y106" s="26"/>
      <c r="Z106" s="24"/>
      <c r="AA106" s="169">
        <f t="shared" si="24"/>
        <v>0</v>
      </c>
      <c r="AB106" s="4">
        <f t="shared" si="25"/>
        <v>0</v>
      </c>
      <c r="AC106" s="170">
        <f t="shared" si="42"/>
        <v>0</v>
      </c>
      <c r="AD106" s="58"/>
      <c r="AE106" s="58"/>
      <c r="AF106" s="58"/>
      <c r="AG106" s="59">
        <f t="shared" si="26"/>
        <v>9.0359999999999996</v>
      </c>
      <c r="AH106" s="59">
        <f t="shared" si="27"/>
        <v>-184.49199999999999</v>
      </c>
      <c r="AJ106" s="4">
        <f>IF(D106="M",IF(AM106&lt;78,BMILMS!$D$5*AM106^3+BMILMS!$E$5*AM106^2+BMILMS!$F$5*AM106+BMILMS!$G$5,IF(AM106&lt;150,BMILMS!$D$6*AM106^3+BMILMS!$E$6*AM106^2+BMILMS!$F$6*AM106+BMILMS!$G$6,BMILMS!$D$7*AM106^3+BMILMS!$E$7*AM106^2+BMILMS!$F$7*AM106+BMILMS!$G$7)),IF(AM106&lt;69,BMILMS!$D$9*AM106^3+BMILMS!$E$9*AM106^2+BMILMS!$F$9*AM106+BMILMS!$G$9,IF(AM106&lt;150,BMILMS!$D$10*AM106^3+BMILMS!$E$10*AM106^2+BMILMS!$F$10*AM106+BMILMS!$G$10,BMILMS!$D$11*AM106^3+BMILMS!$E$11*AM106^2+BMILMS!$F$11*AM106+BMILMS!$G$11)))</f>
        <v>0.79584630099999998</v>
      </c>
      <c r="AK106" s="4">
        <f>IF(D106="M",(IF(AM106&lt;2.5,BMILMS!$D$21*AM106^3+BMILMS!$E$21*AM106^2+BMILMS!$F$21*AM106+BMILMS!$G$21,IF(AM106&lt;9.5,BMILMS!$D$22*AM106^3+BMILMS!$E$22*AM106^2+BMILMS!$F$22*AM106+BMILMS!$G$22,IF(AM106&lt;26.75,BMILMS!$D$23*AM106^3+BMILMS!$E$23*AM106^2+BMILMS!$F$23*AM106+BMILMS!$G$23,IF(AM106&lt;90,BMILMS!$D$24*AM106^3+BMILMS!$E$24*AM106^2+BMILMS!$F$24*AM106+BMILMS!$G$24,BMILMS!$D$25*AM106^3+BMILMS!$E$25*AM106^2+BMILMS!$F$25*AM106+BMILMS!$G$25))))),(IF(AM106&lt;2.5,BMILMS!$D$27*AM106^3+BMILMS!$E$27*AM106^2+BMILMS!$F$27*AM106+BMILMS!$G$27,IF(AM106&lt;9.5,BMILMS!$D$28*AM106^3+BMILMS!$E$28*AM106^2+BMILMS!$F$28*AM106+BMILMS!$G$28,IF(AM106&lt;26.75,BMILMS!$D$29*AM106^3+BMILMS!$E$29*AM106^2+BMILMS!$F$29*AM106+BMILMS!$G$29,IF(AM106&lt;90,BMILMS!$D$30*AM106^3+BMILMS!$E$30*AM106^2+BMILMS!$F$30*AM106+BMILMS!$G$30,IF(AM106&lt;150,BMILMS!$D$31*AM106^3+BMILMS!$E$31*AM106^2+BMILMS!$F$31*AM106+BMILMS!$G$31,BMILMS!$D$32*AM106^3+BMILMS!$E$32*AM106^2+BMILMS!$F$32*AM106+BMILMS!$G$32)))))))</f>
        <v>12.568967990000001</v>
      </c>
      <c r="AL106" s="4">
        <f>IF(D106="M",(IF(AM106&lt;90,BMILMS!$D$14*AM106^3+BMILMS!$E$14*AM106^2+BMILMS!$F$14*AM106+BMILMS!$G$14,BMILMS!$D$15*AM106^3+BMILMS!$E$15*AM106^2+BMILMS!$F$15*AM106+BMILMS!$G$15)),(IF(AM106&lt;90,BMILMS!$D$17*AM106^3+BMILMS!$E$17*AM106^2+BMILMS!$F$17*AM106+BMILMS!$G$17,BMILMS!$D$18*AM106^3+BMILMS!$E$18*AM106^2+BMILMS!$F$18*AM106+BMILMS!$G$18)))</f>
        <v>8.8969350000000003E-2</v>
      </c>
      <c r="AM106" s="4">
        <f t="shared" si="41"/>
        <v>0</v>
      </c>
      <c r="AO106" s="56">
        <f>IF(D106="M",WeightSDS!P$5*$AM106^7+WeightSDS!Q$5*$AM106^6+WeightSDS!R$5*$AM106^5+WeightSDS!S$5*$AM106^4+WeightSDS!T$5*$AM106^3+WeightSDS!U$5*$AM106^2+WeightSDS!V$5*$AM106+WeightSDS!W$5,IF($AM106&lt;186,WeightSDS!P$8*$AM106^7+WeightSDS!Q$8*$AM106^6+WeightSDS!R$8*$AM106^5+WeightSDS!S$8*$AM106^4+WeightSDS!T$8*$AM106^3+WeightSDS!U$8*$AM106^2+WeightSDS!V$8*$AM106+WeightSDS!W$8,WeightSDS!$U$9+WeightSDS!$V$9*($AM106-WeightSDS!$W$9)))</f>
        <v>0.75407122999999998</v>
      </c>
      <c r="AP106" s="4">
        <f>IF(D106="M",IF($AM106&lt;45,WeightSDS!M$23*$AM106^10+WeightSDS!N$23*$AM106^9+WeightSDS!O$23*$AM106^8+WeightSDS!P$23*$AM106^7+WeightSDS!Q$23*$AM106^6+WeightSDS!R$23*$AM106^5+WeightSDS!S$23*$AM106^4+WeightSDS!T$23*$AM106^3+WeightSDS!U$23*$AM106^2+WeightSDS!V$23*$AM106+WeightSDS!W$23,IF($AM106&lt;153,WeightSDS!M$25*$AM106^10+WeightSDS!N$25*$AM106^9+WeightSDS!O$25*$AM106^8+WeightSDS!P$25*$AM106^7+WeightSDS!Q$25*$AM106^6+WeightSDS!R$25*$AM106^5+WeightSDS!S$25*$AM106^4+WeightSDS!T$25*$AM106^3+WeightSDS!U$25*$AM106^2+WeightSDS!V$25*$AM106+WeightSDS!W$25,WeightSDS!M$27+WeightSDS!N$27/(1+EXP(WeightSDS!O$27+WeightSDS!P$27*$AM106)))),IF($AM106&lt;43.8,WeightSDS!M$29*$AM106^10+WeightSDS!N$29*$AM106^9+WeightSDS!O$29*$AM106^8+WeightSDS!P$29*$AM106^7+WeightSDS!Q$29*$AM106^6+WeightSDS!R$29*$AM106^5+WeightSDS!S$29*$AM106^4+WeightSDS!T$29*$AM106^3+WeightSDS!U$29*$AM106^2+WeightSDS!V$29*$AM106+WeightSDS!W$29-0.010431*(1-$AM106/210),IF($AM106&lt;123,WeightSDS!M$30*$AM106^10+WeightSDS!N$30*$AM106^9+WeightSDS!O$30*$AM106^8+WeightSDS!P$30*$AM106^7+WeightSDS!Q$30*$AM106^6+WeightSDS!R$30*$AM106^5+WeightSDS!S$30*$AM106^4+WeightSDS!T$30*$AM106^3+WeightSDS!U$30*$AM106^2+WeightSDS!V$30*$AM106+WeightSDS!W$30-0.010431*(1-1/$AM106),WeightSDS!M$32+WeightSDS!N$32/(1+EXP(WeightSDS!O$32+WeightSDS!P$32*$AM106))-0.010431*(1-$AM106/210))))</f>
        <v>2.9500001032655536</v>
      </c>
      <c r="AQ106" s="4">
        <f>IF(D106="M",IF($AM106&lt;162,WeightSDS!P$12*$AM106^7+WeightSDS!Q$12*$AM106^6+WeightSDS!R$12*$AM106^5+WeightSDS!S$12*$AM106^4+WeightSDS!T$12*$AM106^3+WeightSDS!U$12*$AM106^2+WeightSDS!V$12*$AM106+WeightSDS!W$12,WeightSDS!P$14*$AM106^7+WeightSDS!Q$14*$AM106^6+WeightSDS!R$14*$AM106^5+WeightSDS!S$14*$AM106^4+WeightSDS!T$14*$AM106^3+WeightSDS!U$14*$AM106^2+WeightSDS!V$14*$AM106+WeightSDS!W$14),IF($AM106&lt;156,WeightSDS!O$17*$AM106^8+WeightSDS!P$17*$AM106^7+WeightSDS!Q$17*$AM106^6+WeightSDS!R$17*$AM106^5+WeightSDS!S$17*$AM106^4+WeightSDS!T$17*$AM106^3+WeightSDS!U$17*$AM106^2+WeightSDS!V$17*$AM106+WeightSDS!W$17,IF($AM106&lt;186,WeightSDS!$U$18+(WeightSDS!$V$18-WeightSDS!$U$18)/24*($AM106-186)+WeightSDS!$W$18*(-$AM106+186)^2-0.005,WeightSDS!$U$18+(WeightSDS!$V$18-WeightSDS!$U$18)/24*($AM106-186)-0.005)))</f>
        <v>0.14604529399999999</v>
      </c>
      <c r="AT106" s="4">
        <f t="shared" si="28"/>
        <v>0.56299999999999994</v>
      </c>
      <c r="AU106" s="4">
        <f t="shared" si="29"/>
        <v>69</v>
      </c>
      <c r="AV106" s="4">
        <f t="shared" si="30"/>
        <v>0.51</v>
      </c>
    </row>
    <row r="107" spans="1:48" x14ac:dyDescent="0.15">
      <c r="A107" s="4"/>
      <c r="B107" s="21"/>
      <c r="C107" s="21"/>
      <c r="D107" s="21"/>
      <c r="E107" s="22"/>
      <c r="F107" s="22"/>
      <c r="G107" s="23"/>
      <c r="H107" s="23"/>
      <c r="I107" s="181"/>
      <c r="J107" s="8" t="str">
        <f t="shared" si="22"/>
        <v/>
      </c>
      <c r="K107" s="2" t="str">
        <f t="shared" si="31"/>
        <v/>
      </c>
      <c r="L107" s="2" t="str">
        <f t="shared" si="23"/>
        <v/>
      </c>
      <c r="M107" s="2" t="str">
        <f t="shared" si="32"/>
        <v/>
      </c>
      <c r="N107" s="2" t="str">
        <f t="shared" si="40"/>
        <v/>
      </c>
      <c r="O107" s="2" t="str">
        <f t="shared" si="33"/>
        <v/>
      </c>
      <c r="P107" s="8" t="str">
        <f t="shared" si="34"/>
        <v/>
      </c>
      <c r="Q107" s="8" t="str">
        <f t="shared" si="35"/>
        <v/>
      </c>
      <c r="R107" s="111" t="str">
        <f t="shared" si="36"/>
        <v/>
      </c>
      <c r="S107" s="44" t="str">
        <f t="shared" si="37"/>
        <v/>
      </c>
      <c r="T107" s="37" t="str">
        <f t="shared" si="38"/>
        <v/>
      </c>
      <c r="U107" s="44" t="str">
        <f t="shared" si="39"/>
        <v/>
      </c>
      <c r="V107" s="26"/>
      <c r="W107" s="26"/>
      <c r="X107" s="26"/>
      <c r="Y107" s="26"/>
      <c r="Z107" s="24"/>
      <c r="AA107" s="169">
        <f t="shared" si="24"/>
        <v>0</v>
      </c>
      <c r="AB107" s="4">
        <f t="shared" si="25"/>
        <v>0</v>
      </c>
      <c r="AC107" s="170">
        <f t="shared" si="42"/>
        <v>0</v>
      </c>
      <c r="AD107" s="58"/>
      <c r="AE107" s="58"/>
      <c r="AF107" s="58"/>
      <c r="AG107" s="59">
        <f t="shared" si="26"/>
        <v>9.0359999999999996</v>
      </c>
      <c r="AH107" s="59">
        <f t="shared" si="27"/>
        <v>-184.49199999999999</v>
      </c>
      <c r="AJ107" s="4">
        <f>IF(D107="M",IF(AM107&lt;78,BMILMS!$D$5*AM107^3+BMILMS!$E$5*AM107^2+BMILMS!$F$5*AM107+BMILMS!$G$5,IF(AM107&lt;150,BMILMS!$D$6*AM107^3+BMILMS!$E$6*AM107^2+BMILMS!$F$6*AM107+BMILMS!$G$6,BMILMS!$D$7*AM107^3+BMILMS!$E$7*AM107^2+BMILMS!$F$7*AM107+BMILMS!$G$7)),IF(AM107&lt;69,BMILMS!$D$9*AM107^3+BMILMS!$E$9*AM107^2+BMILMS!$F$9*AM107+BMILMS!$G$9,IF(AM107&lt;150,BMILMS!$D$10*AM107^3+BMILMS!$E$10*AM107^2+BMILMS!$F$10*AM107+BMILMS!$G$10,BMILMS!$D$11*AM107^3+BMILMS!$E$11*AM107^2+BMILMS!$F$11*AM107+BMILMS!$G$11)))</f>
        <v>0.79584630099999998</v>
      </c>
      <c r="AK107" s="4">
        <f>IF(D107="M",(IF(AM107&lt;2.5,BMILMS!$D$21*AM107^3+BMILMS!$E$21*AM107^2+BMILMS!$F$21*AM107+BMILMS!$G$21,IF(AM107&lt;9.5,BMILMS!$D$22*AM107^3+BMILMS!$E$22*AM107^2+BMILMS!$F$22*AM107+BMILMS!$G$22,IF(AM107&lt;26.75,BMILMS!$D$23*AM107^3+BMILMS!$E$23*AM107^2+BMILMS!$F$23*AM107+BMILMS!$G$23,IF(AM107&lt;90,BMILMS!$D$24*AM107^3+BMILMS!$E$24*AM107^2+BMILMS!$F$24*AM107+BMILMS!$G$24,BMILMS!$D$25*AM107^3+BMILMS!$E$25*AM107^2+BMILMS!$F$25*AM107+BMILMS!$G$25))))),(IF(AM107&lt;2.5,BMILMS!$D$27*AM107^3+BMILMS!$E$27*AM107^2+BMILMS!$F$27*AM107+BMILMS!$G$27,IF(AM107&lt;9.5,BMILMS!$D$28*AM107^3+BMILMS!$E$28*AM107^2+BMILMS!$F$28*AM107+BMILMS!$G$28,IF(AM107&lt;26.75,BMILMS!$D$29*AM107^3+BMILMS!$E$29*AM107^2+BMILMS!$F$29*AM107+BMILMS!$G$29,IF(AM107&lt;90,BMILMS!$D$30*AM107^3+BMILMS!$E$30*AM107^2+BMILMS!$F$30*AM107+BMILMS!$G$30,IF(AM107&lt;150,BMILMS!$D$31*AM107^3+BMILMS!$E$31*AM107^2+BMILMS!$F$31*AM107+BMILMS!$G$31,BMILMS!$D$32*AM107^3+BMILMS!$E$32*AM107^2+BMILMS!$F$32*AM107+BMILMS!$G$32)))))))</f>
        <v>12.568967990000001</v>
      </c>
      <c r="AL107" s="4">
        <f>IF(D107="M",(IF(AM107&lt;90,BMILMS!$D$14*AM107^3+BMILMS!$E$14*AM107^2+BMILMS!$F$14*AM107+BMILMS!$G$14,BMILMS!$D$15*AM107^3+BMILMS!$E$15*AM107^2+BMILMS!$F$15*AM107+BMILMS!$G$15)),(IF(AM107&lt;90,BMILMS!$D$17*AM107^3+BMILMS!$E$17*AM107^2+BMILMS!$F$17*AM107+BMILMS!$G$17,BMILMS!$D$18*AM107^3+BMILMS!$E$18*AM107^2+BMILMS!$F$18*AM107+BMILMS!$G$18)))</f>
        <v>8.8969350000000003E-2</v>
      </c>
      <c r="AM107" s="4">
        <f t="shared" si="41"/>
        <v>0</v>
      </c>
      <c r="AO107" s="56">
        <f>IF(D107="M",WeightSDS!P$5*$AM107^7+WeightSDS!Q$5*$AM107^6+WeightSDS!R$5*$AM107^5+WeightSDS!S$5*$AM107^4+WeightSDS!T$5*$AM107^3+WeightSDS!U$5*$AM107^2+WeightSDS!V$5*$AM107+WeightSDS!W$5,IF($AM107&lt;186,WeightSDS!P$8*$AM107^7+WeightSDS!Q$8*$AM107^6+WeightSDS!R$8*$AM107^5+WeightSDS!S$8*$AM107^4+WeightSDS!T$8*$AM107^3+WeightSDS!U$8*$AM107^2+WeightSDS!V$8*$AM107+WeightSDS!W$8,WeightSDS!$U$9+WeightSDS!$V$9*($AM107-WeightSDS!$W$9)))</f>
        <v>0.75407122999999998</v>
      </c>
      <c r="AP107" s="4">
        <f>IF(D107="M",IF($AM107&lt;45,WeightSDS!M$23*$AM107^10+WeightSDS!N$23*$AM107^9+WeightSDS!O$23*$AM107^8+WeightSDS!P$23*$AM107^7+WeightSDS!Q$23*$AM107^6+WeightSDS!R$23*$AM107^5+WeightSDS!S$23*$AM107^4+WeightSDS!T$23*$AM107^3+WeightSDS!U$23*$AM107^2+WeightSDS!V$23*$AM107+WeightSDS!W$23,IF($AM107&lt;153,WeightSDS!M$25*$AM107^10+WeightSDS!N$25*$AM107^9+WeightSDS!O$25*$AM107^8+WeightSDS!P$25*$AM107^7+WeightSDS!Q$25*$AM107^6+WeightSDS!R$25*$AM107^5+WeightSDS!S$25*$AM107^4+WeightSDS!T$25*$AM107^3+WeightSDS!U$25*$AM107^2+WeightSDS!V$25*$AM107+WeightSDS!W$25,WeightSDS!M$27+WeightSDS!N$27/(1+EXP(WeightSDS!O$27+WeightSDS!P$27*$AM107)))),IF($AM107&lt;43.8,WeightSDS!M$29*$AM107^10+WeightSDS!N$29*$AM107^9+WeightSDS!O$29*$AM107^8+WeightSDS!P$29*$AM107^7+WeightSDS!Q$29*$AM107^6+WeightSDS!R$29*$AM107^5+WeightSDS!S$29*$AM107^4+WeightSDS!T$29*$AM107^3+WeightSDS!U$29*$AM107^2+WeightSDS!V$29*$AM107+WeightSDS!W$29-0.010431*(1-$AM107/210),IF($AM107&lt;123,WeightSDS!M$30*$AM107^10+WeightSDS!N$30*$AM107^9+WeightSDS!O$30*$AM107^8+WeightSDS!P$30*$AM107^7+WeightSDS!Q$30*$AM107^6+WeightSDS!R$30*$AM107^5+WeightSDS!S$30*$AM107^4+WeightSDS!T$30*$AM107^3+WeightSDS!U$30*$AM107^2+WeightSDS!V$30*$AM107+WeightSDS!W$30-0.010431*(1-1/$AM107),WeightSDS!M$32+WeightSDS!N$32/(1+EXP(WeightSDS!O$32+WeightSDS!P$32*$AM107))-0.010431*(1-$AM107/210))))</f>
        <v>2.9500001032655536</v>
      </c>
      <c r="AQ107" s="4">
        <f>IF(D107="M",IF($AM107&lt;162,WeightSDS!P$12*$AM107^7+WeightSDS!Q$12*$AM107^6+WeightSDS!R$12*$AM107^5+WeightSDS!S$12*$AM107^4+WeightSDS!T$12*$AM107^3+WeightSDS!U$12*$AM107^2+WeightSDS!V$12*$AM107+WeightSDS!W$12,WeightSDS!P$14*$AM107^7+WeightSDS!Q$14*$AM107^6+WeightSDS!R$14*$AM107^5+WeightSDS!S$14*$AM107^4+WeightSDS!T$14*$AM107^3+WeightSDS!U$14*$AM107^2+WeightSDS!V$14*$AM107+WeightSDS!W$14),IF($AM107&lt;156,WeightSDS!O$17*$AM107^8+WeightSDS!P$17*$AM107^7+WeightSDS!Q$17*$AM107^6+WeightSDS!R$17*$AM107^5+WeightSDS!S$17*$AM107^4+WeightSDS!T$17*$AM107^3+WeightSDS!U$17*$AM107^2+WeightSDS!V$17*$AM107+WeightSDS!W$17,IF($AM107&lt;186,WeightSDS!$U$18+(WeightSDS!$V$18-WeightSDS!$U$18)/24*($AM107-186)+WeightSDS!$W$18*(-$AM107+186)^2-0.005,WeightSDS!$U$18+(WeightSDS!$V$18-WeightSDS!$U$18)/24*($AM107-186)-0.005)))</f>
        <v>0.14604529399999999</v>
      </c>
      <c r="AT107" s="4">
        <f t="shared" si="28"/>
        <v>0.56299999999999994</v>
      </c>
      <c r="AU107" s="4">
        <f t="shared" si="29"/>
        <v>69</v>
      </c>
      <c r="AV107" s="4">
        <f t="shared" si="30"/>
        <v>0.51</v>
      </c>
    </row>
    <row r="108" spans="1:48" x14ac:dyDescent="0.15">
      <c r="A108" s="4"/>
      <c r="B108" s="21"/>
      <c r="C108" s="21"/>
      <c r="D108" s="21"/>
      <c r="E108" s="22"/>
      <c r="F108" s="22"/>
      <c r="G108" s="23"/>
      <c r="H108" s="23"/>
      <c r="I108" s="181"/>
      <c r="J108" s="8" t="str">
        <f t="shared" si="22"/>
        <v/>
      </c>
      <c r="K108" s="2" t="str">
        <f t="shared" si="31"/>
        <v/>
      </c>
      <c r="L108" s="2" t="str">
        <f t="shared" si="23"/>
        <v/>
      </c>
      <c r="M108" s="2" t="str">
        <f t="shared" si="32"/>
        <v/>
      </c>
      <c r="N108" s="2" t="str">
        <f t="shared" si="40"/>
        <v/>
      </c>
      <c r="O108" s="2" t="str">
        <f t="shared" si="33"/>
        <v/>
      </c>
      <c r="P108" s="8" t="str">
        <f t="shared" si="34"/>
        <v/>
      </c>
      <c r="Q108" s="8" t="str">
        <f t="shared" si="35"/>
        <v/>
      </c>
      <c r="R108" s="111" t="str">
        <f t="shared" si="36"/>
        <v/>
      </c>
      <c r="S108" s="44" t="str">
        <f t="shared" si="37"/>
        <v/>
      </c>
      <c r="T108" s="37" t="str">
        <f t="shared" si="38"/>
        <v/>
      </c>
      <c r="U108" s="44" t="str">
        <f t="shared" si="39"/>
        <v/>
      </c>
      <c r="V108" s="26"/>
      <c r="W108" s="26"/>
      <c r="X108" s="26"/>
      <c r="Y108" s="26"/>
      <c r="Z108" s="24"/>
      <c r="AA108" s="169">
        <f t="shared" si="24"/>
        <v>0</v>
      </c>
      <c r="AB108" s="4">
        <f t="shared" si="25"/>
        <v>0</v>
      </c>
      <c r="AC108" s="170">
        <f t="shared" si="42"/>
        <v>0</v>
      </c>
      <c r="AD108" s="58"/>
      <c r="AE108" s="58"/>
      <c r="AF108" s="58"/>
      <c r="AG108" s="59">
        <f t="shared" si="26"/>
        <v>9.0359999999999996</v>
      </c>
      <c r="AH108" s="59">
        <f t="shared" si="27"/>
        <v>-184.49199999999999</v>
      </c>
      <c r="AJ108" s="4">
        <f>IF(D108="M",IF(AM108&lt;78,BMILMS!$D$5*AM108^3+BMILMS!$E$5*AM108^2+BMILMS!$F$5*AM108+BMILMS!$G$5,IF(AM108&lt;150,BMILMS!$D$6*AM108^3+BMILMS!$E$6*AM108^2+BMILMS!$F$6*AM108+BMILMS!$G$6,BMILMS!$D$7*AM108^3+BMILMS!$E$7*AM108^2+BMILMS!$F$7*AM108+BMILMS!$G$7)),IF(AM108&lt;69,BMILMS!$D$9*AM108^3+BMILMS!$E$9*AM108^2+BMILMS!$F$9*AM108+BMILMS!$G$9,IF(AM108&lt;150,BMILMS!$D$10*AM108^3+BMILMS!$E$10*AM108^2+BMILMS!$F$10*AM108+BMILMS!$G$10,BMILMS!$D$11*AM108^3+BMILMS!$E$11*AM108^2+BMILMS!$F$11*AM108+BMILMS!$G$11)))</f>
        <v>0.79584630099999998</v>
      </c>
      <c r="AK108" s="4">
        <f>IF(D108="M",(IF(AM108&lt;2.5,BMILMS!$D$21*AM108^3+BMILMS!$E$21*AM108^2+BMILMS!$F$21*AM108+BMILMS!$G$21,IF(AM108&lt;9.5,BMILMS!$D$22*AM108^3+BMILMS!$E$22*AM108^2+BMILMS!$F$22*AM108+BMILMS!$G$22,IF(AM108&lt;26.75,BMILMS!$D$23*AM108^3+BMILMS!$E$23*AM108^2+BMILMS!$F$23*AM108+BMILMS!$G$23,IF(AM108&lt;90,BMILMS!$D$24*AM108^3+BMILMS!$E$24*AM108^2+BMILMS!$F$24*AM108+BMILMS!$G$24,BMILMS!$D$25*AM108^3+BMILMS!$E$25*AM108^2+BMILMS!$F$25*AM108+BMILMS!$G$25))))),(IF(AM108&lt;2.5,BMILMS!$D$27*AM108^3+BMILMS!$E$27*AM108^2+BMILMS!$F$27*AM108+BMILMS!$G$27,IF(AM108&lt;9.5,BMILMS!$D$28*AM108^3+BMILMS!$E$28*AM108^2+BMILMS!$F$28*AM108+BMILMS!$G$28,IF(AM108&lt;26.75,BMILMS!$D$29*AM108^3+BMILMS!$E$29*AM108^2+BMILMS!$F$29*AM108+BMILMS!$G$29,IF(AM108&lt;90,BMILMS!$D$30*AM108^3+BMILMS!$E$30*AM108^2+BMILMS!$F$30*AM108+BMILMS!$G$30,IF(AM108&lt;150,BMILMS!$D$31*AM108^3+BMILMS!$E$31*AM108^2+BMILMS!$F$31*AM108+BMILMS!$G$31,BMILMS!$D$32*AM108^3+BMILMS!$E$32*AM108^2+BMILMS!$F$32*AM108+BMILMS!$G$32)))))))</f>
        <v>12.568967990000001</v>
      </c>
      <c r="AL108" s="4">
        <f>IF(D108="M",(IF(AM108&lt;90,BMILMS!$D$14*AM108^3+BMILMS!$E$14*AM108^2+BMILMS!$F$14*AM108+BMILMS!$G$14,BMILMS!$D$15*AM108^3+BMILMS!$E$15*AM108^2+BMILMS!$F$15*AM108+BMILMS!$G$15)),(IF(AM108&lt;90,BMILMS!$D$17*AM108^3+BMILMS!$E$17*AM108^2+BMILMS!$F$17*AM108+BMILMS!$G$17,BMILMS!$D$18*AM108^3+BMILMS!$E$18*AM108^2+BMILMS!$F$18*AM108+BMILMS!$G$18)))</f>
        <v>8.8969350000000003E-2</v>
      </c>
      <c r="AM108" s="4">
        <f t="shared" si="41"/>
        <v>0</v>
      </c>
      <c r="AO108" s="56">
        <f>IF(D108="M",WeightSDS!P$5*$AM108^7+WeightSDS!Q$5*$AM108^6+WeightSDS!R$5*$AM108^5+WeightSDS!S$5*$AM108^4+WeightSDS!T$5*$AM108^3+WeightSDS!U$5*$AM108^2+WeightSDS!V$5*$AM108+WeightSDS!W$5,IF($AM108&lt;186,WeightSDS!P$8*$AM108^7+WeightSDS!Q$8*$AM108^6+WeightSDS!R$8*$AM108^5+WeightSDS!S$8*$AM108^4+WeightSDS!T$8*$AM108^3+WeightSDS!U$8*$AM108^2+WeightSDS!V$8*$AM108+WeightSDS!W$8,WeightSDS!$U$9+WeightSDS!$V$9*($AM108-WeightSDS!$W$9)))</f>
        <v>0.75407122999999998</v>
      </c>
      <c r="AP108" s="4">
        <f>IF(D108="M",IF($AM108&lt;45,WeightSDS!M$23*$AM108^10+WeightSDS!N$23*$AM108^9+WeightSDS!O$23*$AM108^8+WeightSDS!P$23*$AM108^7+WeightSDS!Q$23*$AM108^6+WeightSDS!R$23*$AM108^5+WeightSDS!S$23*$AM108^4+WeightSDS!T$23*$AM108^3+WeightSDS!U$23*$AM108^2+WeightSDS!V$23*$AM108+WeightSDS!W$23,IF($AM108&lt;153,WeightSDS!M$25*$AM108^10+WeightSDS!N$25*$AM108^9+WeightSDS!O$25*$AM108^8+WeightSDS!P$25*$AM108^7+WeightSDS!Q$25*$AM108^6+WeightSDS!R$25*$AM108^5+WeightSDS!S$25*$AM108^4+WeightSDS!T$25*$AM108^3+WeightSDS!U$25*$AM108^2+WeightSDS!V$25*$AM108+WeightSDS!W$25,WeightSDS!M$27+WeightSDS!N$27/(1+EXP(WeightSDS!O$27+WeightSDS!P$27*$AM108)))),IF($AM108&lt;43.8,WeightSDS!M$29*$AM108^10+WeightSDS!N$29*$AM108^9+WeightSDS!O$29*$AM108^8+WeightSDS!P$29*$AM108^7+WeightSDS!Q$29*$AM108^6+WeightSDS!R$29*$AM108^5+WeightSDS!S$29*$AM108^4+WeightSDS!T$29*$AM108^3+WeightSDS!U$29*$AM108^2+WeightSDS!V$29*$AM108+WeightSDS!W$29-0.010431*(1-$AM108/210),IF($AM108&lt;123,WeightSDS!M$30*$AM108^10+WeightSDS!N$30*$AM108^9+WeightSDS!O$30*$AM108^8+WeightSDS!P$30*$AM108^7+WeightSDS!Q$30*$AM108^6+WeightSDS!R$30*$AM108^5+WeightSDS!S$30*$AM108^4+WeightSDS!T$30*$AM108^3+WeightSDS!U$30*$AM108^2+WeightSDS!V$30*$AM108+WeightSDS!W$30-0.010431*(1-1/$AM108),WeightSDS!M$32+WeightSDS!N$32/(1+EXP(WeightSDS!O$32+WeightSDS!P$32*$AM108))-0.010431*(1-$AM108/210))))</f>
        <v>2.9500001032655536</v>
      </c>
      <c r="AQ108" s="4">
        <f>IF(D108="M",IF($AM108&lt;162,WeightSDS!P$12*$AM108^7+WeightSDS!Q$12*$AM108^6+WeightSDS!R$12*$AM108^5+WeightSDS!S$12*$AM108^4+WeightSDS!T$12*$AM108^3+WeightSDS!U$12*$AM108^2+WeightSDS!V$12*$AM108+WeightSDS!W$12,WeightSDS!P$14*$AM108^7+WeightSDS!Q$14*$AM108^6+WeightSDS!R$14*$AM108^5+WeightSDS!S$14*$AM108^4+WeightSDS!T$14*$AM108^3+WeightSDS!U$14*$AM108^2+WeightSDS!V$14*$AM108+WeightSDS!W$14),IF($AM108&lt;156,WeightSDS!O$17*$AM108^8+WeightSDS!P$17*$AM108^7+WeightSDS!Q$17*$AM108^6+WeightSDS!R$17*$AM108^5+WeightSDS!S$17*$AM108^4+WeightSDS!T$17*$AM108^3+WeightSDS!U$17*$AM108^2+WeightSDS!V$17*$AM108+WeightSDS!W$17,IF($AM108&lt;186,WeightSDS!$U$18+(WeightSDS!$V$18-WeightSDS!$U$18)/24*($AM108-186)+WeightSDS!$W$18*(-$AM108+186)^2-0.005,WeightSDS!$U$18+(WeightSDS!$V$18-WeightSDS!$U$18)/24*($AM108-186)-0.005)))</f>
        <v>0.14604529399999999</v>
      </c>
      <c r="AT108" s="4">
        <f t="shared" si="28"/>
        <v>0.56299999999999994</v>
      </c>
      <c r="AU108" s="4">
        <f t="shared" si="29"/>
        <v>69</v>
      </c>
      <c r="AV108" s="4">
        <f t="shared" si="30"/>
        <v>0.51</v>
      </c>
    </row>
    <row r="109" spans="1:48" x14ac:dyDescent="0.15">
      <c r="A109" s="4"/>
      <c r="B109" s="21"/>
      <c r="C109" s="21"/>
      <c r="D109" s="21"/>
      <c r="E109" s="22"/>
      <c r="F109" s="22"/>
      <c r="G109" s="23"/>
      <c r="H109" s="23"/>
      <c r="I109" s="181"/>
      <c r="J109" s="8" t="str">
        <f t="shared" si="22"/>
        <v/>
      </c>
      <c r="K109" s="2" t="str">
        <f t="shared" si="31"/>
        <v/>
      </c>
      <c r="L109" s="2" t="str">
        <f t="shared" si="23"/>
        <v/>
      </c>
      <c r="M109" s="2" t="str">
        <f t="shared" si="32"/>
        <v/>
      </c>
      <c r="N109" s="2" t="str">
        <f t="shared" si="40"/>
        <v/>
      </c>
      <c r="O109" s="2" t="str">
        <f t="shared" si="33"/>
        <v/>
      </c>
      <c r="P109" s="8" t="str">
        <f t="shared" si="34"/>
        <v/>
      </c>
      <c r="Q109" s="8" t="str">
        <f t="shared" si="35"/>
        <v/>
      </c>
      <c r="R109" s="111" t="str">
        <f t="shared" si="36"/>
        <v/>
      </c>
      <c r="S109" s="44" t="str">
        <f t="shared" si="37"/>
        <v/>
      </c>
      <c r="T109" s="37" t="str">
        <f t="shared" si="38"/>
        <v/>
      </c>
      <c r="U109" s="44" t="str">
        <f t="shared" si="39"/>
        <v/>
      </c>
      <c r="V109" s="26"/>
      <c r="W109" s="26"/>
      <c r="X109" s="26"/>
      <c r="Y109" s="26"/>
      <c r="Z109" s="24"/>
      <c r="AA109" s="169">
        <f t="shared" si="24"/>
        <v>0</v>
      </c>
      <c r="AB109" s="4">
        <f t="shared" si="25"/>
        <v>0</v>
      </c>
      <c r="AC109" s="170">
        <f t="shared" si="42"/>
        <v>0</v>
      </c>
      <c r="AD109" s="58"/>
      <c r="AE109" s="58"/>
      <c r="AF109" s="58"/>
      <c r="AG109" s="59">
        <f t="shared" si="26"/>
        <v>9.0359999999999996</v>
      </c>
      <c r="AH109" s="59">
        <f t="shared" si="27"/>
        <v>-184.49199999999999</v>
      </c>
      <c r="AJ109" s="4">
        <f>IF(D109="M",IF(AM109&lt;78,BMILMS!$D$5*AM109^3+BMILMS!$E$5*AM109^2+BMILMS!$F$5*AM109+BMILMS!$G$5,IF(AM109&lt;150,BMILMS!$D$6*AM109^3+BMILMS!$E$6*AM109^2+BMILMS!$F$6*AM109+BMILMS!$G$6,BMILMS!$D$7*AM109^3+BMILMS!$E$7*AM109^2+BMILMS!$F$7*AM109+BMILMS!$G$7)),IF(AM109&lt;69,BMILMS!$D$9*AM109^3+BMILMS!$E$9*AM109^2+BMILMS!$F$9*AM109+BMILMS!$G$9,IF(AM109&lt;150,BMILMS!$D$10*AM109^3+BMILMS!$E$10*AM109^2+BMILMS!$F$10*AM109+BMILMS!$G$10,BMILMS!$D$11*AM109^3+BMILMS!$E$11*AM109^2+BMILMS!$F$11*AM109+BMILMS!$G$11)))</f>
        <v>0.79584630099999998</v>
      </c>
      <c r="AK109" s="4">
        <f>IF(D109="M",(IF(AM109&lt;2.5,BMILMS!$D$21*AM109^3+BMILMS!$E$21*AM109^2+BMILMS!$F$21*AM109+BMILMS!$G$21,IF(AM109&lt;9.5,BMILMS!$D$22*AM109^3+BMILMS!$E$22*AM109^2+BMILMS!$F$22*AM109+BMILMS!$G$22,IF(AM109&lt;26.75,BMILMS!$D$23*AM109^3+BMILMS!$E$23*AM109^2+BMILMS!$F$23*AM109+BMILMS!$G$23,IF(AM109&lt;90,BMILMS!$D$24*AM109^3+BMILMS!$E$24*AM109^2+BMILMS!$F$24*AM109+BMILMS!$G$24,BMILMS!$D$25*AM109^3+BMILMS!$E$25*AM109^2+BMILMS!$F$25*AM109+BMILMS!$G$25))))),(IF(AM109&lt;2.5,BMILMS!$D$27*AM109^3+BMILMS!$E$27*AM109^2+BMILMS!$F$27*AM109+BMILMS!$G$27,IF(AM109&lt;9.5,BMILMS!$D$28*AM109^3+BMILMS!$E$28*AM109^2+BMILMS!$F$28*AM109+BMILMS!$G$28,IF(AM109&lt;26.75,BMILMS!$D$29*AM109^3+BMILMS!$E$29*AM109^2+BMILMS!$F$29*AM109+BMILMS!$G$29,IF(AM109&lt;90,BMILMS!$D$30*AM109^3+BMILMS!$E$30*AM109^2+BMILMS!$F$30*AM109+BMILMS!$G$30,IF(AM109&lt;150,BMILMS!$D$31*AM109^3+BMILMS!$E$31*AM109^2+BMILMS!$F$31*AM109+BMILMS!$G$31,BMILMS!$D$32*AM109^3+BMILMS!$E$32*AM109^2+BMILMS!$F$32*AM109+BMILMS!$G$32)))))))</f>
        <v>12.568967990000001</v>
      </c>
      <c r="AL109" s="4">
        <f>IF(D109="M",(IF(AM109&lt;90,BMILMS!$D$14*AM109^3+BMILMS!$E$14*AM109^2+BMILMS!$F$14*AM109+BMILMS!$G$14,BMILMS!$D$15*AM109^3+BMILMS!$E$15*AM109^2+BMILMS!$F$15*AM109+BMILMS!$G$15)),(IF(AM109&lt;90,BMILMS!$D$17*AM109^3+BMILMS!$E$17*AM109^2+BMILMS!$F$17*AM109+BMILMS!$G$17,BMILMS!$D$18*AM109^3+BMILMS!$E$18*AM109^2+BMILMS!$F$18*AM109+BMILMS!$G$18)))</f>
        <v>8.8969350000000003E-2</v>
      </c>
      <c r="AM109" s="4">
        <f t="shared" si="41"/>
        <v>0</v>
      </c>
      <c r="AO109" s="56">
        <f>IF(D109="M",WeightSDS!P$5*$AM109^7+WeightSDS!Q$5*$AM109^6+WeightSDS!R$5*$AM109^5+WeightSDS!S$5*$AM109^4+WeightSDS!T$5*$AM109^3+WeightSDS!U$5*$AM109^2+WeightSDS!V$5*$AM109+WeightSDS!W$5,IF($AM109&lt;186,WeightSDS!P$8*$AM109^7+WeightSDS!Q$8*$AM109^6+WeightSDS!R$8*$AM109^5+WeightSDS!S$8*$AM109^4+WeightSDS!T$8*$AM109^3+WeightSDS!U$8*$AM109^2+WeightSDS!V$8*$AM109+WeightSDS!W$8,WeightSDS!$U$9+WeightSDS!$V$9*($AM109-WeightSDS!$W$9)))</f>
        <v>0.75407122999999998</v>
      </c>
      <c r="AP109" s="4">
        <f>IF(D109="M",IF($AM109&lt;45,WeightSDS!M$23*$AM109^10+WeightSDS!N$23*$AM109^9+WeightSDS!O$23*$AM109^8+WeightSDS!P$23*$AM109^7+WeightSDS!Q$23*$AM109^6+WeightSDS!R$23*$AM109^5+WeightSDS!S$23*$AM109^4+WeightSDS!T$23*$AM109^3+WeightSDS!U$23*$AM109^2+WeightSDS!V$23*$AM109+WeightSDS!W$23,IF($AM109&lt;153,WeightSDS!M$25*$AM109^10+WeightSDS!N$25*$AM109^9+WeightSDS!O$25*$AM109^8+WeightSDS!P$25*$AM109^7+WeightSDS!Q$25*$AM109^6+WeightSDS!R$25*$AM109^5+WeightSDS!S$25*$AM109^4+WeightSDS!T$25*$AM109^3+WeightSDS!U$25*$AM109^2+WeightSDS!V$25*$AM109+WeightSDS!W$25,WeightSDS!M$27+WeightSDS!N$27/(1+EXP(WeightSDS!O$27+WeightSDS!P$27*$AM109)))),IF($AM109&lt;43.8,WeightSDS!M$29*$AM109^10+WeightSDS!N$29*$AM109^9+WeightSDS!O$29*$AM109^8+WeightSDS!P$29*$AM109^7+WeightSDS!Q$29*$AM109^6+WeightSDS!R$29*$AM109^5+WeightSDS!S$29*$AM109^4+WeightSDS!T$29*$AM109^3+WeightSDS!U$29*$AM109^2+WeightSDS!V$29*$AM109+WeightSDS!W$29-0.010431*(1-$AM109/210),IF($AM109&lt;123,WeightSDS!M$30*$AM109^10+WeightSDS!N$30*$AM109^9+WeightSDS!O$30*$AM109^8+WeightSDS!P$30*$AM109^7+WeightSDS!Q$30*$AM109^6+WeightSDS!R$30*$AM109^5+WeightSDS!S$30*$AM109^4+WeightSDS!T$30*$AM109^3+WeightSDS!U$30*$AM109^2+WeightSDS!V$30*$AM109+WeightSDS!W$30-0.010431*(1-1/$AM109),WeightSDS!M$32+WeightSDS!N$32/(1+EXP(WeightSDS!O$32+WeightSDS!P$32*$AM109))-0.010431*(1-$AM109/210))))</f>
        <v>2.9500001032655536</v>
      </c>
      <c r="AQ109" s="4">
        <f>IF(D109="M",IF($AM109&lt;162,WeightSDS!P$12*$AM109^7+WeightSDS!Q$12*$AM109^6+WeightSDS!R$12*$AM109^5+WeightSDS!S$12*$AM109^4+WeightSDS!T$12*$AM109^3+WeightSDS!U$12*$AM109^2+WeightSDS!V$12*$AM109+WeightSDS!W$12,WeightSDS!P$14*$AM109^7+WeightSDS!Q$14*$AM109^6+WeightSDS!R$14*$AM109^5+WeightSDS!S$14*$AM109^4+WeightSDS!T$14*$AM109^3+WeightSDS!U$14*$AM109^2+WeightSDS!V$14*$AM109+WeightSDS!W$14),IF($AM109&lt;156,WeightSDS!O$17*$AM109^8+WeightSDS!P$17*$AM109^7+WeightSDS!Q$17*$AM109^6+WeightSDS!R$17*$AM109^5+WeightSDS!S$17*$AM109^4+WeightSDS!T$17*$AM109^3+WeightSDS!U$17*$AM109^2+WeightSDS!V$17*$AM109+WeightSDS!W$17,IF($AM109&lt;186,WeightSDS!$U$18+(WeightSDS!$V$18-WeightSDS!$U$18)/24*($AM109-186)+WeightSDS!$W$18*(-$AM109+186)^2-0.005,WeightSDS!$U$18+(WeightSDS!$V$18-WeightSDS!$U$18)/24*($AM109-186)-0.005)))</f>
        <v>0.14604529399999999</v>
      </c>
      <c r="AT109" s="4">
        <f t="shared" si="28"/>
        <v>0.56299999999999994</v>
      </c>
      <c r="AU109" s="4">
        <f t="shared" si="29"/>
        <v>69</v>
      </c>
      <c r="AV109" s="4">
        <f t="shared" si="30"/>
        <v>0.51</v>
      </c>
    </row>
    <row r="110" spans="1:48" x14ac:dyDescent="0.15">
      <c r="A110" s="4"/>
      <c r="B110" s="21"/>
      <c r="C110" s="21"/>
      <c r="D110" s="21"/>
      <c r="E110" s="22"/>
      <c r="F110" s="22"/>
      <c r="G110" s="23"/>
      <c r="H110" s="23"/>
      <c r="I110" s="181"/>
      <c r="J110" s="8" t="str">
        <f t="shared" si="22"/>
        <v/>
      </c>
      <c r="K110" s="2" t="str">
        <f t="shared" si="31"/>
        <v/>
      </c>
      <c r="L110" s="2" t="str">
        <f t="shared" si="23"/>
        <v/>
      </c>
      <c r="M110" s="2" t="str">
        <f t="shared" si="32"/>
        <v/>
      </c>
      <c r="N110" s="2" t="str">
        <f t="shared" si="40"/>
        <v/>
      </c>
      <c r="O110" s="2" t="str">
        <f t="shared" si="33"/>
        <v/>
      </c>
      <c r="P110" s="8" t="str">
        <f t="shared" si="34"/>
        <v/>
      </c>
      <c r="Q110" s="8" t="str">
        <f t="shared" si="35"/>
        <v/>
      </c>
      <c r="R110" s="111" t="str">
        <f t="shared" si="36"/>
        <v/>
      </c>
      <c r="S110" s="44" t="str">
        <f t="shared" si="37"/>
        <v/>
      </c>
      <c r="T110" s="37" t="str">
        <f t="shared" si="38"/>
        <v/>
      </c>
      <c r="U110" s="44" t="str">
        <f t="shared" si="39"/>
        <v/>
      </c>
      <c r="V110" s="26"/>
      <c r="W110" s="26"/>
      <c r="X110" s="26"/>
      <c r="Y110" s="26"/>
      <c r="Z110" s="24"/>
      <c r="AA110" s="169">
        <f t="shared" si="24"/>
        <v>0</v>
      </c>
      <c r="AB110" s="4">
        <f t="shared" si="25"/>
        <v>0</v>
      </c>
      <c r="AC110" s="170">
        <f t="shared" si="42"/>
        <v>0</v>
      </c>
      <c r="AD110" s="58"/>
      <c r="AE110" s="58"/>
      <c r="AF110" s="58"/>
      <c r="AG110" s="59">
        <f t="shared" si="26"/>
        <v>9.0359999999999996</v>
      </c>
      <c r="AH110" s="59">
        <f t="shared" si="27"/>
        <v>-184.49199999999999</v>
      </c>
      <c r="AJ110" s="4">
        <f>IF(D110="M",IF(AM110&lt;78,BMILMS!$D$5*AM110^3+BMILMS!$E$5*AM110^2+BMILMS!$F$5*AM110+BMILMS!$G$5,IF(AM110&lt;150,BMILMS!$D$6*AM110^3+BMILMS!$E$6*AM110^2+BMILMS!$F$6*AM110+BMILMS!$G$6,BMILMS!$D$7*AM110^3+BMILMS!$E$7*AM110^2+BMILMS!$F$7*AM110+BMILMS!$G$7)),IF(AM110&lt;69,BMILMS!$D$9*AM110^3+BMILMS!$E$9*AM110^2+BMILMS!$F$9*AM110+BMILMS!$G$9,IF(AM110&lt;150,BMILMS!$D$10*AM110^3+BMILMS!$E$10*AM110^2+BMILMS!$F$10*AM110+BMILMS!$G$10,BMILMS!$D$11*AM110^3+BMILMS!$E$11*AM110^2+BMILMS!$F$11*AM110+BMILMS!$G$11)))</f>
        <v>0.79584630099999998</v>
      </c>
      <c r="AK110" s="4">
        <f>IF(D110="M",(IF(AM110&lt;2.5,BMILMS!$D$21*AM110^3+BMILMS!$E$21*AM110^2+BMILMS!$F$21*AM110+BMILMS!$G$21,IF(AM110&lt;9.5,BMILMS!$D$22*AM110^3+BMILMS!$E$22*AM110^2+BMILMS!$F$22*AM110+BMILMS!$G$22,IF(AM110&lt;26.75,BMILMS!$D$23*AM110^3+BMILMS!$E$23*AM110^2+BMILMS!$F$23*AM110+BMILMS!$G$23,IF(AM110&lt;90,BMILMS!$D$24*AM110^3+BMILMS!$E$24*AM110^2+BMILMS!$F$24*AM110+BMILMS!$G$24,BMILMS!$D$25*AM110^3+BMILMS!$E$25*AM110^2+BMILMS!$F$25*AM110+BMILMS!$G$25))))),(IF(AM110&lt;2.5,BMILMS!$D$27*AM110^3+BMILMS!$E$27*AM110^2+BMILMS!$F$27*AM110+BMILMS!$G$27,IF(AM110&lt;9.5,BMILMS!$D$28*AM110^3+BMILMS!$E$28*AM110^2+BMILMS!$F$28*AM110+BMILMS!$G$28,IF(AM110&lt;26.75,BMILMS!$D$29*AM110^3+BMILMS!$E$29*AM110^2+BMILMS!$F$29*AM110+BMILMS!$G$29,IF(AM110&lt;90,BMILMS!$D$30*AM110^3+BMILMS!$E$30*AM110^2+BMILMS!$F$30*AM110+BMILMS!$G$30,IF(AM110&lt;150,BMILMS!$D$31*AM110^3+BMILMS!$E$31*AM110^2+BMILMS!$F$31*AM110+BMILMS!$G$31,BMILMS!$D$32*AM110^3+BMILMS!$E$32*AM110^2+BMILMS!$F$32*AM110+BMILMS!$G$32)))))))</f>
        <v>12.568967990000001</v>
      </c>
      <c r="AL110" s="4">
        <f>IF(D110="M",(IF(AM110&lt;90,BMILMS!$D$14*AM110^3+BMILMS!$E$14*AM110^2+BMILMS!$F$14*AM110+BMILMS!$G$14,BMILMS!$D$15*AM110^3+BMILMS!$E$15*AM110^2+BMILMS!$F$15*AM110+BMILMS!$G$15)),(IF(AM110&lt;90,BMILMS!$D$17*AM110^3+BMILMS!$E$17*AM110^2+BMILMS!$F$17*AM110+BMILMS!$G$17,BMILMS!$D$18*AM110^3+BMILMS!$E$18*AM110^2+BMILMS!$F$18*AM110+BMILMS!$G$18)))</f>
        <v>8.8969350000000003E-2</v>
      </c>
      <c r="AM110" s="4">
        <f t="shared" si="41"/>
        <v>0</v>
      </c>
      <c r="AO110" s="56">
        <f>IF(D110="M",WeightSDS!P$5*$AM110^7+WeightSDS!Q$5*$AM110^6+WeightSDS!R$5*$AM110^5+WeightSDS!S$5*$AM110^4+WeightSDS!T$5*$AM110^3+WeightSDS!U$5*$AM110^2+WeightSDS!V$5*$AM110+WeightSDS!W$5,IF($AM110&lt;186,WeightSDS!P$8*$AM110^7+WeightSDS!Q$8*$AM110^6+WeightSDS!R$8*$AM110^5+WeightSDS!S$8*$AM110^4+WeightSDS!T$8*$AM110^3+WeightSDS!U$8*$AM110^2+WeightSDS!V$8*$AM110+WeightSDS!W$8,WeightSDS!$U$9+WeightSDS!$V$9*($AM110-WeightSDS!$W$9)))</f>
        <v>0.75407122999999998</v>
      </c>
      <c r="AP110" s="4">
        <f>IF(D110="M",IF($AM110&lt;45,WeightSDS!M$23*$AM110^10+WeightSDS!N$23*$AM110^9+WeightSDS!O$23*$AM110^8+WeightSDS!P$23*$AM110^7+WeightSDS!Q$23*$AM110^6+WeightSDS!R$23*$AM110^5+WeightSDS!S$23*$AM110^4+WeightSDS!T$23*$AM110^3+WeightSDS!U$23*$AM110^2+WeightSDS!V$23*$AM110+WeightSDS!W$23,IF($AM110&lt;153,WeightSDS!M$25*$AM110^10+WeightSDS!N$25*$AM110^9+WeightSDS!O$25*$AM110^8+WeightSDS!P$25*$AM110^7+WeightSDS!Q$25*$AM110^6+WeightSDS!R$25*$AM110^5+WeightSDS!S$25*$AM110^4+WeightSDS!T$25*$AM110^3+WeightSDS!U$25*$AM110^2+WeightSDS!V$25*$AM110+WeightSDS!W$25,WeightSDS!M$27+WeightSDS!N$27/(1+EXP(WeightSDS!O$27+WeightSDS!P$27*$AM110)))),IF($AM110&lt;43.8,WeightSDS!M$29*$AM110^10+WeightSDS!N$29*$AM110^9+WeightSDS!O$29*$AM110^8+WeightSDS!P$29*$AM110^7+WeightSDS!Q$29*$AM110^6+WeightSDS!R$29*$AM110^5+WeightSDS!S$29*$AM110^4+WeightSDS!T$29*$AM110^3+WeightSDS!U$29*$AM110^2+WeightSDS!V$29*$AM110+WeightSDS!W$29-0.010431*(1-$AM110/210),IF($AM110&lt;123,WeightSDS!M$30*$AM110^10+WeightSDS!N$30*$AM110^9+WeightSDS!O$30*$AM110^8+WeightSDS!P$30*$AM110^7+WeightSDS!Q$30*$AM110^6+WeightSDS!R$30*$AM110^5+WeightSDS!S$30*$AM110^4+WeightSDS!T$30*$AM110^3+WeightSDS!U$30*$AM110^2+WeightSDS!V$30*$AM110+WeightSDS!W$30-0.010431*(1-1/$AM110),WeightSDS!M$32+WeightSDS!N$32/(1+EXP(WeightSDS!O$32+WeightSDS!P$32*$AM110))-0.010431*(1-$AM110/210))))</f>
        <v>2.9500001032655536</v>
      </c>
      <c r="AQ110" s="4">
        <f>IF(D110="M",IF($AM110&lt;162,WeightSDS!P$12*$AM110^7+WeightSDS!Q$12*$AM110^6+WeightSDS!R$12*$AM110^5+WeightSDS!S$12*$AM110^4+WeightSDS!T$12*$AM110^3+WeightSDS!U$12*$AM110^2+WeightSDS!V$12*$AM110+WeightSDS!W$12,WeightSDS!P$14*$AM110^7+WeightSDS!Q$14*$AM110^6+WeightSDS!R$14*$AM110^5+WeightSDS!S$14*$AM110^4+WeightSDS!T$14*$AM110^3+WeightSDS!U$14*$AM110^2+WeightSDS!V$14*$AM110+WeightSDS!W$14),IF($AM110&lt;156,WeightSDS!O$17*$AM110^8+WeightSDS!P$17*$AM110^7+WeightSDS!Q$17*$AM110^6+WeightSDS!R$17*$AM110^5+WeightSDS!S$17*$AM110^4+WeightSDS!T$17*$AM110^3+WeightSDS!U$17*$AM110^2+WeightSDS!V$17*$AM110+WeightSDS!W$17,IF($AM110&lt;186,WeightSDS!$U$18+(WeightSDS!$V$18-WeightSDS!$U$18)/24*($AM110-186)+WeightSDS!$W$18*(-$AM110+186)^2-0.005,WeightSDS!$U$18+(WeightSDS!$V$18-WeightSDS!$U$18)/24*($AM110-186)-0.005)))</f>
        <v>0.14604529399999999</v>
      </c>
      <c r="AT110" s="4">
        <f t="shared" si="28"/>
        <v>0.56299999999999994</v>
      </c>
      <c r="AU110" s="4">
        <f t="shared" si="29"/>
        <v>69</v>
      </c>
      <c r="AV110" s="4">
        <f t="shared" si="30"/>
        <v>0.51</v>
      </c>
    </row>
    <row r="111" spans="1:48" x14ac:dyDescent="0.15">
      <c r="A111" s="4"/>
      <c r="B111" s="21"/>
      <c r="C111" s="21"/>
      <c r="D111" s="21"/>
      <c r="E111" s="22"/>
      <c r="F111" s="22"/>
      <c r="G111" s="23"/>
      <c r="H111" s="23"/>
      <c r="I111" s="181"/>
      <c r="J111" s="8" t="str">
        <f t="shared" si="22"/>
        <v/>
      </c>
      <c r="K111" s="2" t="str">
        <f t="shared" si="31"/>
        <v/>
      </c>
      <c r="L111" s="2" t="str">
        <f t="shared" si="23"/>
        <v/>
      </c>
      <c r="M111" s="2" t="str">
        <f t="shared" si="32"/>
        <v/>
      </c>
      <c r="N111" s="2" t="str">
        <f t="shared" si="40"/>
        <v/>
      </c>
      <c r="O111" s="2" t="str">
        <f t="shared" si="33"/>
        <v/>
      </c>
      <c r="P111" s="8" t="str">
        <f t="shared" si="34"/>
        <v/>
      </c>
      <c r="Q111" s="8" t="str">
        <f t="shared" si="35"/>
        <v/>
      </c>
      <c r="R111" s="111" t="str">
        <f t="shared" si="36"/>
        <v/>
      </c>
      <c r="S111" s="44" t="str">
        <f t="shared" si="37"/>
        <v/>
      </c>
      <c r="T111" s="37" t="str">
        <f t="shared" si="38"/>
        <v/>
      </c>
      <c r="U111" s="44" t="str">
        <f t="shared" si="39"/>
        <v/>
      </c>
      <c r="V111" s="26"/>
      <c r="W111" s="26"/>
      <c r="X111" s="26"/>
      <c r="Y111" s="26"/>
      <c r="Z111" s="24"/>
      <c r="AA111" s="169">
        <f t="shared" si="24"/>
        <v>0</v>
      </c>
      <c r="AB111" s="4">
        <f t="shared" si="25"/>
        <v>0</v>
      </c>
      <c r="AC111" s="170">
        <f t="shared" si="42"/>
        <v>0</v>
      </c>
      <c r="AD111" s="58"/>
      <c r="AE111" s="58"/>
      <c r="AF111" s="58"/>
      <c r="AG111" s="59">
        <f t="shared" si="26"/>
        <v>9.0359999999999996</v>
      </c>
      <c r="AH111" s="59">
        <f t="shared" si="27"/>
        <v>-184.49199999999999</v>
      </c>
      <c r="AJ111" s="4">
        <f>IF(D111="M",IF(AM111&lt;78,BMILMS!$D$5*AM111^3+BMILMS!$E$5*AM111^2+BMILMS!$F$5*AM111+BMILMS!$G$5,IF(AM111&lt;150,BMILMS!$D$6*AM111^3+BMILMS!$E$6*AM111^2+BMILMS!$F$6*AM111+BMILMS!$G$6,BMILMS!$D$7*AM111^3+BMILMS!$E$7*AM111^2+BMILMS!$F$7*AM111+BMILMS!$G$7)),IF(AM111&lt;69,BMILMS!$D$9*AM111^3+BMILMS!$E$9*AM111^2+BMILMS!$F$9*AM111+BMILMS!$G$9,IF(AM111&lt;150,BMILMS!$D$10*AM111^3+BMILMS!$E$10*AM111^2+BMILMS!$F$10*AM111+BMILMS!$G$10,BMILMS!$D$11*AM111^3+BMILMS!$E$11*AM111^2+BMILMS!$F$11*AM111+BMILMS!$G$11)))</f>
        <v>0.79584630099999998</v>
      </c>
      <c r="AK111" s="4">
        <f>IF(D111="M",(IF(AM111&lt;2.5,BMILMS!$D$21*AM111^3+BMILMS!$E$21*AM111^2+BMILMS!$F$21*AM111+BMILMS!$G$21,IF(AM111&lt;9.5,BMILMS!$D$22*AM111^3+BMILMS!$E$22*AM111^2+BMILMS!$F$22*AM111+BMILMS!$G$22,IF(AM111&lt;26.75,BMILMS!$D$23*AM111^3+BMILMS!$E$23*AM111^2+BMILMS!$F$23*AM111+BMILMS!$G$23,IF(AM111&lt;90,BMILMS!$D$24*AM111^3+BMILMS!$E$24*AM111^2+BMILMS!$F$24*AM111+BMILMS!$G$24,BMILMS!$D$25*AM111^3+BMILMS!$E$25*AM111^2+BMILMS!$F$25*AM111+BMILMS!$G$25))))),(IF(AM111&lt;2.5,BMILMS!$D$27*AM111^3+BMILMS!$E$27*AM111^2+BMILMS!$F$27*AM111+BMILMS!$G$27,IF(AM111&lt;9.5,BMILMS!$D$28*AM111^3+BMILMS!$E$28*AM111^2+BMILMS!$F$28*AM111+BMILMS!$G$28,IF(AM111&lt;26.75,BMILMS!$D$29*AM111^3+BMILMS!$E$29*AM111^2+BMILMS!$F$29*AM111+BMILMS!$G$29,IF(AM111&lt;90,BMILMS!$D$30*AM111^3+BMILMS!$E$30*AM111^2+BMILMS!$F$30*AM111+BMILMS!$G$30,IF(AM111&lt;150,BMILMS!$D$31*AM111^3+BMILMS!$E$31*AM111^2+BMILMS!$F$31*AM111+BMILMS!$G$31,BMILMS!$D$32*AM111^3+BMILMS!$E$32*AM111^2+BMILMS!$F$32*AM111+BMILMS!$G$32)))))))</f>
        <v>12.568967990000001</v>
      </c>
      <c r="AL111" s="4">
        <f>IF(D111="M",(IF(AM111&lt;90,BMILMS!$D$14*AM111^3+BMILMS!$E$14*AM111^2+BMILMS!$F$14*AM111+BMILMS!$G$14,BMILMS!$D$15*AM111^3+BMILMS!$E$15*AM111^2+BMILMS!$F$15*AM111+BMILMS!$G$15)),(IF(AM111&lt;90,BMILMS!$D$17*AM111^3+BMILMS!$E$17*AM111^2+BMILMS!$F$17*AM111+BMILMS!$G$17,BMILMS!$D$18*AM111^3+BMILMS!$E$18*AM111^2+BMILMS!$F$18*AM111+BMILMS!$G$18)))</f>
        <v>8.8969350000000003E-2</v>
      </c>
      <c r="AM111" s="4">
        <f t="shared" si="41"/>
        <v>0</v>
      </c>
      <c r="AO111" s="56">
        <f>IF(D111="M",WeightSDS!P$5*$AM111^7+WeightSDS!Q$5*$AM111^6+WeightSDS!R$5*$AM111^5+WeightSDS!S$5*$AM111^4+WeightSDS!T$5*$AM111^3+WeightSDS!U$5*$AM111^2+WeightSDS!V$5*$AM111+WeightSDS!W$5,IF($AM111&lt;186,WeightSDS!P$8*$AM111^7+WeightSDS!Q$8*$AM111^6+WeightSDS!R$8*$AM111^5+WeightSDS!S$8*$AM111^4+WeightSDS!T$8*$AM111^3+WeightSDS!U$8*$AM111^2+WeightSDS!V$8*$AM111+WeightSDS!W$8,WeightSDS!$U$9+WeightSDS!$V$9*($AM111-WeightSDS!$W$9)))</f>
        <v>0.75407122999999998</v>
      </c>
      <c r="AP111" s="4">
        <f>IF(D111="M",IF($AM111&lt;45,WeightSDS!M$23*$AM111^10+WeightSDS!N$23*$AM111^9+WeightSDS!O$23*$AM111^8+WeightSDS!P$23*$AM111^7+WeightSDS!Q$23*$AM111^6+WeightSDS!R$23*$AM111^5+WeightSDS!S$23*$AM111^4+WeightSDS!T$23*$AM111^3+WeightSDS!U$23*$AM111^2+WeightSDS!V$23*$AM111+WeightSDS!W$23,IF($AM111&lt;153,WeightSDS!M$25*$AM111^10+WeightSDS!N$25*$AM111^9+WeightSDS!O$25*$AM111^8+WeightSDS!P$25*$AM111^7+WeightSDS!Q$25*$AM111^6+WeightSDS!R$25*$AM111^5+WeightSDS!S$25*$AM111^4+WeightSDS!T$25*$AM111^3+WeightSDS!U$25*$AM111^2+WeightSDS!V$25*$AM111+WeightSDS!W$25,WeightSDS!M$27+WeightSDS!N$27/(1+EXP(WeightSDS!O$27+WeightSDS!P$27*$AM111)))),IF($AM111&lt;43.8,WeightSDS!M$29*$AM111^10+WeightSDS!N$29*$AM111^9+WeightSDS!O$29*$AM111^8+WeightSDS!P$29*$AM111^7+WeightSDS!Q$29*$AM111^6+WeightSDS!R$29*$AM111^5+WeightSDS!S$29*$AM111^4+WeightSDS!T$29*$AM111^3+WeightSDS!U$29*$AM111^2+WeightSDS!V$29*$AM111+WeightSDS!W$29-0.010431*(1-$AM111/210),IF($AM111&lt;123,WeightSDS!M$30*$AM111^10+WeightSDS!N$30*$AM111^9+WeightSDS!O$30*$AM111^8+WeightSDS!P$30*$AM111^7+WeightSDS!Q$30*$AM111^6+WeightSDS!R$30*$AM111^5+WeightSDS!S$30*$AM111^4+WeightSDS!T$30*$AM111^3+WeightSDS!U$30*$AM111^2+WeightSDS!V$30*$AM111+WeightSDS!W$30-0.010431*(1-1/$AM111),WeightSDS!M$32+WeightSDS!N$32/(1+EXP(WeightSDS!O$32+WeightSDS!P$32*$AM111))-0.010431*(1-$AM111/210))))</f>
        <v>2.9500001032655536</v>
      </c>
      <c r="AQ111" s="4">
        <f>IF(D111="M",IF($AM111&lt;162,WeightSDS!P$12*$AM111^7+WeightSDS!Q$12*$AM111^6+WeightSDS!R$12*$AM111^5+WeightSDS!S$12*$AM111^4+WeightSDS!T$12*$AM111^3+WeightSDS!U$12*$AM111^2+WeightSDS!V$12*$AM111+WeightSDS!W$12,WeightSDS!P$14*$AM111^7+WeightSDS!Q$14*$AM111^6+WeightSDS!R$14*$AM111^5+WeightSDS!S$14*$AM111^4+WeightSDS!T$14*$AM111^3+WeightSDS!U$14*$AM111^2+WeightSDS!V$14*$AM111+WeightSDS!W$14),IF($AM111&lt;156,WeightSDS!O$17*$AM111^8+WeightSDS!P$17*$AM111^7+WeightSDS!Q$17*$AM111^6+WeightSDS!R$17*$AM111^5+WeightSDS!S$17*$AM111^4+WeightSDS!T$17*$AM111^3+WeightSDS!U$17*$AM111^2+WeightSDS!V$17*$AM111+WeightSDS!W$17,IF($AM111&lt;186,WeightSDS!$U$18+(WeightSDS!$V$18-WeightSDS!$U$18)/24*($AM111-186)+WeightSDS!$W$18*(-$AM111+186)^2-0.005,WeightSDS!$U$18+(WeightSDS!$V$18-WeightSDS!$U$18)/24*($AM111-186)-0.005)))</f>
        <v>0.14604529399999999</v>
      </c>
      <c r="AT111" s="4">
        <f t="shared" si="28"/>
        <v>0.56299999999999994</v>
      </c>
      <c r="AU111" s="4">
        <f t="shared" si="29"/>
        <v>69</v>
      </c>
      <c r="AV111" s="4">
        <f t="shared" si="30"/>
        <v>0.51</v>
      </c>
    </row>
    <row r="112" spans="1:48" x14ac:dyDescent="0.15">
      <c r="A112" s="4"/>
      <c r="B112" s="21"/>
      <c r="C112" s="21"/>
      <c r="D112" s="21"/>
      <c r="E112" s="22"/>
      <c r="F112" s="22"/>
      <c r="G112" s="23"/>
      <c r="H112" s="23"/>
      <c r="I112" s="181"/>
      <c r="J112" s="8" t="str">
        <f t="shared" si="22"/>
        <v/>
      </c>
      <c r="K112" s="2" t="str">
        <f t="shared" si="31"/>
        <v/>
      </c>
      <c r="L112" s="2" t="str">
        <f t="shared" si="23"/>
        <v/>
      </c>
      <c r="M112" s="2" t="str">
        <f t="shared" si="32"/>
        <v/>
      </c>
      <c r="N112" s="2" t="str">
        <f t="shared" si="40"/>
        <v/>
      </c>
      <c r="O112" s="2" t="str">
        <f t="shared" si="33"/>
        <v/>
      </c>
      <c r="P112" s="8" t="str">
        <f t="shared" si="34"/>
        <v/>
      </c>
      <c r="Q112" s="8" t="str">
        <f t="shared" si="35"/>
        <v/>
      </c>
      <c r="R112" s="111" t="str">
        <f t="shared" si="36"/>
        <v/>
      </c>
      <c r="S112" s="44" t="str">
        <f t="shared" si="37"/>
        <v/>
      </c>
      <c r="T112" s="37" t="str">
        <f t="shared" si="38"/>
        <v/>
      </c>
      <c r="U112" s="44" t="str">
        <f t="shared" si="39"/>
        <v/>
      </c>
      <c r="V112" s="26"/>
      <c r="W112" s="26"/>
      <c r="X112" s="26"/>
      <c r="Y112" s="26"/>
      <c r="Z112" s="24"/>
      <c r="AA112" s="169">
        <f t="shared" si="24"/>
        <v>0</v>
      </c>
      <c r="AB112" s="4">
        <f t="shared" si="25"/>
        <v>0</v>
      </c>
      <c r="AC112" s="170">
        <f t="shared" si="42"/>
        <v>0</v>
      </c>
      <c r="AD112" s="58"/>
      <c r="AE112" s="58"/>
      <c r="AF112" s="58"/>
      <c r="AG112" s="59">
        <f t="shared" si="26"/>
        <v>9.0359999999999996</v>
      </c>
      <c r="AH112" s="59">
        <f t="shared" si="27"/>
        <v>-184.49199999999999</v>
      </c>
      <c r="AJ112" s="4">
        <f>IF(D112="M",IF(AM112&lt;78,BMILMS!$D$5*AM112^3+BMILMS!$E$5*AM112^2+BMILMS!$F$5*AM112+BMILMS!$G$5,IF(AM112&lt;150,BMILMS!$D$6*AM112^3+BMILMS!$E$6*AM112^2+BMILMS!$F$6*AM112+BMILMS!$G$6,BMILMS!$D$7*AM112^3+BMILMS!$E$7*AM112^2+BMILMS!$F$7*AM112+BMILMS!$G$7)),IF(AM112&lt;69,BMILMS!$D$9*AM112^3+BMILMS!$E$9*AM112^2+BMILMS!$F$9*AM112+BMILMS!$G$9,IF(AM112&lt;150,BMILMS!$D$10*AM112^3+BMILMS!$E$10*AM112^2+BMILMS!$F$10*AM112+BMILMS!$G$10,BMILMS!$D$11*AM112^3+BMILMS!$E$11*AM112^2+BMILMS!$F$11*AM112+BMILMS!$G$11)))</f>
        <v>0.79584630099999998</v>
      </c>
      <c r="AK112" s="4">
        <f>IF(D112="M",(IF(AM112&lt;2.5,BMILMS!$D$21*AM112^3+BMILMS!$E$21*AM112^2+BMILMS!$F$21*AM112+BMILMS!$G$21,IF(AM112&lt;9.5,BMILMS!$D$22*AM112^3+BMILMS!$E$22*AM112^2+BMILMS!$F$22*AM112+BMILMS!$G$22,IF(AM112&lt;26.75,BMILMS!$D$23*AM112^3+BMILMS!$E$23*AM112^2+BMILMS!$F$23*AM112+BMILMS!$G$23,IF(AM112&lt;90,BMILMS!$D$24*AM112^3+BMILMS!$E$24*AM112^2+BMILMS!$F$24*AM112+BMILMS!$G$24,BMILMS!$D$25*AM112^3+BMILMS!$E$25*AM112^2+BMILMS!$F$25*AM112+BMILMS!$G$25))))),(IF(AM112&lt;2.5,BMILMS!$D$27*AM112^3+BMILMS!$E$27*AM112^2+BMILMS!$F$27*AM112+BMILMS!$G$27,IF(AM112&lt;9.5,BMILMS!$D$28*AM112^3+BMILMS!$E$28*AM112^2+BMILMS!$F$28*AM112+BMILMS!$G$28,IF(AM112&lt;26.75,BMILMS!$D$29*AM112^3+BMILMS!$E$29*AM112^2+BMILMS!$F$29*AM112+BMILMS!$G$29,IF(AM112&lt;90,BMILMS!$D$30*AM112^3+BMILMS!$E$30*AM112^2+BMILMS!$F$30*AM112+BMILMS!$G$30,IF(AM112&lt;150,BMILMS!$D$31*AM112^3+BMILMS!$E$31*AM112^2+BMILMS!$F$31*AM112+BMILMS!$G$31,BMILMS!$D$32*AM112^3+BMILMS!$E$32*AM112^2+BMILMS!$F$32*AM112+BMILMS!$G$32)))))))</f>
        <v>12.568967990000001</v>
      </c>
      <c r="AL112" s="4">
        <f>IF(D112="M",(IF(AM112&lt;90,BMILMS!$D$14*AM112^3+BMILMS!$E$14*AM112^2+BMILMS!$F$14*AM112+BMILMS!$G$14,BMILMS!$D$15*AM112^3+BMILMS!$E$15*AM112^2+BMILMS!$F$15*AM112+BMILMS!$G$15)),(IF(AM112&lt;90,BMILMS!$D$17*AM112^3+BMILMS!$E$17*AM112^2+BMILMS!$F$17*AM112+BMILMS!$G$17,BMILMS!$D$18*AM112^3+BMILMS!$E$18*AM112^2+BMILMS!$F$18*AM112+BMILMS!$G$18)))</f>
        <v>8.8969350000000003E-2</v>
      </c>
      <c r="AM112" s="4">
        <f t="shared" si="41"/>
        <v>0</v>
      </c>
      <c r="AO112" s="56">
        <f>IF(D112="M",WeightSDS!P$5*$AM112^7+WeightSDS!Q$5*$AM112^6+WeightSDS!R$5*$AM112^5+WeightSDS!S$5*$AM112^4+WeightSDS!T$5*$AM112^3+WeightSDS!U$5*$AM112^2+WeightSDS!V$5*$AM112+WeightSDS!W$5,IF($AM112&lt;186,WeightSDS!P$8*$AM112^7+WeightSDS!Q$8*$AM112^6+WeightSDS!R$8*$AM112^5+WeightSDS!S$8*$AM112^4+WeightSDS!T$8*$AM112^3+WeightSDS!U$8*$AM112^2+WeightSDS!V$8*$AM112+WeightSDS!W$8,WeightSDS!$U$9+WeightSDS!$V$9*($AM112-WeightSDS!$W$9)))</f>
        <v>0.75407122999999998</v>
      </c>
      <c r="AP112" s="4">
        <f>IF(D112="M",IF($AM112&lt;45,WeightSDS!M$23*$AM112^10+WeightSDS!N$23*$AM112^9+WeightSDS!O$23*$AM112^8+WeightSDS!P$23*$AM112^7+WeightSDS!Q$23*$AM112^6+WeightSDS!R$23*$AM112^5+WeightSDS!S$23*$AM112^4+WeightSDS!T$23*$AM112^3+WeightSDS!U$23*$AM112^2+WeightSDS!V$23*$AM112+WeightSDS!W$23,IF($AM112&lt;153,WeightSDS!M$25*$AM112^10+WeightSDS!N$25*$AM112^9+WeightSDS!O$25*$AM112^8+WeightSDS!P$25*$AM112^7+WeightSDS!Q$25*$AM112^6+WeightSDS!R$25*$AM112^5+WeightSDS!S$25*$AM112^4+WeightSDS!T$25*$AM112^3+WeightSDS!U$25*$AM112^2+WeightSDS!V$25*$AM112+WeightSDS!W$25,WeightSDS!M$27+WeightSDS!N$27/(1+EXP(WeightSDS!O$27+WeightSDS!P$27*$AM112)))),IF($AM112&lt;43.8,WeightSDS!M$29*$AM112^10+WeightSDS!N$29*$AM112^9+WeightSDS!O$29*$AM112^8+WeightSDS!P$29*$AM112^7+WeightSDS!Q$29*$AM112^6+WeightSDS!R$29*$AM112^5+WeightSDS!S$29*$AM112^4+WeightSDS!T$29*$AM112^3+WeightSDS!U$29*$AM112^2+WeightSDS!V$29*$AM112+WeightSDS!W$29-0.010431*(1-$AM112/210),IF($AM112&lt;123,WeightSDS!M$30*$AM112^10+WeightSDS!N$30*$AM112^9+WeightSDS!O$30*$AM112^8+WeightSDS!P$30*$AM112^7+WeightSDS!Q$30*$AM112^6+WeightSDS!R$30*$AM112^5+WeightSDS!S$30*$AM112^4+WeightSDS!T$30*$AM112^3+WeightSDS!U$30*$AM112^2+WeightSDS!V$30*$AM112+WeightSDS!W$30-0.010431*(1-1/$AM112),WeightSDS!M$32+WeightSDS!N$32/(1+EXP(WeightSDS!O$32+WeightSDS!P$32*$AM112))-0.010431*(1-$AM112/210))))</f>
        <v>2.9500001032655536</v>
      </c>
      <c r="AQ112" s="4">
        <f>IF(D112="M",IF($AM112&lt;162,WeightSDS!P$12*$AM112^7+WeightSDS!Q$12*$AM112^6+WeightSDS!R$12*$AM112^5+WeightSDS!S$12*$AM112^4+WeightSDS!T$12*$AM112^3+WeightSDS!U$12*$AM112^2+WeightSDS!V$12*$AM112+WeightSDS!W$12,WeightSDS!P$14*$AM112^7+WeightSDS!Q$14*$AM112^6+WeightSDS!R$14*$AM112^5+WeightSDS!S$14*$AM112^4+WeightSDS!T$14*$AM112^3+WeightSDS!U$14*$AM112^2+WeightSDS!V$14*$AM112+WeightSDS!W$14),IF($AM112&lt;156,WeightSDS!O$17*$AM112^8+WeightSDS!P$17*$AM112^7+WeightSDS!Q$17*$AM112^6+WeightSDS!R$17*$AM112^5+WeightSDS!S$17*$AM112^4+WeightSDS!T$17*$AM112^3+WeightSDS!U$17*$AM112^2+WeightSDS!V$17*$AM112+WeightSDS!W$17,IF($AM112&lt;186,WeightSDS!$U$18+(WeightSDS!$V$18-WeightSDS!$U$18)/24*($AM112-186)+WeightSDS!$W$18*(-$AM112+186)^2-0.005,WeightSDS!$U$18+(WeightSDS!$V$18-WeightSDS!$U$18)/24*($AM112-186)-0.005)))</f>
        <v>0.14604529399999999</v>
      </c>
      <c r="AT112" s="4">
        <f t="shared" si="28"/>
        <v>0.56299999999999994</v>
      </c>
      <c r="AU112" s="4">
        <f t="shared" si="29"/>
        <v>69</v>
      </c>
      <c r="AV112" s="4">
        <f t="shared" si="30"/>
        <v>0.51</v>
      </c>
    </row>
    <row r="113" spans="1:48" x14ac:dyDescent="0.15">
      <c r="A113" s="4"/>
      <c r="B113" s="21"/>
      <c r="C113" s="21"/>
      <c r="D113" s="21"/>
      <c r="E113" s="22"/>
      <c r="F113" s="22"/>
      <c r="G113" s="23"/>
      <c r="H113" s="23"/>
      <c r="I113" s="181"/>
      <c r="J113" s="8" t="str">
        <f t="shared" si="22"/>
        <v/>
      </c>
      <c r="K113" s="2" t="str">
        <f t="shared" si="31"/>
        <v/>
      </c>
      <c r="L113" s="2" t="str">
        <f t="shared" si="23"/>
        <v/>
      </c>
      <c r="M113" s="2" t="str">
        <f t="shared" si="32"/>
        <v/>
      </c>
      <c r="N113" s="2" t="str">
        <f t="shared" si="40"/>
        <v/>
      </c>
      <c r="O113" s="2" t="str">
        <f t="shared" si="33"/>
        <v/>
      </c>
      <c r="P113" s="8" t="str">
        <f t="shared" si="34"/>
        <v/>
      </c>
      <c r="Q113" s="8" t="str">
        <f t="shared" si="35"/>
        <v/>
      </c>
      <c r="R113" s="111" t="str">
        <f t="shared" si="36"/>
        <v/>
      </c>
      <c r="S113" s="44" t="str">
        <f t="shared" si="37"/>
        <v/>
      </c>
      <c r="T113" s="37" t="str">
        <f t="shared" si="38"/>
        <v/>
      </c>
      <c r="U113" s="44" t="str">
        <f t="shared" si="39"/>
        <v/>
      </c>
      <c r="V113" s="26"/>
      <c r="W113" s="26"/>
      <c r="X113" s="26"/>
      <c r="Y113" s="26"/>
      <c r="Z113" s="24"/>
      <c r="AA113" s="169">
        <f t="shared" si="24"/>
        <v>0</v>
      </c>
      <c r="AB113" s="4">
        <f t="shared" si="25"/>
        <v>0</v>
      </c>
      <c r="AC113" s="170">
        <f t="shared" si="42"/>
        <v>0</v>
      </c>
      <c r="AD113" s="58"/>
      <c r="AE113" s="58"/>
      <c r="AF113" s="58"/>
      <c r="AG113" s="59">
        <f t="shared" si="26"/>
        <v>9.0359999999999996</v>
      </c>
      <c r="AH113" s="59">
        <f t="shared" si="27"/>
        <v>-184.49199999999999</v>
      </c>
      <c r="AJ113" s="4">
        <f>IF(D113="M",IF(AM113&lt;78,BMILMS!$D$5*AM113^3+BMILMS!$E$5*AM113^2+BMILMS!$F$5*AM113+BMILMS!$G$5,IF(AM113&lt;150,BMILMS!$D$6*AM113^3+BMILMS!$E$6*AM113^2+BMILMS!$F$6*AM113+BMILMS!$G$6,BMILMS!$D$7*AM113^3+BMILMS!$E$7*AM113^2+BMILMS!$F$7*AM113+BMILMS!$G$7)),IF(AM113&lt;69,BMILMS!$D$9*AM113^3+BMILMS!$E$9*AM113^2+BMILMS!$F$9*AM113+BMILMS!$G$9,IF(AM113&lt;150,BMILMS!$D$10*AM113^3+BMILMS!$E$10*AM113^2+BMILMS!$F$10*AM113+BMILMS!$G$10,BMILMS!$D$11*AM113^3+BMILMS!$E$11*AM113^2+BMILMS!$F$11*AM113+BMILMS!$G$11)))</f>
        <v>0.79584630099999998</v>
      </c>
      <c r="AK113" s="4">
        <f>IF(D113="M",(IF(AM113&lt;2.5,BMILMS!$D$21*AM113^3+BMILMS!$E$21*AM113^2+BMILMS!$F$21*AM113+BMILMS!$G$21,IF(AM113&lt;9.5,BMILMS!$D$22*AM113^3+BMILMS!$E$22*AM113^2+BMILMS!$F$22*AM113+BMILMS!$G$22,IF(AM113&lt;26.75,BMILMS!$D$23*AM113^3+BMILMS!$E$23*AM113^2+BMILMS!$F$23*AM113+BMILMS!$G$23,IF(AM113&lt;90,BMILMS!$D$24*AM113^3+BMILMS!$E$24*AM113^2+BMILMS!$F$24*AM113+BMILMS!$G$24,BMILMS!$D$25*AM113^3+BMILMS!$E$25*AM113^2+BMILMS!$F$25*AM113+BMILMS!$G$25))))),(IF(AM113&lt;2.5,BMILMS!$D$27*AM113^3+BMILMS!$E$27*AM113^2+BMILMS!$F$27*AM113+BMILMS!$G$27,IF(AM113&lt;9.5,BMILMS!$D$28*AM113^3+BMILMS!$E$28*AM113^2+BMILMS!$F$28*AM113+BMILMS!$G$28,IF(AM113&lt;26.75,BMILMS!$D$29*AM113^3+BMILMS!$E$29*AM113^2+BMILMS!$F$29*AM113+BMILMS!$G$29,IF(AM113&lt;90,BMILMS!$D$30*AM113^3+BMILMS!$E$30*AM113^2+BMILMS!$F$30*AM113+BMILMS!$G$30,IF(AM113&lt;150,BMILMS!$D$31*AM113^3+BMILMS!$E$31*AM113^2+BMILMS!$F$31*AM113+BMILMS!$G$31,BMILMS!$D$32*AM113^3+BMILMS!$E$32*AM113^2+BMILMS!$F$32*AM113+BMILMS!$G$32)))))))</f>
        <v>12.568967990000001</v>
      </c>
      <c r="AL113" s="4">
        <f>IF(D113="M",(IF(AM113&lt;90,BMILMS!$D$14*AM113^3+BMILMS!$E$14*AM113^2+BMILMS!$F$14*AM113+BMILMS!$G$14,BMILMS!$D$15*AM113^3+BMILMS!$E$15*AM113^2+BMILMS!$F$15*AM113+BMILMS!$G$15)),(IF(AM113&lt;90,BMILMS!$D$17*AM113^3+BMILMS!$E$17*AM113^2+BMILMS!$F$17*AM113+BMILMS!$G$17,BMILMS!$D$18*AM113^3+BMILMS!$E$18*AM113^2+BMILMS!$F$18*AM113+BMILMS!$G$18)))</f>
        <v>8.8969350000000003E-2</v>
      </c>
      <c r="AM113" s="4">
        <f t="shared" si="41"/>
        <v>0</v>
      </c>
      <c r="AO113" s="56">
        <f>IF(D113="M",WeightSDS!P$5*$AM113^7+WeightSDS!Q$5*$AM113^6+WeightSDS!R$5*$AM113^5+WeightSDS!S$5*$AM113^4+WeightSDS!T$5*$AM113^3+WeightSDS!U$5*$AM113^2+WeightSDS!V$5*$AM113+WeightSDS!W$5,IF($AM113&lt;186,WeightSDS!P$8*$AM113^7+WeightSDS!Q$8*$AM113^6+WeightSDS!R$8*$AM113^5+WeightSDS!S$8*$AM113^4+WeightSDS!T$8*$AM113^3+WeightSDS!U$8*$AM113^2+WeightSDS!V$8*$AM113+WeightSDS!W$8,WeightSDS!$U$9+WeightSDS!$V$9*($AM113-WeightSDS!$W$9)))</f>
        <v>0.75407122999999998</v>
      </c>
      <c r="AP113" s="4">
        <f>IF(D113="M",IF($AM113&lt;45,WeightSDS!M$23*$AM113^10+WeightSDS!N$23*$AM113^9+WeightSDS!O$23*$AM113^8+WeightSDS!P$23*$AM113^7+WeightSDS!Q$23*$AM113^6+WeightSDS!R$23*$AM113^5+WeightSDS!S$23*$AM113^4+WeightSDS!T$23*$AM113^3+WeightSDS!U$23*$AM113^2+WeightSDS!V$23*$AM113+WeightSDS!W$23,IF($AM113&lt;153,WeightSDS!M$25*$AM113^10+WeightSDS!N$25*$AM113^9+WeightSDS!O$25*$AM113^8+WeightSDS!P$25*$AM113^7+WeightSDS!Q$25*$AM113^6+WeightSDS!R$25*$AM113^5+WeightSDS!S$25*$AM113^4+WeightSDS!T$25*$AM113^3+WeightSDS!U$25*$AM113^2+WeightSDS!V$25*$AM113+WeightSDS!W$25,WeightSDS!M$27+WeightSDS!N$27/(1+EXP(WeightSDS!O$27+WeightSDS!P$27*$AM113)))),IF($AM113&lt;43.8,WeightSDS!M$29*$AM113^10+WeightSDS!N$29*$AM113^9+WeightSDS!O$29*$AM113^8+WeightSDS!P$29*$AM113^7+WeightSDS!Q$29*$AM113^6+WeightSDS!R$29*$AM113^5+WeightSDS!S$29*$AM113^4+WeightSDS!T$29*$AM113^3+WeightSDS!U$29*$AM113^2+WeightSDS!V$29*$AM113+WeightSDS!W$29-0.010431*(1-$AM113/210),IF($AM113&lt;123,WeightSDS!M$30*$AM113^10+WeightSDS!N$30*$AM113^9+WeightSDS!O$30*$AM113^8+WeightSDS!P$30*$AM113^7+WeightSDS!Q$30*$AM113^6+WeightSDS!R$30*$AM113^5+WeightSDS!S$30*$AM113^4+WeightSDS!T$30*$AM113^3+WeightSDS!U$30*$AM113^2+WeightSDS!V$30*$AM113+WeightSDS!W$30-0.010431*(1-1/$AM113),WeightSDS!M$32+WeightSDS!N$32/(1+EXP(WeightSDS!O$32+WeightSDS!P$32*$AM113))-0.010431*(1-$AM113/210))))</f>
        <v>2.9500001032655536</v>
      </c>
      <c r="AQ113" s="4">
        <f>IF(D113="M",IF($AM113&lt;162,WeightSDS!P$12*$AM113^7+WeightSDS!Q$12*$AM113^6+WeightSDS!R$12*$AM113^5+WeightSDS!S$12*$AM113^4+WeightSDS!T$12*$AM113^3+WeightSDS!U$12*$AM113^2+WeightSDS!V$12*$AM113+WeightSDS!W$12,WeightSDS!P$14*$AM113^7+WeightSDS!Q$14*$AM113^6+WeightSDS!R$14*$AM113^5+WeightSDS!S$14*$AM113^4+WeightSDS!T$14*$AM113^3+WeightSDS!U$14*$AM113^2+WeightSDS!V$14*$AM113+WeightSDS!W$14),IF($AM113&lt;156,WeightSDS!O$17*$AM113^8+WeightSDS!P$17*$AM113^7+WeightSDS!Q$17*$AM113^6+WeightSDS!R$17*$AM113^5+WeightSDS!S$17*$AM113^4+WeightSDS!T$17*$AM113^3+WeightSDS!U$17*$AM113^2+WeightSDS!V$17*$AM113+WeightSDS!W$17,IF($AM113&lt;186,WeightSDS!$U$18+(WeightSDS!$V$18-WeightSDS!$U$18)/24*($AM113-186)+WeightSDS!$W$18*(-$AM113+186)^2-0.005,WeightSDS!$U$18+(WeightSDS!$V$18-WeightSDS!$U$18)/24*($AM113-186)-0.005)))</f>
        <v>0.14604529399999999</v>
      </c>
      <c r="AT113" s="4">
        <f t="shared" si="28"/>
        <v>0.56299999999999994</v>
      </c>
      <c r="AU113" s="4">
        <f t="shared" si="29"/>
        <v>69</v>
      </c>
      <c r="AV113" s="4">
        <f t="shared" si="30"/>
        <v>0.51</v>
      </c>
    </row>
    <row r="114" spans="1:48" x14ac:dyDescent="0.15">
      <c r="A114" s="4"/>
      <c r="B114" s="21"/>
      <c r="C114" s="21"/>
      <c r="D114" s="21"/>
      <c r="E114" s="22"/>
      <c r="F114" s="22"/>
      <c r="G114" s="23"/>
      <c r="H114" s="23"/>
      <c r="I114" s="181"/>
      <c r="J114" s="8" t="str">
        <f t="shared" si="22"/>
        <v/>
      </c>
      <c r="K114" s="2" t="str">
        <f t="shared" si="31"/>
        <v/>
      </c>
      <c r="L114" s="2" t="str">
        <f t="shared" si="23"/>
        <v/>
      </c>
      <c r="M114" s="2" t="str">
        <f t="shared" si="32"/>
        <v/>
      </c>
      <c r="N114" s="2" t="str">
        <f t="shared" si="40"/>
        <v/>
      </c>
      <c r="O114" s="2" t="str">
        <f t="shared" si="33"/>
        <v/>
      </c>
      <c r="P114" s="8" t="str">
        <f t="shared" si="34"/>
        <v/>
      </c>
      <c r="Q114" s="8" t="str">
        <f t="shared" si="35"/>
        <v/>
      </c>
      <c r="R114" s="111" t="str">
        <f t="shared" si="36"/>
        <v/>
      </c>
      <c r="S114" s="44" t="str">
        <f t="shared" si="37"/>
        <v/>
      </c>
      <c r="T114" s="37" t="str">
        <f t="shared" si="38"/>
        <v/>
      </c>
      <c r="U114" s="44" t="str">
        <f t="shared" si="39"/>
        <v/>
      </c>
      <c r="V114" s="26"/>
      <c r="W114" s="26"/>
      <c r="X114" s="26"/>
      <c r="Y114" s="26"/>
      <c r="Z114" s="24"/>
      <c r="AA114" s="169">
        <f t="shared" si="24"/>
        <v>0</v>
      </c>
      <c r="AB114" s="4">
        <f t="shared" si="25"/>
        <v>0</v>
      </c>
      <c r="AC114" s="170">
        <f t="shared" si="42"/>
        <v>0</v>
      </c>
      <c r="AD114" s="58"/>
      <c r="AE114" s="58"/>
      <c r="AF114" s="58"/>
      <c r="AG114" s="59">
        <f t="shared" si="26"/>
        <v>9.0359999999999996</v>
      </c>
      <c r="AH114" s="59">
        <f t="shared" si="27"/>
        <v>-184.49199999999999</v>
      </c>
      <c r="AJ114" s="4">
        <f>IF(D114="M",IF(AM114&lt;78,BMILMS!$D$5*AM114^3+BMILMS!$E$5*AM114^2+BMILMS!$F$5*AM114+BMILMS!$G$5,IF(AM114&lt;150,BMILMS!$D$6*AM114^3+BMILMS!$E$6*AM114^2+BMILMS!$F$6*AM114+BMILMS!$G$6,BMILMS!$D$7*AM114^3+BMILMS!$E$7*AM114^2+BMILMS!$F$7*AM114+BMILMS!$G$7)),IF(AM114&lt;69,BMILMS!$D$9*AM114^3+BMILMS!$E$9*AM114^2+BMILMS!$F$9*AM114+BMILMS!$G$9,IF(AM114&lt;150,BMILMS!$D$10*AM114^3+BMILMS!$E$10*AM114^2+BMILMS!$F$10*AM114+BMILMS!$G$10,BMILMS!$D$11*AM114^3+BMILMS!$E$11*AM114^2+BMILMS!$F$11*AM114+BMILMS!$G$11)))</f>
        <v>0.79584630099999998</v>
      </c>
      <c r="AK114" s="4">
        <f>IF(D114="M",(IF(AM114&lt;2.5,BMILMS!$D$21*AM114^3+BMILMS!$E$21*AM114^2+BMILMS!$F$21*AM114+BMILMS!$G$21,IF(AM114&lt;9.5,BMILMS!$D$22*AM114^3+BMILMS!$E$22*AM114^2+BMILMS!$F$22*AM114+BMILMS!$G$22,IF(AM114&lt;26.75,BMILMS!$D$23*AM114^3+BMILMS!$E$23*AM114^2+BMILMS!$F$23*AM114+BMILMS!$G$23,IF(AM114&lt;90,BMILMS!$D$24*AM114^3+BMILMS!$E$24*AM114^2+BMILMS!$F$24*AM114+BMILMS!$G$24,BMILMS!$D$25*AM114^3+BMILMS!$E$25*AM114^2+BMILMS!$F$25*AM114+BMILMS!$G$25))))),(IF(AM114&lt;2.5,BMILMS!$D$27*AM114^3+BMILMS!$E$27*AM114^2+BMILMS!$F$27*AM114+BMILMS!$G$27,IF(AM114&lt;9.5,BMILMS!$D$28*AM114^3+BMILMS!$E$28*AM114^2+BMILMS!$F$28*AM114+BMILMS!$G$28,IF(AM114&lt;26.75,BMILMS!$D$29*AM114^3+BMILMS!$E$29*AM114^2+BMILMS!$F$29*AM114+BMILMS!$G$29,IF(AM114&lt;90,BMILMS!$D$30*AM114^3+BMILMS!$E$30*AM114^2+BMILMS!$F$30*AM114+BMILMS!$G$30,IF(AM114&lt;150,BMILMS!$D$31*AM114^3+BMILMS!$E$31*AM114^2+BMILMS!$F$31*AM114+BMILMS!$G$31,BMILMS!$D$32*AM114^3+BMILMS!$E$32*AM114^2+BMILMS!$F$32*AM114+BMILMS!$G$32)))))))</f>
        <v>12.568967990000001</v>
      </c>
      <c r="AL114" s="4">
        <f>IF(D114="M",(IF(AM114&lt;90,BMILMS!$D$14*AM114^3+BMILMS!$E$14*AM114^2+BMILMS!$F$14*AM114+BMILMS!$G$14,BMILMS!$D$15*AM114^3+BMILMS!$E$15*AM114^2+BMILMS!$F$15*AM114+BMILMS!$G$15)),(IF(AM114&lt;90,BMILMS!$D$17*AM114^3+BMILMS!$E$17*AM114^2+BMILMS!$F$17*AM114+BMILMS!$G$17,BMILMS!$D$18*AM114^3+BMILMS!$E$18*AM114^2+BMILMS!$F$18*AM114+BMILMS!$G$18)))</f>
        <v>8.8969350000000003E-2</v>
      </c>
      <c r="AM114" s="4">
        <f t="shared" si="41"/>
        <v>0</v>
      </c>
      <c r="AO114" s="56">
        <f>IF(D114="M",WeightSDS!P$5*$AM114^7+WeightSDS!Q$5*$AM114^6+WeightSDS!R$5*$AM114^5+WeightSDS!S$5*$AM114^4+WeightSDS!T$5*$AM114^3+WeightSDS!U$5*$AM114^2+WeightSDS!V$5*$AM114+WeightSDS!W$5,IF($AM114&lt;186,WeightSDS!P$8*$AM114^7+WeightSDS!Q$8*$AM114^6+WeightSDS!R$8*$AM114^5+WeightSDS!S$8*$AM114^4+WeightSDS!T$8*$AM114^3+WeightSDS!U$8*$AM114^2+WeightSDS!V$8*$AM114+WeightSDS!W$8,WeightSDS!$U$9+WeightSDS!$V$9*($AM114-WeightSDS!$W$9)))</f>
        <v>0.75407122999999998</v>
      </c>
      <c r="AP114" s="4">
        <f>IF(D114="M",IF($AM114&lt;45,WeightSDS!M$23*$AM114^10+WeightSDS!N$23*$AM114^9+WeightSDS!O$23*$AM114^8+WeightSDS!P$23*$AM114^7+WeightSDS!Q$23*$AM114^6+WeightSDS!R$23*$AM114^5+WeightSDS!S$23*$AM114^4+WeightSDS!T$23*$AM114^3+WeightSDS!U$23*$AM114^2+WeightSDS!V$23*$AM114+WeightSDS!W$23,IF($AM114&lt;153,WeightSDS!M$25*$AM114^10+WeightSDS!N$25*$AM114^9+WeightSDS!O$25*$AM114^8+WeightSDS!P$25*$AM114^7+WeightSDS!Q$25*$AM114^6+WeightSDS!R$25*$AM114^5+WeightSDS!S$25*$AM114^4+WeightSDS!T$25*$AM114^3+WeightSDS!U$25*$AM114^2+WeightSDS!V$25*$AM114+WeightSDS!W$25,WeightSDS!M$27+WeightSDS!N$27/(1+EXP(WeightSDS!O$27+WeightSDS!P$27*$AM114)))),IF($AM114&lt;43.8,WeightSDS!M$29*$AM114^10+WeightSDS!N$29*$AM114^9+WeightSDS!O$29*$AM114^8+WeightSDS!P$29*$AM114^7+WeightSDS!Q$29*$AM114^6+WeightSDS!R$29*$AM114^5+WeightSDS!S$29*$AM114^4+WeightSDS!T$29*$AM114^3+WeightSDS!U$29*$AM114^2+WeightSDS!V$29*$AM114+WeightSDS!W$29-0.010431*(1-$AM114/210),IF($AM114&lt;123,WeightSDS!M$30*$AM114^10+WeightSDS!N$30*$AM114^9+WeightSDS!O$30*$AM114^8+WeightSDS!P$30*$AM114^7+WeightSDS!Q$30*$AM114^6+WeightSDS!R$30*$AM114^5+WeightSDS!S$30*$AM114^4+WeightSDS!T$30*$AM114^3+WeightSDS!U$30*$AM114^2+WeightSDS!V$30*$AM114+WeightSDS!W$30-0.010431*(1-1/$AM114),WeightSDS!M$32+WeightSDS!N$32/(1+EXP(WeightSDS!O$32+WeightSDS!P$32*$AM114))-0.010431*(1-$AM114/210))))</f>
        <v>2.9500001032655536</v>
      </c>
      <c r="AQ114" s="4">
        <f>IF(D114="M",IF($AM114&lt;162,WeightSDS!P$12*$AM114^7+WeightSDS!Q$12*$AM114^6+WeightSDS!R$12*$AM114^5+WeightSDS!S$12*$AM114^4+WeightSDS!T$12*$AM114^3+WeightSDS!U$12*$AM114^2+WeightSDS!V$12*$AM114+WeightSDS!W$12,WeightSDS!P$14*$AM114^7+WeightSDS!Q$14*$AM114^6+WeightSDS!R$14*$AM114^5+WeightSDS!S$14*$AM114^4+WeightSDS!T$14*$AM114^3+WeightSDS!U$14*$AM114^2+WeightSDS!V$14*$AM114+WeightSDS!W$14),IF($AM114&lt;156,WeightSDS!O$17*$AM114^8+WeightSDS!P$17*$AM114^7+WeightSDS!Q$17*$AM114^6+WeightSDS!R$17*$AM114^5+WeightSDS!S$17*$AM114^4+WeightSDS!T$17*$AM114^3+WeightSDS!U$17*$AM114^2+WeightSDS!V$17*$AM114+WeightSDS!W$17,IF($AM114&lt;186,WeightSDS!$U$18+(WeightSDS!$V$18-WeightSDS!$U$18)/24*($AM114-186)+WeightSDS!$W$18*(-$AM114+186)^2-0.005,WeightSDS!$U$18+(WeightSDS!$V$18-WeightSDS!$U$18)/24*($AM114-186)-0.005)))</f>
        <v>0.14604529399999999</v>
      </c>
      <c r="AT114" s="4">
        <f t="shared" si="28"/>
        <v>0.56299999999999994</v>
      </c>
      <c r="AU114" s="4">
        <f t="shared" si="29"/>
        <v>69</v>
      </c>
      <c r="AV114" s="4">
        <f t="shared" si="30"/>
        <v>0.51</v>
      </c>
    </row>
    <row r="115" spans="1:48" x14ac:dyDescent="0.15">
      <c r="A115" s="4"/>
      <c r="B115" s="21"/>
      <c r="C115" s="21"/>
      <c r="D115" s="21"/>
      <c r="E115" s="22"/>
      <c r="F115" s="22"/>
      <c r="G115" s="23"/>
      <c r="H115" s="23"/>
      <c r="I115" s="181"/>
      <c r="J115" s="8" t="str">
        <f t="shared" si="22"/>
        <v/>
      </c>
      <c r="K115" s="2" t="str">
        <f t="shared" si="31"/>
        <v/>
      </c>
      <c r="L115" s="2" t="str">
        <f t="shared" si="23"/>
        <v/>
      </c>
      <c r="M115" s="2" t="str">
        <f t="shared" si="32"/>
        <v/>
      </c>
      <c r="N115" s="2" t="str">
        <f t="shared" si="40"/>
        <v/>
      </c>
      <c r="O115" s="2" t="str">
        <f t="shared" si="33"/>
        <v/>
      </c>
      <c r="P115" s="8" t="str">
        <f t="shared" si="34"/>
        <v/>
      </c>
      <c r="Q115" s="8" t="str">
        <f t="shared" si="35"/>
        <v/>
      </c>
      <c r="R115" s="111" t="str">
        <f t="shared" si="36"/>
        <v/>
      </c>
      <c r="S115" s="44" t="str">
        <f t="shared" si="37"/>
        <v/>
      </c>
      <c r="T115" s="37" t="str">
        <f t="shared" si="38"/>
        <v/>
      </c>
      <c r="U115" s="44" t="str">
        <f t="shared" si="39"/>
        <v/>
      </c>
      <c r="V115" s="26"/>
      <c r="W115" s="26"/>
      <c r="X115" s="26"/>
      <c r="Y115" s="26"/>
      <c r="Z115" s="24"/>
      <c r="AA115" s="169">
        <f t="shared" si="24"/>
        <v>0</v>
      </c>
      <c r="AB115" s="4">
        <f t="shared" si="25"/>
        <v>0</v>
      </c>
      <c r="AC115" s="170">
        <f t="shared" si="42"/>
        <v>0</v>
      </c>
      <c r="AD115" s="58"/>
      <c r="AE115" s="58"/>
      <c r="AF115" s="58"/>
      <c r="AG115" s="59">
        <f t="shared" si="26"/>
        <v>9.0359999999999996</v>
      </c>
      <c r="AH115" s="59">
        <f t="shared" si="27"/>
        <v>-184.49199999999999</v>
      </c>
      <c r="AJ115" s="4">
        <f>IF(D115="M",IF(AM115&lt;78,BMILMS!$D$5*AM115^3+BMILMS!$E$5*AM115^2+BMILMS!$F$5*AM115+BMILMS!$G$5,IF(AM115&lt;150,BMILMS!$D$6*AM115^3+BMILMS!$E$6*AM115^2+BMILMS!$F$6*AM115+BMILMS!$G$6,BMILMS!$D$7*AM115^3+BMILMS!$E$7*AM115^2+BMILMS!$F$7*AM115+BMILMS!$G$7)),IF(AM115&lt;69,BMILMS!$D$9*AM115^3+BMILMS!$E$9*AM115^2+BMILMS!$F$9*AM115+BMILMS!$G$9,IF(AM115&lt;150,BMILMS!$D$10*AM115^3+BMILMS!$E$10*AM115^2+BMILMS!$F$10*AM115+BMILMS!$G$10,BMILMS!$D$11*AM115^3+BMILMS!$E$11*AM115^2+BMILMS!$F$11*AM115+BMILMS!$G$11)))</f>
        <v>0.79584630099999998</v>
      </c>
      <c r="AK115" s="4">
        <f>IF(D115="M",(IF(AM115&lt;2.5,BMILMS!$D$21*AM115^3+BMILMS!$E$21*AM115^2+BMILMS!$F$21*AM115+BMILMS!$G$21,IF(AM115&lt;9.5,BMILMS!$D$22*AM115^3+BMILMS!$E$22*AM115^2+BMILMS!$F$22*AM115+BMILMS!$G$22,IF(AM115&lt;26.75,BMILMS!$D$23*AM115^3+BMILMS!$E$23*AM115^2+BMILMS!$F$23*AM115+BMILMS!$G$23,IF(AM115&lt;90,BMILMS!$D$24*AM115^3+BMILMS!$E$24*AM115^2+BMILMS!$F$24*AM115+BMILMS!$G$24,BMILMS!$D$25*AM115^3+BMILMS!$E$25*AM115^2+BMILMS!$F$25*AM115+BMILMS!$G$25))))),(IF(AM115&lt;2.5,BMILMS!$D$27*AM115^3+BMILMS!$E$27*AM115^2+BMILMS!$F$27*AM115+BMILMS!$G$27,IF(AM115&lt;9.5,BMILMS!$D$28*AM115^3+BMILMS!$E$28*AM115^2+BMILMS!$F$28*AM115+BMILMS!$G$28,IF(AM115&lt;26.75,BMILMS!$D$29*AM115^3+BMILMS!$E$29*AM115^2+BMILMS!$F$29*AM115+BMILMS!$G$29,IF(AM115&lt;90,BMILMS!$D$30*AM115^3+BMILMS!$E$30*AM115^2+BMILMS!$F$30*AM115+BMILMS!$G$30,IF(AM115&lt;150,BMILMS!$D$31*AM115^3+BMILMS!$E$31*AM115^2+BMILMS!$F$31*AM115+BMILMS!$G$31,BMILMS!$D$32*AM115^3+BMILMS!$E$32*AM115^2+BMILMS!$F$32*AM115+BMILMS!$G$32)))))))</f>
        <v>12.568967990000001</v>
      </c>
      <c r="AL115" s="4">
        <f>IF(D115="M",(IF(AM115&lt;90,BMILMS!$D$14*AM115^3+BMILMS!$E$14*AM115^2+BMILMS!$F$14*AM115+BMILMS!$G$14,BMILMS!$D$15*AM115^3+BMILMS!$E$15*AM115^2+BMILMS!$F$15*AM115+BMILMS!$G$15)),(IF(AM115&lt;90,BMILMS!$D$17*AM115^3+BMILMS!$E$17*AM115^2+BMILMS!$F$17*AM115+BMILMS!$G$17,BMILMS!$D$18*AM115^3+BMILMS!$E$18*AM115^2+BMILMS!$F$18*AM115+BMILMS!$G$18)))</f>
        <v>8.8969350000000003E-2</v>
      </c>
      <c r="AM115" s="4">
        <f t="shared" si="41"/>
        <v>0</v>
      </c>
      <c r="AO115" s="56">
        <f>IF(D115="M",WeightSDS!P$5*$AM115^7+WeightSDS!Q$5*$AM115^6+WeightSDS!R$5*$AM115^5+WeightSDS!S$5*$AM115^4+WeightSDS!T$5*$AM115^3+WeightSDS!U$5*$AM115^2+WeightSDS!V$5*$AM115+WeightSDS!W$5,IF($AM115&lt;186,WeightSDS!P$8*$AM115^7+WeightSDS!Q$8*$AM115^6+WeightSDS!R$8*$AM115^5+WeightSDS!S$8*$AM115^4+WeightSDS!T$8*$AM115^3+WeightSDS!U$8*$AM115^2+WeightSDS!V$8*$AM115+WeightSDS!W$8,WeightSDS!$U$9+WeightSDS!$V$9*($AM115-WeightSDS!$W$9)))</f>
        <v>0.75407122999999998</v>
      </c>
      <c r="AP115" s="4">
        <f>IF(D115="M",IF($AM115&lt;45,WeightSDS!M$23*$AM115^10+WeightSDS!N$23*$AM115^9+WeightSDS!O$23*$AM115^8+WeightSDS!P$23*$AM115^7+WeightSDS!Q$23*$AM115^6+WeightSDS!R$23*$AM115^5+WeightSDS!S$23*$AM115^4+WeightSDS!T$23*$AM115^3+WeightSDS!U$23*$AM115^2+WeightSDS!V$23*$AM115+WeightSDS!W$23,IF($AM115&lt;153,WeightSDS!M$25*$AM115^10+WeightSDS!N$25*$AM115^9+WeightSDS!O$25*$AM115^8+WeightSDS!P$25*$AM115^7+WeightSDS!Q$25*$AM115^6+WeightSDS!R$25*$AM115^5+WeightSDS!S$25*$AM115^4+WeightSDS!T$25*$AM115^3+WeightSDS!U$25*$AM115^2+WeightSDS!V$25*$AM115+WeightSDS!W$25,WeightSDS!M$27+WeightSDS!N$27/(1+EXP(WeightSDS!O$27+WeightSDS!P$27*$AM115)))),IF($AM115&lt;43.8,WeightSDS!M$29*$AM115^10+WeightSDS!N$29*$AM115^9+WeightSDS!O$29*$AM115^8+WeightSDS!P$29*$AM115^7+WeightSDS!Q$29*$AM115^6+WeightSDS!R$29*$AM115^5+WeightSDS!S$29*$AM115^4+WeightSDS!T$29*$AM115^3+WeightSDS!U$29*$AM115^2+WeightSDS!V$29*$AM115+WeightSDS!W$29-0.010431*(1-$AM115/210),IF($AM115&lt;123,WeightSDS!M$30*$AM115^10+WeightSDS!N$30*$AM115^9+WeightSDS!O$30*$AM115^8+WeightSDS!P$30*$AM115^7+WeightSDS!Q$30*$AM115^6+WeightSDS!R$30*$AM115^5+WeightSDS!S$30*$AM115^4+WeightSDS!T$30*$AM115^3+WeightSDS!U$30*$AM115^2+WeightSDS!V$30*$AM115+WeightSDS!W$30-0.010431*(1-1/$AM115),WeightSDS!M$32+WeightSDS!N$32/(1+EXP(WeightSDS!O$32+WeightSDS!P$32*$AM115))-0.010431*(1-$AM115/210))))</f>
        <v>2.9500001032655536</v>
      </c>
      <c r="AQ115" s="4">
        <f>IF(D115="M",IF($AM115&lt;162,WeightSDS!P$12*$AM115^7+WeightSDS!Q$12*$AM115^6+WeightSDS!R$12*$AM115^5+WeightSDS!S$12*$AM115^4+WeightSDS!T$12*$AM115^3+WeightSDS!U$12*$AM115^2+WeightSDS!V$12*$AM115+WeightSDS!W$12,WeightSDS!P$14*$AM115^7+WeightSDS!Q$14*$AM115^6+WeightSDS!R$14*$AM115^5+WeightSDS!S$14*$AM115^4+WeightSDS!T$14*$AM115^3+WeightSDS!U$14*$AM115^2+WeightSDS!V$14*$AM115+WeightSDS!W$14),IF($AM115&lt;156,WeightSDS!O$17*$AM115^8+WeightSDS!P$17*$AM115^7+WeightSDS!Q$17*$AM115^6+WeightSDS!R$17*$AM115^5+WeightSDS!S$17*$AM115^4+WeightSDS!T$17*$AM115^3+WeightSDS!U$17*$AM115^2+WeightSDS!V$17*$AM115+WeightSDS!W$17,IF($AM115&lt;186,WeightSDS!$U$18+(WeightSDS!$V$18-WeightSDS!$U$18)/24*($AM115-186)+WeightSDS!$W$18*(-$AM115+186)^2-0.005,WeightSDS!$U$18+(WeightSDS!$V$18-WeightSDS!$U$18)/24*($AM115-186)-0.005)))</f>
        <v>0.14604529399999999</v>
      </c>
      <c r="AT115" s="4">
        <f t="shared" si="28"/>
        <v>0.56299999999999994</v>
      </c>
      <c r="AU115" s="4">
        <f t="shared" si="29"/>
        <v>69</v>
      </c>
      <c r="AV115" s="4">
        <f t="shared" si="30"/>
        <v>0.51</v>
      </c>
    </row>
    <row r="116" spans="1:48" x14ac:dyDescent="0.15">
      <c r="A116" s="4"/>
      <c r="B116" s="21"/>
      <c r="C116" s="21"/>
      <c r="D116" s="21"/>
      <c r="E116" s="22"/>
      <c r="F116" s="22"/>
      <c r="G116" s="23"/>
      <c r="H116" s="23"/>
      <c r="I116" s="181"/>
      <c r="J116" s="8" t="str">
        <f t="shared" si="22"/>
        <v/>
      </c>
      <c r="K116" s="2" t="str">
        <f t="shared" si="31"/>
        <v/>
      </c>
      <c r="L116" s="2" t="str">
        <f t="shared" si="23"/>
        <v/>
      </c>
      <c r="M116" s="2" t="str">
        <f t="shared" si="32"/>
        <v/>
      </c>
      <c r="N116" s="2" t="str">
        <f t="shared" si="40"/>
        <v/>
      </c>
      <c r="O116" s="2" t="str">
        <f t="shared" si="33"/>
        <v/>
      </c>
      <c r="P116" s="8" t="str">
        <f t="shared" si="34"/>
        <v/>
      </c>
      <c r="Q116" s="8" t="str">
        <f t="shared" si="35"/>
        <v/>
      </c>
      <c r="R116" s="111" t="str">
        <f t="shared" si="36"/>
        <v/>
      </c>
      <c r="S116" s="44" t="str">
        <f t="shared" si="37"/>
        <v/>
      </c>
      <c r="T116" s="37" t="str">
        <f t="shared" si="38"/>
        <v/>
      </c>
      <c r="U116" s="44" t="str">
        <f t="shared" si="39"/>
        <v/>
      </c>
      <c r="V116" s="26"/>
      <c r="W116" s="26"/>
      <c r="X116" s="26"/>
      <c r="Y116" s="26"/>
      <c r="Z116" s="24"/>
      <c r="AA116" s="169">
        <f t="shared" si="24"/>
        <v>0</v>
      </c>
      <c r="AB116" s="4">
        <f t="shared" si="25"/>
        <v>0</v>
      </c>
      <c r="AC116" s="170">
        <f t="shared" si="42"/>
        <v>0</v>
      </c>
      <c r="AD116" s="58"/>
      <c r="AE116" s="58"/>
      <c r="AF116" s="58"/>
      <c r="AG116" s="59">
        <f t="shared" si="26"/>
        <v>9.0359999999999996</v>
      </c>
      <c r="AH116" s="59">
        <f t="shared" si="27"/>
        <v>-184.49199999999999</v>
      </c>
      <c r="AJ116" s="4">
        <f>IF(D116="M",IF(AM116&lt;78,BMILMS!$D$5*AM116^3+BMILMS!$E$5*AM116^2+BMILMS!$F$5*AM116+BMILMS!$G$5,IF(AM116&lt;150,BMILMS!$D$6*AM116^3+BMILMS!$E$6*AM116^2+BMILMS!$F$6*AM116+BMILMS!$G$6,BMILMS!$D$7*AM116^3+BMILMS!$E$7*AM116^2+BMILMS!$F$7*AM116+BMILMS!$G$7)),IF(AM116&lt;69,BMILMS!$D$9*AM116^3+BMILMS!$E$9*AM116^2+BMILMS!$F$9*AM116+BMILMS!$G$9,IF(AM116&lt;150,BMILMS!$D$10*AM116^3+BMILMS!$E$10*AM116^2+BMILMS!$F$10*AM116+BMILMS!$G$10,BMILMS!$D$11*AM116^3+BMILMS!$E$11*AM116^2+BMILMS!$F$11*AM116+BMILMS!$G$11)))</f>
        <v>0.79584630099999998</v>
      </c>
      <c r="AK116" s="4">
        <f>IF(D116="M",(IF(AM116&lt;2.5,BMILMS!$D$21*AM116^3+BMILMS!$E$21*AM116^2+BMILMS!$F$21*AM116+BMILMS!$G$21,IF(AM116&lt;9.5,BMILMS!$D$22*AM116^3+BMILMS!$E$22*AM116^2+BMILMS!$F$22*AM116+BMILMS!$G$22,IF(AM116&lt;26.75,BMILMS!$D$23*AM116^3+BMILMS!$E$23*AM116^2+BMILMS!$F$23*AM116+BMILMS!$G$23,IF(AM116&lt;90,BMILMS!$D$24*AM116^3+BMILMS!$E$24*AM116^2+BMILMS!$F$24*AM116+BMILMS!$G$24,BMILMS!$D$25*AM116^3+BMILMS!$E$25*AM116^2+BMILMS!$F$25*AM116+BMILMS!$G$25))))),(IF(AM116&lt;2.5,BMILMS!$D$27*AM116^3+BMILMS!$E$27*AM116^2+BMILMS!$F$27*AM116+BMILMS!$G$27,IF(AM116&lt;9.5,BMILMS!$D$28*AM116^3+BMILMS!$E$28*AM116^2+BMILMS!$F$28*AM116+BMILMS!$G$28,IF(AM116&lt;26.75,BMILMS!$D$29*AM116^3+BMILMS!$E$29*AM116^2+BMILMS!$F$29*AM116+BMILMS!$G$29,IF(AM116&lt;90,BMILMS!$D$30*AM116^3+BMILMS!$E$30*AM116^2+BMILMS!$F$30*AM116+BMILMS!$G$30,IF(AM116&lt;150,BMILMS!$D$31*AM116^3+BMILMS!$E$31*AM116^2+BMILMS!$F$31*AM116+BMILMS!$G$31,BMILMS!$D$32*AM116^3+BMILMS!$E$32*AM116^2+BMILMS!$F$32*AM116+BMILMS!$G$32)))))))</f>
        <v>12.568967990000001</v>
      </c>
      <c r="AL116" s="4">
        <f>IF(D116="M",(IF(AM116&lt;90,BMILMS!$D$14*AM116^3+BMILMS!$E$14*AM116^2+BMILMS!$F$14*AM116+BMILMS!$G$14,BMILMS!$D$15*AM116^3+BMILMS!$E$15*AM116^2+BMILMS!$F$15*AM116+BMILMS!$G$15)),(IF(AM116&lt;90,BMILMS!$D$17*AM116^3+BMILMS!$E$17*AM116^2+BMILMS!$F$17*AM116+BMILMS!$G$17,BMILMS!$D$18*AM116^3+BMILMS!$E$18*AM116^2+BMILMS!$F$18*AM116+BMILMS!$G$18)))</f>
        <v>8.8969350000000003E-2</v>
      </c>
      <c r="AM116" s="4">
        <f t="shared" si="41"/>
        <v>0</v>
      </c>
      <c r="AO116" s="56">
        <f>IF(D116="M",WeightSDS!P$5*$AM116^7+WeightSDS!Q$5*$AM116^6+WeightSDS!R$5*$AM116^5+WeightSDS!S$5*$AM116^4+WeightSDS!T$5*$AM116^3+WeightSDS!U$5*$AM116^2+WeightSDS!V$5*$AM116+WeightSDS!W$5,IF($AM116&lt;186,WeightSDS!P$8*$AM116^7+WeightSDS!Q$8*$AM116^6+WeightSDS!R$8*$AM116^5+WeightSDS!S$8*$AM116^4+WeightSDS!T$8*$AM116^3+WeightSDS!U$8*$AM116^2+WeightSDS!V$8*$AM116+WeightSDS!W$8,WeightSDS!$U$9+WeightSDS!$V$9*($AM116-WeightSDS!$W$9)))</f>
        <v>0.75407122999999998</v>
      </c>
      <c r="AP116" s="4">
        <f>IF(D116="M",IF($AM116&lt;45,WeightSDS!M$23*$AM116^10+WeightSDS!N$23*$AM116^9+WeightSDS!O$23*$AM116^8+WeightSDS!P$23*$AM116^7+WeightSDS!Q$23*$AM116^6+WeightSDS!R$23*$AM116^5+WeightSDS!S$23*$AM116^4+WeightSDS!T$23*$AM116^3+WeightSDS!U$23*$AM116^2+WeightSDS!V$23*$AM116+WeightSDS!W$23,IF($AM116&lt;153,WeightSDS!M$25*$AM116^10+WeightSDS!N$25*$AM116^9+WeightSDS!O$25*$AM116^8+WeightSDS!P$25*$AM116^7+WeightSDS!Q$25*$AM116^6+WeightSDS!R$25*$AM116^5+WeightSDS!S$25*$AM116^4+WeightSDS!T$25*$AM116^3+WeightSDS!U$25*$AM116^2+WeightSDS!V$25*$AM116+WeightSDS!W$25,WeightSDS!M$27+WeightSDS!N$27/(1+EXP(WeightSDS!O$27+WeightSDS!P$27*$AM116)))),IF($AM116&lt;43.8,WeightSDS!M$29*$AM116^10+WeightSDS!N$29*$AM116^9+WeightSDS!O$29*$AM116^8+WeightSDS!P$29*$AM116^7+WeightSDS!Q$29*$AM116^6+WeightSDS!R$29*$AM116^5+WeightSDS!S$29*$AM116^4+WeightSDS!T$29*$AM116^3+WeightSDS!U$29*$AM116^2+WeightSDS!V$29*$AM116+WeightSDS!W$29-0.010431*(1-$AM116/210),IF($AM116&lt;123,WeightSDS!M$30*$AM116^10+WeightSDS!N$30*$AM116^9+WeightSDS!O$30*$AM116^8+WeightSDS!P$30*$AM116^7+WeightSDS!Q$30*$AM116^6+WeightSDS!R$30*$AM116^5+WeightSDS!S$30*$AM116^4+WeightSDS!T$30*$AM116^3+WeightSDS!U$30*$AM116^2+WeightSDS!V$30*$AM116+WeightSDS!W$30-0.010431*(1-1/$AM116),WeightSDS!M$32+WeightSDS!N$32/(1+EXP(WeightSDS!O$32+WeightSDS!P$32*$AM116))-0.010431*(1-$AM116/210))))</f>
        <v>2.9500001032655536</v>
      </c>
      <c r="AQ116" s="4">
        <f>IF(D116="M",IF($AM116&lt;162,WeightSDS!P$12*$AM116^7+WeightSDS!Q$12*$AM116^6+WeightSDS!R$12*$AM116^5+WeightSDS!S$12*$AM116^4+WeightSDS!T$12*$AM116^3+WeightSDS!U$12*$AM116^2+WeightSDS!V$12*$AM116+WeightSDS!W$12,WeightSDS!P$14*$AM116^7+WeightSDS!Q$14*$AM116^6+WeightSDS!R$14*$AM116^5+WeightSDS!S$14*$AM116^4+WeightSDS!T$14*$AM116^3+WeightSDS!U$14*$AM116^2+WeightSDS!V$14*$AM116+WeightSDS!W$14),IF($AM116&lt;156,WeightSDS!O$17*$AM116^8+WeightSDS!P$17*$AM116^7+WeightSDS!Q$17*$AM116^6+WeightSDS!R$17*$AM116^5+WeightSDS!S$17*$AM116^4+WeightSDS!T$17*$AM116^3+WeightSDS!U$17*$AM116^2+WeightSDS!V$17*$AM116+WeightSDS!W$17,IF($AM116&lt;186,WeightSDS!$U$18+(WeightSDS!$V$18-WeightSDS!$U$18)/24*($AM116-186)+WeightSDS!$W$18*(-$AM116+186)^2-0.005,WeightSDS!$U$18+(WeightSDS!$V$18-WeightSDS!$U$18)/24*($AM116-186)-0.005)))</f>
        <v>0.14604529399999999</v>
      </c>
      <c r="AT116" s="4">
        <f t="shared" si="28"/>
        <v>0.56299999999999994</v>
      </c>
      <c r="AU116" s="4">
        <f t="shared" si="29"/>
        <v>69</v>
      </c>
      <c r="AV116" s="4">
        <f t="shared" si="30"/>
        <v>0.51</v>
      </c>
    </row>
    <row r="117" spans="1:48" x14ac:dyDescent="0.15">
      <c r="A117" s="4"/>
      <c r="B117" s="21"/>
      <c r="C117" s="21"/>
      <c r="D117" s="21"/>
      <c r="E117" s="22"/>
      <c r="F117" s="22"/>
      <c r="G117" s="23"/>
      <c r="H117" s="23"/>
      <c r="I117" s="181"/>
      <c r="J117" s="8" t="str">
        <f t="shared" si="22"/>
        <v/>
      </c>
      <c r="K117" s="2" t="str">
        <f t="shared" si="31"/>
        <v/>
      </c>
      <c r="L117" s="2" t="str">
        <f t="shared" si="23"/>
        <v/>
      </c>
      <c r="M117" s="2" t="str">
        <f t="shared" si="32"/>
        <v/>
      </c>
      <c r="N117" s="2" t="str">
        <f t="shared" si="40"/>
        <v/>
      </c>
      <c r="O117" s="2" t="str">
        <f t="shared" si="33"/>
        <v/>
      </c>
      <c r="P117" s="8" t="str">
        <f t="shared" si="34"/>
        <v/>
      </c>
      <c r="Q117" s="8" t="str">
        <f t="shared" si="35"/>
        <v/>
      </c>
      <c r="R117" s="111" t="str">
        <f t="shared" si="36"/>
        <v/>
      </c>
      <c r="S117" s="44" t="str">
        <f t="shared" si="37"/>
        <v/>
      </c>
      <c r="T117" s="37" t="str">
        <f t="shared" si="38"/>
        <v/>
      </c>
      <c r="U117" s="44" t="str">
        <f t="shared" si="39"/>
        <v/>
      </c>
      <c r="V117" s="26"/>
      <c r="W117" s="26"/>
      <c r="X117" s="26"/>
      <c r="Y117" s="26"/>
      <c r="Z117" s="24"/>
      <c r="AA117" s="169">
        <f t="shared" si="24"/>
        <v>0</v>
      </c>
      <c r="AB117" s="4">
        <f t="shared" si="25"/>
        <v>0</v>
      </c>
      <c r="AC117" s="170">
        <f t="shared" si="42"/>
        <v>0</v>
      </c>
      <c r="AD117" s="58"/>
      <c r="AE117" s="58"/>
      <c r="AF117" s="58"/>
      <c r="AG117" s="59">
        <f t="shared" si="26"/>
        <v>9.0359999999999996</v>
      </c>
      <c r="AH117" s="59">
        <f t="shared" si="27"/>
        <v>-184.49199999999999</v>
      </c>
      <c r="AJ117" s="4">
        <f>IF(D117="M",IF(AM117&lt;78,BMILMS!$D$5*AM117^3+BMILMS!$E$5*AM117^2+BMILMS!$F$5*AM117+BMILMS!$G$5,IF(AM117&lt;150,BMILMS!$D$6*AM117^3+BMILMS!$E$6*AM117^2+BMILMS!$F$6*AM117+BMILMS!$G$6,BMILMS!$D$7*AM117^3+BMILMS!$E$7*AM117^2+BMILMS!$F$7*AM117+BMILMS!$G$7)),IF(AM117&lt;69,BMILMS!$D$9*AM117^3+BMILMS!$E$9*AM117^2+BMILMS!$F$9*AM117+BMILMS!$G$9,IF(AM117&lt;150,BMILMS!$D$10*AM117^3+BMILMS!$E$10*AM117^2+BMILMS!$F$10*AM117+BMILMS!$G$10,BMILMS!$D$11*AM117^3+BMILMS!$E$11*AM117^2+BMILMS!$F$11*AM117+BMILMS!$G$11)))</f>
        <v>0.79584630099999998</v>
      </c>
      <c r="AK117" s="4">
        <f>IF(D117="M",(IF(AM117&lt;2.5,BMILMS!$D$21*AM117^3+BMILMS!$E$21*AM117^2+BMILMS!$F$21*AM117+BMILMS!$G$21,IF(AM117&lt;9.5,BMILMS!$D$22*AM117^3+BMILMS!$E$22*AM117^2+BMILMS!$F$22*AM117+BMILMS!$G$22,IF(AM117&lt;26.75,BMILMS!$D$23*AM117^3+BMILMS!$E$23*AM117^2+BMILMS!$F$23*AM117+BMILMS!$G$23,IF(AM117&lt;90,BMILMS!$D$24*AM117^3+BMILMS!$E$24*AM117^2+BMILMS!$F$24*AM117+BMILMS!$G$24,BMILMS!$D$25*AM117^3+BMILMS!$E$25*AM117^2+BMILMS!$F$25*AM117+BMILMS!$G$25))))),(IF(AM117&lt;2.5,BMILMS!$D$27*AM117^3+BMILMS!$E$27*AM117^2+BMILMS!$F$27*AM117+BMILMS!$G$27,IF(AM117&lt;9.5,BMILMS!$D$28*AM117^3+BMILMS!$E$28*AM117^2+BMILMS!$F$28*AM117+BMILMS!$G$28,IF(AM117&lt;26.75,BMILMS!$D$29*AM117^3+BMILMS!$E$29*AM117^2+BMILMS!$F$29*AM117+BMILMS!$G$29,IF(AM117&lt;90,BMILMS!$D$30*AM117^3+BMILMS!$E$30*AM117^2+BMILMS!$F$30*AM117+BMILMS!$G$30,IF(AM117&lt;150,BMILMS!$D$31*AM117^3+BMILMS!$E$31*AM117^2+BMILMS!$F$31*AM117+BMILMS!$G$31,BMILMS!$D$32*AM117^3+BMILMS!$E$32*AM117^2+BMILMS!$F$32*AM117+BMILMS!$G$32)))))))</f>
        <v>12.568967990000001</v>
      </c>
      <c r="AL117" s="4">
        <f>IF(D117="M",(IF(AM117&lt;90,BMILMS!$D$14*AM117^3+BMILMS!$E$14*AM117^2+BMILMS!$F$14*AM117+BMILMS!$G$14,BMILMS!$D$15*AM117^3+BMILMS!$E$15*AM117^2+BMILMS!$F$15*AM117+BMILMS!$G$15)),(IF(AM117&lt;90,BMILMS!$D$17*AM117^3+BMILMS!$E$17*AM117^2+BMILMS!$F$17*AM117+BMILMS!$G$17,BMILMS!$D$18*AM117^3+BMILMS!$E$18*AM117^2+BMILMS!$F$18*AM117+BMILMS!$G$18)))</f>
        <v>8.8969350000000003E-2</v>
      </c>
      <c r="AM117" s="4">
        <f t="shared" si="41"/>
        <v>0</v>
      </c>
      <c r="AO117" s="56">
        <f>IF(D117="M",WeightSDS!P$5*$AM117^7+WeightSDS!Q$5*$AM117^6+WeightSDS!R$5*$AM117^5+WeightSDS!S$5*$AM117^4+WeightSDS!T$5*$AM117^3+WeightSDS!U$5*$AM117^2+WeightSDS!V$5*$AM117+WeightSDS!W$5,IF($AM117&lt;186,WeightSDS!P$8*$AM117^7+WeightSDS!Q$8*$AM117^6+WeightSDS!R$8*$AM117^5+WeightSDS!S$8*$AM117^4+WeightSDS!T$8*$AM117^3+WeightSDS!U$8*$AM117^2+WeightSDS!V$8*$AM117+WeightSDS!W$8,WeightSDS!$U$9+WeightSDS!$V$9*($AM117-WeightSDS!$W$9)))</f>
        <v>0.75407122999999998</v>
      </c>
      <c r="AP117" s="4">
        <f>IF(D117="M",IF($AM117&lt;45,WeightSDS!M$23*$AM117^10+WeightSDS!N$23*$AM117^9+WeightSDS!O$23*$AM117^8+WeightSDS!P$23*$AM117^7+WeightSDS!Q$23*$AM117^6+WeightSDS!R$23*$AM117^5+WeightSDS!S$23*$AM117^4+WeightSDS!T$23*$AM117^3+WeightSDS!U$23*$AM117^2+WeightSDS!V$23*$AM117+WeightSDS!W$23,IF($AM117&lt;153,WeightSDS!M$25*$AM117^10+WeightSDS!N$25*$AM117^9+WeightSDS!O$25*$AM117^8+WeightSDS!P$25*$AM117^7+WeightSDS!Q$25*$AM117^6+WeightSDS!R$25*$AM117^5+WeightSDS!S$25*$AM117^4+WeightSDS!T$25*$AM117^3+WeightSDS!U$25*$AM117^2+WeightSDS!V$25*$AM117+WeightSDS!W$25,WeightSDS!M$27+WeightSDS!N$27/(1+EXP(WeightSDS!O$27+WeightSDS!P$27*$AM117)))),IF($AM117&lt;43.8,WeightSDS!M$29*$AM117^10+WeightSDS!N$29*$AM117^9+WeightSDS!O$29*$AM117^8+WeightSDS!P$29*$AM117^7+WeightSDS!Q$29*$AM117^6+WeightSDS!R$29*$AM117^5+WeightSDS!S$29*$AM117^4+WeightSDS!T$29*$AM117^3+WeightSDS!U$29*$AM117^2+WeightSDS!V$29*$AM117+WeightSDS!W$29-0.010431*(1-$AM117/210),IF($AM117&lt;123,WeightSDS!M$30*$AM117^10+WeightSDS!N$30*$AM117^9+WeightSDS!O$30*$AM117^8+WeightSDS!P$30*$AM117^7+WeightSDS!Q$30*$AM117^6+WeightSDS!R$30*$AM117^5+WeightSDS!S$30*$AM117^4+WeightSDS!T$30*$AM117^3+WeightSDS!U$30*$AM117^2+WeightSDS!V$30*$AM117+WeightSDS!W$30-0.010431*(1-1/$AM117),WeightSDS!M$32+WeightSDS!N$32/(1+EXP(WeightSDS!O$32+WeightSDS!P$32*$AM117))-0.010431*(1-$AM117/210))))</f>
        <v>2.9500001032655536</v>
      </c>
      <c r="AQ117" s="4">
        <f>IF(D117="M",IF($AM117&lt;162,WeightSDS!P$12*$AM117^7+WeightSDS!Q$12*$AM117^6+WeightSDS!R$12*$AM117^5+WeightSDS!S$12*$AM117^4+WeightSDS!T$12*$AM117^3+WeightSDS!U$12*$AM117^2+WeightSDS!V$12*$AM117+WeightSDS!W$12,WeightSDS!P$14*$AM117^7+WeightSDS!Q$14*$AM117^6+WeightSDS!R$14*$AM117^5+WeightSDS!S$14*$AM117^4+WeightSDS!T$14*$AM117^3+WeightSDS!U$14*$AM117^2+WeightSDS!V$14*$AM117+WeightSDS!W$14),IF($AM117&lt;156,WeightSDS!O$17*$AM117^8+WeightSDS!P$17*$AM117^7+WeightSDS!Q$17*$AM117^6+WeightSDS!R$17*$AM117^5+WeightSDS!S$17*$AM117^4+WeightSDS!T$17*$AM117^3+WeightSDS!U$17*$AM117^2+WeightSDS!V$17*$AM117+WeightSDS!W$17,IF($AM117&lt;186,WeightSDS!$U$18+(WeightSDS!$V$18-WeightSDS!$U$18)/24*($AM117-186)+WeightSDS!$W$18*(-$AM117+186)^2-0.005,WeightSDS!$U$18+(WeightSDS!$V$18-WeightSDS!$U$18)/24*($AM117-186)-0.005)))</f>
        <v>0.14604529399999999</v>
      </c>
      <c r="AT117" s="4">
        <f t="shared" si="28"/>
        <v>0.56299999999999994</v>
      </c>
      <c r="AU117" s="4">
        <f t="shared" si="29"/>
        <v>69</v>
      </c>
      <c r="AV117" s="4">
        <f t="shared" si="30"/>
        <v>0.51</v>
      </c>
    </row>
    <row r="118" spans="1:48" x14ac:dyDescent="0.15">
      <c r="A118" s="4"/>
      <c r="B118" s="21"/>
      <c r="C118" s="21"/>
      <c r="D118" s="21"/>
      <c r="E118" s="22"/>
      <c r="F118" s="22"/>
      <c r="G118" s="23"/>
      <c r="H118" s="23"/>
      <c r="I118" s="181"/>
      <c r="J118" s="8" t="str">
        <f t="shared" si="22"/>
        <v/>
      </c>
      <c r="K118" s="2" t="str">
        <f t="shared" si="31"/>
        <v/>
      </c>
      <c r="L118" s="2" t="str">
        <f t="shared" si="23"/>
        <v/>
      </c>
      <c r="M118" s="2" t="str">
        <f t="shared" si="32"/>
        <v/>
      </c>
      <c r="N118" s="2" t="str">
        <f t="shared" si="40"/>
        <v/>
      </c>
      <c r="O118" s="2" t="str">
        <f t="shared" si="33"/>
        <v/>
      </c>
      <c r="P118" s="8" t="str">
        <f t="shared" si="34"/>
        <v/>
      </c>
      <c r="Q118" s="8" t="str">
        <f t="shared" si="35"/>
        <v/>
      </c>
      <c r="R118" s="111" t="str">
        <f t="shared" si="36"/>
        <v/>
      </c>
      <c r="S118" s="44" t="str">
        <f t="shared" si="37"/>
        <v/>
      </c>
      <c r="T118" s="37" t="str">
        <f t="shared" si="38"/>
        <v/>
      </c>
      <c r="U118" s="44" t="str">
        <f t="shared" si="39"/>
        <v/>
      </c>
      <c r="V118" s="26"/>
      <c r="W118" s="26"/>
      <c r="X118" s="26"/>
      <c r="Y118" s="26"/>
      <c r="Z118" s="24"/>
      <c r="AA118" s="169">
        <f t="shared" si="24"/>
        <v>0</v>
      </c>
      <c r="AB118" s="4">
        <f t="shared" si="25"/>
        <v>0</v>
      </c>
      <c r="AC118" s="170">
        <f t="shared" si="42"/>
        <v>0</v>
      </c>
      <c r="AD118" s="58"/>
      <c r="AE118" s="58"/>
      <c r="AF118" s="58"/>
      <c r="AG118" s="59">
        <f t="shared" si="26"/>
        <v>9.0359999999999996</v>
      </c>
      <c r="AH118" s="59">
        <f t="shared" si="27"/>
        <v>-184.49199999999999</v>
      </c>
      <c r="AJ118" s="4">
        <f>IF(D118="M",IF(AM118&lt;78,BMILMS!$D$5*AM118^3+BMILMS!$E$5*AM118^2+BMILMS!$F$5*AM118+BMILMS!$G$5,IF(AM118&lt;150,BMILMS!$D$6*AM118^3+BMILMS!$E$6*AM118^2+BMILMS!$F$6*AM118+BMILMS!$G$6,BMILMS!$D$7*AM118^3+BMILMS!$E$7*AM118^2+BMILMS!$F$7*AM118+BMILMS!$G$7)),IF(AM118&lt;69,BMILMS!$D$9*AM118^3+BMILMS!$E$9*AM118^2+BMILMS!$F$9*AM118+BMILMS!$G$9,IF(AM118&lt;150,BMILMS!$D$10*AM118^3+BMILMS!$E$10*AM118^2+BMILMS!$F$10*AM118+BMILMS!$G$10,BMILMS!$D$11*AM118^3+BMILMS!$E$11*AM118^2+BMILMS!$F$11*AM118+BMILMS!$G$11)))</f>
        <v>0.79584630099999998</v>
      </c>
      <c r="AK118" s="4">
        <f>IF(D118="M",(IF(AM118&lt;2.5,BMILMS!$D$21*AM118^3+BMILMS!$E$21*AM118^2+BMILMS!$F$21*AM118+BMILMS!$G$21,IF(AM118&lt;9.5,BMILMS!$D$22*AM118^3+BMILMS!$E$22*AM118^2+BMILMS!$F$22*AM118+BMILMS!$G$22,IF(AM118&lt;26.75,BMILMS!$D$23*AM118^3+BMILMS!$E$23*AM118^2+BMILMS!$F$23*AM118+BMILMS!$G$23,IF(AM118&lt;90,BMILMS!$D$24*AM118^3+BMILMS!$E$24*AM118^2+BMILMS!$F$24*AM118+BMILMS!$G$24,BMILMS!$D$25*AM118^3+BMILMS!$E$25*AM118^2+BMILMS!$F$25*AM118+BMILMS!$G$25))))),(IF(AM118&lt;2.5,BMILMS!$D$27*AM118^3+BMILMS!$E$27*AM118^2+BMILMS!$F$27*AM118+BMILMS!$G$27,IF(AM118&lt;9.5,BMILMS!$D$28*AM118^3+BMILMS!$E$28*AM118^2+BMILMS!$F$28*AM118+BMILMS!$G$28,IF(AM118&lt;26.75,BMILMS!$D$29*AM118^3+BMILMS!$E$29*AM118^2+BMILMS!$F$29*AM118+BMILMS!$G$29,IF(AM118&lt;90,BMILMS!$D$30*AM118^3+BMILMS!$E$30*AM118^2+BMILMS!$F$30*AM118+BMILMS!$G$30,IF(AM118&lt;150,BMILMS!$D$31*AM118^3+BMILMS!$E$31*AM118^2+BMILMS!$F$31*AM118+BMILMS!$G$31,BMILMS!$D$32*AM118^3+BMILMS!$E$32*AM118^2+BMILMS!$F$32*AM118+BMILMS!$G$32)))))))</f>
        <v>12.568967990000001</v>
      </c>
      <c r="AL118" s="4">
        <f>IF(D118="M",(IF(AM118&lt;90,BMILMS!$D$14*AM118^3+BMILMS!$E$14*AM118^2+BMILMS!$F$14*AM118+BMILMS!$G$14,BMILMS!$D$15*AM118^3+BMILMS!$E$15*AM118^2+BMILMS!$F$15*AM118+BMILMS!$G$15)),(IF(AM118&lt;90,BMILMS!$D$17*AM118^3+BMILMS!$E$17*AM118^2+BMILMS!$F$17*AM118+BMILMS!$G$17,BMILMS!$D$18*AM118^3+BMILMS!$E$18*AM118^2+BMILMS!$F$18*AM118+BMILMS!$G$18)))</f>
        <v>8.8969350000000003E-2</v>
      </c>
      <c r="AM118" s="4">
        <f t="shared" si="41"/>
        <v>0</v>
      </c>
      <c r="AO118" s="56">
        <f>IF(D118="M",WeightSDS!P$5*$AM118^7+WeightSDS!Q$5*$AM118^6+WeightSDS!R$5*$AM118^5+WeightSDS!S$5*$AM118^4+WeightSDS!T$5*$AM118^3+WeightSDS!U$5*$AM118^2+WeightSDS!V$5*$AM118+WeightSDS!W$5,IF($AM118&lt;186,WeightSDS!P$8*$AM118^7+WeightSDS!Q$8*$AM118^6+WeightSDS!R$8*$AM118^5+WeightSDS!S$8*$AM118^4+WeightSDS!T$8*$AM118^3+WeightSDS!U$8*$AM118^2+WeightSDS!V$8*$AM118+WeightSDS!W$8,WeightSDS!$U$9+WeightSDS!$V$9*($AM118-WeightSDS!$W$9)))</f>
        <v>0.75407122999999998</v>
      </c>
      <c r="AP118" s="4">
        <f>IF(D118="M",IF($AM118&lt;45,WeightSDS!M$23*$AM118^10+WeightSDS!N$23*$AM118^9+WeightSDS!O$23*$AM118^8+WeightSDS!P$23*$AM118^7+WeightSDS!Q$23*$AM118^6+WeightSDS!R$23*$AM118^5+WeightSDS!S$23*$AM118^4+WeightSDS!T$23*$AM118^3+WeightSDS!U$23*$AM118^2+WeightSDS!V$23*$AM118+WeightSDS!W$23,IF($AM118&lt;153,WeightSDS!M$25*$AM118^10+WeightSDS!N$25*$AM118^9+WeightSDS!O$25*$AM118^8+WeightSDS!P$25*$AM118^7+WeightSDS!Q$25*$AM118^6+WeightSDS!R$25*$AM118^5+WeightSDS!S$25*$AM118^4+WeightSDS!T$25*$AM118^3+WeightSDS!U$25*$AM118^2+WeightSDS!V$25*$AM118+WeightSDS!W$25,WeightSDS!M$27+WeightSDS!N$27/(1+EXP(WeightSDS!O$27+WeightSDS!P$27*$AM118)))),IF($AM118&lt;43.8,WeightSDS!M$29*$AM118^10+WeightSDS!N$29*$AM118^9+WeightSDS!O$29*$AM118^8+WeightSDS!P$29*$AM118^7+WeightSDS!Q$29*$AM118^6+WeightSDS!R$29*$AM118^5+WeightSDS!S$29*$AM118^4+WeightSDS!T$29*$AM118^3+WeightSDS!U$29*$AM118^2+WeightSDS!V$29*$AM118+WeightSDS!W$29-0.010431*(1-$AM118/210),IF($AM118&lt;123,WeightSDS!M$30*$AM118^10+WeightSDS!N$30*$AM118^9+WeightSDS!O$30*$AM118^8+WeightSDS!P$30*$AM118^7+WeightSDS!Q$30*$AM118^6+WeightSDS!R$30*$AM118^5+WeightSDS!S$30*$AM118^4+WeightSDS!T$30*$AM118^3+WeightSDS!U$30*$AM118^2+WeightSDS!V$30*$AM118+WeightSDS!W$30-0.010431*(1-1/$AM118),WeightSDS!M$32+WeightSDS!N$32/(1+EXP(WeightSDS!O$32+WeightSDS!P$32*$AM118))-0.010431*(1-$AM118/210))))</f>
        <v>2.9500001032655536</v>
      </c>
      <c r="AQ118" s="4">
        <f>IF(D118="M",IF($AM118&lt;162,WeightSDS!P$12*$AM118^7+WeightSDS!Q$12*$AM118^6+WeightSDS!R$12*$AM118^5+WeightSDS!S$12*$AM118^4+WeightSDS!T$12*$AM118^3+WeightSDS!U$12*$AM118^2+WeightSDS!V$12*$AM118+WeightSDS!W$12,WeightSDS!P$14*$AM118^7+WeightSDS!Q$14*$AM118^6+WeightSDS!R$14*$AM118^5+WeightSDS!S$14*$AM118^4+WeightSDS!T$14*$AM118^3+WeightSDS!U$14*$AM118^2+WeightSDS!V$14*$AM118+WeightSDS!W$14),IF($AM118&lt;156,WeightSDS!O$17*$AM118^8+WeightSDS!P$17*$AM118^7+WeightSDS!Q$17*$AM118^6+WeightSDS!R$17*$AM118^5+WeightSDS!S$17*$AM118^4+WeightSDS!T$17*$AM118^3+WeightSDS!U$17*$AM118^2+WeightSDS!V$17*$AM118+WeightSDS!W$17,IF($AM118&lt;186,WeightSDS!$U$18+(WeightSDS!$V$18-WeightSDS!$U$18)/24*($AM118-186)+WeightSDS!$W$18*(-$AM118+186)^2-0.005,WeightSDS!$U$18+(WeightSDS!$V$18-WeightSDS!$U$18)/24*($AM118-186)-0.005)))</f>
        <v>0.14604529399999999</v>
      </c>
      <c r="AT118" s="4">
        <f t="shared" si="28"/>
        <v>0.56299999999999994</v>
      </c>
      <c r="AU118" s="4">
        <f t="shared" si="29"/>
        <v>69</v>
      </c>
      <c r="AV118" s="4">
        <f t="shared" si="30"/>
        <v>0.51</v>
      </c>
    </row>
    <row r="119" spans="1:48" x14ac:dyDescent="0.15">
      <c r="A119" s="4"/>
      <c r="B119" s="21"/>
      <c r="C119" s="21"/>
      <c r="D119" s="21"/>
      <c r="E119" s="22"/>
      <c r="F119" s="22"/>
      <c r="G119" s="23"/>
      <c r="H119" s="23"/>
      <c r="I119" s="181"/>
      <c r="J119" s="8" t="str">
        <f t="shared" si="22"/>
        <v/>
      </c>
      <c r="K119" s="2" t="str">
        <f t="shared" si="31"/>
        <v/>
      </c>
      <c r="L119" s="2" t="str">
        <f t="shared" si="23"/>
        <v/>
      </c>
      <c r="M119" s="2" t="str">
        <f t="shared" si="32"/>
        <v/>
      </c>
      <c r="N119" s="2" t="str">
        <f t="shared" si="40"/>
        <v/>
      </c>
      <c r="O119" s="2" t="str">
        <f t="shared" si="33"/>
        <v/>
      </c>
      <c r="P119" s="8" t="str">
        <f t="shared" si="34"/>
        <v/>
      </c>
      <c r="Q119" s="8" t="str">
        <f t="shared" si="35"/>
        <v/>
      </c>
      <c r="R119" s="111" t="str">
        <f t="shared" si="36"/>
        <v/>
      </c>
      <c r="S119" s="44" t="str">
        <f t="shared" si="37"/>
        <v/>
      </c>
      <c r="T119" s="37" t="str">
        <f t="shared" si="38"/>
        <v/>
      </c>
      <c r="U119" s="44" t="str">
        <f t="shared" si="39"/>
        <v/>
      </c>
      <c r="V119" s="26"/>
      <c r="W119" s="26"/>
      <c r="X119" s="26"/>
      <c r="Y119" s="26"/>
      <c r="Z119" s="24"/>
      <c r="AA119" s="169">
        <f t="shared" si="24"/>
        <v>0</v>
      </c>
      <c r="AB119" s="4">
        <f t="shared" si="25"/>
        <v>0</v>
      </c>
      <c r="AC119" s="170">
        <f t="shared" si="42"/>
        <v>0</v>
      </c>
      <c r="AD119" s="58"/>
      <c r="AE119" s="58"/>
      <c r="AF119" s="58"/>
      <c r="AG119" s="59">
        <f t="shared" si="26"/>
        <v>9.0359999999999996</v>
      </c>
      <c r="AH119" s="59">
        <f t="shared" si="27"/>
        <v>-184.49199999999999</v>
      </c>
      <c r="AJ119" s="4">
        <f>IF(D119="M",IF(AM119&lt;78,BMILMS!$D$5*AM119^3+BMILMS!$E$5*AM119^2+BMILMS!$F$5*AM119+BMILMS!$G$5,IF(AM119&lt;150,BMILMS!$D$6*AM119^3+BMILMS!$E$6*AM119^2+BMILMS!$F$6*AM119+BMILMS!$G$6,BMILMS!$D$7*AM119^3+BMILMS!$E$7*AM119^2+BMILMS!$F$7*AM119+BMILMS!$G$7)),IF(AM119&lt;69,BMILMS!$D$9*AM119^3+BMILMS!$E$9*AM119^2+BMILMS!$F$9*AM119+BMILMS!$G$9,IF(AM119&lt;150,BMILMS!$D$10*AM119^3+BMILMS!$E$10*AM119^2+BMILMS!$F$10*AM119+BMILMS!$G$10,BMILMS!$D$11*AM119^3+BMILMS!$E$11*AM119^2+BMILMS!$F$11*AM119+BMILMS!$G$11)))</f>
        <v>0.79584630099999998</v>
      </c>
      <c r="AK119" s="4">
        <f>IF(D119="M",(IF(AM119&lt;2.5,BMILMS!$D$21*AM119^3+BMILMS!$E$21*AM119^2+BMILMS!$F$21*AM119+BMILMS!$G$21,IF(AM119&lt;9.5,BMILMS!$D$22*AM119^3+BMILMS!$E$22*AM119^2+BMILMS!$F$22*AM119+BMILMS!$G$22,IF(AM119&lt;26.75,BMILMS!$D$23*AM119^3+BMILMS!$E$23*AM119^2+BMILMS!$F$23*AM119+BMILMS!$G$23,IF(AM119&lt;90,BMILMS!$D$24*AM119^3+BMILMS!$E$24*AM119^2+BMILMS!$F$24*AM119+BMILMS!$G$24,BMILMS!$D$25*AM119^3+BMILMS!$E$25*AM119^2+BMILMS!$F$25*AM119+BMILMS!$G$25))))),(IF(AM119&lt;2.5,BMILMS!$D$27*AM119^3+BMILMS!$E$27*AM119^2+BMILMS!$F$27*AM119+BMILMS!$G$27,IF(AM119&lt;9.5,BMILMS!$D$28*AM119^3+BMILMS!$E$28*AM119^2+BMILMS!$F$28*AM119+BMILMS!$G$28,IF(AM119&lt;26.75,BMILMS!$D$29*AM119^3+BMILMS!$E$29*AM119^2+BMILMS!$F$29*AM119+BMILMS!$G$29,IF(AM119&lt;90,BMILMS!$D$30*AM119^3+BMILMS!$E$30*AM119^2+BMILMS!$F$30*AM119+BMILMS!$G$30,IF(AM119&lt;150,BMILMS!$D$31*AM119^3+BMILMS!$E$31*AM119^2+BMILMS!$F$31*AM119+BMILMS!$G$31,BMILMS!$D$32*AM119^3+BMILMS!$E$32*AM119^2+BMILMS!$F$32*AM119+BMILMS!$G$32)))))))</f>
        <v>12.568967990000001</v>
      </c>
      <c r="AL119" s="4">
        <f>IF(D119="M",(IF(AM119&lt;90,BMILMS!$D$14*AM119^3+BMILMS!$E$14*AM119^2+BMILMS!$F$14*AM119+BMILMS!$G$14,BMILMS!$D$15*AM119^3+BMILMS!$E$15*AM119^2+BMILMS!$F$15*AM119+BMILMS!$G$15)),(IF(AM119&lt;90,BMILMS!$D$17*AM119^3+BMILMS!$E$17*AM119^2+BMILMS!$F$17*AM119+BMILMS!$G$17,BMILMS!$D$18*AM119^3+BMILMS!$E$18*AM119^2+BMILMS!$F$18*AM119+BMILMS!$G$18)))</f>
        <v>8.8969350000000003E-2</v>
      </c>
      <c r="AM119" s="4">
        <f t="shared" si="41"/>
        <v>0</v>
      </c>
      <c r="AO119" s="56">
        <f>IF(D119="M",WeightSDS!P$5*$AM119^7+WeightSDS!Q$5*$AM119^6+WeightSDS!R$5*$AM119^5+WeightSDS!S$5*$AM119^4+WeightSDS!T$5*$AM119^3+WeightSDS!U$5*$AM119^2+WeightSDS!V$5*$AM119+WeightSDS!W$5,IF($AM119&lt;186,WeightSDS!P$8*$AM119^7+WeightSDS!Q$8*$AM119^6+WeightSDS!R$8*$AM119^5+WeightSDS!S$8*$AM119^4+WeightSDS!T$8*$AM119^3+WeightSDS!U$8*$AM119^2+WeightSDS!V$8*$AM119+WeightSDS!W$8,WeightSDS!$U$9+WeightSDS!$V$9*($AM119-WeightSDS!$W$9)))</f>
        <v>0.75407122999999998</v>
      </c>
      <c r="AP119" s="4">
        <f>IF(D119="M",IF($AM119&lt;45,WeightSDS!M$23*$AM119^10+WeightSDS!N$23*$AM119^9+WeightSDS!O$23*$AM119^8+WeightSDS!P$23*$AM119^7+WeightSDS!Q$23*$AM119^6+WeightSDS!R$23*$AM119^5+WeightSDS!S$23*$AM119^4+WeightSDS!T$23*$AM119^3+WeightSDS!U$23*$AM119^2+WeightSDS!V$23*$AM119+WeightSDS!W$23,IF($AM119&lt;153,WeightSDS!M$25*$AM119^10+WeightSDS!N$25*$AM119^9+WeightSDS!O$25*$AM119^8+WeightSDS!P$25*$AM119^7+WeightSDS!Q$25*$AM119^6+WeightSDS!R$25*$AM119^5+WeightSDS!S$25*$AM119^4+WeightSDS!T$25*$AM119^3+WeightSDS!U$25*$AM119^2+WeightSDS!V$25*$AM119+WeightSDS!W$25,WeightSDS!M$27+WeightSDS!N$27/(1+EXP(WeightSDS!O$27+WeightSDS!P$27*$AM119)))),IF($AM119&lt;43.8,WeightSDS!M$29*$AM119^10+WeightSDS!N$29*$AM119^9+WeightSDS!O$29*$AM119^8+WeightSDS!P$29*$AM119^7+WeightSDS!Q$29*$AM119^6+WeightSDS!R$29*$AM119^5+WeightSDS!S$29*$AM119^4+WeightSDS!T$29*$AM119^3+WeightSDS!U$29*$AM119^2+WeightSDS!V$29*$AM119+WeightSDS!W$29-0.010431*(1-$AM119/210),IF($AM119&lt;123,WeightSDS!M$30*$AM119^10+WeightSDS!N$30*$AM119^9+WeightSDS!O$30*$AM119^8+WeightSDS!P$30*$AM119^7+WeightSDS!Q$30*$AM119^6+WeightSDS!R$30*$AM119^5+WeightSDS!S$30*$AM119^4+WeightSDS!T$30*$AM119^3+WeightSDS!U$30*$AM119^2+WeightSDS!V$30*$AM119+WeightSDS!W$30-0.010431*(1-1/$AM119),WeightSDS!M$32+WeightSDS!N$32/(1+EXP(WeightSDS!O$32+WeightSDS!P$32*$AM119))-0.010431*(1-$AM119/210))))</f>
        <v>2.9500001032655536</v>
      </c>
      <c r="AQ119" s="4">
        <f>IF(D119="M",IF($AM119&lt;162,WeightSDS!P$12*$AM119^7+WeightSDS!Q$12*$AM119^6+WeightSDS!R$12*$AM119^5+WeightSDS!S$12*$AM119^4+WeightSDS!T$12*$AM119^3+WeightSDS!U$12*$AM119^2+WeightSDS!V$12*$AM119+WeightSDS!W$12,WeightSDS!P$14*$AM119^7+WeightSDS!Q$14*$AM119^6+WeightSDS!R$14*$AM119^5+WeightSDS!S$14*$AM119^4+WeightSDS!T$14*$AM119^3+WeightSDS!U$14*$AM119^2+WeightSDS!V$14*$AM119+WeightSDS!W$14),IF($AM119&lt;156,WeightSDS!O$17*$AM119^8+WeightSDS!P$17*$AM119^7+WeightSDS!Q$17*$AM119^6+WeightSDS!R$17*$AM119^5+WeightSDS!S$17*$AM119^4+WeightSDS!T$17*$AM119^3+WeightSDS!U$17*$AM119^2+WeightSDS!V$17*$AM119+WeightSDS!W$17,IF($AM119&lt;186,WeightSDS!$U$18+(WeightSDS!$V$18-WeightSDS!$U$18)/24*($AM119-186)+WeightSDS!$W$18*(-$AM119+186)^2-0.005,WeightSDS!$U$18+(WeightSDS!$V$18-WeightSDS!$U$18)/24*($AM119-186)-0.005)))</f>
        <v>0.14604529399999999</v>
      </c>
      <c r="AT119" s="4">
        <f t="shared" si="28"/>
        <v>0.56299999999999994</v>
      </c>
      <c r="AU119" s="4">
        <f t="shared" si="29"/>
        <v>69</v>
      </c>
      <c r="AV119" s="4">
        <f t="shared" si="30"/>
        <v>0.51</v>
      </c>
    </row>
    <row r="120" spans="1:48" x14ac:dyDescent="0.15">
      <c r="A120" s="4"/>
      <c r="B120" s="21"/>
      <c r="C120" s="21"/>
      <c r="D120" s="21"/>
      <c r="E120" s="22"/>
      <c r="F120" s="22"/>
      <c r="G120" s="23"/>
      <c r="H120" s="23"/>
      <c r="I120" s="181"/>
      <c r="J120" s="8" t="str">
        <f t="shared" si="22"/>
        <v/>
      </c>
      <c r="K120" s="2" t="str">
        <f t="shared" si="31"/>
        <v/>
      </c>
      <c r="L120" s="2" t="str">
        <f t="shared" si="23"/>
        <v/>
      </c>
      <c r="M120" s="2" t="str">
        <f t="shared" si="32"/>
        <v/>
      </c>
      <c r="N120" s="2" t="str">
        <f t="shared" si="40"/>
        <v/>
      </c>
      <c r="O120" s="2" t="str">
        <f t="shared" si="33"/>
        <v/>
      </c>
      <c r="P120" s="8" t="str">
        <f t="shared" si="34"/>
        <v/>
      </c>
      <c r="Q120" s="8" t="str">
        <f t="shared" si="35"/>
        <v/>
      </c>
      <c r="R120" s="111" t="str">
        <f t="shared" si="36"/>
        <v/>
      </c>
      <c r="S120" s="44" t="str">
        <f t="shared" si="37"/>
        <v/>
      </c>
      <c r="T120" s="37" t="str">
        <f t="shared" si="38"/>
        <v/>
      </c>
      <c r="U120" s="44" t="str">
        <f t="shared" si="39"/>
        <v/>
      </c>
      <c r="V120" s="26"/>
      <c r="W120" s="26"/>
      <c r="X120" s="26"/>
      <c r="Y120" s="26"/>
      <c r="Z120" s="24"/>
      <c r="AA120" s="169">
        <f t="shared" si="24"/>
        <v>0</v>
      </c>
      <c r="AB120" s="4">
        <f t="shared" si="25"/>
        <v>0</v>
      </c>
      <c r="AC120" s="170">
        <f t="shared" si="42"/>
        <v>0</v>
      </c>
      <c r="AD120" s="58"/>
      <c r="AE120" s="58"/>
      <c r="AF120" s="58"/>
      <c r="AG120" s="59">
        <f t="shared" si="26"/>
        <v>9.0359999999999996</v>
      </c>
      <c r="AH120" s="59">
        <f t="shared" si="27"/>
        <v>-184.49199999999999</v>
      </c>
      <c r="AJ120" s="4">
        <f>IF(D120="M",IF(AM120&lt;78,BMILMS!$D$5*AM120^3+BMILMS!$E$5*AM120^2+BMILMS!$F$5*AM120+BMILMS!$G$5,IF(AM120&lt;150,BMILMS!$D$6*AM120^3+BMILMS!$E$6*AM120^2+BMILMS!$F$6*AM120+BMILMS!$G$6,BMILMS!$D$7*AM120^3+BMILMS!$E$7*AM120^2+BMILMS!$F$7*AM120+BMILMS!$G$7)),IF(AM120&lt;69,BMILMS!$D$9*AM120^3+BMILMS!$E$9*AM120^2+BMILMS!$F$9*AM120+BMILMS!$G$9,IF(AM120&lt;150,BMILMS!$D$10*AM120^3+BMILMS!$E$10*AM120^2+BMILMS!$F$10*AM120+BMILMS!$G$10,BMILMS!$D$11*AM120^3+BMILMS!$E$11*AM120^2+BMILMS!$F$11*AM120+BMILMS!$G$11)))</f>
        <v>0.79584630099999998</v>
      </c>
      <c r="AK120" s="4">
        <f>IF(D120="M",(IF(AM120&lt;2.5,BMILMS!$D$21*AM120^3+BMILMS!$E$21*AM120^2+BMILMS!$F$21*AM120+BMILMS!$G$21,IF(AM120&lt;9.5,BMILMS!$D$22*AM120^3+BMILMS!$E$22*AM120^2+BMILMS!$F$22*AM120+BMILMS!$G$22,IF(AM120&lt;26.75,BMILMS!$D$23*AM120^3+BMILMS!$E$23*AM120^2+BMILMS!$F$23*AM120+BMILMS!$G$23,IF(AM120&lt;90,BMILMS!$D$24*AM120^3+BMILMS!$E$24*AM120^2+BMILMS!$F$24*AM120+BMILMS!$G$24,BMILMS!$D$25*AM120^3+BMILMS!$E$25*AM120^2+BMILMS!$F$25*AM120+BMILMS!$G$25))))),(IF(AM120&lt;2.5,BMILMS!$D$27*AM120^3+BMILMS!$E$27*AM120^2+BMILMS!$F$27*AM120+BMILMS!$G$27,IF(AM120&lt;9.5,BMILMS!$D$28*AM120^3+BMILMS!$E$28*AM120^2+BMILMS!$F$28*AM120+BMILMS!$G$28,IF(AM120&lt;26.75,BMILMS!$D$29*AM120^3+BMILMS!$E$29*AM120^2+BMILMS!$F$29*AM120+BMILMS!$G$29,IF(AM120&lt;90,BMILMS!$D$30*AM120^3+BMILMS!$E$30*AM120^2+BMILMS!$F$30*AM120+BMILMS!$G$30,IF(AM120&lt;150,BMILMS!$D$31*AM120^3+BMILMS!$E$31*AM120^2+BMILMS!$F$31*AM120+BMILMS!$G$31,BMILMS!$D$32*AM120^3+BMILMS!$E$32*AM120^2+BMILMS!$F$32*AM120+BMILMS!$G$32)))))))</f>
        <v>12.568967990000001</v>
      </c>
      <c r="AL120" s="4">
        <f>IF(D120="M",(IF(AM120&lt;90,BMILMS!$D$14*AM120^3+BMILMS!$E$14*AM120^2+BMILMS!$F$14*AM120+BMILMS!$G$14,BMILMS!$D$15*AM120^3+BMILMS!$E$15*AM120^2+BMILMS!$F$15*AM120+BMILMS!$G$15)),(IF(AM120&lt;90,BMILMS!$D$17*AM120^3+BMILMS!$E$17*AM120^2+BMILMS!$F$17*AM120+BMILMS!$G$17,BMILMS!$D$18*AM120^3+BMILMS!$E$18*AM120^2+BMILMS!$F$18*AM120+BMILMS!$G$18)))</f>
        <v>8.8969350000000003E-2</v>
      </c>
      <c r="AM120" s="4">
        <f t="shared" si="41"/>
        <v>0</v>
      </c>
      <c r="AO120" s="56">
        <f>IF(D120="M",WeightSDS!P$5*$AM120^7+WeightSDS!Q$5*$AM120^6+WeightSDS!R$5*$AM120^5+WeightSDS!S$5*$AM120^4+WeightSDS!T$5*$AM120^3+WeightSDS!U$5*$AM120^2+WeightSDS!V$5*$AM120+WeightSDS!W$5,IF($AM120&lt;186,WeightSDS!P$8*$AM120^7+WeightSDS!Q$8*$AM120^6+WeightSDS!R$8*$AM120^5+WeightSDS!S$8*$AM120^4+WeightSDS!T$8*$AM120^3+WeightSDS!U$8*$AM120^2+WeightSDS!V$8*$AM120+WeightSDS!W$8,WeightSDS!$U$9+WeightSDS!$V$9*($AM120-WeightSDS!$W$9)))</f>
        <v>0.75407122999999998</v>
      </c>
      <c r="AP120" s="4">
        <f>IF(D120="M",IF($AM120&lt;45,WeightSDS!M$23*$AM120^10+WeightSDS!N$23*$AM120^9+WeightSDS!O$23*$AM120^8+WeightSDS!P$23*$AM120^7+WeightSDS!Q$23*$AM120^6+WeightSDS!R$23*$AM120^5+WeightSDS!S$23*$AM120^4+WeightSDS!T$23*$AM120^3+WeightSDS!U$23*$AM120^2+WeightSDS!V$23*$AM120+WeightSDS!W$23,IF($AM120&lt;153,WeightSDS!M$25*$AM120^10+WeightSDS!N$25*$AM120^9+WeightSDS!O$25*$AM120^8+WeightSDS!P$25*$AM120^7+WeightSDS!Q$25*$AM120^6+WeightSDS!R$25*$AM120^5+WeightSDS!S$25*$AM120^4+WeightSDS!T$25*$AM120^3+WeightSDS!U$25*$AM120^2+WeightSDS!V$25*$AM120+WeightSDS!W$25,WeightSDS!M$27+WeightSDS!N$27/(1+EXP(WeightSDS!O$27+WeightSDS!P$27*$AM120)))),IF($AM120&lt;43.8,WeightSDS!M$29*$AM120^10+WeightSDS!N$29*$AM120^9+WeightSDS!O$29*$AM120^8+WeightSDS!P$29*$AM120^7+WeightSDS!Q$29*$AM120^6+WeightSDS!R$29*$AM120^5+WeightSDS!S$29*$AM120^4+WeightSDS!T$29*$AM120^3+WeightSDS!U$29*$AM120^2+WeightSDS!V$29*$AM120+WeightSDS!W$29-0.010431*(1-$AM120/210),IF($AM120&lt;123,WeightSDS!M$30*$AM120^10+WeightSDS!N$30*$AM120^9+WeightSDS!O$30*$AM120^8+WeightSDS!P$30*$AM120^7+WeightSDS!Q$30*$AM120^6+WeightSDS!R$30*$AM120^5+WeightSDS!S$30*$AM120^4+WeightSDS!T$30*$AM120^3+WeightSDS!U$30*$AM120^2+WeightSDS!V$30*$AM120+WeightSDS!W$30-0.010431*(1-1/$AM120),WeightSDS!M$32+WeightSDS!N$32/(1+EXP(WeightSDS!O$32+WeightSDS!P$32*$AM120))-0.010431*(1-$AM120/210))))</f>
        <v>2.9500001032655536</v>
      </c>
      <c r="AQ120" s="4">
        <f>IF(D120="M",IF($AM120&lt;162,WeightSDS!P$12*$AM120^7+WeightSDS!Q$12*$AM120^6+WeightSDS!R$12*$AM120^5+WeightSDS!S$12*$AM120^4+WeightSDS!T$12*$AM120^3+WeightSDS!U$12*$AM120^2+WeightSDS!V$12*$AM120+WeightSDS!W$12,WeightSDS!P$14*$AM120^7+WeightSDS!Q$14*$AM120^6+WeightSDS!R$14*$AM120^5+WeightSDS!S$14*$AM120^4+WeightSDS!T$14*$AM120^3+WeightSDS!U$14*$AM120^2+WeightSDS!V$14*$AM120+WeightSDS!W$14),IF($AM120&lt;156,WeightSDS!O$17*$AM120^8+WeightSDS!P$17*$AM120^7+WeightSDS!Q$17*$AM120^6+WeightSDS!R$17*$AM120^5+WeightSDS!S$17*$AM120^4+WeightSDS!T$17*$AM120^3+WeightSDS!U$17*$AM120^2+WeightSDS!V$17*$AM120+WeightSDS!W$17,IF($AM120&lt;186,WeightSDS!$U$18+(WeightSDS!$V$18-WeightSDS!$U$18)/24*($AM120-186)+WeightSDS!$W$18*(-$AM120+186)^2-0.005,WeightSDS!$U$18+(WeightSDS!$V$18-WeightSDS!$U$18)/24*($AM120-186)-0.005)))</f>
        <v>0.14604529399999999</v>
      </c>
      <c r="AT120" s="4">
        <f t="shared" si="28"/>
        <v>0.56299999999999994</v>
      </c>
      <c r="AU120" s="4">
        <f t="shared" si="29"/>
        <v>69</v>
      </c>
      <c r="AV120" s="4">
        <f t="shared" si="30"/>
        <v>0.51</v>
      </c>
    </row>
    <row r="121" spans="1:48" x14ac:dyDescent="0.15">
      <c r="A121" s="4"/>
      <c r="B121" s="21"/>
      <c r="C121" s="21"/>
      <c r="D121" s="21"/>
      <c r="E121" s="22"/>
      <c r="F121" s="22"/>
      <c r="G121" s="23"/>
      <c r="H121" s="23"/>
      <c r="I121" s="181"/>
      <c r="J121" s="8" t="str">
        <f t="shared" si="22"/>
        <v/>
      </c>
      <c r="K121" s="2" t="str">
        <f t="shared" si="31"/>
        <v/>
      </c>
      <c r="L121" s="2" t="str">
        <f t="shared" si="23"/>
        <v/>
      </c>
      <c r="M121" s="2" t="str">
        <f t="shared" si="32"/>
        <v/>
      </c>
      <c r="N121" s="2" t="str">
        <f t="shared" si="40"/>
        <v/>
      </c>
      <c r="O121" s="2" t="str">
        <f t="shared" si="33"/>
        <v/>
      </c>
      <c r="P121" s="8" t="str">
        <f t="shared" si="34"/>
        <v/>
      </c>
      <c r="Q121" s="8" t="str">
        <f t="shared" si="35"/>
        <v/>
      </c>
      <c r="R121" s="111" t="str">
        <f t="shared" si="36"/>
        <v/>
      </c>
      <c r="S121" s="44" t="str">
        <f t="shared" si="37"/>
        <v/>
      </c>
      <c r="T121" s="37" t="str">
        <f t="shared" si="38"/>
        <v/>
      </c>
      <c r="U121" s="44" t="str">
        <f t="shared" si="39"/>
        <v/>
      </c>
      <c r="V121" s="26"/>
      <c r="W121" s="26"/>
      <c r="X121" s="26"/>
      <c r="Y121" s="26"/>
      <c r="Z121" s="24"/>
      <c r="AA121" s="169">
        <f t="shared" si="24"/>
        <v>0</v>
      </c>
      <c r="AB121" s="4">
        <f t="shared" si="25"/>
        <v>0</v>
      </c>
      <c r="AC121" s="170">
        <f t="shared" si="42"/>
        <v>0</v>
      </c>
      <c r="AD121" s="58"/>
      <c r="AE121" s="58"/>
      <c r="AF121" s="58"/>
      <c r="AG121" s="59">
        <f t="shared" si="26"/>
        <v>9.0359999999999996</v>
      </c>
      <c r="AH121" s="59">
        <f t="shared" si="27"/>
        <v>-184.49199999999999</v>
      </c>
      <c r="AJ121" s="4">
        <f>IF(D121="M",IF(AM121&lt;78,BMILMS!$D$5*AM121^3+BMILMS!$E$5*AM121^2+BMILMS!$F$5*AM121+BMILMS!$G$5,IF(AM121&lt;150,BMILMS!$D$6*AM121^3+BMILMS!$E$6*AM121^2+BMILMS!$F$6*AM121+BMILMS!$G$6,BMILMS!$D$7*AM121^3+BMILMS!$E$7*AM121^2+BMILMS!$F$7*AM121+BMILMS!$G$7)),IF(AM121&lt;69,BMILMS!$D$9*AM121^3+BMILMS!$E$9*AM121^2+BMILMS!$F$9*AM121+BMILMS!$G$9,IF(AM121&lt;150,BMILMS!$D$10*AM121^3+BMILMS!$E$10*AM121^2+BMILMS!$F$10*AM121+BMILMS!$G$10,BMILMS!$D$11*AM121^3+BMILMS!$E$11*AM121^2+BMILMS!$F$11*AM121+BMILMS!$G$11)))</f>
        <v>0.79584630099999998</v>
      </c>
      <c r="AK121" s="4">
        <f>IF(D121="M",(IF(AM121&lt;2.5,BMILMS!$D$21*AM121^3+BMILMS!$E$21*AM121^2+BMILMS!$F$21*AM121+BMILMS!$G$21,IF(AM121&lt;9.5,BMILMS!$D$22*AM121^3+BMILMS!$E$22*AM121^2+BMILMS!$F$22*AM121+BMILMS!$G$22,IF(AM121&lt;26.75,BMILMS!$D$23*AM121^3+BMILMS!$E$23*AM121^2+BMILMS!$F$23*AM121+BMILMS!$G$23,IF(AM121&lt;90,BMILMS!$D$24*AM121^3+BMILMS!$E$24*AM121^2+BMILMS!$F$24*AM121+BMILMS!$G$24,BMILMS!$D$25*AM121^3+BMILMS!$E$25*AM121^2+BMILMS!$F$25*AM121+BMILMS!$G$25))))),(IF(AM121&lt;2.5,BMILMS!$D$27*AM121^3+BMILMS!$E$27*AM121^2+BMILMS!$F$27*AM121+BMILMS!$G$27,IF(AM121&lt;9.5,BMILMS!$D$28*AM121^3+BMILMS!$E$28*AM121^2+BMILMS!$F$28*AM121+BMILMS!$G$28,IF(AM121&lt;26.75,BMILMS!$D$29*AM121^3+BMILMS!$E$29*AM121^2+BMILMS!$F$29*AM121+BMILMS!$G$29,IF(AM121&lt;90,BMILMS!$D$30*AM121^3+BMILMS!$E$30*AM121^2+BMILMS!$F$30*AM121+BMILMS!$G$30,IF(AM121&lt;150,BMILMS!$D$31*AM121^3+BMILMS!$E$31*AM121^2+BMILMS!$F$31*AM121+BMILMS!$G$31,BMILMS!$D$32*AM121^3+BMILMS!$E$32*AM121^2+BMILMS!$F$32*AM121+BMILMS!$G$32)))))))</f>
        <v>12.568967990000001</v>
      </c>
      <c r="AL121" s="4">
        <f>IF(D121="M",(IF(AM121&lt;90,BMILMS!$D$14*AM121^3+BMILMS!$E$14*AM121^2+BMILMS!$F$14*AM121+BMILMS!$G$14,BMILMS!$D$15*AM121^3+BMILMS!$E$15*AM121^2+BMILMS!$F$15*AM121+BMILMS!$G$15)),(IF(AM121&lt;90,BMILMS!$D$17*AM121^3+BMILMS!$E$17*AM121^2+BMILMS!$F$17*AM121+BMILMS!$G$17,BMILMS!$D$18*AM121^3+BMILMS!$E$18*AM121^2+BMILMS!$F$18*AM121+BMILMS!$G$18)))</f>
        <v>8.8969350000000003E-2</v>
      </c>
      <c r="AM121" s="4">
        <f t="shared" si="41"/>
        <v>0</v>
      </c>
      <c r="AO121" s="56">
        <f>IF(D121="M",WeightSDS!P$5*$AM121^7+WeightSDS!Q$5*$AM121^6+WeightSDS!R$5*$AM121^5+WeightSDS!S$5*$AM121^4+WeightSDS!T$5*$AM121^3+WeightSDS!U$5*$AM121^2+WeightSDS!V$5*$AM121+WeightSDS!W$5,IF($AM121&lt;186,WeightSDS!P$8*$AM121^7+WeightSDS!Q$8*$AM121^6+WeightSDS!R$8*$AM121^5+WeightSDS!S$8*$AM121^4+WeightSDS!T$8*$AM121^3+WeightSDS!U$8*$AM121^2+WeightSDS!V$8*$AM121+WeightSDS!W$8,WeightSDS!$U$9+WeightSDS!$V$9*($AM121-WeightSDS!$W$9)))</f>
        <v>0.75407122999999998</v>
      </c>
      <c r="AP121" s="4">
        <f>IF(D121="M",IF($AM121&lt;45,WeightSDS!M$23*$AM121^10+WeightSDS!N$23*$AM121^9+WeightSDS!O$23*$AM121^8+WeightSDS!P$23*$AM121^7+WeightSDS!Q$23*$AM121^6+WeightSDS!R$23*$AM121^5+WeightSDS!S$23*$AM121^4+WeightSDS!T$23*$AM121^3+WeightSDS!U$23*$AM121^2+WeightSDS!V$23*$AM121+WeightSDS!W$23,IF($AM121&lt;153,WeightSDS!M$25*$AM121^10+WeightSDS!N$25*$AM121^9+WeightSDS!O$25*$AM121^8+WeightSDS!P$25*$AM121^7+WeightSDS!Q$25*$AM121^6+WeightSDS!R$25*$AM121^5+WeightSDS!S$25*$AM121^4+WeightSDS!T$25*$AM121^3+WeightSDS!U$25*$AM121^2+WeightSDS!V$25*$AM121+WeightSDS!W$25,WeightSDS!M$27+WeightSDS!N$27/(1+EXP(WeightSDS!O$27+WeightSDS!P$27*$AM121)))),IF($AM121&lt;43.8,WeightSDS!M$29*$AM121^10+WeightSDS!N$29*$AM121^9+WeightSDS!O$29*$AM121^8+WeightSDS!P$29*$AM121^7+WeightSDS!Q$29*$AM121^6+WeightSDS!R$29*$AM121^5+WeightSDS!S$29*$AM121^4+WeightSDS!T$29*$AM121^3+WeightSDS!U$29*$AM121^2+WeightSDS!V$29*$AM121+WeightSDS!W$29-0.010431*(1-$AM121/210),IF($AM121&lt;123,WeightSDS!M$30*$AM121^10+WeightSDS!N$30*$AM121^9+WeightSDS!O$30*$AM121^8+WeightSDS!P$30*$AM121^7+WeightSDS!Q$30*$AM121^6+WeightSDS!R$30*$AM121^5+WeightSDS!S$30*$AM121^4+WeightSDS!T$30*$AM121^3+WeightSDS!U$30*$AM121^2+WeightSDS!V$30*$AM121+WeightSDS!W$30-0.010431*(1-1/$AM121),WeightSDS!M$32+WeightSDS!N$32/(1+EXP(WeightSDS!O$32+WeightSDS!P$32*$AM121))-0.010431*(1-$AM121/210))))</f>
        <v>2.9500001032655536</v>
      </c>
      <c r="AQ121" s="4">
        <f>IF(D121="M",IF($AM121&lt;162,WeightSDS!P$12*$AM121^7+WeightSDS!Q$12*$AM121^6+WeightSDS!R$12*$AM121^5+WeightSDS!S$12*$AM121^4+WeightSDS!T$12*$AM121^3+WeightSDS!U$12*$AM121^2+WeightSDS!V$12*$AM121+WeightSDS!W$12,WeightSDS!P$14*$AM121^7+WeightSDS!Q$14*$AM121^6+WeightSDS!R$14*$AM121^5+WeightSDS!S$14*$AM121^4+WeightSDS!T$14*$AM121^3+WeightSDS!U$14*$AM121^2+WeightSDS!V$14*$AM121+WeightSDS!W$14),IF($AM121&lt;156,WeightSDS!O$17*$AM121^8+WeightSDS!P$17*$AM121^7+WeightSDS!Q$17*$AM121^6+WeightSDS!R$17*$AM121^5+WeightSDS!S$17*$AM121^4+WeightSDS!T$17*$AM121^3+WeightSDS!U$17*$AM121^2+WeightSDS!V$17*$AM121+WeightSDS!W$17,IF($AM121&lt;186,WeightSDS!$U$18+(WeightSDS!$V$18-WeightSDS!$U$18)/24*($AM121-186)+WeightSDS!$W$18*(-$AM121+186)^2-0.005,WeightSDS!$U$18+(WeightSDS!$V$18-WeightSDS!$U$18)/24*($AM121-186)-0.005)))</f>
        <v>0.14604529399999999</v>
      </c>
      <c r="AT121" s="4">
        <f t="shared" si="28"/>
        <v>0.56299999999999994</v>
      </c>
      <c r="AU121" s="4">
        <f t="shared" si="29"/>
        <v>69</v>
      </c>
      <c r="AV121" s="4">
        <f t="shared" si="30"/>
        <v>0.51</v>
      </c>
    </row>
    <row r="122" spans="1:48" x14ac:dyDescent="0.15">
      <c r="A122" s="4"/>
      <c r="B122" s="21"/>
      <c r="C122" s="21"/>
      <c r="D122" s="21"/>
      <c r="E122" s="22"/>
      <c r="F122" s="22"/>
      <c r="G122" s="23"/>
      <c r="H122" s="23"/>
      <c r="I122" s="181"/>
      <c r="J122" s="8" t="str">
        <f t="shared" si="22"/>
        <v/>
      </c>
      <c r="K122" s="2" t="str">
        <f t="shared" si="31"/>
        <v/>
      </c>
      <c r="L122" s="2" t="str">
        <f t="shared" si="23"/>
        <v/>
      </c>
      <c r="M122" s="2" t="str">
        <f t="shared" si="32"/>
        <v/>
      </c>
      <c r="N122" s="2" t="str">
        <f t="shared" si="40"/>
        <v/>
      </c>
      <c r="O122" s="2" t="str">
        <f t="shared" si="33"/>
        <v/>
      </c>
      <c r="P122" s="8" t="str">
        <f t="shared" si="34"/>
        <v/>
      </c>
      <c r="Q122" s="8" t="str">
        <f t="shared" si="35"/>
        <v/>
      </c>
      <c r="R122" s="111" t="str">
        <f t="shared" si="36"/>
        <v/>
      </c>
      <c r="S122" s="44" t="str">
        <f t="shared" si="37"/>
        <v/>
      </c>
      <c r="T122" s="37" t="str">
        <f t="shared" si="38"/>
        <v/>
      </c>
      <c r="U122" s="44" t="str">
        <f t="shared" si="39"/>
        <v/>
      </c>
      <c r="V122" s="26"/>
      <c r="W122" s="26"/>
      <c r="X122" s="26"/>
      <c r="Y122" s="26"/>
      <c r="Z122" s="24"/>
      <c r="AA122" s="169">
        <f t="shared" si="24"/>
        <v>0</v>
      </c>
      <c r="AB122" s="4">
        <f t="shared" si="25"/>
        <v>0</v>
      </c>
      <c r="AC122" s="170">
        <f t="shared" si="42"/>
        <v>0</v>
      </c>
      <c r="AD122" s="58"/>
      <c r="AE122" s="58"/>
      <c r="AF122" s="58"/>
      <c r="AG122" s="59">
        <f t="shared" si="26"/>
        <v>9.0359999999999996</v>
      </c>
      <c r="AH122" s="59">
        <f t="shared" si="27"/>
        <v>-184.49199999999999</v>
      </c>
      <c r="AJ122" s="4">
        <f>IF(D122="M",IF(AM122&lt;78,BMILMS!$D$5*AM122^3+BMILMS!$E$5*AM122^2+BMILMS!$F$5*AM122+BMILMS!$G$5,IF(AM122&lt;150,BMILMS!$D$6*AM122^3+BMILMS!$E$6*AM122^2+BMILMS!$F$6*AM122+BMILMS!$G$6,BMILMS!$D$7*AM122^3+BMILMS!$E$7*AM122^2+BMILMS!$F$7*AM122+BMILMS!$G$7)),IF(AM122&lt;69,BMILMS!$D$9*AM122^3+BMILMS!$E$9*AM122^2+BMILMS!$F$9*AM122+BMILMS!$G$9,IF(AM122&lt;150,BMILMS!$D$10*AM122^3+BMILMS!$E$10*AM122^2+BMILMS!$F$10*AM122+BMILMS!$G$10,BMILMS!$D$11*AM122^3+BMILMS!$E$11*AM122^2+BMILMS!$F$11*AM122+BMILMS!$G$11)))</f>
        <v>0.79584630099999998</v>
      </c>
      <c r="AK122" s="4">
        <f>IF(D122="M",(IF(AM122&lt;2.5,BMILMS!$D$21*AM122^3+BMILMS!$E$21*AM122^2+BMILMS!$F$21*AM122+BMILMS!$G$21,IF(AM122&lt;9.5,BMILMS!$D$22*AM122^3+BMILMS!$E$22*AM122^2+BMILMS!$F$22*AM122+BMILMS!$G$22,IF(AM122&lt;26.75,BMILMS!$D$23*AM122^3+BMILMS!$E$23*AM122^2+BMILMS!$F$23*AM122+BMILMS!$G$23,IF(AM122&lt;90,BMILMS!$D$24*AM122^3+BMILMS!$E$24*AM122^2+BMILMS!$F$24*AM122+BMILMS!$G$24,BMILMS!$D$25*AM122^3+BMILMS!$E$25*AM122^2+BMILMS!$F$25*AM122+BMILMS!$G$25))))),(IF(AM122&lt;2.5,BMILMS!$D$27*AM122^3+BMILMS!$E$27*AM122^2+BMILMS!$F$27*AM122+BMILMS!$G$27,IF(AM122&lt;9.5,BMILMS!$D$28*AM122^3+BMILMS!$E$28*AM122^2+BMILMS!$F$28*AM122+BMILMS!$G$28,IF(AM122&lt;26.75,BMILMS!$D$29*AM122^3+BMILMS!$E$29*AM122^2+BMILMS!$F$29*AM122+BMILMS!$G$29,IF(AM122&lt;90,BMILMS!$D$30*AM122^3+BMILMS!$E$30*AM122^2+BMILMS!$F$30*AM122+BMILMS!$G$30,IF(AM122&lt;150,BMILMS!$D$31*AM122^3+BMILMS!$E$31*AM122^2+BMILMS!$F$31*AM122+BMILMS!$G$31,BMILMS!$D$32*AM122^3+BMILMS!$E$32*AM122^2+BMILMS!$F$32*AM122+BMILMS!$G$32)))))))</f>
        <v>12.568967990000001</v>
      </c>
      <c r="AL122" s="4">
        <f>IF(D122="M",(IF(AM122&lt;90,BMILMS!$D$14*AM122^3+BMILMS!$E$14*AM122^2+BMILMS!$F$14*AM122+BMILMS!$G$14,BMILMS!$D$15*AM122^3+BMILMS!$E$15*AM122^2+BMILMS!$F$15*AM122+BMILMS!$G$15)),(IF(AM122&lt;90,BMILMS!$D$17*AM122^3+BMILMS!$E$17*AM122^2+BMILMS!$F$17*AM122+BMILMS!$G$17,BMILMS!$D$18*AM122^3+BMILMS!$E$18*AM122^2+BMILMS!$F$18*AM122+BMILMS!$G$18)))</f>
        <v>8.8969350000000003E-2</v>
      </c>
      <c r="AM122" s="4">
        <f t="shared" si="41"/>
        <v>0</v>
      </c>
      <c r="AO122" s="56">
        <f>IF(D122="M",WeightSDS!P$5*$AM122^7+WeightSDS!Q$5*$AM122^6+WeightSDS!R$5*$AM122^5+WeightSDS!S$5*$AM122^4+WeightSDS!T$5*$AM122^3+WeightSDS!U$5*$AM122^2+WeightSDS!V$5*$AM122+WeightSDS!W$5,IF($AM122&lt;186,WeightSDS!P$8*$AM122^7+WeightSDS!Q$8*$AM122^6+WeightSDS!R$8*$AM122^5+WeightSDS!S$8*$AM122^4+WeightSDS!T$8*$AM122^3+WeightSDS!U$8*$AM122^2+WeightSDS!V$8*$AM122+WeightSDS!W$8,WeightSDS!$U$9+WeightSDS!$V$9*($AM122-WeightSDS!$W$9)))</f>
        <v>0.75407122999999998</v>
      </c>
      <c r="AP122" s="4">
        <f>IF(D122="M",IF($AM122&lt;45,WeightSDS!M$23*$AM122^10+WeightSDS!N$23*$AM122^9+WeightSDS!O$23*$AM122^8+WeightSDS!P$23*$AM122^7+WeightSDS!Q$23*$AM122^6+WeightSDS!R$23*$AM122^5+WeightSDS!S$23*$AM122^4+WeightSDS!T$23*$AM122^3+WeightSDS!U$23*$AM122^2+WeightSDS!V$23*$AM122+WeightSDS!W$23,IF($AM122&lt;153,WeightSDS!M$25*$AM122^10+WeightSDS!N$25*$AM122^9+WeightSDS!O$25*$AM122^8+WeightSDS!P$25*$AM122^7+WeightSDS!Q$25*$AM122^6+WeightSDS!R$25*$AM122^5+WeightSDS!S$25*$AM122^4+WeightSDS!T$25*$AM122^3+WeightSDS!U$25*$AM122^2+WeightSDS!V$25*$AM122+WeightSDS!W$25,WeightSDS!M$27+WeightSDS!N$27/(1+EXP(WeightSDS!O$27+WeightSDS!P$27*$AM122)))),IF($AM122&lt;43.8,WeightSDS!M$29*$AM122^10+WeightSDS!N$29*$AM122^9+WeightSDS!O$29*$AM122^8+WeightSDS!P$29*$AM122^7+WeightSDS!Q$29*$AM122^6+WeightSDS!R$29*$AM122^5+WeightSDS!S$29*$AM122^4+WeightSDS!T$29*$AM122^3+WeightSDS!U$29*$AM122^2+WeightSDS!V$29*$AM122+WeightSDS!W$29-0.010431*(1-$AM122/210),IF($AM122&lt;123,WeightSDS!M$30*$AM122^10+WeightSDS!N$30*$AM122^9+WeightSDS!O$30*$AM122^8+WeightSDS!P$30*$AM122^7+WeightSDS!Q$30*$AM122^6+WeightSDS!R$30*$AM122^5+WeightSDS!S$30*$AM122^4+WeightSDS!T$30*$AM122^3+WeightSDS!U$30*$AM122^2+WeightSDS!V$30*$AM122+WeightSDS!W$30-0.010431*(1-1/$AM122),WeightSDS!M$32+WeightSDS!N$32/(1+EXP(WeightSDS!O$32+WeightSDS!P$32*$AM122))-0.010431*(1-$AM122/210))))</f>
        <v>2.9500001032655536</v>
      </c>
      <c r="AQ122" s="4">
        <f>IF(D122="M",IF($AM122&lt;162,WeightSDS!P$12*$AM122^7+WeightSDS!Q$12*$AM122^6+WeightSDS!R$12*$AM122^5+WeightSDS!S$12*$AM122^4+WeightSDS!T$12*$AM122^3+WeightSDS!U$12*$AM122^2+WeightSDS!V$12*$AM122+WeightSDS!W$12,WeightSDS!P$14*$AM122^7+WeightSDS!Q$14*$AM122^6+WeightSDS!R$14*$AM122^5+WeightSDS!S$14*$AM122^4+WeightSDS!T$14*$AM122^3+WeightSDS!U$14*$AM122^2+WeightSDS!V$14*$AM122+WeightSDS!W$14),IF($AM122&lt;156,WeightSDS!O$17*$AM122^8+WeightSDS!P$17*$AM122^7+WeightSDS!Q$17*$AM122^6+WeightSDS!R$17*$AM122^5+WeightSDS!S$17*$AM122^4+WeightSDS!T$17*$AM122^3+WeightSDS!U$17*$AM122^2+WeightSDS!V$17*$AM122+WeightSDS!W$17,IF($AM122&lt;186,WeightSDS!$U$18+(WeightSDS!$V$18-WeightSDS!$U$18)/24*($AM122-186)+WeightSDS!$W$18*(-$AM122+186)^2-0.005,WeightSDS!$U$18+(WeightSDS!$V$18-WeightSDS!$U$18)/24*($AM122-186)-0.005)))</f>
        <v>0.14604529399999999</v>
      </c>
      <c r="AT122" s="4">
        <f t="shared" si="28"/>
        <v>0.56299999999999994</v>
      </c>
      <c r="AU122" s="4">
        <f t="shared" si="29"/>
        <v>69</v>
      </c>
      <c r="AV122" s="4">
        <f t="shared" si="30"/>
        <v>0.51</v>
      </c>
    </row>
    <row r="123" spans="1:48" x14ac:dyDescent="0.15">
      <c r="A123" s="4"/>
      <c r="B123" s="21"/>
      <c r="C123" s="21"/>
      <c r="D123" s="21"/>
      <c r="E123" s="22"/>
      <c r="F123" s="22"/>
      <c r="G123" s="23"/>
      <c r="H123" s="23"/>
      <c r="I123" s="181"/>
      <c r="J123" s="8" t="str">
        <f t="shared" si="22"/>
        <v/>
      </c>
      <c r="K123" s="2" t="str">
        <f t="shared" si="31"/>
        <v/>
      </c>
      <c r="L123" s="2" t="str">
        <f t="shared" si="23"/>
        <v/>
      </c>
      <c r="M123" s="2" t="str">
        <f t="shared" si="32"/>
        <v/>
      </c>
      <c r="N123" s="2" t="str">
        <f t="shared" si="40"/>
        <v/>
      </c>
      <c r="O123" s="2" t="str">
        <f t="shared" si="33"/>
        <v/>
      </c>
      <c r="P123" s="8" t="str">
        <f t="shared" si="34"/>
        <v/>
      </c>
      <c r="Q123" s="8" t="str">
        <f t="shared" si="35"/>
        <v/>
      </c>
      <c r="R123" s="111" t="str">
        <f t="shared" si="36"/>
        <v/>
      </c>
      <c r="S123" s="44" t="str">
        <f t="shared" si="37"/>
        <v/>
      </c>
      <c r="T123" s="37" t="str">
        <f t="shared" si="38"/>
        <v/>
      </c>
      <c r="U123" s="44" t="str">
        <f t="shared" si="39"/>
        <v/>
      </c>
      <c r="V123" s="26"/>
      <c r="W123" s="26"/>
      <c r="X123" s="26"/>
      <c r="Y123" s="26"/>
      <c r="Z123" s="24"/>
      <c r="AA123" s="169">
        <f t="shared" si="24"/>
        <v>0</v>
      </c>
      <c r="AB123" s="4">
        <f t="shared" si="25"/>
        <v>0</v>
      </c>
      <c r="AC123" s="170">
        <f t="shared" si="42"/>
        <v>0</v>
      </c>
      <c r="AD123" s="58"/>
      <c r="AE123" s="58"/>
      <c r="AF123" s="58"/>
      <c r="AG123" s="59">
        <f t="shared" si="26"/>
        <v>9.0359999999999996</v>
      </c>
      <c r="AH123" s="59">
        <f t="shared" si="27"/>
        <v>-184.49199999999999</v>
      </c>
      <c r="AJ123" s="4">
        <f>IF(D123="M",IF(AM123&lt;78,BMILMS!$D$5*AM123^3+BMILMS!$E$5*AM123^2+BMILMS!$F$5*AM123+BMILMS!$G$5,IF(AM123&lt;150,BMILMS!$D$6*AM123^3+BMILMS!$E$6*AM123^2+BMILMS!$F$6*AM123+BMILMS!$G$6,BMILMS!$D$7*AM123^3+BMILMS!$E$7*AM123^2+BMILMS!$F$7*AM123+BMILMS!$G$7)),IF(AM123&lt;69,BMILMS!$D$9*AM123^3+BMILMS!$E$9*AM123^2+BMILMS!$F$9*AM123+BMILMS!$G$9,IF(AM123&lt;150,BMILMS!$D$10*AM123^3+BMILMS!$E$10*AM123^2+BMILMS!$F$10*AM123+BMILMS!$G$10,BMILMS!$D$11*AM123^3+BMILMS!$E$11*AM123^2+BMILMS!$F$11*AM123+BMILMS!$G$11)))</f>
        <v>0.79584630099999998</v>
      </c>
      <c r="AK123" s="4">
        <f>IF(D123="M",(IF(AM123&lt;2.5,BMILMS!$D$21*AM123^3+BMILMS!$E$21*AM123^2+BMILMS!$F$21*AM123+BMILMS!$G$21,IF(AM123&lt;9.5,BMILMS!$D$22*AM123^3+BMILMS!$E$22*AM123^2+BMILMS!$F$22*AM123+BMILMS!$G$22,IF(AM123&lt;26.75,BMILMS!$D$23*AM123^3+BMILMS!$E$23*AM123^2+BMILMS!$F$23*AM123+BMILMS!$G$23,IF(AM123&lt;90,BMILMS!$D$24*AM123^3+BMILMS!$E$24*AM123^2+BMILMS!$F$24*AM123+BMILMS!$G$24,BMILMS!$D$25*AM123^3+BMILMS!$E$25*AM123^2+BMILMS!$F$25*AM123+BMILMS!$G$25))))),(IF(AM123&lt;2.5,BMILMS!$D$27*AM123^3+BMILMS!$E$27*AM123^2+BMILMS!$F$27*AM123+BMILMS!$G$27,IF(AM123&lt;9.5,BMILMS!$D$28*AM123^3+BMILMS!$E$28*AM123^2+BMILMS!$F$28*AM123+BMILMS!$G$28,IF(AM123&lt;26.75,BMILMS!$D$29*AM123^3+BMILMS!$E$29*AM123^2+BMILMS!$F$29*AM123+BMILMS!$G$29,IF(AM123&lt;90,BMILMS!$D$30*AM123^3+BMILMS!$E$30*AM123^2+BMILMS!$F$30*AM123+BMILMS!$G$30,IF(AM123&lt;150,BMILMS!$D$31*AM123^3+BMILMS!$E$31*AM123^2+BMILMS!$F$31*AM123+BMILMS!$G$31,BMILMS!$D$32*AM123^3+BMILMS!$E$32*AM123^2+BMILMS!$F$32*AM123+BMILMS!$G$32)))))))</f>
        <v>12.568967990000001</v>
      </c>
      <c r="AL123" s="4">
        <f>IF(D123="M",(IF(AM123&lt;90,BMILMS!$D$14*AM123^3+BMILMS!$E$14*AM123^2+BMILMS!$F$14*AM123+BMILMS!$G$14,BMILMS!$D$15*AM123^3+BMILMS!$E$15*AM123^2+BMILMS!$F$15*AM123+BMILMS!$G$15)),(IF(AM123&lt;90,BMILMS!$D$17*AM123^3+BMILMS!$E$17*AM123^2+BMILMS!$F$17*AM123+BMILMS!$G$17,BMILMS!$D$18*AM123^3+BMILMS!$E$18*AM123^2+BMILMS!$F$18*AM123+BMILMS!$G$18)))</f>
        <v>8.8969350000000003E-2</v>
      </c>
      <c r="AM123" s="4">
        <f t="shared" si="41"/>
        <v>0</v>
      </c>
      <c r="AO123" s="56">
        <f>IF(D123="M",WeightSDS!P$5*$AM123^7+WeightSDS!Q$5*$AM123^6+WeightSDS!R$5*$AM123^5+WeightSDS!S$5*$AM123^4+WeightSDS!T$5*$AM123^3+WeightSDS!U$5*$AM123^2+WeightSDS!V$5*$AM123+WeightSDS!W$5,IF($AM123&lt;186,WeightSDS!P$8*$AM123^7+WeightSDS!Q$8*$AM123^6+WeightSDS!R$8*$AM123^5+WeightSDS!S$8*$AM123^4+WeightSDS!T$8*$AM123^3+WeightSDS!U$8*$AM123^2+WeightSDS!V$8*$AM123+WeightSDS!W$8,WeightSDS!$U$9+WeightSDS!$V$9*($AM123-WeightSDS!$W$9)))</f>
        <v>0.75407122999999998</v>
      </c>
      <c r="AP123" s="4">
        <f>IF(D123="M",IF($AM123&lt;45,WeightSDS!M$23*$AM123^10+WeightSDS!N$23*$AM123^9+WeightSDS!O$23*$AM123^8+WeightSDS!P$23*$AM123^7+WeightSDS!Q$23*$AM123^6+WeightSDS!R$23*$AM123^5+WeightSDS!S$23*$AM123^4+WeightSDS!T$23*$AM123^3+WeightSDS!U$23*$AM123^2+WeightSDS!V$23*$AM123+WeightSDS!W$23,IF($AM123&lt;153,WeightSDS!M$25*$AM123^10+WeightSDS!N$25*$AM123^9+WeightSDS!O$25*$AM123^8+WeightSDS!P$25*$AM123^7+WeightSDS!Q$25*$AM123^6+WeightSDS!R$25*$AM123^5+WeightSDS!S$25*$AM123^4+WeightSDS!T$25*$AM123^3+WeightSDS!U$25*$AM123^2+WeightSDS!V$25*$AM123+WeightSDS!W$25,WeightSDS!M$27+WeightSDS!N$27/(1+EXP(WeightSDS!O$27+WeightSDS!P$27*$AM123)))),IF($AM123&lt;43.8,WeightSDS!M$29*$AM123^10+WeightSDS!N$29*$AM123^9+WeightSDS!O$29*$AM123^8+WeightSDS!P$29*$AM123^7+WeightSDS!Q$29*$AM123^6+WeightSDS!R$29*$AM123^5+WeightSDS!S$29*$AM123^4+WeightSDS!T$29*$AM123^3+WeightSDS!U$29*$AM123^2+WeightSDS!V$29*$AM123+WeightSDS!W$29-0.010431*(1-$AM123/210),IF($AM123&lt;123,WeightSDS!M$30*$AM123^10+WeightSDS!N$30*$AM123^9+WeightSDS!O$30*$AM123^8+WeightSDS!P$30*$AM123^7+WeightSDS!Q$30*$AM123^6+WeightSDS!R$30*$AM123^5+WeightSDS!S$30*$AM123^4+WeightSDS!T$30*$AM123^3+WeightSDS!U$30*$AM123^2+WeightSDS!V$30*$AM123+WeightSDS!W$30-0.010431*(1-1/$AM123),WeightSDS!M$32+WeightSDS!N$32/(1+EXP(WeightSDS!O$32+WeightSDS!P$32*$AM123))-0.010431*(1-$AM123/210))))</f>
        <v>2.9500001032655536</v>
      </c>
      <c r="AQ123" s="4">
        <f>IF(D123="M",IF($AM123&lt;162,WeightSDS!P$12*$AM123^7+WeightSDS!Q$12*$AM123^6+WeightSDS!R$12*$AM123^5+WeightSDS!S$12*$AM123^4+WeightSDS!T$12*$AM123^3+WeightSDS!U$12*$AM123^2+WeightSDS!V$12*$AM123+WeightSDS!W$12,WeightSDS!P$14*$AM123^7+WeightSDS!Q$14*$AM123^6+WeightSDS!R$14*$AM123^5+WeightSDS!S$14*$AM123^4+WeightSDS!T$14*$AM123^3+WeightSDS!U$14*$AM123^2+WeightSDS!V$14*$AM123+WeightSDS!W$14),IF($AM123&lt;156,WeightSDS!O$17*$AM123^8+WeightSDS!P$17*$AM123^7+WeightSDS!Q$17*$AM123^6+WeightSDS!R$17*$AM123^5+WeightSDS!S$17*$AM123^4+WeightSDS!T$17*$AM123^3+WeightSDS!U$17*$AM123^2+WeightSDS!V$17*$AM123+WeightSDS!W$17,IF($AM123&lt;186,WeightSDS!$U$18+(WeightSDS!$V$18-WeightSDS!$U$18)/24*($AM123-186)+WeightSDS!$W$18*(-$AM123+186)^2-0.005,WeightSDS!$U$18+(WeightSDS!$V$18-WeightSDS!$U$18)/24*($AM123-186)-0.005)))</f>
        <v>0.14604529399999999</v>
      </c>
      <c r="AT123" s="4">
        <f t="shared" si="28"/>
        <v>0.56299999999999994</v>
      </c>
      <c r="AU123" s="4">
        <f t="shared" si="29"/>
        <v>69</v>
      </c>
      <c r="AV123" s="4">
        <f t="shared" si="30"/>
        <v>0.51</v>
      </c>
    </row>
    <row r="124" spans="1:48" x14ac:dyDescent="0.15">
      <c r="A124" s="4"/>
      <c r="B124" s="21"/>
      <c r="C124" s="21"/>
      <c r="D124" s="21"/>
      <c r="E124" s="22"/>
      <c r="F124" s="22"/>
      <c r="G124" s="23"/>
      <c r="H124" s="23"/>
      <c r="I124" s="181"/>
      <c r="J124" s="8" t="str">
        <f t="shared" si="22"/>
        <v/>
      </c>
      <c r="K124" s="2" t="str">
        <f t="shared" si="31"/>
        <v/>
      </c>
      <c r="L124" s="2" t="str">
        <f t="shared" si="23"/>
        <v/>
      </c>
      <c r="M124" s="2" t="str">
        <f t="shared" si="32"/>
        <v/>
      </c>
      <c r="N124" s="2" t="str">
        <f t="shared" si="40"/>
        <v/>
      </c>
      <c r="O124" s="2" t="str">
        <f t="shared" si="33"/>
        <v/>
      </c>
      <c r="P124" s="8" t="str">
        <f t="shared" si="34"/>
        <v/>
      </c>
      <c r="Q124" s="8" t="str">
        <f t="shared" si="35"/>
        <v/>
      </c>
      <c r="R124" s="111" t="str">
        <f t="shared" si="36"/>
        <v/>
      </c>
      <c r="S124" s="44" t="str">
        <f t="shared" si="37"/>
        <v/>
      </c>
      <c r="T124" s="37" t="str">
        <f t="shared" si="38"/>
        <v/>
      </c>
      <c r="U124" s="44" t="str">
        <f t="shared" si="39"/>
        <v/>
      </c>
      <c r="V124" s="26"/>
      <c r="W124" s="26"/>
      <c r="X124" s="26"/>
      <c r="Y124" s="26"/>
      <c r="Z124" s="24"/>
      <c r="AA124" s="169">
        <f t="shared" si="24"/>
        <v>0</v>
      </c>
      <c r="AB124" s="4">
        <f t="shared" si="25"/>
        <v>0</v>
      </c>
      <c r="AC124" s="170">
        <f t="shared" si="42"/>
        <v>0</v>
      </c>
      <c r="AD124" s="58"/>
      <c r="AE124" s="58"/>
      <c r="AF124" s="58"/>
      <c r="AG124" s="59">
        <f t="shared" si="26"/>
        <v>9.0359999999999996</v>
      </c>
      <c r="AH124" s="59">
        <f t="shared" si="27"/>
        <v>-184.49199999999999</v>
      </c>
      <c r="AJ124" s="4">
        <f>IF(D124="M",IF(AM124&lt;78,BMILMS!$D$5*AM124^3+BMILMS!$E$5*AM124^2+BMILMS!$F$5*AM124+BMILMS!$G$5,IF(AM124&lt;150,BMILMS!$D$6*AM124^3+BMILMS!$E$6*AM124^2+BMILMS!$F$6*AM124+BMILMS!$G$6,BMILMS!$D$7*AM124^3+BMILMS!$E$7*AM124^2+BMILMS!$F$7*AM124+BMILMS!$G$7)),IF(AM124&lt;69,BMILMS!$D$9*AM124^3+BMILMS!$E$9*AM124^2+BMILMS!$F$9*AM124+BMILMS!$G$9,IF(AM124&lt;150,BMILMS!$D$10*AM124^3+BMILMS!$E$10*AM124^2+BMILMS!$F$10*AM124+BMILMS!$G$10,BMILMS!$D$11*AM124^3+BMILMS!$E$11*AM124^2+BMILMS!$F$11*AM124+BMILMS!$G$11)))</f>
        <v>0.79584630099999998</v>
      </c>
      <c r="AK124" s="4">
        <f>IF(D124="M",(IF(AM124&lt;2.5,BMILMS!$D$21*AM124^3+BMILMS!$E$21*AM124^2+BMILMS!$F$21*AM124+BMILMS!$G$21,IF(AM124&lt;9.5,BMILMS!$D$22*AM124^3+BMILMS!$E$22*AM124^2+BMILMS!$F$22*AM124+BMILMS!$G$22,IF(AM124&lt;26.75,BMILMS!$D$23*AM124^3+BMILMS!$E$23*AM124^2+BMILMS!$F$23*AM124+BMILMS!$G$23,IF(AM124&lt;90,BMILMS!$D$24*AM124^3+BMILMS!$E$24*AM124^2+BMILMS!$F$24*AM124+BMILMS!$G$24,BMILMS!$D$25*AM124^3+BMILMS!$E$25*AM124^2+BMILMS!$F$25*AM124+BMILMS!$G$25))))),(IF(AM124&lt;2.5,BMILMS!$D$27*AM124^3+BMILMS!$E$27*AM124^2+BMILMS!$F$27*AM124+BMILMS!$G$27,IF(AM124&lt;9.5,BMILMS!$D$28*AM124^3+BMILMS!$E$28*AM124^2+BMILMS!$F$28*AM124+BMILMS!$G$28,IF(AM124&lt;26.75,BMILMS!$D$29*AM124^3+BMILMS!$E$29*AM124^2+BMILMS!$F$29*AM124+BMILMS!$G$29,IF(AM124&lt;90,BMILMS!$D$30*AM124^3+BMILMS!$E$30*AM124^2+BMILMS!$F$30*AM124+BMILMS!$G$30,IF(AM124&lt;150,BMILMS!$D$31*AM124^3+BMILMS!$E$31*AM124^2+BMILMS!$F$31*AM124+BMILMS!$G$31,BMILMS!$D$32*AM124^3+BMILMS!$E$32*AM124^2+BMILMS!$F$32*AM124+BMILMS!$G$32)))))))</f>
        <v>12.568967990000001</v>
      </c>
      <c r="AL124" s="4">
        <f>IF(D124="M",(IF(AM124&lt;90,BMILMS!$D$14*AM124^3+BMILMS!$E$14*AM124^2+BMILMS!$F$14*AM124+BMILMS!$G$14,BMILMS!$D$15*AM124^3+BMILMS!$E$15*AM124^2+BMILMS!$F$15*AM124+BMILMS!$G$15)),(IF(AM124&lt;90,BMILMS!$D$17*AM124^3+BMILMS!$E$17*AM124^2+BMILMS!$F$17*AM124+BMILMS!$G$17,BMILMS!$D$18*AM124^3+BMILMS!$E$18*AM124^2+BMILMS!$F$18*AM124+BMILMS!$G$18)))</f>
        <v>8.8969350000000003E-2</v>
      </c>
      <c r="AM124" s="4">
        <f t="shared" si="41"/>
        <v>0</v>
      </c>
      <c r="AO124" s="56">
        <f>IF(D124="M",WeightSDS!P$5*$AM124^7+WeightSDS!Q$5*$AM124^6+WeightSDS!R$5*$AM124^5+WeightSDS!S$5*$AM124^4+WeightSDS!T$5*$AM124^3+WeightSDS!U$5*$AM124^2+WeightSDS!V$5*$AM124+WeightSDS!W$5,IF($AM124&lt;186,WeightSDS!P$8*$AM124^7+WeightSDS!Q$8*$AM124^6+WeightSDS!R$8*$AM124^5+WeightSDS!S$8*$AM124^4+WeightSDS!T$8*$AM124^3+WeightSDS!U$8*$AM124^2+WeightSDS!V$8*$AM124+WeightSDS!W$8,WeightSDS!$U$9+WeightSDS!$V$9*($AM124-WeightSDS!$W$9)))</f>
        <v>0.75407122999999998</v>
      </c>
      <c r="AP124" s="4">
        <f>IF(D124="M",IF($AM124&lt;45,WeightSDS!M$23*$AM124^10+WeightSDS!N$23*$AM124^9+WeightSDS!O$23*$AM124^8+WeightSDS!P$23*$AM124^7+WeightSDS!Q$23*$AM124^6+WeightSDS!R$23*$AM124^5+WeightSDS!S$23*$AM124^4+WeightSDS!T$23*$AM124^3+WeightSDS!U$23*$AM124^2+WeightSDS!V$23*$AM124+WeightSDS!W$23,IF($AM124&lt;153,WeightSDS!M$25*$AM124^10+WeightSDS!N$25*$AM124^9+WeightSDS!O$25*$AM124^8+WeightSDS!P$25*$AM124^7+WeightSDS!Q$25*$AM124^6+WeightSDS!R$25*$AM124^5+WeightSDS!S$25*$AM124^4+WeightSDS!T$25*$AM124^3+WeightSDS!U$25*$AM124^2+WeightSDS!V$25*$AM124+WeightSDS!W$25,WeightSDS!M$27+WeightSDS!N$27/(1+EXP(WeightSDS!O$27+WeightSDS!P$27*$AM124)))),IF($AM124&lt;43.8,WeightSDS!M$29*$AM124^10+WeightSDS!N$29*$AM124^9+WeightSDS!O$29*$AM124^8+WeightSDS!P$29*$AM124^7+WeightSDS!Q$29*$AM124^6+WeightSDS!R$29*$AM124^5+WeightSDS!S$29*$AM124^4+WeightSDS!T$29*$AM124^3+WeightSDS!U$29*$AM124^2+WeightSDS!V$29*$AM124+WeightSDS!W$29-0.010431*(1-$AM124/210),IF($AM124&lt;123,WeightSDS!M$30*$AM124^10+WeightSDS!N$30*$AM124^9+WeightSDS!O$30*$AM124^8+WeightSDS!P$30*$AM124^7+WeightSDS!Q$30*$AM124^6+WeightSDS!R$30*$AM124^5+WeightSDS!S$30*$AM124^4+WeightSDS!T$30*$AM124^3+WeightSDS!U$30*$AM124^2+WeightSDS!V$30*$AM124+WeightSDS!W$30-0.010431*(1-1/$AM124),WeightSDS!M$32+WeightSDS!N$32/(1+EXP(WeightSDS!O$32+WeightSDS!P$32*$AM124))-0.010431*(1-$AM124/210))))</f>
        <v>2.9500001032655536</v>
      </c>
      <c r="AQ124" s="4">
        <f>IF(D124="M",IF($AM124&lt;162,WeightSDS!P$12*$AM124^7+WeightSDS!Q$12*$AM124^6+WeightSDS!R$12*$AM124^5+WeightSDS!S$12*$AM124^4+WeightSDS!T$12*$AM124^3+WeightSDS!U$12*$AM124^2+WeightSDS!V$12*$AM124+WeightSDS!W$12,WeightSDS!P$14*$AM124^7+WeightSDS!Q$14*$AM124^6+WeightSDS!R$14*$AM124^5+WeightSDS!S$14*$AM124^4+WeightSDS!T$14*$AM124^3+WeightSDS!U$14*$AM124^2+WeightSDS!V$14*$AM124+WeightSDS!W$14),IF($AM124&lt;156,WeightSDS!O$17*$AM124^8+WeightSDS!P$17*$AM124^7+WeightSDS!Q$17*$AM124^6+WeightSDS!R$17*$AM124^5+WeightSDS!S$17*$AM124^4+WeightSDS!T$17*$AM124^3+WeightSDS!U$17*$AM124^2+WeightSDS!V$17*$AM124+WeightSDS!W$17,IF($AM124&lt;186,WeightSDS!$U$18+(WeightSDS!$V$18-WeightSDS!$U$18)/24*($AM124-186)+WeightSDS!$W$18*(-$AM124+186)^2-0.005,WeightSDS!$U$18+(WeightSDS!$V$18-WeightSDS!$U$18)/24*($AM124-186)-0.005)))</f>
        <v>0.14604529399999999</v>
      </c>
      <c r="AT124" s="4">
        <f t="shared" si="28"/>
        <v>0.56299999999999994</v>
      </c>
      <c r="AU124" s="4">
        <f t="shared" si="29"/>
        <v>69</v>
      </c>
      <c r="AV124" s="4">
        <f t="shared" si="30"/>
        <v>0.51</v>
      </c>
    </row>
    <row r="125" spans="1:48" x14ac:dyDescent="0.15">
      <c r="A125" s="4"/>
      <c r="B125" s="21"/>
      <c r="C125" s="21"/>
      <c r="D125" s="21"/>
      <c r="E125" s="22"/>
      <c r="F125" s="22"/>
      <c r="G125" s="23"/>
      <c r="H125" s="23"/>
      <c r="I125" s="181"/>
      <c r="J125" s="8" t="str">
        <f t="shared" si="22"/>
        <v/>
      </c>
      <c r="K125" s="2" t="str">
        <f t="shared" si="31"/>
        <v/>
      </c>
      <c r="L125" s="2" t="str">
        <f t="shared" si="23"/>
        <v/>
      </c>
      <c r="M125" s="2" t="str">
        <f t="shared" si="32"/>
        <v/>
      </c>
      <c r="N125" s="2" t="str">
        <f t="shared" si="40"/>
        <v/>
      </c>
      <c r="O125" s="2" t="str">
        <f t="shared" si="33"/>
        <v/>
      </c>
      <c r="P125" s="8" t="str">
        <f t="shared" si="34"/>
        <v/>
      </c>
      <c r="Q125" s="8" t="str">
        <f t="shared" si="35"/>
        <v/>
      </c>
      <c r="R125" s="111" t="str">
        <f t="shared" si="36"/>
        <v/>
      </c>
      <c r="S125" s="44" t="str">
        <f t="shared" si="37"/>
        <v/>
      </c>
      <c r="T125" s="37" t="str">
        <f t="shared" si="38"/>
        <v/>
      </c>
      <c r="U125" s="44" t="str">
        <f t="shared" si="39"/>
        <v/>
      </c>
      <c r="V125" s="26"/>
      <c r="W125" s="26"/>
      <c r="X125" s="26"/>
      <c r="Y125" s="26"/>
      <c r="Z125" s="24"/>
      <c r="AA125" s="169">
        <f t="shared" si="24"/>
        <v>0</v>
      </c>
      <c r="AB125" s="4">
        <f t="shared" si="25"/>
        <v>0</v>
      </c>
      <c r="AC125" s="170">
        <f t="shared" si="42"/>
        <v>0</v>
      </c>
      <c r="AD125" s="58"/>
      <c r="AE125" s="58"/>
      <c r="AF125" s="58"/>
      <c r="AG125" s="59">
        <f t="shared" si="26"/>
        <v>9.0359999999999996</v>
      </c>
      <c r="AH125" s="59">
        <f t="shared" si="27"/>
        <v>-184.49199999999999</v>
      </c>
      <c r="AJ125" s="4">
        <f>IF(D125="M",IF(AM125&lt;78,BMILMS!$D$5*AM125^3+BMILMS!$E$5*AM125^2+BMILMS!$F$5*AM125+BMILMS!$G$5,IF(AM125&lt;150,BMILMS!$D$6*AM125^3+BMILMS!$E$6*AM125^2+BMILMS!$F$6*AM125+BMILMS!$G$6,BMILMS!$D$7*AM125^3+BMILMS!$E$7*AM125^2+BMILMS!$F$7*AM125+BMILMS!$G$7)),IF(AM125&lt;69,BMILMS!$D$9*AM125^3+BMILMS!$E$9*AM125^2+BMILMS!$F$9*AM125+BMILMS!$G$9,IF(AM125&lt;150,BMILMS!$D$10*AM125^3+BMILMS!$E$10*AM125^2+BMILMS!$F$10*AM125+BMILMS!$G$10,BMILMS!$D$11*AM125^3+BMILMS!$E$11*AM125^2+BMILMS!$F$11*AM125+BMILMS!$G$11)))</f>
        <v>0.79584630099999998</v>
      </c>
      <c r="AK125" s="4">
        <f>IF(D125="M",(IF(AM125&lt;2.5,BMILMS!$D$21*AM125^3+BMILMS!$E$21*AM125^2+BMILMS!$F$21*AM125+BMILMS!$G$21,IF(AM125&lt;9.5,BMILMS!$D$22*AM125^3+BMILMS!$E$22*AM125^2+BMILMS!$F$22*AM125+BMILMS!$G$22,IF(AM125&lt;26.75,BMILMS!$D$23*AM125^3+BMILMS!$E$23*AM125^2+BMILMS!$F$23*AM125+BMILMS!$G$23,IF(AM125&lt;90,BMILMS!$D$24*AM125^3+BMILMS!$E$24*AM125^2+BMILMS!$F$24*AM125+BMILMS!$G$24,BMILMS!$D$25*AM125^3+BMILMS!$E$25*AM125^2+BMILMS!$F$25*AM125+BMILMS!$G$25))))),(IF(AM125&lt;2.5,BMILMS!$D$27*AM125^3+BMILMS!$E$27*AM125^2+BMILMS!$F$27*AM125+BMILMS!$G$27,IF(AM125&lt;9.5,BMILMS!$D$28*AM125^3+BMILMS!$E$28*AM125^2+BMILMS!$F$28*AM125+BMILMS!$G$28,IF(AM125&lt;26.75,BMILMS!$D$29*AM125^3+BMILMS!$E$29*AM125^2+BMILMS!$F$29*AM125+BMILMS!$G$29,IF(AM125&lt;90,BMILMS!$D$30*AM125^3+BMILMS!$E$30*AM125^2+BMILMS!$F$30*AM125+BMILMS!$G$30,IF(AM125&lt;150,BMILMS!$D$31*AM125^3+BMILMS!$E$31*AM125^2+BMILMS!$F$31*AM125+BMILMS!$G$31,BMILMS!$D$32*AM125^3+BMILMS!$E$32*AM125^2+BMILMS!$F$32*AM125+BMILMS!$G$32)))))))</f>
        <v>12.568967990000001</v>
      </c>
      <c r="AL125" s="4">
        <f>IF(D125="M",(IF(AM125&lt;90,BMILMS!$D$14*AM125^3+BMILMS!$E$14*AM125^2+BMILMS!$F$14*AM125+BMILMS!$G$14,BMILMS!$D$15*AM125^3+BMILMS!$E$15*AM125^2+BMILMS!$F$15*AM125+BMILMS!$G$15)),(IF(AM125&lt;90,BMILMS!$D$17*AM125^3+BMILMS!$E$17*AM125^2+BMILMS!$F$17*AM125+BMILMS!$G$17,BMILMS!$D$18*AM125^3+BMILMS!$E$18*AM125^2+BMILMS!$F$18*AM125+BMILMS!$G$18)))</f>
        <v>8.8969350000000003E-2</v>
      </c>
      <c r="AM125" s="4">
        <f t="shared" si="41"/>
        <v>0</v>
      </c>
      <c r="AO125" s="56">
        <f>IF(D125="M",WeightSDS!P$5*$AM125^7+WeightSDS!Q$5*$AM125^6+WeightSDS!R$5*$AM125^5+WeightSDS!S$5*$AM125^4+WeightSDS!T$5*$AM125^3+WeightSDS!U$5*$AM125^2+WeightSDS!V$5*$AM125+WeightSDS!W$5,IF($AM125&lt;186,WeightSDS!P$8*$AM125^7+WeightSDS!Q$8*$AM125^6+WeightSDS!R$8*$AM125^5+WeightSDS!S$8*$AM125^4+WeightSDS!T$8*$AM125^3+WeightSDS!U$8*$AM125^2+WeightSDS!V$8*$AM125+WeightSDS!W$8,WeightSDS!$U$9+WeightSDS!$V$9*($AM125-WeightSDS!$W$9)))</f>
        <v>0.75407122999999998</v>
      </c>
      <c r="AP125" s="4">
        <f>IF(D125="M",IF($AM125&lt;45,WeightSDS!M$23*$AM125^10+WeightSDS!N$23*$AM125^9+WeightSDS!O$23*$AM125^8+WeightSDS!P$23*$AM125^7+WeightSDS!Q$23*$AM125^6+WeightSDS!R$23*$AM125^5+WeightSDS!S$23*$AM125^4+WeightSDS!T$23*$AM125^3+WeightSDS!U$23*$AM125^2+WeightSDS!V$23*$AM125+WeightSDS!W$23,IF($AM125&lt;153,WeightSDS!M$25*$AM125^10+WeightSDS!N$25*$AM125^9+WeightSDS!O$25*$AM125^8+WeightSDS!P$25*$AM125^7+WeightSDS!Q$25*$AM125^6+WeightSDS!R$25*$AM125^5+WeightSDS!S$25*$AM125^4+WeightSDS!T$25*$AM125^3+WeightSDS!U$25*$AM125^2+WeightSDS!V$25*$AM125+WeightSDS!W$25,WeightSDS!M$27+WeightSDS!N$27/(1+EXP(WeightSDS!O$27+WeightSDS!P$27*$AM125)))),IF($AM125&lt;43.8,WeightSDS!M$29*$AM125^10+WeightSDS!N$29*$AM125^9+WeightSDS!O$29*$AM125^8+WeightSDS!P$29*$AM125^7+WeightSDS!Q$29*$AM125^6+WeightSDS!R$29*$AM125^5+WeightSDS!S$29*$AM125^4+WeightSDS!T$29*$AM125^3+WeightSDS!U$29*$AM125^2+WeightSDS!V$29*$AM125+WeightSDS!W$29-0.010431*(1-$AM125/210),IF($AM125&lt;123,WeightSDS!M$30*$AM125^10+WeightSDS!N$30*$AM125^9+WeightSDS!O$30*$AM125^8+WeightSDS!P$30*$AM125^7+WeightSDS!Q$30*$AM125^6+WeightSDS!R$30*$AM125^5+WeightSDS!S$30*$AM125^4+WeightSDS!T$30*$AM125^3+WeightSDS!U$30*$AM125^2+WeightSDS!V$30*$AM125+WeightSDS!W$30-0.010431*(1-1/$AM125),WeightSDS!M$32+WeightSDS!N$32/(1+EXP(WeightSDS!O$32+WeightSDS!P$32*$AM125))-0.010431*(1-$AM125/210))))</f>
        <v>2.9500001032655536</v>
      </c>
      <c r="AQ125" s="4">
        <f>IF(D125="M",IF($AM125&lt;162,WeightSDS!P$12*$AM125^7+WeightSDS!Q$12*$AM125^6+WeightSDS!R$12*$AM125^5+WeightSDS!S$12*$AM125^4+WeightSDS!T$12*$AM125^3+WeightSDS!U$12*$AM125^2+WeightSDS!V$12*$AM125+WeightSDS!W$12,WeightSDS!P$14*$AM125^7+WeightSDS!Q$14*$AM125^6+WeightSDS!R$14*$AM125^5+WeightSDS!S$14*$AM125^4+WeightSDS!T$14*$AM125^3+WeightSDS!U$14*$AM125^2+WeightSDS!V$14*$AM125+WeightSDS!W$14),IF($AM125&lt;156,WeightSDS!O$17*$AM125^8+WeightSDS!P$17*$AM125^7+WeightSDS!Q$17*$AM125^6+WeightSDS!R$17*$AM125^5+WeightSDS!S$17*$AM125^4+WeightSDS!T$17*$AM125^3+WeightSDS!U$17*$AM125^2+WeightSDS!V$17*$AM125+WeightSDS!W$17,IF($AM125&lt;186,WeightSDS!$U$18+(WeightSDS!$V$18-WeightSDS!$U$18)/24*($AM125-186)+WeightSDS!$W$18*(-$AM125+186)^2-0.005,WeightSDS!$U$18+(WeightSDS!$V$18-WeightSDS!$U$18)/24*($AM125-186)-0.005)))</f>
        <v>0.14604529399999999</v>
      </c>
      <c r="AT125" s="4">
        <f t="shared" si="28"/>
        <v>0.56299999999999994</v>
      </c>
      <c r="AU125" s="4">
        <f t="shared" si="29"/>
        <v>69</v>
      </c>
      <c r="AV125" s="4">
        <f t="shared" si="30"/>
        <v>0.51</v>
      </c>
    </row>
    <row r="126" spans="1:48" x14ac:dyDescent="0.15">
      <c r="A126" s="4"/>
      <c r="B126" s="21"/>
      <c r="C126" s="21"/>
      <c r="D126" s="21"/>
      <c r="E126" s="22"/>
      <c r="F126" s="22"/>
      <c r="G126" s="23"/>
      <c r="H126" s="23"/>
      <c r="I126" s="181"/>
      <c r="J126" s="8" t="str">
        <f t="shared" si="22"/>
        <v/>
      </c>
      <c r="K126" s="2" t="str">
        <f t="shared" si="31"/>
        <v/>
      </c>
      <c r="L126" s="2" t="str">
        <f t="shared" si="23"/>
        <v/>
      </c>
      <c r="M126" s="2" t="str">
        <f t="shared" si="32"/>
        <v/>
      </c>
      <c r="N126" s="2" t="str">
        <f t="shared" si="40"/>
        <v/>
      </c>
      <c r="O126" s="2" t="str">
        <f t="shared" si="33"/>
        <v/>
      </c>
      <c r="P126" s="8" t="str">
        <f t="shared" si="34"/>
        <v/>
      </c>
      <c r="Q126" s="8" t="str">
        <f t="shared" si="35"/>
        <v/>
      </c>
      <c r="R126" s="111" t="str">
        <f t="shared" si="36"/>
        <v/>
      </c>
      <c r="S126" s="44" t="str">
        <f t="shared" si="37"/>
        <v/>
      </c>
      <c r="T126" s="37" t="str">
        <f t="shared" si="38"/>
        <v/>
      </c>
      <c r="U126" s="44" t="str">
        <f t="shared" si="39"/>
        <v/>
      </c>
      <c r="V126" s="26"/>
      <c r="W126" s="26"/>
      <c r="X126" s="26"/>
      <c r="Y126" s="26"/>
      <c r="Z126" s="24"/>
      <c r="AA126" s="169">
        <f t="shared" si="24"/>
        <v>0</v>
      </c>
      <c r="AB126" s="4">
        <f t="shared" si="25"/>
        <v>0</v>
      </c>
      <c r="AC126" s="170">
        <f t="shared" si="42"/>
        <v>0</v>
      </c>
      <c r="AD126" s="58"/>
      <c r="AE126" s="58"/>
      <c r="AF126" s="58"/>
      <c r="AG126" s="59">
        <f t="shared" si="26"/>
        <v>9.0359999999999996</v>
      </c>
      <c r="AH126" s="59">
        <f t="shared" si="27"/>
        <v>-184.49199999999999</v>
      </c>
      <c r="AJ126" s="4">
        <f>IF(D126="M",IF(AM126&lt;78,BMILMS!$D$5*AM126^3+BMILMS!$E$5*AM126^2+BMILMS!$F$5*AM126+BMILMS!$G$5,IF(AM126&lt;150,BMILMS!$D$6*AM126^3+BMILMS!$E$6*AM126^2+BMILMS!$F$6*AM126+BMILMS!$G$6,BMILMS!$D$7*AM126^3+BMILMS!$E$7*AM126^2+BMILMS!$F$7*AM126+BMILMS!$G$7)),IF(AM126&lt;69,BMILMS!$D$9*AM126^3+BMILMS!$E$9*AM126^2+BMILMS!$F$9*AM126+BMILMS!$G$9,IF(AM126&lt;150,BMILMS!$D$10*AM126^3+BMILMS!$E$10*AM126^2+BMILMS!$F$10*AM126+BMILMS!$G$10,BMILMS!$D$11*AM126^3+BMILMS!$E$11*AM126^2+BMILMS!$F$11*AM126+BMILMS!$G$11)))</f>
        <v>0.79584630099999998</v>
      </c>
      <c r="AK126" s="4">
        <f>IF(D126="M",(IF(AM126&lt;2.5,BMILMS!$D$21*AM126^3+BMILMS!$E$21*AM126^2+BMILMS!$F$21*AM126+BMILMS!$G$21,IF(AM126&lt;9.5,BMILMS!$D$22*AM126^3+BMILMS!$E$22*AM126^2+BMILMS!$F$22*AM126+BMILMS!$G$22,IF(AM126&lt;26.75,BMILMS!$D$23*AM126^3+BMILMS!$E$23*AM126^2+BMILMS!$F$23*AM126+BMILMS!$G$23,IF(AM126&lt;90,BMILMS!$D$24*AM126^3+BMILMS!$E$24*AM126^2+BMILMS!$F$24*AM126+BMILMS!$G$24,BMILMS!$D$25*AM126^3+BMILMS!$E$25*AM126^2+BMILMS!$F$25*AM126+BMILMS!$G$25))))),(IF(AM126&lt;2.5,BMILMS!$D$27*AM126^3+BMILMS!$E$27*AM126^2+BMILMS!$F$27*AM126+BMILMS!$G$27,IF(AM126&lt;9.5,BMILMS!$D$28*AM126^3+BMILMS!$E$28*AM126^2+BMILMS!$F$28*AM126+BMILMS!$G$28,IF(AM126&lt;26.75,BMILMS!$D$29*AM126^3+BMILMS!$E$29*AM126^2+BMILMS!$F$29*AM126+BMILMS!$G$29,IF(AM126&lt;90,BMILMS!$D$30*AM126^3+BMILMS!$E$30*AM126^2+BMILMS!$F$30*AM126+BMILMS!$G$30,IF(AM126&lt;150,BMILMS!$D$31*AM126^3+BMILMS!$E$31*AM126^2+BMILMS!$F$31*AM126+BMILMS!$G$31,BMILMS!$D$32*AM126^3+BMILMS!$E$32*AM126^2+BMILMS!$F$32*AM126+BMILMS!$G$32)))))))</f>
        <v>12.568967990000001</v>
      </c>
      <c r="AL126" s="4">
        <f>IF(D126="M",(IF(AM126&lt;90,BMILMS!$D$14*AM126^3+BMILMS!$E$14*AM126^2+BMILMS!$F$14*AM126+BMILMS!$G$14,BMILMS!$D$15*AM126^3+BMILMS!$E$15*AM126^2+BMILMS!$F$15*AM126+BMILMS!$G$15)),(IF(AM126&lt;90,BMILMS!$D$17*AM126^3+BMILMS!$E$17*AM126^2+BMILMS!$F$17*AM126+BMILMS!$G$17,BMILMS!$D$18*AM126^3+BMILMS!$E$18*AM126^2+BMILMS!$F$18*AM126+BMILMS!$G$18)))</f>
        <v>8.8969350000000003E-2</v>
      </c>
      <c r="AM126" s="4">
        <f t="shared" si="41"/>
        <v>0</v>
      </c>
      <c r="AO126" s="56">
        <f>IF(D126="M",WeightSDS!P$5*$AM126^7+WeightSDS!Q$5*$AM126^6+WeightSDS!R$5*$AM126^5+WeightSDS!S$5*$AM126^4+WeightSDS!T$5*$AM126^3+WeightSDS!U$5*$AM126^2+WeightSDS!V$5*$AM126+WeightSDS!W$5,IF($AM126&lt;186,WeightSDS!P$8*$AM126^7+WeightSDS!Q$8*$AM126^6+WeightSDS!R$8*$AM126^5+WeightSDS!S$8*$AM126^4+WeightSDS!T$8*$AM126^3+WeightSDS!U$8*$AM126^2+WeightSDS!V$8*$AM126+WeightSDS!W$8,WeightSDS!$U$9+WeightSDS!$V$9*($AM126-WeightSDS!$W$9)))</f>
        <v>0.75407122999999998</v>
      </c>
      <c r="AP126" s="4">
        <f>IF(D126="M",IF($AM126&lt;45,WeightSDS!M$23*$AM126^10+WeightSDS!N$23*$AM126^9+WeightSDS!O$23*$AM126^8+WeightSDS!P$23*$AM126^7+WeightSDS!Q$23*$AM126^6+WeightSDS!R$23*$AM126^5+WeightSDS!S$23*$AM126^4+WeightSDS!T$23*$AM126^3+WeightSDS!U$23*$AM126^2+WeightSDS!V$23*$AM126+WeightSDS!W$23,IF($AM126&lt;153,WeightSDS!M$25*$AM126^10+WeightSDS!N$25*$AM126^9+WeightSDS!O$25*$AM126^8+WeightSDS!P$25*$AM126^7+WeightSDS!Q$25*$AM126^6+WeightSDS!R$25*$AM126^5+WeightSDS!S$25*$AM126^4+WeightSDS!T$25*$AM126^3+WeightSDS!U$25*$AM126^2+WeightSDS!V$25*$AM126+WeightSDS!W$25,WeightSDS!M$27+WeightSDS!N$27/(1+EXP(WeightSDS!O$27+WeightSDS!P$27*$AM126)))),IF($AM126&lt;43.8,WeightSDS!M$29*$AM126^10+WeightSDS!N$29*$AM126^9+WeightSDS!O$29*$AM126^8+WeightSDS!P$29*$AM126^7+WeightSDS!Q$29*$AM126^6+WeightSDS!R$29*$AM126^5+WeightSDS!S$29*$AM126^4+WeightSDS!T$29*$AM126^3+WeightSDS!U$29*$AM126^2+WeightSDS!V$29*$AM126+WeightSDS!W$29-0.010431*(1-$AM126/210),IF($AM126&lt;123,WeightSDS!M$30*$AM126^10+WeightSDS!N$30*$AM126^9+WeightSDS!O$30*$AM126^8+WeightSDS!P$30*$AM126^7+WeightSDS!Q$30*$AM126^6+WeightSDS!R$30*$AM126^5+WeightSDS!S$30*$AM126^4+WeightSDS!T$30*$AM126^3+WeightSDS!U$30*$AM126^2+WeightSDS!V$30*$AM126+WeightSDS!W$30-0.010431*(1-1/$AM126),WeightSDS!M$32+WeightSDS!N$32/(1+EXP(WeightSDS!O$32+WeightSDS!P$32*$AM126))-0.010431*(1-$AM126/210))))</f>
        <v>2.9500001032655536</v>
      </c>
      <c r="AQ126" s="4">
        <f>IF(D126="M",IF($AM126&lt;162,WeightSDS!P$12*$AM126^7+WeightSDS!Q$12*$AM126^6+WeightSDS!R$12*$AM126^5+WeightSDS!S$12*$AM126^4+WeightSDS!T$12*$AM126^3+WeightSDS!U$12*$AM126^2+WeightSDS!V$12*$AM126+WeightSDS!W$12,WeightSDS!P$14*$AM126^7+WeightSDS!Q$14*$AM126^6+WeightSDS!R$14*$AM126^5+WeightSDS!S$14*$AM126^4+WeightSDS!T$14*$AM126^3+WeightSDS!U$14*$AM126^2+WeightSDS!V$14*$AM126+WeightSDS!W$14),IF($AM126&lt;156,WeightSDS!O$17*$AM126^8+WeightSDS!P$17*$AM126^7+WeightSDS!Q$17*$AM126^6+WeightSDS!R$17*$AM126^5+WeightSDS!S$17*$AM126^4+WeightSDS!T$17*$AM126^3+WeightSDS!U$17*$AM126^2+WeightSDS!V$17*$AM126+WeightSDS!W$17,IF($AM126&lt;186,WeightSDS!$U$18+(WeightSDS!$V$18-WeightSDS!$U$18)/24*($AM126-186)+WeightSDS!$W$18*(-$AM126+186)^2-0.005,WeightSDS!$U$18+(WeightSDS!$V$18-WeightSDS!$U$18)/24*($AM126-186)-0.005)))</f>
        <v>0.14604529399999999</v>
      </c>
      <c r="AT126" s="4">
        <f t="shared" si="28"/>
        <v>0.56299999999999994</v>
      </c>
      <c r="AU126" s="4">
        <f t="shared" si="29"/>
        <v>69</v>
      </c>
      <c r="AV126" s="4">
        <f t="shared" si="30"/>
        <v>0.51</v>
      </c>
    </row>
    <row r="127" spans="1:48" x14ac:dyDescent="0.15">
      <c r="A127" s="4"/>
      <c r="B127" s="21"/>
      <c r="C127" s="21"/>
      <c r="D127" s="21"/>
      <c r="E127" s="22"/>
      <c r="F127" s="22"/>
      <c r="G127" s="23"/>
      <c r="H127" s="23"/>
      <c r="I127" s="181"/>
      <c r="J127" s="8" t="str">
        <f t="shared" si="22"/>
        <v/>
      </c>
      <c r="K127" s="2" t="str">
        <f t="shared" si="31"/>
        <v/>
      </c>
      <c r="L127" s="2" t="str">
        <f t="shared" si="23"/>
        <v/>
      </c>
      <c r="M127" s="2" t="str">
        <f t="shared" si="32"/>
        <v/>
      </c>
      <c r="N127" s="2" t="str">
        <f t="shared" si="40"/>
        <v/>
      </c>
      <c r="O127" s="2" t="str">
        <f t="shared" si="33"/>
        <v/>
      </c>
      <c r="P127" s="8" t="str">
        <f t="shared" si="34"/>
        <v/>
      </c>
      <c r="Q127" s="8" t="str">
        <f t="shared" si="35"/>
        <v/>
      </c>
      <c r="R127" s="111" t="str">
        <f t="shared" si="36"/>
        <v/>
      </c>
      <c r="S127" s="44" t="str">
        <f t="shared" si="37"/>
        <v/>
      </c>
      <c r="T127" s="37" t="str">
        <f t="shared" si="38"/>
        <v/>
      </c>
      <c r="U127" s="44" t="str">
        <f t="shared" si="39"/>
        <v/>
      </c>
      <c r="V127" s="26"/>
      <c r="W127" s="26"/>
      <c r="X127" s="26"/>
      <c r="Y127" s="26"/>
      <c r="Z127" s="24"/>
      <c r="AA127" s="169">
        <f t="shared" si="24"/>
        <v>0</v>
      </c>
      <c r="AB127" s="4">
        <f t="shared" si="25"/>
        <v>0</v>
      </c>
      <c r="AC127" s="170">
        <f t="shared" si="42"/>
        <v>0</v>
      </c>
      <c r="AD127" s="58"/>
      <c r="AE127" s="58"/>
      <c r="AF127" s="58"/>
      <c r="AG127" s="59">
        <f t="shared" si="26"/>
        <v>9.0359999999999996</v>
      </c>
      <c r="AH127" s="59">
        <f t="shared" si="27"/>
        <v>-184.49199999999999</v>
      </c>
      <c r="AJ127" s="4">
        <f>IF(D127="M",IF(AM127&lt;78,BMILMS!$D$5*AM127^3+BMILMS!$E$5*AM127^2+BMILMS!$F$5*AM127+BMILMS!$G$5,IF(AM127&lt;150,BMILMS!$D$6*AM127^3+BMILMS!$E$6*AM127^2+BMILMS!$F$6*AM127+BMILMS!$G$6,BMILMS!$D$7*AM127^3+BMILMS!$E$7*AM127^2+BMILMS!$F$7*AM127+BMILMS!$G$7)),IF(AM127&lt;69,BMILMS!$D$9*AM127^3+BMILMS!$E$9*AM127^2+BMILMS!$F$9*AM127+BMILMS!$G$9,IF(AM127&lt;150,BMILMS!$D$10*AM127^3+BMILMS!$E$10*AM127^2+BMILMS!$F$10*AM127+BMILMS!$G$10,BMILMS!$D$11*AM127^3+BMILMS!$E$11*AM127^2+BMILMS!$F$11*AM127+BMILMS!$G$11)))</f>
        <v>0.79584630099999998</v>
      </c>
      <c r="AK127" s="4">
        <f>IF(D127="M",(IF(AM127&lt;2.5,BMILMS!$D$21*AM127^3+BMILMS!$E$21*AM127^2+BMILMS!$F$21*AM127+BMILMS!$G$21,IF(AM127&lt;9.5,BMILMS!$D$22*AM127^3+BMILMS!$E$22*AM127^2+BMILMS!$F$22*AM127+BMILMS!$G$22,IF(AM127&lt;26.75,BMILMS!$D$23*AM127^3+BMILMS!$E$23*AM127^2+BMILMS!$F$23*AM127+BMILMS!$G$23,IF(AM127&lt;90,BMILMS!$D$24*AM127^3+BMILMS!$E$24*AM127^2+BMILMS!$F$24*AM127+BMILMS!$G$24,BMILMS!$D$25*AM127^3+BMILMS!$E$25*AM127^2+BMILMS!$F$25*AM127+BMILMS!$G$25))))),(IF(AM127&lt;2.5,BMILMS!$D$27*AM127^3+BMILMS!$E$27*AM127^2+BMILMS!$F$27*AM127+BMILMS!$G$27,IF(AM127&lt;9.5,BMILMS!$D$28*AM127^3+BMILMS!$E$28*AM127^2+BMILMS!$F$28*AM127+BMILMS!$G$28,IF(AM127&lt;26.75,BMILMS!$D$29*AM127^3+BMILMS!$E$29*AM127^2+BMILMS!$F$29*AM127+BMILMS!$G$29,IF(AM127&lt;90,BMILMS!$D$30*AM127^3+BMILMS!$E$30*AM127^2+BMILMS!$F$30*AM127+BMILMS!$G$30,IF(AM127&lt;150,BMILMS!$D$31*AM127^3+BMILMS!$E$31*AM127^2+BMILMS!$F$31*AM127+BMILMS!$G$31,BMILMS!$D$32*AM127^3+BMILMS!$E$32*AM127^2+BMILMS!$F$32*AM127+BMILMS!$G$32)))))))</f>
        <v>12.568967990000001</v>
      </c>
      <c r="AL127" s="4">
        <f>IF(D127="M",(IF(AM127&lt;90,BMILMS!$D$14*AM127^3+BMILMS!$E$14*AM127^2+BMILMS!$F$14*AM127+BMILMS!$G$14,BMILMS!$D$15*AM127^3+BMILMS!$E$15*AM127^2+BMILMS!$F$15*AM127+BMILMS!$G$15)),(IF(AM127&lt;90,BMILMS!$D$17*AM127^3+BMILMS!$E$17*AM127^2+BMILMS!$F$17*AM127+BMILMS!$G$17,BMILMS!$D$18*AM127^3+BMILMS!$E$18*AM127^2+BMILMS!$F$18*AM127+BMILMS!$G$18)))</f>
        <v>8.8969350000000003E-2</v>
      </c>
      <c r="AM127" s="4">
        <f t="shared" si="41"/>
        <v>0</v>
      </c>
      <c r="AO127" s="56">
        <f>IF(D127="M",WeightSDS!P$5*$AM127^7+WeightSDS!Q$5*$AM127^6+WeightSDS!R$5*$AM127^5+WeightSDS!S$5*$AM127^4+WeightSDS!T$5*$AM127^3+WeightSDS!U$5*$AM127^2+WeightSDS!V$5*$AM127+WeightSDS!W$5,IF($AM127&lt;186,WeightSDS!P$8*$AM127^7+WeightSDS!Q$8*$AM127^6+WeightSDS!R$8*$AM127^5+WeightSDS!S$8*$AM127^4+WeightSDS!T$8*$AM127^3+WeightSDS!U$8*$AM127^2+WeightSDS!V$8*$AM127+WeightSDS!W$8,WeightSDS!$U$9+WeightSDS!$V$9*($AM127-WeightSDS!$W$9)))</f>
        <v>0.75407122999999998</v>
      </c>
      <c r="AP127" s="4">
        <f>IF(D127="M",IF($AM127&lt;45,WeightSDS!M$23*$AM127^10+WeightSDS!N$23*$AM127^9+WeightSDS!O$23*$AM127^8+WeightSDS!P$23*$AM127^7+WeightSDS!Q$23*$AM127^6+WeightSDS!R$23*$AM127^5+WeightSDS!S$23*$AM127^4+WeightSDS!T$23*$AM127^3+WeightSDS!U$23*$AM127^2+WeightSDS!V$23*$AM127+WeightSDS!W$23,IF($AM127&lt;153,WeightSDS!M$25*$AM127^10+WeightSDS!N$25*$AM127^9+WeightSDS!O$25*$AM127^8+WeightSDS!P$25*$AM127^7+WeightSDS!Q$25*$AM127^6+WeightSDS!R$25*$AM127^5+WeightSDS!S$25*$AM127^4+WeightSDS!T$25*$AM127^3+WeightSDS!U$25*$AM127^2+WeightSDS!V$25*$AM127+WeightSDS!W$25,WeightSDS!M$27+WeightSDS!N$27/(1+EXP(WeightSDS!O$27+WeightSDS!P$27*$AM127)))),IF($AM127&lt;43.8,WeightSDS!M$29*$AM127^10+WeightSDS!N$29*$AM127^9+WeightSDS!O$29*$AM127^8+WeightSDS!P$29*$AM127^7+WeightSDS!Q$29*$AM127^6+WeightSDS!R$29*$AM127^5+WeightSDS!S$29*$AM127^4+WeightSDS!T$29*$AM127^3+WeightSDS!U$29*$AM127^2+WeightSDS!V$29*$AM127+WeightSDS!W$29-0.010431*(1-$AM127/210),IF($AM127&lt;123,WeightSDS!M$30*$AM127^10+WeightSDS!N$30*$AM127^9+WeightSDS!O$30*$AM127^8+WeightSDS!P$30*$AM127^7+WeightSDS!Q$30*$AM127^6+WeightSDS!R$30*$AM127^5+WeightSDS!S$30*$AM127^4+WeightSDS!T$30*$AM127^3+WeightSDS!U$30*$AM127^2+WeightSDS!V$30*$AM127+WeightSDS!W$30-0.010431*(1-1/$AM127),WeightSDS!M$32+WeightSDS!N$32/(1+EXP(WeightSDS!O$32+WeightSDS!P$32*$AM127))-0.010431*(1-$AM127/210))))</f>
        <v>2.9500001032655536</v>
      </c>
      <c r="AQ127" s="4">
        <f>IF(D127="M",IF($AM127&lt;162,WeightSDS!P$12*$AM127^7+WeightSDS!Q$12*$AM127^6+WeightSDS!R$12*$AM127^5+WeightSDS!S$12*$AM127^4+WeightSDS!T$12*$AM127^3+WeightSDS!U$12*$AM127^2+WeightSDS!V$12*$AM127+WeightSDS!W$12,WeightSDS!P$14*$AM127^7+WeightSDS!Q$14*$AM127^6+WeightSDS!R$14*$AM127^5+WeightSDS!S$14*$AM127^4+WeightSDS!T$14*$AM127^3+WeightSDS!U$14*$AM127^2+WeightSDS!V$14*$AM127+WeightSDS!W$14),IF($AM127&lt;156,WeightSDS!O$17*$AM127^8+WeightSDS!P$17*$AM127^7+WeightSDS!Q$17*$AM127^6+WeightSDS!R$17*$AM127^5+WeightSDS!S$17*$AM127^4+WeightSDS!T$17*$AM127^3+WeightSDS!U$17*$AM127^2+WeightSDS!V$17*$AM127+WeightSDS!W$17,IF($AM127&lt;186,WeightSDS!$U$18+(WeightSDS!$V$18-WeightSDS!$U$18)/24*($AM127-186)+WeightSDS!$W$18*(-$AM127+186)^2-0.005,WeightSDS!$U$18+(WeightSDS!$V$18-WeightSDS!$U$18)/24*($AM127-186)-0.005)))</f>
        <v>0.14604529399999999</v>
      </c>
      <c r="AT127" s="4">
        <f t="shared" si="28"/>
        <v>0.56299999999999994</v>
      </c>
      <c r="AU127" s="4">
        <f t="shared" si="29"/>
        <v>69</v>
      </c>
      <c r="AV127" s="4">
        <f t="shared" si="30"/>
        <v>0.51</v>
      </c>
    </row>
    <row r="128" spans="1:48" x14ac:dyDescent="0.15">
      <c r="A128" s="4"/>
      <c r="B128" s="21"/>
      <c r="C128" s="21"/>
      <c r="D128" s="21"/>
      <c r="E128" s="22"/>
      <c r="F128" s="22"/>
      <c r="G128" s="23"/>
      <c r="H128" s="23"/>
      <c r="I128" s="181"/>
      <c r="J128" s="8" t="str">
        <f t="shared" si="22"/>
        <v/>
      </c>
      <c r="K128" s="2" t="str">
        <f t="shared" si="31"/>
        <v/>
      </c>
      <c r="L128" s="2" t="str">
        <f t="shared" si="23"/>
        <v/>
      </c>
      <c r="M128" s="2" t="str">
        <f t="shared" si="32"/>
        <v/>
      </c>
      <c r="N128" s="2" t="str">
        <f t="shared" si="40"/>
        <v/>
      </c>
      <c r="O128" s="2" t="str">
        <f t="shared" si="33"/>
        <v/>
      </c>
      <c r="P128" s="8" t="str">
        <f t="shared" si="34"/>
        <v/>
      </c>
      <c r="Q128" s="8" t="str">
        <f t="shared" si="35"/>
        <v/>
      </c>
      <c r="R128" s="111" t="str">
        <f t="shared" si="36"/>
        <v/>
      </c>
      <c r="S128" s="44" t="str">
        <f t="shared" si="37"/>
        <v/>
      </c>
      <c r="T128" s="37" t="str">
        <f t="shared" si="38"/>
        <v/>
      </c>
      <c r="U128" s="44" t="str">
        <f t="shared" si="39"/>
        <v/>
      </c>
      <c r="V128" s="26"/>
      <c r="W128" s="26"/>
      <c r="X128" s="26"/>
      <c r="Y128" s="26"/>
      <c r="Z128" s="24"/>
      <c r="AA128" s="169">
        <f t="shared" si="24"/>
        <v>0</v>
      </c>
      <c r="AB128" s="4">
        <f t="shared" si="25"/>
        <v>0</v>
      </c>
      <c r="AC128" s="170">
        <f t="shared" si="42"/>
        <v>0</v>
      </c>
      <c r="AD128" s="58"/>
      <c r="AE128" s="58"/>
      <c r="AF128" s="58"/>
      <c r="AG128" s="59">
        <f t="shared" si="26"/>
        <v>9.0359999999999996</v>
      </c>
      <c r="AH128" s="59">
        <f t="shared" si="27"/>
        <v>-184.49199999999999</v>
      </c>
      <c r="AJ128" s="4">
        <f>IF(D128="M",IF(AM128&lt;78,BMILMS!$D$5*AM128^3+BMILMS!$E$5*AM128^2+BMILMS!$F$5*AM128+BMILMS!$G$5,IF(AM128&lt;150,BMILMS!$D$6*AM128^3+BMILMS!$E$6*AM128^2+BMILMS!$F$6*AM128+BMILMS!$G$6,BMILMS!$D$7*AM128^3+BMILMS!$E$7*AM128^2+BMILMS!$F$7*AM128+BMILMS!$G$7)),IF(AM128&lt;69,BMILMS!$D$9*AM128^3+BMILMS!$E$9*AM128^2+BMILMS!$F$9*AM128+BMILMS!$G$9,IF(AM128&lt;150,BMILMS!$D$10*AM128^3+BMILMS!$E$10*AM128^2+BMILMS!$F$10*AM128+BMILMS!$G$10,BMILMS!$D$11*AM128^3+BMILMS!$E$11*AM128^2+BMILMS!$F$11*AM128+BMILMS!$G$11)))</f>
        <v>0.79584630099999998</v>
      </c>
      <c r="AK128" s="4">
        <f>IF(D128="M",(IF(AM128&lt;2.5,BMILMS!$D$21*AM128^3+BMILMS!$E$21*AM128^2+BMILMS!$F$21*AM128+BMILMS!$G$21,IF(AM128&lt;9.5,BMILMS!$D$22*AM128^3+BMILMS!$E$22*AM128^2+BMILMS!$F$22*AM128+BMILMS!$G$22,IF(AM128&lt;26.75,BMILMS!$D$23*AM128^3+BMILMS!$E$23*AM128^2+BMILMS!$F$23*AM128+BMILMS!$G$23,IF(AM128&lt;90,BMILMS!$D$24*AM128^3+BMILMS!$E$24*AM128^2+BMILMS!$F$24*AM128+BMILMS!$G$24,BMILMS!$D$25*AM128^3+BMILMS!$E$25*AM128^2+BMILMS!$F$25*AM128+BMILMS!$G$25))))),(IF(AM128&lt;2.5,BMILMS!$D$27*AM128^3+BMILMS!$E$27*AM128^2+BMILMS!$F$27*AM128+BMILMS!$G$27,IF(AM128&lt;9.5,BMILMS!$D$28*AM128^3+BMILMS!$E$28*AM128^2+BMILMS!$F$28*AM128+BMILMS!$G$28,IF(AM128&lt;26.75,BMILMS!$D$29*AM128^3+BMILMS!$E$29*AM128^2+BMILMS!$F$29*AM128+BMILMS!$G$29,IF(AM128&lt;90,BMILMS!$D$30*AM128^3+BMILMS!$E$30*AM128^2+BMILMS!$F$30*AM128+BMILMS!$G$30,IF(AM128&lt;150,BMILMS!$D$31*AM128^3+BMILMS!$E$31*AM128^2+BMILMS!$F$31*AM128+BMILMS!$G$31,BMILMS!$D$32*AM128^3+BMILMS!$E$32*AM128^2+BMILMS!$F$32*AM128+BMILMS!$G$32)))))))</f>
        <v>12.568967990000001</v>
      </c>
      <c r="AL128" s="4">
        <f>IF(D128="M",(IF(AM128&lt;90,BMILMS!$D$14*AM128^3+BMILMS!$E$14*AM128^2+BMILMS!$F$14*AM128+BMILMS!$G$14,BMILMS!$D$15*AM128^3+BMILMS!$E$15*AM128^2+BMILMS!$F$15*AM128+BMILMS!$G$15)),(IF(AM128&lt;90,BMILMS!$D$17*AM128^3+BMILMS!$E$17*AM128^2+BMILMS!$F$17*AM128+BMILMS!$G$17,BMILMS!$D$18*AM128^3+BMILMS!$E$18*AM128^2+BMILMS!$F$18*AM128+BMILMS!$G$18)))</f>
        <v>8.8969350000000003E-2</v>
      </c>
      <c r="AM128" s="4">
        <f t="shared" si="41"/>
        <v>0</v>
      </c>
      <c r="AO128" s="56">
        <f>IF(D128="M",WeightSDS!P$5*$AM128^7+WeightSDS!Q$5*$AM128^6+WeightSDS!R$5*$AM128^5+WeightSDS!S$5*$AM128^4+WeightSDS!T$5*$AM128^3+WeightSDS!U$5*$AM128^2+WeightSDS!V$5*$AM128+WeightSDS!W$5,IF($AM128&lt;186,WeightSDS!P$8*$AM128^7+WeightSDS!Q$8*$AM128^6+WeightSDS!R$8*$AM128^5+WeightSDS!S$8*$AM128^4+WeightSDS!T$8*$AM128^3+WeightSDS!U$8*$AM128^2+WeightSDS!V$8*$AM128+WeightSDS!W$8,WeightSDS!$U$9+WeightSDS!$V$9*($AM128-WeightSDS!$W$9)))</f>
        <v>0.75407122999999998</v>
      </c>
      <c r="AP128" s="4">
        <f>IF(D128="M",IF($AM128&lt;45,WeightSDS!M$23*$AM128^10+WeightSDS!N$23*$AM128^9+WeightSDS!O$23*$AM128^8+WeightSDS!P$23*$AM128^7+WeightSDS!Q$23*$AM128^6+WeightSDS!R$23*$AM128^5+WeightSDS!S$23*$AM128^4+WeightSDS!T$23*$AM128^3+WeightSDS!U$23*$AM128^2+WeightSDS!V$23*$AM128+WeightSDS!W$23,IF($AM128&lt;153,WeightSDS!M$25*$AM128^10+WeightSDS!N$25*$AM128^9+WeightSDS!O$25*$AM128^8+WeightSDS!P$25*$AM128^7+WeightSDS!Q$25*$AM128^6+WeightSDS!R$25*$AM128^5+WeightSDS!S$25*$AM128^4+WeightSDS!T$25*$AM128^3+WeightSDS!U$25*$AM128^2+WeightSDS!V$25*$AM128+WeightSDS!W$25,WeightSDS!M$27+WeightSDS!N$27/(1+EXP(WeightSDS!O$27+WeightSDS!P$27*$AM128)))),IF($AM128&lt;43.8,WeightSDS!M$29*$AM128^10+WeightSDS!N$29*$AM128^9+WeightSDS!O$29*$AM128^8+WeightSDS!P$29*$AM128^7+WeightSDS!Q$29*$AM128^6+WeightSDS!R$29*$AM128^5+WeightSDS!S$29*$AM128^4+WeightSDS!T$29*$AM128^3+WeightSDS!U$29*$AM128^2+WeightSDS!V$29*$AM128+WeightSDS!W$29-0.010431*(1-$AM128/210),IF($AM128&lt;123,WeightSDS!M$30*$AM128^10+WeightSDS!N$30*$AM128^9+WeightSDS!O$30*$AM128^8+WeightSDS!P$30*$AM128^7+WeightSDS!Q$30*$AM128^6+WeightSDS!R$30*$AM128^5+WeightSDS!S$30*$AM128^4+WeightSDS!T$30*$AM128^3+WeightSDS!U$30*$AM128^2+WeightSDS!V$30*$AM128+WeightSDS!W$30-0.010431*(1-1/$AM128),WeightSDS!M$32+WeightSDS!N$32/(1+EXP(WeightSDS!O$32+WeightSDS!P$32*$AM128))-0.010431*(1-$AM128/210))))</f>
        <v>2.9500001032655536</v>
      </c>
      <c r="AQ128" s="4">
        <f>IF(D128="M",IF($AM128&lt;162,WeightSDS!P$12*$AM128^7+WeightSDS!Q$12*$AM128^6+WeightSDS!R$12*$AM128^5+WeightSDS!S$12*$AM128^4+WeightSDS!T$12*$AM128^3+WeightSDS!U$12*$AM128^2+WeightSDS!V$12*$AM128+WeightSDS!W$12,WeightSDS!P$14*$AM128^7+WeightSDS!Q$14*$AM128^6+WeightSDS!R$14*$AM128^5+WeightSDS!S$14*$AM128^4+WeightSDS!T$14*$AM128^3+WeightSDS!U$14*$AM128^2+WeightSDS!V$14*$AM128+WeightSDS!W$14),IF($AM128&lt;156,WeightSDS!O$17*$AM128^8+WeightSDS!P$17*$AM128^7+WeightSDS!Q$17*$AM128^6+WeightSDS!R$17*$AM128^5+WeightSDS!S$17*$AM128^4+WeightSDS!T$17*$AM128^3+WeightSDS!U$17*$AM128^2+WeightSDS!V$17*$AM128+WeightSDS!W$17,IF($AM128&lt;186,WeightSDS!$U$18+(WeightSDS!$V$18-WeightSDS!$U$18)/24*($AM128-186)+WeightSDS!$W$18*(-$AM128+186)^2-0.005,WeightSDS!$U$18+(WeightSDS!$V$18-WeightSDS!$U$18)/24*($AM128-186)-0.005)))</f>
        <v>0.14604529399999999</v>
      </c>
      <c r="AT128" s="4">
        <f t="shared" si="28"/>
        <v>0.56299999999999994</v>
      </c>
      <c r="AU128" s="4">
        <f t="shared" si="29"/>
        <v>69</v>
      </c>
      <c r="AV128" s="4">
        <f t="shared" si="30"/>
        <v>0.51</v>
      </c>
    </row>
    <row r="129" spans="1:48" x14ac:dyDescent="0.15">
      <c r="A129" s="4"/>
      <c r="B129" s="21"/>
      <c r="C129" s="21"/>
      <c r="D129" s="21"/>
      <c r="E129" s="22"/>
      <c r="F129" s="22"/>
      <c r="G129" s="23"/>
      <c r="H129" s="23"/>
      <c r="I129" s="181"/>
      <c r="J129" s="8" t="str">
        <f t="shared" si="22"/>
        <v/>
      </c>
      <c r="K129" s="2" t="str">
        <f t="shared" si="31"/>
        <v/>
      </c>
      <c r="L129" s="2" t="str">
        <f t="shared" si="23"/>
        <v/>
      </c>
      <c r="M129" s="2" t="str">
        <f t="shared" si="32"/>
        <v/>
      </c>
      <c r="N129" s="2" t="str">
        <f t="shared" si="40"/>
        <v/>
      </c>
      <c r="O129" s="2" t="str">
        <f t="shared" si="33"/>
        <v/>
      </c>
      <c r="P129" s="8" t="str">
        <f t="shared" si="34"/>
        <v/>
      </c>
      <c r="Q129" s="8" t="str">
        <f t="shared" si="35"/>
        <v/>
      </c>
      <c r="R129" s="111" t="str">
        <f t="shared" si="36"/>
        <v/>
      </c>
      <c r="S129" s="44" t="str">
        <f t="shared" si="37"/>
        <v/>
      </c>
      <c r="T129" s="37" t="str">
        <f t="shared" si="38"/>
        <v/>
      </c>
      <c r="U129" s="44" t="str">
        <f t="shared" si="39"/>
        <v/>
      </c>
      <c r="V129" s="26"/>
      <c r="W129" s="26"/>
      <c r="X129" s="26"/>
      <c r="Y129" s="26"/>
      <c r="Z129" s="24"/>
      <c r="AA129" s="169">
        <f t="shared" si="24"/>
        <v>0</v>
      </c>
      <c r="AB129" s="4">
        <f t="shared" si="25"/>
        <v>0</v>
      </c>
      <c r="AC129" s="170">
        <f t="shared" si="42"/>
        <v>0</v>
      </c>
      <c r="AD129" s="58"/>
      <c r="AE129" s="58"/>
      <c r="AF129" s="58"/>
      <c r="AG129" s="59">
        <f t="shared" si="26"/>
        <v>9.0359999999999996</v>
      </c>
      <c r="AH129" s="59">
        <f t="shared" si="27"/>
        <v>-184.49199999999999</v>
      </c>
      <c r="AJ129" s="4">
        <f>IF(D129="M",IF(AM129&lt;78,BMILMS!$D$5*AM129^3+BMILMS!$E$5*AM129^2+BMILMS!$F$5*AM129+BMILMS!$G$5,IF(AM129&lt;150,BMILMS!$D$6*AM129^3+BMILMS!$E$6*AM129^2+BMILMS!$F$6*AM129+BMILMS!$G$6,BMILMS!$D$7*AM129^3+BMILMS!$E$7*AM129^2+BMILMS!$F$7*AM129+BMILMS!$G$7)),IF(AM129&lt;69,BMILMS!$D$9*AM129^3+BMILMS!$E$9*AM129^2+BMILMS!$F$9*AM129+BMILMS!$G$9,IF(AM129&lt;150,BMILMS!$D$10*AM129^3+BMILMS!$E$10*AM129^2+BMILMS!$F$10*AM129+BMILMS!$G$10,BMILMS!$D$11*AM129^3+BMILMS!$E$11*AM129^2+BMILMS!$F$11*AM129+BMILMS!$G$11)))</f>
        <v>0.79584630099999998</v>
      </c>
      <c r="AK129" s="4">
        <f>IF(D129="M",(IF(AM129&lt;2.5,BMILMS!$D$21*AM129^3+BMILMS!$E$21*AM129^2+BMILMS!$F$21*AM129+BMILMS!$G$21,IF(AM129&lt;9.5,BMILMS!$D$22*AM129^3+BMILMS!$E$22*AM129^2+BMILMS!$F$22*AM129+BMILMS!$G$22,IF(AM129&lt;26.75,BMILMS!$D$23*AM129^3+BMILMS!$E$23*AM129^2+BMILMS!$F$23*AM129+BMILMS!$G$23,IF(AM129&lt;90,BMILMS!$D$24*AM129^3+BMILMS!$E$24*AM129^2+BMILMS!$F$24*AM129+BMILMS!$G$24,BMILMS!$D$25*AM129^3+BMILMS!$E$25*AM129^2+BMILMS!$F$25*AM129+BMILMS!$G$25))))),(IF(AM129&lt;2.5,BMILMS!$D$27*AM129^3+BMILMS!$E$27*AM129^2+BMILMS!$F$27*AM129+BMILMS!$G$27,IF(AM129&lt;9.5,BMILMS!$D$28*AM129^3+BMILMS!$E$28*AM129^2+BMILMS!$F$28*AM129+BMILMS!$G$28,IF(AM129&lt;26.75,BMILMS!$D$29*AM129^3+BMILMS!$E$29*AM129^2+BMILMS!$F$29*AM129+BMILMS!$G$29,IF(AM129&lt;90,BMILMS!$D$30*AM129^3+BMILMS!$E$30*AM129^2+BMILMS!$F$30*AM129+BMILMS!$G$30,IF(AM129&lt;150,BMILMS!$D$31*AM129^3+BMILMS!$E$31*AM129^2+BMILMS!$F$31*AM129+BMILMS!$G$31,BMILMS!$D$32*AM129^3+BMILMS!$E$32*AM129^2+BMILMS!$F$32*AM129+BMILMS!$G$32)))))))</f>
        <v>12.568967990000001</v>
      </c>
      <c r="AL129" s="4">
        <f>IF(D129="M",(IF(AM129&lt;90,BMILMS!$D$14*AM129^3+BMILMS!$E$14*AM129^2+BMILMS!$F$14*AM129+BMILMS!$G$14,BMILMS!$D$15*AM129^3+BMILMS!$E$15*AM129^2+BMILMS!$F$15*AM129+BMILMS!$G$15)),(IF(AM129&lt;90,BMILMS!$D$17*AM129^3+BMILMS!$E$17*AM129^2+BMILMS!$F$17*AM129+BMILMS!$G$17,BMILMS!$D$18*AM129^3+BMILMS!$E$18*AM129^2+BMILMS!$F$18*AM129+BMILMS!$G$18)))</f>
        <v>8.8969350000000003E-2</v>
      </c>
      <c r="AM129" s="4">
        <f t="shared" si="41"/>
        <v>0</v>
      </c>
      <c r="AO129" s="56">
        <f>IF(D129="M",WeightSDS!P$5*$AM129^7+WeightSDS!Q$5*$AM129^6+WeightSDS!R$5*$AM129^5+WeightSDS!S$5*$AM129^4+WeightSDS!T$5*$AM129^3+WeightSDS!U$5*$AM129^2+WeightSDS!V$5*$AM129+WeightSDS!W$5,IF($AM129&lt;186,WeightSDS!P$8*$AM129^7+WeightSDS!Q$8*$AM129^6+WeightSDS!R$8*$AM129^5+WeightSDS!S$8*$AM129^4+WeightSDS!T$8*$AM129^3+WeightSDS!U$8*$AM129^2+WeightSDS!V$8*$AM129+WeightSDS!W$8,WeightSDS!$U$9+WeightSDS!$V$9*($AM129-WeightSDS!$W$9)))</f>
        <v>0.75407122999999998</v>
      </c>
      <c r="AP129" s="4">
        <f>IF(D129="M",IF($AM129&lt;45,WeightSDS!M$23*$AM129^10+WeightSDS!N$23*$AM129^9+WeightSDS!O$23*$AM129^8+WeightSDS!P$23*$AM129^7+WeightSDS!Q$23*$AM129^6+WeightSDS!R$23*$AM129^5+WeightSDS!S$23*$AM129^4+WeightSDS!T$23*$AM129^3+WeightSDS!U$23*$AM129^2+WeightSDS!V$23*$AM129+WeightSDS!W$23,IF($AM129&lt;153,WeightSDS!M$25*$AM129^10+WeightSDS!N$25*$AM129^9+WeightSDS!O$25*$AM129^8+WeightSDS!P$25*$AM129^7+WeightSDS!Q$25*$AM129^6+WeightSDS!R$25*$AM129^5+WeightSDS!S$25*$AM129^4+WeightSDS!T$25*$AM129^3+WeightSDS!U$25*$AM129^2+WeightSDS!V$25*$AM129+WeightSDS!W$25,WeightSDS!M$27+WeightSDS!N$27/(1+EXP(WeightSDS!O$27+WeightSDS!P$27*$AM129)))),IF($AM129&lt;43.8,WeightSDS!M$29*$AM129^10+WeightSDS!N$29*$AM129^9+WeightSDS!O$29*$AM129^8+WeightSDS!P$29*$AM129^7+WeightSDS!Q$29*$AM129^6+WeightSDS!R$29*$AM129^5+WeightSDS!S$29*$AM129^4+WeightSDS!T$29*$AM129^3+WeightSDS!U$29*$AM129^2+WeightSDS!V$29*$AM129+WeightSDS!W$29-0.010431*(1-$AM129/210),IF($AM129&lt;123,WeightSDS!M$30*$AM129^10+WeightSDS!N$30*$AM129^9+WeightSDS!O$30*$AM129^8+WeightSDS!P$30*$AM129^7+WeightSDS!Q$30*$AM129^6+WeightSDS!R$30*$AM129^5+WeightSDS!S$30*$AM129^4+WeightSDS!T$30*$AM129^3+WeightSDS!U$30*$AM129^2+WeightSDS!V$30*$AM129+WeightSDS!W$30-0.010431*(1-1/$AM129),WeightSDS!M$32+WeightSDS!N$32/(1+EXP(WeightSDS!O$32+WeightSDS!P$32*$AM129))-0.010431*(1-$AM129/210))))</f>
        <v>2.9500001032655536</v>
      </c>
      <c r="AQ129" s="4">
        <f>IF(D129="M",IF($AM129&lt;162,WeightSDS!P$12*$AM129^7+WeightSDS!Q$12*$AM129^6+WeightSDS!R$12*$AM129^5+WeightSDS!S$12*$AM129^4+WeightSDS!T$12*$AM129^3+WeightSDS!U$12*$AM129^2+WeightSDS!V$12*$AM129+WeightSDS!W$12,WeightSDS!P$14*$AM129^7+WeightSDS!Q$14*$AM129^6+WeightSDS!R$14*$AM129^5+WeightSDS!S$14*$AM129^4+WeightSDS!T$14*$AM129^3+WeightSDS!U$14*$AM129^2+WeightSDS!V$14*$AM129+WeightSDS!W$14),IF($AM129&lt;156,WeightSDS!O$17*$AM129^8+WeightSDS!P$17*$AM129^7+WeightSDS!Q$17*$AM129^6+WeightSDS!R$17*$AM129^5+WeightSDS!S$17*$AM129^4+WeightSDS!T$17*$AM129^3+WeightSDS!U$17*$AM129^2+WeightSDS!V$17*$AM129+WeightSDS!W$17,IF($AM129&lt;186,WeightSDS!$U$18+(WeightSDS!$V$18-WeightSDS!$U$18)/24*($AM129-186)+WeightSDS!$W$18*(-$AM129+186)^2-0.005,WeightSDS!$U$18+(WeightSDS!$V$18-WeightSDS!$U$18)/24*($AM129-186)-0.005)))</f>
        <v>0.14604529399999999</v>
      </c>
      <c r="AT129" s="4">
        <f t="shared" si="28"/>
        <v>0.56299999999999994</v>
      </c>
      <c r="AU129" s="4">
        <f t="shared" si="29"/>
        <v>69</v>
      </c>
      <c r="AV129" s="4">
        <f t="shared" si="30"/>
        <v>0.51</v>
      </c>
    </row>
    <row r="130" spans="1:48" x14ac:dyDescent="0.15">
      <c r="A130" s="4"/>
      <c r="B130" s="21"/>
      <c r="C130" s="21"/>
      <c r="D130" s="21"/>
      <c r="E130" s="22"/>
      <c r="F130" s="22"/>
      <c r="G130" s="23"/>
      <c r="H130" s="23"/>
      <c r="I130" s="181"/>
      <c r="J130" s="8" t="str">
        <f t="shared" si="22"/>
        <v/>
      </c>
      <c r="K130" s="2" t="str">
        <f t="shared" si="31"/>
        <v/>
      </c>
      <c r="L130" s="2" t="str">
        <f t="shared" si="23"/>
        <v/>
      </c>
      <c r="M130" s="2" t="str">
        <f t="shared" si="32"/>
        <v/>
      </c>
      <c r="N130" s="2" t="str">
        <f t="shared" si="40"/>
        <v/>
      </c>
      <c r="O130" s="2" t="str">
        <f t="shared" si="33"/>
        <v/>
      </c>
      <c r="P130" s="8" t="str">
        <f t="shared" si="34"/>
        <v/>
      </c>
      <c r="Q130" s="8" t="str">
        <f t="shared" si="35"/>
        <v/>
      </c>
      <c r="R130" s="111" t="str">
        <f t="shared" si="36"/>
        <v/>
      </c>
      <c r="S130" s="44" t="str">
        <f t="shared" si="37"/>
        <v/>
      </c>
      <c r="T130" s="37" t="str">
        <f t="shared" si="38"/>
        <v/>
      </c>
      <c r="U130" s="44" t="str">
        <f t="shared" si="39"/>
        <v/>
      </c>
      <c r="V130" s="26"/>
      <c r="W130" s="26"/>
      <c r="X130" s="26"/>
      <c r="Y130" s="26"/>
      <c r="Z130" s="24"/>
      <c r="AA130" s="169">
        <f t="shared" si="24"/>
        <v>0</v>
      </c>
      <c r="AB130" s="4">
        <f t="shared" si="25"/>
        <v>0</v>
      </c>
      <c r="AC130" s="170">
        <f t="shared" si="42"/>
        <v>0</v>
      </c>
      <c r="AD130" s="58"/>
      <c r="AE130" s="58"/>
      <c r="AF130" s="58"/>
      <c r="AG130" s="59">
        <f t="shared" si="26"/>
        <v>9.0359999999999996</v>
      </c>
      <c r="AH130" s="59">
        <f t="shared" si="27"/>
        <v>-184.49199999999999</v>
      </c>
      <c r="AJ130" s="4">
        <f>IF(D130="M",IF(AM130&lt;78,BMILMS!$D$5*AM130^3+BMILMS!$E$5*AM130^2+BMILMS!$F$5*AM130+BMILMS!$G$5,IF(AM130&lt;150,BMILMS!$D$6*AM130^3+BMILMS!$E$6*AM130^2+BMILMS!$F$6*AM130+BMILMS!$G$6,BMILMS!$D$7*AM130^3+BMILMS!$E$7*AM130^2+BMILMS!$F$7*AM130+BMILMS!$G$7)),IF(AM130&lt;69,BMILMS!$D$9*AM130^3+BMILMS!$E$9*AM130^2+BMILMS!$F$9*AM130+BMILMS!$G$9,IF(AM130&lt;150,BMILMS!$D$10*AM130^3+BMILMS!$E$10*AM130^2+BMILMS!$F$10*AM130+BMILMS!$G$10,BMILMS!$D$11*AM130^3+BMILMS!$E$11*AM130^2+BMILMS!$F$11*AM130+BMILMS!$G$11)))</f>
        <v>0.79584630099999998</v>
      </c>
      <c r="AK130" s="4">
        <f>IF(D130="M",(IF(AM130&lt;2.5,BMILMS!$D$21*AM130^3+BMILMS!$E$21*AM130^2+BMILMS!$F$21*AM130+BMILMS!$G$21,IF(AM130&lt;9.5,BMILMS!$D$22*AM130^3+BMILMS!$E$22*AM130^2+BMILMS!$F$22*AM130+BMILMS!$G$22,IF(AM130&lt;26.75,BMILMS!$D$23*AM130^3+BMILMS!$E$23*AM130^2+BMILMS!$F$23*AM130+BMILMS!$G$23,IF(AM130&lt;90,BMILMS!$D$24*AM130^3+BMILMS!$E$24*AM130^2+BMILMS!$F$24*AM130+BMILMS!$G$24,BMILMS!$D$25*AM130^3+BMILMS!$E$25*AM130^2+BMILMS!$F$25*AM130+BMILMS!$G$25))))),(IF(AM130&lt;2.5,BMILMS!$D$27*AM130^3+BMILMS!$E$27*AM130^2+BMILMS!$F$27*AM130+BMILMS!$G$27,IF(AM130&lt;9.5,BMILMS!$D$28*AM130^3+BMILMS!$E$28*AM130^2+BMILMS!$F$28*AM130+BMILMS!$G$28,IF(AM130&lt;26.75,BMILMS!$D$29*AM130^3+BMILMS!$E$29*AM130^2+BMILMS!$F$29*AM130+BMILMS!$G$29,IF(AM130&lt;90,BMILMS!$D$30*AM130^3+BMILMS!$E$30*AM130^2+BMILMS!$F$30*AM130+BMILMS!$G$30,IF(AM130&lt;150,BMILMS!$D$31*AM130^3+BMILMS!$E$31*AM130^2+BMILMS!$F$31*AM130+BMILMS!$G$31,BMILMS!$D$32*AM130^3+BMILMS!$E$32*AM130^2+BMILMS!$F$32*AM130+BMILMS!$G$32)))))))</f>
        <v>12.568967990000001</v>
      </c>
      <c r="AL130" s="4">
        <f>IF(D130="M",(IF(AM130&lt;90,BMILMS!$D$14*AM130^3+BMILMS!$E$14*AM130^2+BMILMS!$F$14*AM130+BMILMS!$G$14,BMILMS!$D$15*AM130^3+BMILMS!$E$15*AM130^2+BMILMS!$F$15*AM130+BMILMS!$G$15)),(IF(AM130&lt;90,BMILMS!$D$17*AM130^3+BMILMS!$E$17*AM130^2+BMILMS!$F$17*AM130+BMILMS!$G$17,BMILMS!$D$18*AM130^3+BMILMS!$E$18*AM130^2+BMILMS!$F$18*AM130+BMILMS!$G$18)))</f>
        <v>8.8969350000000003E-2</v>
      </c>
      <c r="AM130" s="4">
        <f t="shared" si="41"/>
        <v>0</v>
      </c>
      <c r="AO130" s="56">
        <f>IF(D130="M",WeightSDS!P$5*$AM130^7+WeightSDS!Q$5*$AM130^6+WeightSDS!R$5*$AM130^5+WeightSDS!S$5*$AM130^4+WeightSDS!T$5*$AM130^3+WeightSDS!U$5*$AM130^2+WeightSDS!V$5*$AM130+WeightSDS!W$5,IF($AM130&lt;186,WeightSDS!P$8*$AM130^7+WeightSDS!Q$8*$AM130^6+WeightSDS!R$8*$AM130^5+WeightSDS!S$8*$AM130^4+WeightSDS!T$8*$AM130^3+WeightSDS!U$8*$AM130^2+WeightSDS!V$8*$AM130+WeightSDS!W$8,WeightSDS!$U$9+WeightSDS!$V$9*($AM130-WeightSDS!$W$9)))</f>
        <v>0.75407122999999998</v>
      </c>
      <c r="AP130" s="4">
        <f>IF(D130="M",IF($AM130&lt;45,WeightSDS!M$23*$AM130^10+WeightSDS!N$23*$AM130^9+WeightSDS!O$23*$AM130^8+WeightSDS!P$23*$AM130^7+WeightSDS!Q$23*$AM130^6+WeightSDS!R$23*$AM130^5+WeightSDS!S$23*$AM130^4+WeightSDS!T$23*$AM130^3+WeightSDS!U$23*$AM130^2+WeightSDS!V$23*$AM130+WeightSDS!W$23,IF($AM130&lt;153,WeightSDS!M$25*$AM130^10+WeightSDS!N$25*$AM130^9+WeightSDS!O$25*$AM130^8+WeightSDS!P$25*$AM130^7+WeightSDS!Q$25*$AM130^6+WeightSDS!R$25*$AM130^5+WeightSDS!S$25*$AM130^4+WeightSDS!T$25*$AM130^3+WeightSDS!U$25*$AM130^2+WeightSDS!V$25*$AM130+WeightSDS!W$25,WeightSDS!M$27+WeightSDS!N$27/(1+EXP(WeightSDS!O$27+WeightSDS!P$27*$AM130)))),IF($AM130&lt;43.8,WeightSDS!M$29*$AM130^10+WeightSDS!N$29*$AM130^9+WeightSDS!O$29*$AM130^8+WeightSDS!P$29*$AM130^7+WeightSDS!Q$29*$AM130^6+WeightSDS!R$29*$AM130^5+WeightSDS!S$29*$AM130^4+WeightSDS!T$29*$AM130^3+WeightSDS!U$29*$AM130^2+WeightSDS!V$29*$AM130+WeightSDS!W$29-0.010431*(1-$AM130/210),IF($AM130&lt;123,WeightSDS!M$30*$AM130^10+WeightSDS!N$30*$AM130^9+WeightSDS!O$30*$AM130^8+WeightSDS!P$30*$AM130^7+WeightSDS!Q$30*$AM130^6+WeightSDS!R$30*$AM130^5+WeightSDS!S$30*$AM130^4+WeightSDS!T$30*$AM130^3+WeightSDS!U$30*$AM130^2+WeightSDS!V$30*$AM130+WeightSDS!W$30-0.010431*(1-1/$AM130),WeightSDS!M$32+WeightSDS!N$32/(1+EXP(WeightSDS!O$32+WeightSDS!P$32*$AM130))-0.010431*(1-$AM130/210))))</f>
        <v>2.9500001032655536</v>
      </c>
      <c r="AQ130" s="4">
        <f>IF(D130="M",IF($AM130&lt;162,WeightSDS!P$12*$AM130^7+WeightSDS!Q$12*$AM130^6+WeightSDS!R$12*$AM130^5+WeightSDS!S$12*$AM130^4+WeightSDS!T$12*$AM130^3+WeightSDS!U$12*$AM130^2+WeightSDS!V$12*$AM130+WeightSDS!W$12,WeightSDS!P$14*$AM130^7+WeightSDS!Q$14*$AM130^6+WeightSDS!R$14*$AM130^5+WeightSDS!S$14*$AM130^4+WeightSDS!T$14*$AM130^3+WeightSDS!U$14*$AM130^2+WeightSDS!V$14*$AM130+WeightSDS!W$14),IF($AM130&lt;156,WeightSDS!O$17*$AM130^8+WeightSDS!P$17*$AM130^7+WeightSDS!Q$17*$AM130^6+WeightSDS!R$17*$AM130^5+WeightSDS!S$17*$AM130^4+WeightSDS!T$17*$AM130^3+WeightSDS!U$17*$AM130^2+WeightSDS!V$17*$AM130+WeightSDS!W$17,IF($AM130&lt;186,WeightSDS!$U$18+(WeightSDS!$V$18-WeightSDS!$U$18)/24*($AM130-186)+WeightSDS!$W$18*(-$AM130+186)^2-0.005,WeightSDS!$U$18+(WeightSDS!$V$18-WeightSDS!$U$18)/24*($AM130-186)-0.005)))</f>
        <v>0.14604529399999999</v>
      </c>
      <c r="AT130" s="4">
        <f t="shared" si="28"/>
        <v>0.56299999999999994</v>
      </c>
      <c r="AU130" s="4">
        <f t="shared" si="29"/>
        <v>69</v>
      </c>
      <c r="AV130" s="4">
        <f t="shared" si="30"/>
        <v>0.51</v>
      </c>
    </row>
    <row r="131" spans="1:48" x14ac:dyDescent="0.15">
      <c r="A131" s="4"/>
      <c r="B131" s="21"/>
      <c r="C131" s="21"/>
      <c r="D131" s="21"/>
      <c r="E131" s="22"/>
      <c r="F131" s="22"/>
      <c r="G131" s="23"/>
      <c r="H131" s="23"/>
      <c r="I131" s="181"/>
      <c r="J131" s="8" t="str">
        <f t="shared" ref="J131:J194" si="43">IF(COUNTA(D131,E131,F131,G131)=4,IF(AA131+AB131/12&gt;17.583,"       *",(G131-(INDEX(IF(D131="F",Hfemalemean,Hmalemean),AB131+1,AA131+1)))/(INDEX(IF(D131="F",Hfemalesd,Hmalesd),AB131+1,AA131+1))),"")</f>
        <v/>
      </c>
      <c r="K131" s="2" t="str">
        <f t="shared" si="31"/>
        <v/>
      </c>
      <c r="L131" s="2" t="str">
        <f t="shared" ref="L131:L194" si="44">IF(COUNTA(D131,E131,F131,G131,H131)&lt;5,"",IF(T131&lt;6,"       *",IF(AA131+AB131/12&gt;=17.583,"       *",(H131-G131*INDEX(IF(D131="F",muratafemale,muratamale),AA131-4,1)-INDEX(IF(D131="F",muratafemale,muratamale),AA131-4,2))/(G131*INDEX(IF(D131="F",muratafemale,muratamale),AA131-4,1)+INDEX(IF(D131="F",muratafemale,muratamale),AA131-4,2))*100)))</f>
        <v/>
      </c>
      <c r="M131" s="2" t="str">
        <f t="shared" si="32"/>
        <v/>
      </c>
      <c r="N131" s="2" t="str">
        <f t="shared" si="40"/>
        <v/>
      </c>
      <c r="O131" s="2" t="str">
        <f t="shared" si="33"/>
        <v/>
      </c>
      <c r="P131" s="8" t="str">
        <f t="shared" si="34"/>
        <v/>
      </c>
      <c r="Q131" s="8" t="str">
        <f t="shared" si="35"/>
        <v/>
      </c>
      <c r="R131" s="111" t="str">
        <f t="shared" si="36"/>
        <v/>
      </c>
      <c r="S131" s="44" t="str">
        <f t="shared" si="37"/>
        <v/>
      </c>
      <c r="T131" s="37" t="str">
        <f t="shared" si="38"/>
        <v/>
      </c>
      <c r="U131" s="44" t="str">
        <f t="shared" si="39"/>
        <v/>
      </c>
      <c r="V131" s="26"/>
      <c r="W131" s="26"/>
      <c r="X131" s="26"/>
      <c r="Y131" s="26"/>
      <c r="Z131" s="24"/>
      <c r="AA131" s="169">
        <f t="shared" ref="AA131:AA194" si="45">DATEDIF(E131,F131,"Y")</f>
        <v>0</v>
      </c>
      <c r="AB131" s="4">
        <f t="shared" ref="AB131:AB194" si="46">DATEDIF(E131,F131,"YM")</f>
        <v>0</v>
      </c>
      <c r="AC131" s="170">
        <f t="shared" si="42"/>
        <v>0</v>
      </c>
      <c r="AD131" s="58"/>
      <c r="AE131" s="58"/>
      <c r="AF131" s="58"/>
      <c r="AG131" s="59">
        <f t="shared" ref="AG131:AG194" si="47">IF(D131="M",2.06*10^-3*G131^2-0.1166*G131+6.5273,2.49*10^-3*G131^2-0.1858*G131+9.036)</f>
        <v>9.0359999999999996</v>
      </c>
      <c r="AH131" s="59">
        <f t="shared" ref="AH131:AH194" si="48">((G131/100)^3*INDEX(itoOI,IF(D131="M",0,3)+IF(G131&lt;140,1,IF(G131&lt;=149,2,3)),1)+(G131/100)^2*INDEX(itoOI,IF(D131="M",0,3)+IF(G131&lt;140,1,IF(G131&lt;=149,2,3)),2)+(G131/100)*INDEX(itoOI,IF(D131="M",0,3)+IF(G131&lt;140,1,IF(G131&lt;=149,2,3)),3)+INDEX(itoOI,IF(D131="M",0,3)+IF(G131&lt;140,1,IF(G131&lt;=149,2,3)),4))</f>
        <v>-184.49199999999999</v>
      </c>
      <c r="AJ131" s="4">
        <f>IF(D131="M",IF(AM131&lt;78,BMILMS!$D$5*AM131^3+BMILMS!$E$5*AM131^2+BMILMS!$F$5*AM131+BMILMS!$G$5,IF(AM131&lt;150,BMILMS!$D$6*AM131^3+BMILMS!$E$6*AM131^2+BMILMS!$F$6*AM131+BMILMS!$G$6,BMILMS!$D$7*AM131^3+BMILMS!$E$7*AM131^2+BMILMS!$F$7*AM131+BMILMS!$G$7)),IF(AM131&lt;69,BMILMS!$D$9*AM131^3+BMILMS!$E$9*AM131^2+BMILMS!$F$9*AM131+BMILMS!$G$9,IF(AM131&lt;150,BMILMS!$D$10*AM131^3+BMILMS!$E$10*AM131^2+BMILMS!$F$10*AM131+BMILMS!$G$10,BMILMS!$D$11*AM131^3+BMILMS!$E$11*AM131^2+BMILMS!$F$11*AM131+BMILMS!$G$11)))</f>
        <v>0.79584630099999998</v>
      </c>
      <c r="AK131" s="4">
        <f>IF(D131="M",(IF(AM131&lt;2.5,BMILMS!$D$21*AM131^3+BMILMS!$E$21*AM131^2+BMILMS!$F$21*AM131+BMILMS!$G$21,IF(AM131&lt;9.5,BMILMS!$D$22*AM131^3+BMILMS!$E$22*AM131^2+BMILMS!$F$22*AM131+BMILMS!$G$22,IF(AM131&lt;26.75,BMILMS!$D$23*AM131^3+BMILMS!$E$23*AM131^2+BMILMS!$F$23*AM131+BMILMS!$G$23,IF(AM131&lt;90,BMILMS!$D$24*AM131^3+BMILMS!$E$24*AM131^2+BMILMS!$F$24*AM131+BMILMS!$G$24,BMILMS!$D$25*AM131^3+BMILMS!$E$25*AM131^2+BMILMS!$F$25*AM131+BMILMS!$G$25))))),(IF(AM131&lt;2.5,BMILMS!$D$27*AM131^3+BMILMS!$E$27*AM131^2+BMILMS!$F$27*AM131+BMILMS!$G$27,IF(AM131&lt;9.5,BMILMS!$D$28*AM131^3+BMILMS!$E$28*AM131^2+BMILMS!$F$28*AM131+BMILMS!$G$28,IF(AM131&lt;26.75,BMILMS!$D$29*AM131^3+BMILMS!$E$29*AM131^2+BMILMS!$F$29*AM131+BMILMS!$G$29,IF(AM131&lt;90,BMILMS!$D$30*AM131^3+BMILMS!$E$30*AM131^2+BMILMS!$F$30*AM131+BMILMS!$G$30,IF(AM131&lt;150,BMILMS!$D$31*AM131^3+BMILMS!$E$31*AM131^2+BMILMS!$F$31*AM131+BMILMS!$G$31,BMILMS!$D$32*AM131^3+BMILMS!$E$32*AM131^2+BMILMS!$F$32*AM131+BMILMS!$G$32)))))))</f>
        <v>12.568967990000001</v>
      </c>
      <c r="AL131" s="4">
        <f>IF(D131="M",(IF(AM131&lt;90,BMILMS!$D$14*AM131^3+BMILMS!$E$14*AM131^2+BMILMS!$F$14*AM131+BMILMS!$G$14,BMILMS!$D$15*AM131^3+BMILMS!$E$15*AM131^2+BMILMS!$F$15*AM131+BMILMS!$G$15)),(IF(AM131&lt;90,BMILMS!$D$17*AM131^3+BMILMS!$E$17*AM131^2+BMILMS!$F$17*AM131+BMILMS!$G$17,BMILMS!$D$18*AM131^3+BMILMS!$E$18*AM131^2+BMILMS!$F$18*AM131+BMILMS!$G$18)))</f>
        <v>8.8969350000000003E-2</v>
      </c>
      <c r="AM131" s="4">
        <f t="shared" si="41"/>
        <v>0</v>
      </c>
      <c r="AO131" s="56">
        <f>IF(D131="M",WeightSDS!P$5*$AM131^7+WeightSDS!Q$5*$AM131^6+WeightSDS!R$5*$AM131^5+WeightSDS!S$5*$AM131^4+WeightSDS!T$5*$AM131^3+WeightSDS!U$5*$AM131^2+WeightSDS!V$5*$AM131+WeightSDS!W$5,IF($AM131&lt;186,WeightSDS!P$8*$AM131^7+WeightSDS!Q$8*$AM131^6+WeightSDS!R$8*$AM131^5+WeightSDS!S$8*$AM131^4+WeightSDS!T$8*$AM131^3+WeightSDS!U$8*$AM131^2+WeightSDS!V$8*$AM131+WeightSDS!W$8,WeightSDS!$U$9+WeightSDS!$V$9*($AM131-WeightSDS!$W$9)))</f>
        <v>0.75407122999999998</v>
      </c>
      <c r="AP131" s="4">
        <f>IF(D131="M",IF($AM131&lt;45,WeightSDS!M$23*$AM131^10+WeightSDS!N$23*$AM131^9+WeightSDS!O$23*$AM131^8+WeightSDS!P$23*$AM131^7+WeightSDS!Q$23*$AM131^6+WeightSDS!R$23*$AM131^5+WeightSDS!S$23*$AM131^4+WeightSDS!T$23*$AM131^3+WeightSDS!U$23*$AM131^2+WeightSDS!V$23*$AM131+WeightSDS!W$23,IF($AM131&lt;153,WeightSDS!M$25*$AM131^10+WeightSDS!N$25*$AM131^9+WeightSDS!O$25*$AM131^8+WeightSDS!P$25*$AM131^7+WeightSDS!Q$25*$AM131^6+WeightSDS!R$25*$AM131^5+WeightSDS!S$25*$AM131^4+WeightSDS!T$25*$AM131^3+WeightSDS!U$25*$AM131^2+WeightSDS!V$25*$AM131+WeightSDS!W$25,WeightSDS!M$27+WeightSDS!N$27/(1+EXP(WeightSDS!O$27+WeightSDS!P$27*$AM131)))),IF($AM131&lt;43.8,WeightSDS!M$29*$AM131^10+WeightSDS!N$29*$AM131^9+WeightSDS!O$29*$AM131^8+WeightSDS!P$29*$AM131^7+WeightSDS!Q$29*$AM131^6+WeightSDS!R$29*$AM131^5+WeightSDS!S$29*$AM131^4+WeightSDS!T$29*$AM131^3+WeightSDS!U$29*$AM131^2+WeightSDS!V$29*$AM131+WeightSDS!W$29-0.010431*(1-$AM131/210),IF($AM131&lt;123,WeightSDS!M$30*$AM131^10+WeightSDS!N$30*$AM131^9+WeightSDS!O$30*$AM131^8+WeightSDS!P$30*$AM131^7+WeightSDS!Q$30*$AM131^6+WeightSDS!R$30*$AM131^5+WeightSDS!S$30*$AM131^4+WeightSDS!T$30*$AM131^3+WeightSDS!U$30*$AM131^2+WeightSDS!V$30*$AM131+WeightSDS!W$30-0.010431*(1-1/$AM131),WeightSDS!M$32+WeightSDS!N$32/(1+EXP(WeightSDS!O$32+WeightSDS!P$32*$AM131))-0.010431*(1-$AM131/210))))</f>
        <v>2.9500001032655536</v>
      </c>
      <c r="AQ131" s="4">
        <f>IF(D131="M",IF($AM131&lt;162,WeightSDS!P$12*$AM131^7+WeightSDS!Q$12*$AM131^6+WeightSDS!R$12*$AM131^5+WeightSDS!S$12*$AM131^4+WeightSDS!T$12*$AM131^3+WeightSDS!U$12*$AM131^2+WeightSDS!V$12*$AM131+WeightSDS!W$12,WeightSDS!P$14*$AM131^7+WeightSDS!Q$14*$AM131^6+WeightSDS!R$14*$AM131^5+WeightSDS!S$14*$AM131^4+WeightSDS!T$14*$AM131^3+WeightSDS!U$14*$AM131^2+WeightSDS!V$14*$AM131+WeightSDS!W$14),IF($AM131&lt;156,WeightSDS!O$17*$AM131^8+WeightSDS!P$17*$AM131^7+WeightSDS!Q$17*$AM131^6+WeightSDS!R$17*$AM131^5+WeightSDS!S$17*$AM131^4+WeightSDS!T$17*$AM131^3+WeightSDS!U$17*$AM131^2+WeightSDS!V$17*$AM131+WeightSDS!W$17,IF($AM131&lt;186,WeightSDS!$U$18+(WeightSDS!$V$18-WeightSDS!$U$18)/24*($AM131-186)+WeightSDS!$W$18*(-$AM131+186)^2-0.005,WeightSDS!$U$18+(WeightSDS!$V$18-WeightSDS!$U$18)/24*($AM131-186)-0.005)))</f>
        <v>0.14604529399999999</v>
      </c>
      <c r="AT131" s="4">
        <f t="shared" ref="AT131:AT194" si="49">INDEX(IF(D131="M",IGFmale, IGFfemale), AA131+1,1)</f>
        <v>0.56299999999999994</v>
      </c>
      <c r="AU131" s="4">
        <f t="shared" ref="AU131:AU194" si="50">INDEX(IF(D131="M",IGFmale, IGFfemale), AA131+1,2)</f>
        <v>69</v>
      </c>
      <c r="AV131" s="4">
        <f t="shared" ref="AV131:AV194" si="51">INDEX(IF(D131="M",IGFmale, IGFfemale), AA131+1,3)</f>
        <v>0.51</v>
      </c>
    </row>
    <row r="132" spans="1:48" x14ac:dyDescent="0.15">
      <c r="A132" s="4"/>
      <c r="B132" s="21"/>
      <c r="C132" s="21"/>
      <c r="D132" s="21"/>
      <c r="E132" s="22"/>
      <c r="F132" s="22"/>
      <c r="G132" s="23"/>
      <c r="H132" s="23"/>
      <c r="I132" s="181"/>
      <c r="J132" s="8" t="str">
        <f t="shared" si="43"/>
        <v/>
      </c>
      <c r="K132" s="2" t="str">
        <f t="shared" ref="K132:K195" si="52">IF(COUNTA(D132,E132,F132,G132,H132)=5,IF(T132&lt;1,"       *",IF(T132&gt;=6,"       *",IF(G132&gt;=120,"       *",IF(G132&lt;70,"       *",(H132-AG132)/AG132*100)))),"")</f>
        <v/>
      </c>
      <c r="L132" s="2" t="str">
        <f t="shared" si="44"/>
        <v/>
      </c>
      <c r="M132" s="2" t="str">
        <f t="shared" ref="M132:M195" si="53">IF(COUNTA(D132,E132,F132,G132,H132)=5,IF(G132&gt;=IF(D132="M",181,174),"*",IF(G132&lt;101,"       *",IF(T132&lt;6,"       *",IF(AA132+AB132/12&gt;=17.583,"*",(H132-AH132)/AH132*100)))),"")</f>
        <v/>
      </c>
      <c r="N132" s="2" t="str">
        <f t="shared" si="40"/>
        <v/>
      </c>
      <c r="O132" s="2" t="str">
        <f t="shared" ref="O132:O195" si="54">IF(COUNTA(D132,E132,F132,G132,H132)=5,IF(AA132+AB132/12&gt;17.583,"   *",NORMSDIST(((N132/AK132)^(AJ132)-1)/AJ132/AL132)*100),"")</f>
        <v/>
      </c>
      <c r="P132" s="8" t="str">
        <f t="shared" ref="P132:P195" si="55">IF(COUNTA(D132,E132,F132,G132,H132)=5,IF(AA132+AB132/12&gt;17.583,"   *",((N132/AK132)^(AJ132)-1)/AJ132/AL132),"")</f>
        <v/>
      </c>
      <c r="Q132" s="8" t="str">
        <f t="shared" ref="Q132:Q195" si="56">IF(COUNTA(D132,E132,F132,H132)=4,IF(AA132+AB132/12&gt;17.583,"   *",((H132/AP132)^(AO132)-1)/AO132/AQ132),"")</f>
        <v/>
      </c>
      <c r="R132" s="111" t="str">
        <f t="shared" ref="R132:R195" si="57">IF(COUNTA(D132,E132,F132,I132)=4,IF(AC132&gt;77,"*",NORMSDIST(((I132/AU132)^(AT132)-1)/AT132/AV132)*100),"")</f>
        <v/>
      </c>
      <c r="S132" s="44" t="str">
        <f t="shared" ref="S132:S195" si="58">IF(COUNTA(D132,E132,F132,I132)=4,IF(AC132&gt;77,"*",((I132/AU132)^(AT132)-1)/AT132/AV132),"")</f>
        <v/>
      </c>
      <c r="T132" s="37" t="str">
        <f t="shared" ref="T132:T195" si="59">IF(COUNTA(E132,F132)=2,AC132,"")</f>
        <v/>
      </c>
      <c r="U132" s="44" t="str">
        <f t="shared" ref="U132:U195" si="60">IF(COUNTA(E132,F132)=2,AA132&amp;"歳"&amp;AB132&amp;"か月","")</f>
        <v/>
      </c>
      <c r="V132" s="26"/>
      <c r="W132" s="26"/>
      <c r="X132" s="26"/>
      <c r="Y132" s="26"/>
      <c r="Z132" s="24"/>
      <c r="AA132" s="169">
        <f t="shared" si="45"/>
        <v>0</v>
      </c>
      <c r="AB132" s="4">
        <f t="shared" si="46"/>
        <v>0</v>
      </c>
      <c r="AC132" s="170">
        <f t="shared" si="42"/>
        <v>0</v>
      </c>
      <c r="AD132" s="58"/>
      <c r="AE132" s="58"/>
      <c r="AF132" s="58"/>
      <c r="AG132" s="59">
        <f t="shared" si="47"/>
        <v>9.0359999999999996</v>
      </c>
      <c r="AH132" s="59">
        <f t="shared" si="48"/>
        <v>-184.49199999999999</v>
      </c>
      <c r="AJ132" s="4">
        <f>IF(D132="M",IF(AM132&lt;78,BMILMS!$D$5*AM132^3+BMILMS!$E$5*AM132^2+BMILMS!$F$5*AM132+BMILMS!$G$5,IF(AM132&lt;150,BMILMS!$D$6*AM132^3+BMILMS!$E$6*AM132^2+BMILMS!$F$6*AM132+BMILMS!$G$6,BMILMS!$D$7*AM132^3+BMILMS!$E$7*AM132^2+BMILMS!$F$7*AM132+BMILMS!$G$7)),IF(AM132&lt;69,BMILMS!$D$9*AM132^3+BMILMS!$E$9*AM132^2+BMILMS!$F$9*AM132+BMILMS!$G$9,IF(AM132&lt;150,BMILMS!$D$10*AM132^3+BMILMS!$E$10*AM132^2+BMILMS!$F$10*AM132+BMILMS!$G$10,BMILMS!$D$11*AM132^3+BMILMS!$E$11*AM132^2+BMILMS!$F$11*AM132+BMILMS!$G$11)))</f>
        <v>0.79584630099999998</v>
      </c>
      <c r="AK132" s="4">
        <f>IF(D132="M",(IF(AM132&lt;2.5,BMILMS!$D$21*AM132^3+BMILMS!$E$21*AM132^2+BMILMS!$F$21*AM132+BMILMS!$G$21,IF(AM132&lt;9.5,BMILMS!$D$22*AM132^3+BMILMS!$E$22*AM132^2+BMILMS!$F$22*AM132+BMILMS!$G$22,IF(AM132&lt;26.75,BMILMS!$D$23*AM132^3+BMILMS!$E$23*AM132^2+BMILMS!$F$23*AM132+BMILMS!$G$23,IF(AM132&lt;90,BMILMS!$D$24*AM132^3+BMILMS!$E$24*AM132^2+BMILMS!$F$24*AM132+BMILMS!$G$24,BMILMS!$D$25*AM132^3+BMILMS!$E$25*AM132^2+BMILMS!$F$25*AM132+BMILMS!$G$25))))),(IF(AM132&lt;2.5,BMILMS!$D$27*AM132^3+BMILMS!$E$27*AM132^2+BMILMS!$F$27*AM132+BMILMS!$G$27,IF(AM132&lt;9.5,BMILMS!$D$28*AM132^3+BMILMS!$E$28*AM132^2+BMILMS!$F$28*AM132+BMILMS!$G$28,IF(AM132&lt;26.75,BMILMS!$D$29*AM132^3+BMILMS!$E$29*AM132^2+BMILMS!$F$29*AM132+BMILMS!$G$29,IF(AM132&lt;90,BMILMS!$D$30*AM132^3+BMILMS!$E$30*AM132^2+BMILMS!$F$30*AM132+BMILMS!$G$30,IF(AM132&lt;150,BMILMS!$D$31*AM132^3+BMILMS!$E$31*AM132^2+BMILMS!$F$31*AM132+BMILMS!$G$31,BMILMS!$D$32*AM132^3+BMILMS!$E$32*AM132^2+BMILMS!$F$32*AM132+BMILMS!$G$32)))))))</f>
        <v>12.568967990000001</v>
      </c>
      <c r="AL132" s="4">
        <f>IF(D132="M",(IF(AM132&lt;90,BMILMS!$D$14*AM132^3+BMILMS!$E$14*AM132^2+BMILMS!$F$14*AM132+BMILMS!$G$14,BMILMS!$D$15*AM132^3+BMILMS!$E$15*AM132^2+BMILMS!$F$15*AM132+BMILMS!$G$15)),(IF(AM132&lt;90,BMILMS!$D$17*AM132^3+BMILMS!$E$17*AM132^2+BMILMS!$F$17*AM132+BMILMS!$G$17,BMILMS!$D$18*AM132^3+BMILMS!$E$18*AM132^2+BMILMS!$F$18*AM132+BMILMS!$G$18)))</f>
        <v>8.8969350000000003E-2</v>
      </c>
      <c r="AM132" s="4">
        <f t="shared" si="41"/>
        <v>0</v>
      </c>
      <c r="AO132" s="56">
        <f>IF(D132="M",WeightSDS!P$5*$AM132^7+WeightSDS!Q$5*$AM132^6+WeightSDS!R$5*$AM132^5+WeightSDS!S$5*$AM132^4+WeightSDS!T$5*$AM132^3+WeightSDS!U$5*$AM132^2+WeightSDS!V$5*$AM132+WeightSDS!W$5,IF($AM132&lt;186,WeightSDS!P$8*$AM132^7+WeightSDS!Q$8*$AM132^6+WeightSDS!R$8*$AM132^5+WeightSDS!S$8*$AM132^4+WeightSDS!T$8*$AM132^3+WeightSDS!U$8*$AM132^2+WeightSDS!V$8*$AM132+WeightSDS!W$8,WeightSDS!$U$9+WeightSDS!$V$9*($AM132-WeightSDS!$W$9)))</f>
        <v>0.75407122999999998</v>
      </c>
      <c r="AP132" s="4">
        <f>IF(D132="M",IF($AM132&lt;45,WeightSDS!M$23*$AM132^10+WeightSDS!N$23*$AM132^9+WeightSDS!O$23*$AM132^8+WeightSDS!P$23*$AM132^7+WeightSDS!Q$23*$AM132^6+WeightSDS!R$23*$AM132^5+WeightSDS!S$23*$AM132^4+WeightSDS!T$23*$AM132^3+WeightSDS!U$23*$AM132^2+WeightSDS!V$23*$AM132+WeightSDS!W$23,IF($AM132&lt;153,WeightSDS!M$25*$AM132^10+WeightSDS!N$25*$AM132^9+WeightSDS!O$25*$AM132^8+WeightSDS!P$25*$AM132^7+WeightSDS!Q$25*$AM132^6+WeightSDS!R$25*$AM132^5+WeightSDS!S$25*$AM132^4+WeightSDS!T$25*$AM132^3+WeightSDS!U$25*$AM132^2+WeightSDS!V$25*$AM132+WeightSDS!W$25,WeightSDS!M$27+WeightSDS!N$27/(1+EXP(WeightSDS!O$27+WeightSDS!P$27*$AM132)))),IF($AM132&lt;43.8,WeightSDS!M$29*$AM132^10+WeightSDS!N$29*$AM132^9+WeightSDS!O$29*$AM132^8+WeightSDS!P$29*$AM132^7+WeightSDS!Q$29*$AM132^6+WeightSDS!R$29*$AM132^5+WeightSDS!S$29*$AM132^4+WeightSDS!T$29*$AM132^3+WeightSDS!U$29*$AM132^2+WeightSDS!V$29*$AM132+WeightSDS!W$29-0.010431*(1-$AM132/210),IF($AM132&lt;123,WeightSDS!M$30*$AM132^10+WeightSDS!N$30*$AM132^9+WeightSDS!O$30*$AM132^8+WeightSDS!P$30*$AM132^7+WeightSDS!Q$30*$AM132^6+WeightSDS!R$30*$AM132^5+WeightSDS!S$30*$AM132^4+WeightSDS!T$30*$AM132^3+WeightSDS!U$30*$AM132^2+WeightSDS!V$30*$AM132+WeightSDS!W$30-0.010431*(1-1/$AM132),WeightSDS!M$32+WeightSDS!N$32/(1+EXP(WeightSDS!O$32+WeightSDS!P$32*$AM132))-0.010431*(1-$AM132/210))))</f>
        <v>2.9500001032655536</v>
      </c>
      <c r="AQ132" s="4">
        <f>IF(D132="M",IF($AM132&lt;162,WeightSDS!P$12*$AM132^7+WeightSDS!Q$12*$AM132^6+WeightSDS!R$12*$AM132^5+WeightSDS!S$12*$AM132^4+WeightSDS!T$12*$AM132^3+WeightSDS!U$12*$AM132^2+WeightSDS!V$12*$AM132+WeightSDS!W$12,WeightSDS!P$14*$AM132^7+WeightSDS!Q$14*$AM132^6+WeightSDS!R$14*$AM132^5+WeightSDS!S$14*$AM132^4+WeightSDS!T$14*$AM132^3+WeightSDS!U$14*$AM132^2+WeightSDS!V$14*$AM132+WeightSDS!W$14),IF($AM132&lt;156,WeightSDS!O$17*$AM132^8+WeightSDS!P$17*$AM132^7+WeightSDS!Q$17*$AM132^6+WeightSDS!R$17*$AM132^5+WeightSDS!S$17*$AM132^4+WeightSDS!T$17*$AM132^3+WeightSDS!U$17*$AM132^2+WeightSDS!V$17*$AM132+WeightSDS!W$17,IF($AM132&lt;186,WeightSDS!$U$18+(WeightSDS!$V$18-WeightSDS!$U$18)/24*($AM132-186)+WeightSDS!$W$18*(-$AM132+186)^2-0.005,WeightSDS!$U$18+(WeightSDS!$V$18-WeightSDS!$U$18)/24*($AM132-186)-0.005)))</f>
        <v>0.14604529399999999</v>
      </c>
      <c r="AT132" s="4">
        <f t="shared" si="49"/>
        <v>0.56299999999999994</v>
      </c>
      <c r="AU132" s="4">
        <f t="shared" si="50"/>
        <v>69</v>
      </c>
      <c r="AV132" s="4">
        <f t="shared" si="51"/>
        <v>0.51</v>
      </c>
    </row>
    <row r="133" spans="1:48" x14ac:dyDescent="0.15">
      <c r="A133" s="4"/>
      <c r="B133" s="21"/>
      <c r="C133" s="21"/>
      <c r="D133" s="21"/>
      <c r="E133" s="22"/>
      <c r="F133" s="22"/>
      <c r="G133" s="23"/>
      <c r="H133" s="23"/>
      <c r="I133" s="181"/>
      <c r="J133" s="8" t="str">
        <f t="shared" si="43"/>
        <v/>
      </c>
      <c r="K133" s="2" t="str">
        <f t="shared" si="52"/>
        <v/>
      </c>
      <c r="L133" s="2" t="str">
        <f t="shared" si="44"/>
        <v/>
      </c>
      <c r="M133" s="2" t="str">
        <f t="shared" si="53"/>
        <v/>
      </c>
      <c r="N133" s="2" t="str">
        <f t="shared" si="40"/>
        <v/>
      </c>
      <c r="O133" s="2" t="str">
        <f t="shared" si="54"/>
        <v/>
      </c>
      <c r="P133" s="8" t="str">
        <f t="shared" si="55"/>
        <v/>
      </c>
      <c r="Q133" s="8" t="str">
        <f t="shared" si="56"/>
        <v/>
      </c>
      <c r="R133" s="111" t="str">
        <f t="shared" si="57"/>
        <v/>
      </c>
      <c r="S133" s="44" t="str">
        <f t="shared" si="58"/>
        <v/>
      </c>
      <c r="T133" s="37" t="str">
        <f t="shared" si="59"/>
        <v/>
      </c>
      <c r="U133" s="44" t="str">
        <f t="shared" si="60"/>
        <v/>
      </c>
      <c r="V133" s="26"/>
      <c r="W133" s="26"/>
      <c r="X133" s="26"/>
      <c r="Y133" s="26"/>
      <c r="Z133" s="24"/>
      <c r="AA133" s="169">
        <f t="shared" si="45"/>
        <v>0</v>
      </c>
      <c r="AB133" s="4">
        <f t="shared" si="46"/>
        <v>0</v>
      </c>
      <c r="AC133" s="170">
        <f t="shared" si="42"/>
        <v>0</v>
      </c>
      <c r="AD133" s="58"/>
      <c r="AE133" s="58"/>
      <c r="AF133" s="58"/>
      <c r="AG133" s="59">
        <f t="shared" si="47"/>
        <v>9.0359999999999996</v>
      </c>
      <c r="AH133" s="59">
        <f t="shared" si="48"/>
        <v>-184.49199999999999</v>
      </c>
      <c r="AJ133" s="4">
        <f>IF(D133="M",IF(AM133&lt;78,BMILMS!$D$5*AM133^3+BMILMS!$E$5*AM133^2+BMILMS!$F$5*AM133+BMILMS!$G$5,IF(AM133&lt;150,BMILMS!$D$6*AM133^3+BMILMS!$E$6*AM133^2+BMILMS!$F$6*AM133+BMILMS!$G$6,BMILMS!$D$7*AM133^3+BMILMS!$E$7*AM133^2+BMILMS!$F$7*AM133+BMILMS!$G$7)),IF(AM133&lt;69,BMILMS!$D$9*AM133^3+BMILMS!$E$9*AM133^2+BMILMS!$F$9*AM133+BMILMS!$G$9,IF(AM133&lt;150,BMILMS!$D$10*AM133^3+BMILMS!$E$10*AM133^2+BMILMS!$F$10*AM133+BMILMS!$G$10,BMILMS!$D$11*AM133^3+BMILMS!$E$11*AM133^2+BMILMS!$F$11*AM133+BMILMS!$G$11)))</f>
        <v>0.79584630099999998</v>
      </c>
      <c r="AK133" s="4">
        <f>IF(D133="M",(IF(AM133&lt;2.5,BMILMS!$D$21*AM133^3+BMILMS!$E$21*AM133^2+BMILMS!$F$21*AM133+BMILMS!$G$21,IF(AM133&lt;9.5,BMILMS!$D$22*AM133^3+BMILMS!$E$22*AM133^2+BMILMS!$F$22*AM133+BMILMS!$G$22,IF(AM133&lt;26.75,BMILMS!$D$23*AM133^3+BMILMS!$E$23*AM133^2+BMILMS!$F$23*AM133+BMILMS!$G$23,IF(AM133&lt;90,BMILMS!$D$24*AM133^3+BMILMS!$E$24*AM133^2+BMILMS!$F$24*AM133+BMILMS!$G$24,BMILMS!$D$25*AM133^3+BMILMS!$E$25*AM133^2+BMILMS!$F$25*AM133+BMILMS!$G$25))))),(IF(AM133&lt;2.5,BMILMS!$D$27*AM133^3+BMILMS!$E$27*AM133^2+BMILMS!$F$27*AM133+BMILMS!$G$27,IF(AM133&lt;9.5,BMILMS!$D$28*AM133^3+BMILMS!$E$28*AM133^2+BMILMS!$F$28*AM133+BMILMS!$G$28,IF(AM133&lt;26.75,BMILMS!$D$29*AM133^3+BMILMS!$E$29*AM133^2+BMILMS!$F$29*AM133+BMILMS!$G$29,IF(AM133&lt;90,BMILMS!$D$30*AM133^3+BMILMS!$E$30*AM133^2+BMILMS!$F$30*AM133+BMILMS!$G$30,IF(AM133&lt;150,BMILMS!$D$31*AM133^3+BMILMS!$E$31*AM133^2+BMILMS!$F$31*AM133+BMILMS!$G$31,BMILMS!$D$32*AM133^3+BMILMS!$E$32*AM133^2+BMILMS!$F$32*AM133+BMILMS!$G$32)))))))</f>
        <v>12.568967990000001</v>
      </c>
      <c r="AL133" s="4">
        <f>IF(D133="M",(IF(AM133&lt;90,BMILMS!$D$14*AM133^3+BMILMS!$E$14*AM133^2+BMILMS!$F$14*AM133+BMILMS!$G$14,BMILMS!$D$15*AM133^3+BMILMS!$E$15*AM133^2+BMILMS!$F$15*AM133+BMILMS!$G$15)),(IF(AM133&lt;90,BMILMS!$D$17*AM133^3+BMILMS!$E$17*AM133^2+BMILMS!$F$17*AM133+BMILMS!$G$17,BMILMS!$D$18*AM133^3+BMILMS!$E$18*AM133^2+BMILMS!$F$18*AM133+BMILMS!$G$18)))</f>
        <v>8.8969350000000003E-2</v>
      </c>
      <c r="AM133" s="4">
        <f t="shared" si="41"/>
        <v>0</v>
      </c>
      <c r="AO133" s="56">
        <f>IF(D133="M",WeightSDS!P$5*$AM133^7+WeightSDS!Q$5*$AM133^6+WeightSDS!R$5*$AM133^5+WeightSDS!S$5*$AM133^4+WeightSDS!T$5*$AM133^3+WeightSDS!U$5*$AM133^2+WeightSDS!V$5*$AM133+WeightSDS!W$5,IF($AM133&lt;186,WeightSDS!P$8*$AM133^7+WeightSDS!Q$8*$AM133^6+WeightSDS!R$8*$AM133^5+WeightSDS!S$8*$AM133^4+WeightSDS!T$8*$AM133^3+WeightSDS!U$8*$AM133^2+WeightSDS!V$8*$AM133+WeightSDS!W$8,WeightSDS!$U$9+WeightSDS!$V$9*($AM133-WeightSDS!$W$9)))</f>
        <v>0.75407122999999998</v>
      </c>
      <c r="AP133" s="4">
        <f>IF(D133="M",IF($AM133&lt;45,WeightSDS!M$23*$AM133^10+WeightSDS!N$23*$AM133^9+WeightSDS!O$23*$AM133^8+WeightSDS!P$23*$AM133^7+WeightSDS!Q$23*$AM133^6+WeightSDS!R$23*$AM133^5+WeightSDS!S$23*$AM133^4+WeightSDS!T$23*$AM133^3+WeightSDS!U$23*$AM133^2+WeightSDS!V$23*$AM133+WeightSDS!W$23,IF($AM133&lt;153,WeightSDS!M$25*$AM133^10+WeightSDS!N$25*$AM133^9+WeightSDS!O$25*$AM133^8+WeightSDS!P$25*$AM133^7+WeightSDS!Q$25*$AM133^6+WeightSDS!R$25*$AM133^5+WeightSDS!S$25*$AM133^4+WeightSDS!T$25*$AM133^3+WeightSDS!U$25*$AM133^2+WeightSDS!V$25*$AM133+WeightSDS!W$25,WeightSDS!M$27+WeightSDS!N$27/(1+EXP(WeightSDS!O$27+WeightSDS!P$27*$AM133)))),IF($AM133&lt;43.8,WeightSDS!M$29*$AM133^10+WeightSDS!N$29*$AM133^9+WeightSDS!O$29*$AM133^8+WeightSDS!P$29*$AM133^7+WeightSDS!Q$29*$AM133^6+WeightSDS!R$29*$AM133^5+WeightSDS!S$29*$AM133^4+WeightSDS!T$29*$AM133^3+WeightSDS!U$29*$AM133^2+WeightSDS!V$29*$AM133+WeightSDS!W$29-0.010431*(1-$AM133/210),IF($AM133&lt;123,WeightSDS!M$30*$AM133^10+WeightSDS!N$30*$AM133^9+WeightSDS!O$30*$AM133^8+WeightSDS!P$30*$AM133^7+WeightSDS!Q$30*$AM133^6+WeightSDS!R$30*$AM133^5+WeightSDS!S$30*$AM133^4+WeightSDS!T$30*$AM133^3+WeightSDS!U$30*$AM133^2+WeightSDS!V$30*$AM133+WeightSDS!W$30-0.010431*(1-1/$AM133),WeightSDS!M$32+WeightSDS!N$32/(1+EXP(WeightSDS!O$32+WeightSDS!P$32*$AM133))-0.010431*(1-$AM133/210))))</f>
        <v>2.9500001032655536</v>
      </c>
      <c r="AQ133" s="4">
        <f>IF(D133="M",IF($AM133&lt;162,WeightSDS!P$12*$AM133^7+WeightSDS!Q$12*$AM133^6+WeightSDS!R$12*$AM133^5+WeightSDS!S$12*$AM133^4+WeightSDS!T$12*$AM133^3+WeightSDS!U$12*$AM133^2+WeightSDS!V$12*$AM133+WeightSDS!W$12,WeightSDS!P$14*$AM133^7+WeightSDS!Q$14*$AM133^6+WeightSDS!R$14*$AM133^5+WeightSDS!S$14*$AM133^4+WeightSDS!T$14*$AM133^3+WeightSDS!U$14*$AM133^2+WeightSDS!V$14*$AM133+WeightSDS!W$14),IF($AM133&lt;156,WeightSDS!O$17*$AM133^8+WeightSDS!P$17*$AM133^7+WeightSDS!Q$17*$AM133^6+WeightSDS!R$17*$AM133^5+WeightSDS!S$17*$AM133^4+WeightSDS!T$17*$AM133^3+WeightSDS!U$17*$AM133^2+WeightSDS!V$17*$AM133+WeightSDS!W$17,IF($AM133&lt;186,WeightSDS!$U$18+(WeightSDS!$V$18-WeightSDS!$U$18)/24*($AM133-186)+WeightSDS!$W$18*(-$AM133+186)^2-0.005,WeightSDS!$U$18+(WeightSDS!$V$18-WeightSDS!$U$18)/24*($AM133-186)-0.005)))</f>
        <v>0.14604529399999999</v>
      </c>
      <c r="AT133" s="4">
        <f t="shared" si="49"/>
        <v>0.56299999999999994</v>
      </c>
      <c r="AU133" s="4">
        <f t="shared" si="50"/>
        <v>69</v>
      </c>
      <c r="AV133" s="4">
        <f t="shared" si="51"/>
        <v>0.51</v>
      </c>
    </row>
    <row r="134" spans="1:48" x14ac:dyDescent="0.15">
      <c r="A134" s="4"/>
      <c r="B134" s="21"/>
      <c r="C134" s="21"/>
      <c r="D134" s="21"/>
      <c r="E134" s="22"/>
      <c r="F134" s="22"/>
      <c r="G134" s="23"/>
      <c r="H134" s="23"/>
      <c r="I134" s="181"/>
      <c r="J134" s="8" t="str">
        <f t="shared" si="43"/>
        <v/>
      </c>
      <c r="K134" s="2" t="str">
        <f t="shared" si="52"/>
        <v/>
      </c>
      <c r="L134" s="2" t="str">
        <f t="shared" si="44"/>
        <v/>
      </c>
      <c r="M134" s="2" t="str">
        <f t="shared" si="53"/>
        <v/>
      </c>
      <c r="N134" s="2" t="str">
        <f t="shared" si="40"/>
        <v/>
      </c>
      <c r="O134" s="2" t="str">
        <f t="shared" si="54"/>
        <v/>
      </c>
      <c r="P134" s="8" t="str">
        <f t="shared" si="55"/>
        <v/>
      </c>
      <c r="Q134" s="8" t="str">
        <f t="shared" si="56"/>
        <v/>
      </c>
      <c r="R134" s="111" t="str">
        <f t="shared" si="57"/>
        <v/>
      </c>
      <c r="S134" s="44" t="str">
        <f t="shared" si="58"/>
        <v/>
      </c>
      <c r="T134" s="37" t="str">
        <f t="shared" si="59"/>
        <v/>
      </c>
      <c r="U134" s="44" t="str">
        <f t="shared" si="60"/>
        <v/>
      </c>
      <c r="V134" s="26"/>
      <c r="W134" s="26"/>
      <c r="X134" s="26"/>
      <c r="Y134" s="26"/>
      <c r="Z134" s="24"/>
      <c r="AA134" s="169">
        <f t="shared" si="45"/>
        <v>0</v>
      </c>
      <c r="AB134" s="4">
        <f t="shared" si="46"/>
        <v>0</v>
      </c>
      <c r="AC134" s="170">
        <f t="shared" si="42"/>
        <v>0</v>
      </c>
      <c r="AD134" s="58"/>
      <c r="AE134" s="58"/>
      <c r="AF134" s="58"/>
      <c r="AG134" s="59">
        <f t="shared" si="47"/>
        <v>9.0359999999999996</v>
      </c>
      <c r="AH134" s="59">
        <f t="shared" si="48"/>
        <v>-184.49199999999999</v>
      </c>
      <c r="AJ134" s="4">
        <f>IF(D134="M",IF(AM134&lt;78,BMILMS!$D$5*AM134^3+BMILMS!$E$5*AM134^2+BMILMS!$F$5*AM134+BMILMS!$G$5,IF(AM134&lt;150,BMILMS!$D$6*AM134^3+BMILMS!$E$6*AM134^2+BMILMS!$F$6*AM134+BMILMS!$G$6,BMILMS!$D$7*AM134^3+BMILMS!$E$7*AM134^2+BMILMS!$F$7*AM134+BMILMS!$G$7)),IF(AM134&lt;69,BMILMS!$D$9*AM134^3+BMILMS!$E$9*AM134^2+BMILMS!$F$9*AM134+BMILMS!$G$9,IF(AM134&lt;150,BMILMS!$D$10*AM134^3+BMILMS!$E$10*AM134^2+BMILMS!$F$10*AM134+BMILMS!$G$10,BMILMS!$D$11*AM134^3+BMILMS!$E$11*AM134^2+BMILMS!$F$11*AM134+BMILMS!$G$11)))</f>
        <v>0.79584630099999998</v>
      </c>
      <c r="AK134" s="4">
        <f>IF(D134="M",(IF(AM134&lt;2.5,BMILMS!$D$21*AM134^3+BMILMS!$E$21*AM134^2+BMILMS!$F$21*AM134+BMILMS!$G$21,IF(AM134&lt;9.5,BMILMS!$D$22*AM134^3+BMILMS!$E$22*AM134^2+BMILMS!$F$22*AM134+BMILMS!$G$22,IF(AM134&lt;26.75,BMILMS!$D$23*AM134^3+BMILMS!$E$23*AM134^2+BMILMS!$F$23*AM134+BMILMS!$G$23,IF(AM134&lt;90,BMILMS!$D$24*AM134^3+BMILMS!$E$24*AM134^2+BMILMS!$F$24*AM134+BMILMS!$G$24,BMILMS!$D$25*AM134^3+BMILMS!$E$25*AM134^2+BMILMS!$F$25*AM134+BMILMS!$G$25))))),(IF(AM134&lt;2.5,BMILMS!$D$27*AM134^3+BMILMS!$E$27*AM134^2+BMILMS!$F$27*AM134+BMILMS!$G$27,IF(AM134&lt;9.5,BMILMS!$D$28*AM134^3+BMILMS!$E$28*AM134^2+BMILMS!$F$28*AM134+BMILMS!$G$28,IF(AM134&lt;26.75,BMILMS!$D$29*AM134^3+BMILMS!$E$29*AM134^2+BMILMS!$F$29*AM134+BMILMS!$G$29,IF(AM134&lt;90,BMILMS!$D$30*AM134^3+BMILMS!$E$30*AM134^2+BMILMS!$F$30*AM134+BMILMS!$G$30,IF(AM134&lt;150,BMILMS!$D$31*AM134^3+BMILMS!$E$31*AM134^2+BMILMS!$F$31*AM134+BMILMS!$G$31,BMILMS!$D$32*AM134^3+BMILMS!$E$32*AM134^2+BMILMS!$F$32*AM134+BMILMS!$G$32)))))))</f>
        <v>12.568967990000001</v>
      </c>
      <c r="AL134" s="4">
        <f>IF(D134="M",(IF(AM134&lt;90,BMILMS!$D$14*AM134^3+BMILMS!$E$14*AM134^2+BMILMS!$F$14*AM134+BMILMS!$G$14,BMILMS!$D$15*AM134^3+BMILMS!$E$15*AM134^2+BMILMS!$F$15*AM134+BMILMS!$G$15)),(IF(AM134&lt;90,BMILMS!$D$17*AM134^3+BMILMS!$E$17*AM134^2+BMILMS!$F$17*AM134+BMILMS!$G$17,BMILMS!$D$18*AM134^3+BMILMS!$E$18*AM134^2+BMILMS!$F$18*AM134+BMILMS!$G$18)))</f>
        <v>8.8969350000000003E-2</v>
      </c>
      <c r="AM134" s="4">
        <f t="shared" si="41"/>
        <v>0</v>
      </c>
      <c r="AO134" s="56">
        <f>IF(D134="M",WeightSDS!P$5*$AM134^7+WeightSDS!Q$5*$AM134^6+WeightSDS!R$5*$AM134^5+WeightSDS!S$5*$AM134^4+WeightSDS!T$5*$AM134^3+WeightSDS!U$5*$AM134^2+WeightSDS!V$5*$AM134+WeightSDS!W$5,IF($AM134&lt;186,WeightSDS!P$8*$AM134^7+WeightSDS!Q$8*$AM134^6+WeightSDS!R$8*$AM134^5+WeightSDS!S$8*$AM134^4+WeightSDS!T$8*$AM134^3+WeightSDS!U$8*$AM134^2+WeightSDS!V$8*$AM134+WeightSDS!W$8,WeightSDS!$U$9+WeightSDS!$V$9*($AM134-WeightSDS!$W$9)))</f>
        <v>0.75407122999999998</v>
      </c>
      <c r="AP134" s="4">
        <f>IF(D134="M",IF($AM134&lt;45,WeightSDS!M$23*$AM134^10+WeightSDS!N$23*$AM134^9+WeightSDS!O$23*$AM134^8+WeightSDS!P$23*$AM134^7+WeightSDS!Q$23*$AM134^6+WeightSDS!R$23*$AM134^5+WeightSDS!S$23*$AM134^4+WeightSDS!T$23*$AM134^3+WeightSDS!U$23*$AM134^2+WeightSDS!V$23*$AM134+WeightSDS!W$23,IF($AM134&lt;153,WeightSDS!M$25*$AM134^10+WeightSDS!N$25*$AM134^9+WeightSDS!O$25*$AM134^8+WeightSDS!P$25*$AM134^7+WeightSDS!Q$25*$AM134^6+WeightSDS!R$25*$AM134^5+WeightSDS!S$25*$AM134^4+WeightSDS!T$25*$AM134^3+WeightSDS!U$25*$AM134^2+WeightSDS!V$25*$AM134+WeightSDS!W$25,WeightSDS!M$27+WeightSDS!N$27/(1+EXP(WeightSDS!O$27+WeightSDS!P$27*$AM134)))),IF($AM134&lt;43.8,WeightSDS!M$29*$AM134^10+WeightSDS!N$29*$AM134^9+WeightSDS!O$29*$AM134^8+WeightSDS!P$29*$AM134^7+WeightSDS!Q$29*$AM134^6+WeightSDS!R$29*$AM134^5+WeightSDS!S$29*$AM134^4+WeightSDS!T$29*$AM134^3+WeightSDS!U$29*$AM134^2+WeightSDS!V$29*$AM134+WeightSDS!W$29-0.010431*(1-$AM134/210),IF($AM134&lt;123,WeightSDS!M$30*$AM134^10+WeightSDS!N$30*$AM134^9+WeightSDS!O$30*$AM134^8+WeightSDS!P$30*$AM134^7+WeightSDS!Q$30*$AM134^6+WeightSDS!R$30*$AM134^5+WeightSDS!S$30*$AM134^4+WeightSDS!T$30*$AM134^3+WeightSDS!U$30*$AM134^2+WeightSDS!V$30*$AM134+WeightSDS!W$30-0.010431*(1-1/$AM134),WeightSDS!M$32+WeightSDS!N$32/(1+EXP(WeightSDS!O$32+WeightSDS!P$32*$AM134))-0.010431*(1-$AM134/210))))</f>
        <v>2.9500001032655536</v>
      </c>
      <c r="AQ134" s="4">
        <f>IF(D134="M",IF($AM134&lt;162,WeightSDS!P$12*$AM134^7+WeightSDS!Q$12*$AM134^6+WeightSDS!R$12*$AM134^5+WeightSDS!S$12*$AM134^4+WeightSDS!T$12*$AM134^3+WeightSDS!U$12*$AM134^2+WeightSDS!V$12*$AM134+WeightSDS!W$12,WeightSDS!P$14*$AM134^7+WeightSDS!Q$14*$AM134^6+WeightSDS!R$14*$AM134^5+WeightSDS!S$14*$AM134^4+WeightSDS!T$14*$AM134^3+WeightSDS!U$14*$AM134^2+WeightSDS!V$14*$AM134+WeightSDS!W$14),IF($AM134&lt;156,WeightSDS!O$17*$AM134^8+WeightSDS!P$17*$AM134^7+WeightSDS!Q$17*$AM134^6+WeightSDS!R$17*$AM134^5+WeightSDS!S$17*$AM134^4+WeightSDS!T$17*$AM134^3+WeightSDS!U$17*$AM134^2+WeightSDS!V$17*$AM134+WeightSDS!W$17,IF($AM134&lt;186,WeightSDS!$U$18+(WeightSDS!$V$18-WeightSDS!$U$18)/24*($AM134-186)+WeightSDS!$W$18*(-$AM134+186)^2-0.005,WeightSDS!$U$18+(WeightSDS!$V$18-WeightSDS!$U$18)/24*($AM134-186)-0.005)))</f>
        <v>0.14604529399999999</v>
      </c>
      <c r="AT134" s="4">
        <f t="shared" si="49"/>
        <v>0.56299999999999994</v>
      </c>
      <c r="AU134" s="4">
        <f t="shared" si="50"/>
        <v>69</v>
      </c>
      <c r="AV134" s="4">
        <f t="shared" si="51"/>
        <v>0.51</v>
      </c>
    </row>
    <row r="135" spans="1:48" x14ac:dyDescent="0.15">
      <c r="A135" s="4"/>
      <c r="B135" s="21"/>
      <c r="C135" s="21"/>
      <c r="D135" s="21"/>
      <c r="E135" s="22"/>
      <c r="F135" s="22"/>
      <c r="G135" s="23"/>
      <c r="H135" s="23"/>
      <c r="I135" s="181"/>
      <c r="J135" s="8" t="str">
        <f t="shared" si="43"/>
        <v/>
      </c>
      <c r="K135" s="2" t="str">
        <f t="shared" si="52"/>
        <v/>
      </c>
      <c r="L135" s="2" t="str">
        <f t="shared" si="44"/>
        <v/>
      </c>
      <c r="M135" s="2" t="str">
        <f t="shared" si="53"/>
        <v/>
      </c>
      <c r="N135" s="2" t="str">
        <f t="shared" si="40"/>
        <v/>
      </c>
      <c r="O135" s="2" t="str">
        <f t="shared" si="54"/>
        <v/>
      </c>
      <c r="P135" s="8" t="str">
        <f t="shared" si="55"/>
        <v/>
      </c>
      <c r="Q135" s="8" t="str">
        <f t="shared" si="56"/>
        <v/>
      </c>
      <c r="R135" s="111" t="str">
        <f t="shared" si="57"/>
        <v/>
      </c>
      <c r="S135" s="44" t="str">
        <f t="shared" si="58"/>
        <v/>
      </c>
      <c r="T135" s="37" t="str">
        <f t="shared" si="59"/>
        <v/>
      </c>
      <c r="U135" s="44" t="str">
        <f t="shared" si="60"/>
        <v/>
      </c>
      <c r="V135" s="26"/>
      <c r="W135" s="26"/>
      <c r="X135" s="26"/>
      <c r="Y135" s="26"/>
      <c r="Z135" s="24"/>
      <c r="AA135" s="169">
        <f t="shared" si="45"/>
        <v>0</v>
      </c>
      <c r="AB135" s="4">
        <f t="shared" si="46"/>
        <v>0</v>
      </c>
      <c r="AC135" s="170">
        <f t="shared" si="42"/>
        <v>0</v>
      </c>
      <c r="AD135" s="58"/>
      <c r="AE135" s="58"/>
      <c r="AF135" s="58"/>
      <c r="AG135" s="59">
        <f t="shared" si="47"/>
        <v>9.0359999999999996</v>
      </c>
      <c r="AH135" s="59">
        <f t="shared" si="48"/>
        <v>-184.49199999999999</v>
      </c>
      <c r="AJ135" s="4">
        <f>IF(D135="M",IF(AM135&lt;78,BMILMS!$D$5*AM135^3+BMILMS!$E$5*AM135^2+BMILMS!$F$5*AM135+BMILMS!$G$5,IF(AM135&lt;150,BMILMS!$D$6*AM135^3+BMILMS!$E$6*AM135^2+BMILMS!$F$6*AM135+BMILMS!$G$6,BMILMS!$D$7*AM135^3+BMILMS!$E$7*AM135^2+BMILMS!$F$7*AM135+BMILMS!$G$7)),IF(AM135&lt;69,BMILMS!$D$9*AM135^3+BMILMS!$E$9*AM135^2+BMILMS!$F$9*AM135+BMILMS!$G$9,IF(AM135&lt;150,BMILMS!$D$10*AM135^3+BMILMS!$E$10*AM135^2+BMILMS!$F$10*AM135+BMILMS!$G$10,BMILMS!$D$11*AM135^3+BMILMS!$E$11*AM135^2+BMILMS!$F$11*AM135+BMILMS!$G$11)))</f>
        <v>0.79584630099999998</v>
      </c>
      <c r="AK135" s="4">
        <f>IF(D135="M",(IF(AM135&lt;2.5,BMILMS!$D$21*AM135^3+BMILMS!$E$21*AM135^2+BMILMS!$F$21*AM135+BMILMS!$G$21,IF(AM135&lt;9.5,BMILMS!$D$22*AM135^3+BMILMS!$E$22*AM135^2+BMILMS!$F$22*AM135+BMILMS!$G$22,IF(AM135&lt;26.75,BMILMS!$D$23*AM135^3+BMILMS!$E$23*AM135^2+BMILMS!$F$23*AM135+BMILMS!$G$23,IF(AM135&lt;90,BMILMS!$D$24*AM135^3+BMILMS!$E$24*AM135^2+BMILMS!$F$24*AM135+BMILMS!$G$24,BMILMS!$D$25*AM135^3+BMILMS!$E$25*AM135^2+BMILMS!$F$25*AM135+BMILMS!$G$25))))),(IF(AM135&lt;2.5,BMILMS!$D$27*AM135^3+BMILMS!$E$27*AM135^2+BMILMS!$F$27*AM135+BMILMS!$G$27,IF(AM135&lt;9.5,BMILMS!$D$28*AM135^3+BMILMS!$E$28*AM135^2+BMILMS!$F$28*AM135+BMILMS!$G$28,IF(AM135&lt;26.75,BMILMS!$D$29*AM135^3+BMILMS!$E$29*AM135^2+BMILMS!$F$29*AM135+BMILMS!$G$29,IF(AM135&lt;90,BMILMS!$D$30*AM135^3+BMILMS!$E$30*AM135^2+BMILMS!$F$30*AM135+BMILMS!$G$30,IF(AM135&lt;150,BMILMS!$D$31*AM135^3+BMILMS!$E$31*AM135^2+BMILMS!$F$31*AM135+BMILMS!$G$31,BMILMS!$D$32*AM135^3+BMILMS!$E$32*AM135^2+BMILMS!$F$32*AM135+BMILMS!$G$32)))))))</f>
        <v>12.568967990000001</v>
      </c>
      <c r="AL135" s="4">
        <f>IF(D135="M",(IF(AM135&lt;90,BMILMS!$D$14*AM135^3+BMILMS!$E$14*AM135^2+BMILMS!$F$14*AM135+BMILMS!$G$14,BMILMS!$D$15*AM135^3+BMILMS!$E$15*AM135^2+BMILMS!$F$15*AM135+BMILMS!$G$15)),(IF(AM135&lt;90,BMILMS!$D$17*AM135^3+BMILMS!$E$17*AM135^2+BMILMS!$F$17*AM135+BMILMS!$G$17,BMILMS!$D$18*AM135^3+BMILMS!$E$18*AM135^2+BMILMS!$F$18*AM135+BMILMS!$G$18)))</f>
        <v>8.8969350000000003E-2</v>
      </c>
      <c r="AM135" s="4">
        <f t="shared" si="41"/>
        <v>0</v>
      </c>
      <c r="AO135" s="56">
        <f>IF(D135="M",WeightSDS!P$5*$AM135^7+WeightSDS!Q$5*$AM135^6+WeightSDS!R$5*$AM135^5+WeightSDS!S$5*$AM135^4+WeightSDS!T$5*$AM135^3+WeightSDS!U$5*$AM135^2+WeightSDS!V$5*$AM135+WeightSDS!W$5,IF($AM135&lt;186,WeightSDS!P$8*$AM135^7+WeightSDS!Q$8*$AM135^6+WeightSDS!R$8*$AM135^5+WeightSDS!S$8*$AM135^4+WeightSDS!T$8*$AM135^3+WeightSDS!U$8*$AM135^2+WeightSDS!V$8*$AM135+WeightSDS!W$8,WeightSDS!$U$9+WeightSDS!$V$9*($AM135-WeightSDS!$W$9)))</f>
        <v>0.75407122999999998</v>
      </c>
      <c r="AP135" s="4">
        <f>IF(D135="M",IF($AM135&lt;45,WeightSDS!M$23*$AM135^10+WeightSDS!N$23*$AM135^9+WeightSDS!O$23*$AM135^8+WeightSDS!P$23*$AM135^7+WeightSDS!Q$23*$AM135^6+WeightSDS!R$23*$AM135^5+WeightSDS!S$23*$AM135^4+WeightSDS!T$23*$AM135^3+WeightSDS!U$23*$AM135^2+WeightSDS!V$23*$AM135+WeightSDS!W$23,IF($AM135&lt;153,WeightSDS!M$25*$AM135^10+WeightSDS!N$25*$AM135^9+WeightSDS!O$25*$AM135^8+WeightSDS!P$25*$AM135^7+WeightSDS!Q$25*$AM135^6+WeightSDS!R$25*$AM135^5+WeightSDS!S$25*$AM135^4+WeightSDS!T$25*$AM135^3+WeightSDS!U$25*$AM135^2+WeightSDS!V$25*$AM135+WeightSDS!W$25,WeightSDS!M$27+WeightSDS!N$27/(1+EXP(WeightSDS!O$27+WeightSDS!P$27*$AM135)))),IF($AM135&lt;43.8,WeightSDS!M$29*$AM135^10+WeightSDS!N$29*$AM135^9+WeightSDS!O$29*$AM135^8+WeightSDS!P$29*$AM135^7+WeightSDS!Q$29*$AM135^6+WeightSDS!R$29*$AM135^5+WeightSDS!S$29*$AM135^4+WeightSDS!T$29*$AM135^3+WeightSDS!U$29*$AM135^2+WeightSDS!V$29*$AM135+WeightSDS!W$29-0.010431*(1-$AM135/210),IF($AM135&lt;123,WeightSDS!M$30*$AM135^10+WeightSDS!N$30*$AM135^9+WeightSDS!O$30*$AM135^8+WeightSDS!P$30*$AM135^7+WeightSDS!Q$30*$AM135^6+WeightSDS!R$30*$AM135^5+WeightSDS!S$30*$AM135^4+WeightSDS!T$30*$AM135^3+WeightSDS!U$30*$AM135^2+WeightSDS!V$30*$AM135+WeightSDS!W$30-0.010431*(1-1/$AM135),WeightSDS!M$32+WeightSDS!N$32/(1+EXP(WeightSDS!O$32+WeightSDS!P$32*$AM135))-0.010431*(1-$AM135/210))))</f>
        <v>2.9500001032655536</v>
      </c>
      <c r="AQ135" s="4">
        <f>IF(D135="M",IF($AM135&lt;162,WeightSDS!P$12*$AM135^7+WeightSDS!Q$12*$AM135^6+WeightSDS!R$12*$AM135^5+WeightSDS!S$12*$AM135^4+WeightSDS!T$12*$AM135^3+WeightSDS!U$12*$AM135^2+WeightSDS!V$12*$AM135+WeightSDS!W$12,WeightSDS!P$14*$AM135^7+WeightSDS!Q$14*$AM135^6+WeightSDS!R$14*$AM135^5+WeightSDS!S$14*$AM135^4+WeightSDS!T$14*$AM135^3+WeightSDS!U$14*$AM135^2+WeightSDS!V$14*$AM135+WeightSDS!W$14),IF($AM135&lt;156,WeightSDS!O$17*$AM135^8+WeightSDS!P$17*$AM135^7+WeightSDS!Q$17*$AM135^6+WeightSDS!R$17*$AM135^5+WeightSDS!S$17*$AM135^4+WeightSDS!T$17*$AM135^3+WeightSDS!U$17*$AM135^2+WeightSDS!V$17*$AM135+WeightSDS!W$17,IF($AM135&lt;186,WeightSDS!$U$18+(WeightSDS!$V$18-WeightSDS!$U$18)/24*($AM135-186)+WeightSDS!$W$18*(-$AM135+186)^2-0.005,WeightSDS!$U$18+(WeightSDS!$V$18-WeightSDS!$U$18)/24*($AM135-186)-0.005)))</f>
        <v>0.14604529399999999</v>
      </c>
      <c r="AT135" s="4">
        <f t="shared" si="49"/>
        <v>0.56299999999999994</v>
      </c>
      <c r="AU135" s="4">
        <f t="shared" si="50"/>
        <v>69</v>
      </c>
      <c r="AV135" s="4">
        <f t="shared" si="51"/>
        <v>0.51</v>
      </c>
    </row>
    <row r="136" spans="1:48" x14ac:dyDescent="0.15">
      <c r="A136" s="4"/>
      <c r="B136" s="21"/>
      <c r="C136" s="21"/>
      <c r="D136" s="21"/>
      <c r="E136" s="22"/>
      <c r="F136" s="22"/>
      <c r="G136" s="23"/>
      <c r="H136" s="23"/>
      <c r="I136" s="181"/>
      <c r="J136" s="8" t="str">
        <f t="shared" si="43"/>
        <v/>
      </c>
      <c r="K136" s="2" t="str">
        <f t="shared" si="52"/>
        <v/>
      </c>
      <c r="L136" s="2" t="str">
        <f t="shared" si="44"/>
        <v/>
      </c>
      <c r="M136" s="2" t="str">
        <f t="shared" si="53"/>
        <v/>
      </c>
      <c r="N136" s="2" t="str">
        <f t="shared" ref="N136:N199" si="61">IF(COUNTA(D136,E136,F136,G136,H136)=5,H136/G136^2*10000,"")</f>
        <v/>
      </c>
      <c r="O136" s="2" t="str">
        <f t="shared" si="54"/>
        <v/>
      </c>
      <c r="P136" s="8" t="str">
        <f t="shared" si="55"/>
        <v/>
      </c>
      <c r="Q136" s="8" t="str">
        <f t="shared" si="56"/>
        <v/>
      </c>
      <c r="R136" s="111" t="str">
        <f t="shared" si="57"/>
        <v/>
      </c>
      <c r="S136" s="44" t="str">
        <f t="shared" si="58"/>
        <v/>
      </c>
      <c r="T136" s="37" t="str">
        <f t="shared" si="59"/>
        <v/>
      </c>
      <c r="U136" s="44" t="str">
        <f t="shared" si="60"/>
        <v/>
      </c>
      <c r="V136" s="26"/>
      <c r="W136" s="26"/>
      <c r="X136" s="26"/>
      <c r="Y136" s="26"/>
      <c r="Z136" s="24"/>
      <c r="AA136" s="169">
        <f t="shared" si="45"/>
        <v>0</v>
      </c>
      <c r="AB136" s="4">
        <f t="shared" si="46"/>
        <v>0</v>
      </c>
      <c r="AC136" s="170">
        <f t="shared" si="42"/>
        <v>0</v>
      </c>
      <c r="AD136" s="58"/>
      <c r="AE136" s="58"/>
      <c r="AF136" s="58"/>
      <c r="AG136" s="59">
        <f t="shared" si="47"/>
        <v>9.0359999999999996</v>
      </c>
      <c r="AH136" s="59">
        <f t="shared" si="48"/>
        <v>-184.49199999999999</v>
      </c>
      <c r="AJ136" s="4">
        <f>IF(D136="M",IF(AM136&lt;78,BMILMS!$D$5*AM136^3+BMILMS!$E$5*AM136^2+BMILMS!$F$5*AM136+BMILMS!$G$5,IF(AM136&lt;150,BMILMS!$D$6*AM136^3+BMILMS!$E$6*AM136^2+BMILMS!$F$6*AM136+BMILMS!$G$6,BMILMS!$D$7*AM136^3+BMILMS!$E$7*AM136^2+BMILMS!$F$7*AM136+BMILMS!$G$7)),IF(AM136&lt;69,BMILMS!$D$9*AM136^3+BMILMS!$E$9*AM136^2+BMILMS!$F$9*AM136+BMILMS!$G$9,IF(AM136&lt;150,BMILMS!$D$10*AM136^3+BMILMS!$E$10*AM136^2+BMILMS!$F$10*AM136+BMILMS!$G$10,BMILMS!$D$11*AM136^3+BMILMS!$E$11*AM136^2+BMILMS!$F$11*AM136+BMILMS!$G$11)))</f>
        <v>0.79584630099999998</v>
      </c>
      <c r="AK136" s="4">
        <f>IF(D136="M",(IF(AM136&lt;2.5,BMILMS!$D$21*AM136^3+BMILMS!$E$21*AM136^2+BMILMS!$F$21*AM136+BMILMS!$G$21,IF(AM136&lt;9.5,BMILMS!$D$22*AM136^3+BMILMS!$E$22*AM136^2+BMILMS!$F$22*AM136+BMILMS!$G$22,IF(AM136&lt;26.75,BMILMS!$D$23*AM136^3+BMILMS!$E$23*AM136^2+BMILMS!$F$23*AM136+BMILMS!$G$23,IF(AM136&lt;90,BMILMS!$D$24*AM136^3+BMILMS!$E$24*AM136^2+BMILMS!$F$24*AM136+BMILMS!$G$24,BMILMS!$D$25*AM136^3+BMILMS!$E$25*AM136^2+BMILMS!$F$25*AM136+BMILMS!$G$25))))),(IF(AM136&lt;2.5,BMILMS!$D$27*AM136^3+BMILMS!$E$27*AM136^2+BMILMS!$F$27*AM136+BMILMS!$G$27,IF(AM136&lt;9.5,BMILMS!$D$28*AM136^3+BMILMS!$E$28*AM136^2+BMILMS!$F$28*AM136+BMILMS!$G$28,IF(AM136&lt;26.75,BMILMS!$D$29*AM136^3+BMILMS!$E$29*AM136^2+BMILMS!$F$29*AM136+BMILMS!$G$29,IF(AM136&lt;90,BMILMS!$D$30*AM136^3+BMILMS!$E$30*AM136^2+BMILMS!$F$30*AM136+BMILMS!$G$30,IF(AM136&lt;150,BMILMS!$D$31*AM136^3+BMILMS!$E$31*AM136^2+BMILMS!$F$31*AM136+BMILMS!$G$31,BMILMS!$D$32*AM136^3+BMILMS!$E$32*AM136^2+BMILMS!$F$32*AM136+BMILMS!$G$32)))))))</f>
        <v>12.568967990000001</v>
      </c>
      <c r="AL136" s="4">
        <f>IF(D136="M",(IF(AM136&lt;90,BMILMS!$D$14*AM136^3+BMILMS!$E$14*AM136^2+BMILMS!$F$14*AM136+BMILMS!$G$14,BMILMS!$D$15*AM136^3+BMILMS!$E$15*AM136^2+BMILMS!$F$15*AM136+BMILMS!$G$15)),(IF(AM136&lt;90,BMILMS!$D$17*AM136^3+BMILMS!$E$17*AM136^2+BMILMS!$F$17*AM136+BMILMS!$G$17,BMILMS!$D$18*AM136^3+BMILMS!$E$18*AM136^2+BMILMS!$F$18*AM136+BMILMS!$G$18)))</f>
        <v>8.8969350000000003E-2</v>
      </c>
      <c r="AM136" s="4">
        <f t="shared" ref="AM136:AM199" si="62">AA136*12+AB136</f>
        <v>0</v>
      </c>
      <c r="AO136" s="56">
        <f>IF(D136="M",WeightSDS!P$5*$AM136^7+WeightSDS!Q$5*$AM136^6+WeightSDS!R$5*$AM136^5+WeightSDS!S$5*$AM136^4+WeightSDS!T$5*$AM136^3+WeightSDS!U$5*$AM136^2+WeightSDS!V$5*$AM136+WeightSDS!W$5,IF($AM136&lt;186,WeightSDS!P$8*$AM136^7+WeightSDS!Q$8*$AM136^6+WeightSDS!R$8*$AM136^5+WeightSDS!S$8*$AM136^4+WeightSDS!T$8*$AM136^3+WeightSDS!U$8*$AM136^2+WeightSDS!V$8*$AM136+WeightSDS!W$8,WeightSDS!$U$9+WeightSDS!$V$9*($AM136-WeightSDS!$W$9)))</f>
        <v>0.75407122999999998</v>
      </c>
      <c r="AP136" s="4">
        <f>IF(D136="M",IF($AM136&lt;45,WeightSDS!M$23*$AM136^10+WeightSDS!N$23*$AM136^9+WeightSDS!O$23*$AM136^8+WeightSDS!P$23*$AM136^7+WeightSDS!Q$23*$AM136^6+WeightSDS!R$23*$AM136^5+WeightSDS!S$23*$AM136^4+WeightSDS!T$23*$AM136^3+WeightSDS!U$23*$AM136^2+WeightSDS!V$23*$AM136+WeightSDS!W$23,IF($AM136&lt;153,WeightSDS!M$25*$AM136^10+WeightSDS!N$25*$AM136^9+WeightSDS!O$25*$AM136^8+WeightSDS!P$25*$AM136^7+WeightSDS!Q$25*$AM136^6+WeightSDS!R$25*$AM136^5+WeightSDS!S$25*$AM136^4+WeightSDS!T$25*$AM136^3+WeightSDS!U$25*$AM136^2+WeightSDS!V$25*$AM136+WeightSDS!W$25,WeightSDS!M$27+WeightSDS!N$27/(1+EXP(WeightSDS!O$27+WeightSDS!P$27*$AM136)))),IF($AM136&lt;43.8,WeightSDS!M$29*$AM136^10+WeightSDS!N$29*$AM136^9+WeightSDS!O$29*$AM136^8+WeightSDS!P$29*$AM136^7+WeightSDS!Q$29*$AM136^6+WeightSDS!R$29*$AM136^5+WeightSDS!S$29*$AM136^4+WeightSDS!T$29*$AM136^3+WeightSDS!U$29*$AM136^2+WeightSDS!V$29*$AM136+WeightSDS!W$29-0.010431*(1-$AM136/210),IF($AM136&lt;123,WeightSDS!M$30*$AM136^10+WeightSDS!N$30*$AM136^9+WeightSDS!O$30*$AM136^8+WeightSDS!P$30*$AM136^7+WeightSDS!Q$30*$AM136^6+WeightSDS!R$30*$AM136^5+WeightSDS!S$30*$AM136^4+WeightSDS!T$30*$AM136^3+WeightSDS!U$30*$AM136^2+WeightSDS!V$30*$AM136+WeightSDS!W$30-0.010431*(1-1/$AM136),WeightSDS!M$32+WeightSDS!N$32/(1+EXP(WeightSDS!O$32+WeightSDS!P$32*$AM136))-0.010431*(1-$AM136/210))))</f>
        <v>2.9500001032655536</v>
      </c>
      <c r="AQ136" s="4">
        <f>IF(D136="M",IF($AM136&lt;162,WeightSDS!P$12*$AM136^7+WeightSDS!Q$12*$AM136^6+WeightSDS!R$12*$AM136^5+WeightSDS!S$12*$AM136^4+WeightSDS!T$12*$AM136^3+WeightSDS!U$12*$AM136^2+WeightSDS!V$12*$AM136+WeightSDS!W$12,WeightSDS!P$14*$AM136^7+WeightSDS!Q$14*$AM136^6+WeightSDS!R$14*$AM136^5+WeightSDS!S$14*$AM136^4+WeightSDS!T$14*$AM136^3+WeightSDS!U$14*$AM136^2+WeightSDS!V$14*$AM136+WeightSDS!W$14),IF($AM136&lt;156,WeightSDS!O$17*$AM136^8+WeightSDS!P$17*$AM136^7+WeightSDS!Q$17*$AM136^6+WeightSDS!R$17*$AM136^5+WeightSDS!S$17*$AM136^4+WeightSDS!T$17*$AM136^3+WeightSDS!U$17*$AM136^2+WeightSDS!V$17*$AM136+WeightSDS!W$17,IF($AM136&lt;186,WeightSDS!$U$18+(WeightSDS!$V$18-WeightSDS!$U$18)/24*($AM136-186)+WeightSDS!$W$18*(-$AM136+186)^2-0.005,WeightSDS!$U$18+(WeightSDS!$V$18-WeightSDS!$U$18)/24*($AM136-186)-0.005)))</f>
        <v>0.14604529399999999</v>
      </c>
      <c r="AT136" s="4">
        <f t="shared" si="49"/>
        <v>0.56299999999999994</v>
      </c>
      <c r="AU136" s="4">
        <f t="shared" si="50"/>
        <v>69</v>
      </c>
      <c r="AV136" s="4">
        <f t="shared" si="51"/>
        <v>0.51</v>
      </c>
    </row>
    <row r="137" spans="1:48" x14ac:dyDescent="0.15">
      <c r="A137" s="4"/>
      <c r="B137" s="21"/>
      <c r="C137" s="21"/>
      <c r="D137" s="21"/>
      <c r="E137" s="22"/>
      <c r="F137" s="22"/>
      <c r="G137" s="23"/>
      <c r="H137" s="23"/>
      <c r="I137" s="181"/>
      <c r="J137" s="8" t="str">
        <f t="shared" si="43"/>
        <v/>
      </c>
      <c r="K137" s="2" t="str">
        <f t="shared" si="52"/>
        <v/>
      </c>
      <c r="L137" s="2" t="str">
        <f t="shared" si="44"/>
        <v/>
      </c>
      <c r="M137" s="2" t="str">
        <f t="shared" si="53"/>
        <v/>
      </c>
      <c r="N137" s="2" t="str">
        <f t="shared" si="61"/>
        <v/>
      </c>
      <c r="O137" s="2" t="str">
        <f t="shared" si="54"/>
        <v/>
      </c>
      <c r="P137" s="8" t="str">
        <f t="shared" si="55"/>
        <v/>
      </c>
      <c r="Q137" s="8" t="str">
        <f t="shared" si="56"/>
        <v/>
      </c>
      <c r="R137" s="111" t="str">
        <f t="shared" si="57"/>
        <v/>
      </c>
      <c r="S137" s="44" t="str">
        <f t="shared" si="58"/>
        <v/>
      </c>
      <c r="T137" s="37" t="str">
        <f t="shared" si="59"/>
        <v/>
      </c>
      <c r="U137" s="44" t="str">
        <f t="shared" si="60"/>
        <v/>
      </c>
      <c r="V137" s="26"/>
      <c r="W137" s="26"/>
      <c r="X137" s="26"/>
      <c r="Y137" s="26"/>
      <c r="Z137" s="24"/>
      <c r="AA137" s="169">
        <f t="shared" si="45"/>
        <v>0</v>
      </c>
      <c r="AB137" s="4">
        <f t="shared" si="46"/>
        <v>0</v>
      </c>
      <c r="AC137" s="170">
        <f t="shared" si="42"/>
        <v>0</v>
      </c>
      <c r="AD137" s="58"/>
      <c r="AE137" s="58"/>
      <c r="AF137" s="58"/>
      <c r="AG137" s="59">
        <f t="shared" si="47"/>
        <v>9.0359999999999996</v>
      </c>
      <c r="AH137" s="59">
        <f t="shared" si="48"/>
        <v>-184.49199999999999</v>
      </c>
      <c r="AJ137" s="4">
        <f>IF(D137="M",IF(AM137&lt;78,BMILMS!$D$5*AM137^3+BMILMS!$E$5*AM137^2+BMILMS!$F$5*AM137+BMILMS!$G$5,IF(AM137&lt;150,BMILMS!$D$6*AM137^3+BMILMS!$E$6*AM137^2+BMILMS!$F$6*AM137+BMILMS!$G$6,BMILMS!$D$7*AM137^3+BMILMS!$E$7*AM137^2+BMILMS!$F$7*AM137+BMILMS!$G$7)),IF(AM137&lt;69,BMILMS!$D$9*AM137^3+BMILMS!$E$9*AM137^2+BMILMS!$F$9*AM137+BMILMS!$G$9,IF(AM137&lt;150,BMILMS!$D$10*AM137^3+BMILMS!$E$10*AM137^2+BMILMS!$F$10*AM137+BMILMS!$G$10,BMILMS!$D$11*AM137^3+BMILMS!$E$11*AM137^2+BMILMS!$F$11*AM137+BMILMS!$G$11)))</f>
        <v>0.79584630099999998</v>
      </c>
      <c r="AK137" s="4">
        <f>IF(D137="M",(IF(AM137&lt;2.5,BMILMS!$D$21*AM137^3+BMILMS!$E$21*AM137^2+BMILMS!$F$21*AM137+BMILMS!$G$21,IF(AM137&lt;9.5,BMILMS!$D$22*AM137^3+BMILMS!$E$22*AM137^2+BMILMS!$F$22*AM137+BMILMS!$G$22,IF(AM137&lt;26.75,BMILMS!$D$23*AM137^3+BMILMS!$E$23*AM137^2+BMILMS!$F$23*AM137+BMILMS!$G$23,IF(AM137&lt;90,BMILMS!$D$24*AM137^3+BMILMS!$E$24*AM137^2+BMILMS!$F$24*AM137+BMILMS!$G$24,BMILMS!$D$25*AM137^3+BMILMS!$E$25*AM137^2+BMILMS!$F$25*AM137+BMILMS!$G$25))))),(IF(AM137&lt;2.5,BMILMS!$D$27*AM137^3+BMILMS!$E$27*AM137^2+BMILMS!$F$27*AM137+BMILMS!$G$27,IF(AM137&lt;9.5,BMILMS!$D$28*AM137^3+BMILMS!$E$28*AM137^2+BMILMS!$F$28*AM137+BMILMS!$G$28,IF(AM137&lt;26.75,BMILMS!$D$29*AM137^3+BMILMS!$E$29*AM137^2+BMILMS!$F$29*AM137+BMILMS!$G$29,IF(AM137&lt;90,BMILMS!$D$30*AM137^3+BMILMS!$E$30*AM137^2+BMILMS!$F$30*AM137+BMILMS!$G$30,IF(AM137&lt;150,BMILMS!$D$31*AM137^3+BMILMS!$E$31*AM137^2+BMILMS!$F$31*AM137+BMILMS!$G$31,BMILMS!$D$32*AM137^3+BMILMS!$E$32*AM137^2+BMILMS!$F$32*AM137+BMILMS!$G$32)))))))</f>
        <v>12.568967990000001</v>
      </c>
      <c r="AL137" s="4">
        <f>IF(D137="M",(IF(AM137&lt;90,BMILMS!$D$14*AM137^3+BMILMS!$E$14*AM137^2+BMILMS!$F$14*AM137+BMILMS!$G$14,BMILMS!$D$15*AM137^3+BMILMS!$E$15*AM137^2+BMILMS!$F$15*AM137+BMILMS!$G$15)),(IF(AM137&lt;90,BMILMS!$D$17*AM137^3+BMILMS!$E$17*AM137^2+BMILMS!$F$17*AM137+BMILMS!$G$17,BMILMS!$D$18*AM137^3+BMILMS!$E$18*AM137^2+BMILMS!$F$18*AM137+BMILMS!$G$18)))</f>
        <v>8.8969350000000003E-2</v>
      </c>
      <c r="AM137" s="4">
        <f t="shared" si="62"/>
        <v>0</v>
      </c>
      <c r="AO137" s="56">
        <f>IF(D137="M",WeightSDS!P$5*$AM137^7+WeightSDS!Q$5*$AM137^6+WeightSDS!R$5*$AM137^5+WeightSDS!S$5*$AM137^4+WeightSDS!T$5*$AM137^3+WeightSDS!U$5*$AM137^2+WeightSDS!V$5*$AM137+WeightSDS!W$5,IF($AM137&lt;186,WeightSDS!P$8*$AM137^7+WeightSDS!Q$8*$AM137^6+WeightSDS!R$8*$AM137^5+WeightSDS!S$8*$AM137^4+WeightSDS!T$8*$AM137^3+WeightSDS!U$8*$AM137^2+WeightSDS!V$8*$AM137+WeightSDS!W$8,WeightSDS!$U$9+WeightSDS!$V$9*($AM137-WeightSDS!$W$9)))</f>
        <v>0.75407122999999998</v>
      </c>
      <c r="AP137" s="4">
        <f>IF(D137="M",IF($AM137&lt;45,WeightSDS!M$23*$AM137^10+WeightSDS!N$23*$AM137^9+WeightSDS!O$23*$AM137^8+WeightSDS!P$23*$AM137^7+WeightSDS!Q$23*$AM137^6+WeightSDS!R$23*$AM137^5+WeightSDS!S$23*$AM137^4+WeightSDS!T$23*$AM137^3+WeightSDS!U$23*$AM137^2+WeightSDS!V$23*$AM137+WeightSDS!W$23,IF($AM137&lt;153,WeightSDS!M$25*$AM137^10+WeightSDS!N$25*$AM137^9+WeightSDS!O$25*$AM137^8+WeightSDS!P$25*$AM137^7+WeightSDS!Q$25*$AM137^6+WeightSDS!R$25*$AM137^5+WeightSDS!S$25*$AM137^4+WeightSDS!T$25*$AM137^3+WeightSDS!U$25*$AM137^2+WeightSDS!V$25*$AM137+WeightSDS!W$25,WeightSDS!M$27+WeightSDS!N$27/(1+EXP(WeightSDS!O$27+WeightSDS!P$27*$AM137)))),IF($AM137&lt;43.8,WeightSDS!M$29*$AM137^10+WeightSDS!N$29*$AM137^9+WeightSDS!O$29*$AM137^8+WeightSDS!P$29*$AM137^7+WeightSDS!Q$29*$AM137^6+WeightSDS!R$29*$AM137^5+WeightSDS!S$29*$AM137^4+WeightSDS!T$29*$AM137^3+WeightSDS!U$29*$AM137^2+WeightSDS!V$29*$AM137+WeightSDS!W$29-0.010431*(1-$AM137/210),IF($AM137&lt;123,WeightSDS!M$30*$AM137^10+WeightSDS!N$30*$AM137^9+WeightSDS!O$30*$AM137^8+WeightSDS!P$30*$AM137^7+WeightSDS!Q$30*$AM137^6+WeightSDS!R$30*$AM137^5+WeightSDS!S$30*$AM137^4+WeightSDS!T$30*$AM137^3+WeightSDS!U$30*$AM137^2+WeightSDS!V$30*$AM137+WeightSDS!W$30-0.010431*(1-1/$AM137),WeightSDS!M$32+WeightSDS!N$32/(1+EXP(WeightSDS!O$32+WeightSDS!P$32*$AM137))-0.010431*(1-$AM137/210))))</f>
        <v>2.9500001032655536</v>
      </c>
      <c r="AQ137" s="4">
        <f>IF(D137="M",IF($AM137&lt;162,WeightSDS!P$12*$AM137^7+WeightSDS!Q$12*$AM137^6+WeightSDS!R$12*$AM137^5+WeightSDS!S$12*$AM137^4+WeightSDS!T$12*$AM137^3+WeightSDS!U$12*$AM137^2+WeightSDS!V$12*$AM137+WeightSDS!W$12,WeightSDS!P$14*$AM137^7+WeightSDS!Q$14*$AM137^6+WeightSDS!R$14*$AM137^5+WeightSDS!S$14*$AM137^4+WeightSDS!T$14*$AM137^3+WeightSDS!U$14*$AM137^2+WeightSDS!V$14*$AM137+WeightSDS!W$14),IF($AM137&lt;156,WeightSDS!O$17*$AM137^8+WeightSDS!P$17*$AM137^7+WeightSDS!Q$17*$AM137^6+WeightSDS!R$17*$AM137^5+WeightSDS!S$17*$AM137^4+WeightSDS!T$17*$AM137^3+WeightSDS!U$17*$AM137^2+WeightSDS!V$17*$AM137+WeightSDS!W$17,IF($AM137&lt;186,WeightSDS!$U$18+(WeightSDS!$V$18-WeightSDS!$U$18)/24*($AM137-186)+WeightSDS!$W$18*(-$AM137+186)^2-0.005,WeightSDS!$U$18+(WeightSDS!$V$18-WeightSDS!$U$18)/24*($AM137-186)-0.005)))</f>
        <v>0.14604529399999999</v>
      </c>
      <c r="AT137" s="4">
        <f t="shared" si="49"/>
        <v>0.56299999999999994</v>
      </c>
      <c r="AU137" s="4">
        <f t="shared" si="50"/>
        <v>69</v>
      </c>
      <c r="AV137" s="4">
        <f t="shared" si="51"/>
        <v>0.51</v>
      </c>
    </row>
    <row r="138" spans="1:48" x14ac:dyDescent="0.15">
      <c r="A138" s="4"/>
      <c r="B138" s="21"/>
      <c r="C138" s="21"/>
      <c r="D138" s="21"/>
      <c r="E138" s="22"/>
      <c r="F138" s="22"/>
      <c r="G138" s="23"/>
      <c r="H138" s="23"/>
      <c r="I138" s="181"/>
      <c r="J138" s="8" t="str">
        <f t="shared" si="43"/>
        <v/>
      </c>
      <c r="K138" s="2" t="str">
        <f t="shared" si="52"/>
        <v/>
      </c>
      <c r="L138" s="2" t="str">
        <f t="shared" si="44"/>
        <v/>
      </c>
      <c r="M138" s="2" t="str">
        <f t="shared" si="53"/>
        <v/>
      </c>
      <c r="N138" s="2" t="str">
        <f t="shared" si="61"/>
        <v/>
      </c>
      <c r="O138" s="2" t="str">
        <f t="shared" si="54"/>
        <v/>
      </c>
      <c r="P138" s="8" t="str">
        <f t="shared" si="55"/>
        <v/>
      </c>
      <c r="Q138" s="8" t="str">
        <f t="shared" si="56"/>
        <v/>
      </c>
      <c r="R138" s="111" t="str">
        <f t="shared" si="57"/>
        <v/>
      </c>
      <c r="S138" s="44" t="str">
        <f t="shared" si="58"/>
        <v/>
      </c>
      <c r="T138" s="37" t="str">
        <f t="shared" si="59"/>
        <v/>
      </c>
      <c r="U138" s="44" t="str">
        <f t="shared" si="60"/>
        <v/>
      </c>
      <c r="V138" s="26"/>
      <c r="W138" s="26"/>
      <c r="X138" s="26"/>
      <c r="Y138" s="26"/>
      <c r="Z138" s="24"/>
      <c r="AA138" s="169">
        <f t="shared" si="45"/>
        <v>0</v>
      </c>
      <c r="AB138" s="4">
        <f t="shared" si="46"/>
        <v>0</v>
      </c>
      <c r="AC138" s="170">
        <f t="shared" si="42"/>
        <v>0</v>
      </c>
      <c r="AD138" s="58"/>
      <c r="AE138" s="58"/>
      <c r="AF138" s="58"/>
      <c r="AG138" s="59">
        <f t="shared" si="47"/>
        <v>9.0359999999999996</v>
      </c>
      <c r="AH138" s="59">
        <f t="shared" si="48"/>
        <v>-184.49199999999999</v>
      </c>
      <c r="AJ138" s="4">
        <f>IF(D138="M",IF(AM138&lt;78,BMILMS!$D$5*AM138^3+BMILMS!$E$5*AM138^2+BMILMS!$F$5*AM138+BMILMS!$G$5,IF(AM138&lt;150,BMILMS!$D$6*AM138^3+BMILMS!$E$6*AM138^2+BMILMS!$F$6*AM138+BMILMS!$G$6,BMILMS!$D$7*AM138^3+BMILMS!$E$7*AM138^2+BMILMS!$F$7*AM138+BMILMS!$G$7)),IF(AM138&lt;69,BMILMS!$D$9*AM138^3+BMILMS!$E$9*AM138^2+BMILMS!$F$9*AM138+BMILMS!$G$9,IF(AM138&lt;150,BMILMS!$D$10*AM138^3+BMILMS!$E$10*AM138^2+BMILMS!$F$10*AM138+BMILMS!$G$10,BMILMS!$D$11*AM138^3+BMILMS!$E$11*AM138^2+BMILMS!$F$11*AM138+BMILMS!$G$11)))</f>
        <v>0.79584630099999998</v>
      </c>
      <c r="AK138" s="4">
        <f>IF(D138="M",(IF(AM138&lt;2.5,BMILMS!$D$21*AM138^3+BMILMS!$E$21*AM138^2+BMILMS!$F$21*AM138+BMILMS!$G$21,IF(AM138&lt;9.5,BMILMS!$D$22*AM138^3+BMILMS!$E$22*AM138^2+BMILMS!$F$22*AM138+BMILMS!$G$22,IF(AM138&lt;26.75,BMILMS!$D$23*AM138^3+BMILMS!$E$23*AM138^2+BMILMS!$F$23*AM138+BMILMS!$G$23,IF(AM138&lt;90,BMILMS!$D$24*AM138^3+BMILMS!$E$24*AM138^2+BMILMS!$F$24*AM138+BMILMS!$G$24,BMILMS!$D$25*AM138^3+BMILMS!$E$25*AM138^2+BMILMS!$F$25*AM138+BMILMS!$G$25))))),(IF(AM138&lt;2.5,BMILMS!$D$27*AM138^3+BMILMS!$E$27*AM138^2+BMILMS!$F$27*AM138+BMILMS!$G$27,IF(AM138&lt;9.5,BMILMS!$D$28*AM138^3+BMILMS!$E$28*AM138^2+BMILMS!$F$28*AM138+BMILMS!$G$28,IF(AM138&lt;26.75,BMILMS!$D$29*AM138^3+BMILMS!$E$29*AM138^2+BMILMS!$F$29*AM138+BMILMS!$G$29,IF(AM138&lt;90,BMILMS!$D$30*AM138^3+BMILMS!$E$30*AM138^2+BMILMS!$F$30*AM138+BMILMS!$G$30,IF(AM138&lt;150,BMILMS!$D$31*AM138^3+BMILMS!$E$31*AM138^2+BMILMS!$F$31*AM138+BMILMS!$G$31,BMILMS!$D$32*AM138^3+BMILMS!$E$32*AM138^2+BMILMS!$F$32*AM138+BMILMS!$G$32)))))))</f>
        <v>12.568967990000001</v>
      </c>
      <c r="AL138" s="4">
        <f>IF(D138="M",(IF(AM138&lt;90,BMILMS!$D$14*AM138^3+BMILMS!$E$14*AM138^2+BMILMS!$F$14*AM138+BMILMS!$G$14,BMILMS!$D$15*AM138^3+BMILMS!$E$15*AM138^2+BMILMS!$F$15*AM138+BMILMS!$G$15)),(IF(AM138&lt;90,BMILMS!$D$17*AM138^3+BMILMS!$E$17*AM138^2+BMILMS!$F$17*AM138+BMILMS!$G$17,BMILMS!$D$18*AM138^3+BMILMS!$E$18*AM138^2+BMILMS!$F$18*AM138+BMILMS!$G$18)))</f>
        <v>8.8969350000000003E-2</v>
      </c>
      <c r="AM138" s="4">
        <f t="shared" si="62"/>
        <v>0</v>
      </c>
      <c r="AO138" s="56">
        <f>IF(D138="M",WeightSDS!P$5*$AM138^7+WeightSDS!Q$5*$AM138^6+WeightSDS!R$5*$AM138^5+WeightSDS!S$5*$AM138^4+WeightSDS!T$5*$AM138^3+WeightSDS!U$5*$AM138^2+WeightSDS!V$5*$AM138+WeightSDS!W$5,IF($AM138&lt;186,WeightSDS!P$8*$AM138^7+WeightSDS!Q$8*$AM138^6+WeightSDS!R$8*$AM138^5+WeightSDS!S$8*$AM138^4+WeightSDS!T$8*$AM138^3+WeightSDS!U$8*$AM138^2+WeightSDS!V$8*$AM138+WeightSDS!W$8,WeightSDS!$U$9+WeightSDS!$V$9*($AM138-WeightSDS!$W$9)))</f>
        <v>0.75407122999999998</v>
      </c>
      <c r="AP138" s="4">
        <f>IF(D138="M",IF($AM138&lt;45,WeightSDS!M$23*$AM138^10+WeightSDS!N$23*$AM138^9+WeightSDS!O$23*$AM138^8+WeightSDS!P$23*$AM138^7+WeightSDS!Q$23*$AM138^6+WeightSDS!R$23*$AM138^5+WeightSDS!S$23*$AM138^4+WeightSDS!T$23*$AM138^3+WeightSDS!U$23*$AM138^2+WeightSDS!V$23*$AM138+WeightSDS!W$23,IF($AM138&lt;153,WeightSDS!M$25*$AM138^10+WeightSDS!N$25*$AM138^9+WeightSDS!O$25*$AM138^8+WeightSDS!P$25*$AM138^7+WeightSDS!Q$25*$AM138^6+WeightSDS!R$25*$AM138^5+WeightSDS!S$25*$AM138^4+WeightSDS!T$25*$AM138^3+WeightSDS!U$25*$AM138^2+WeightSDS!V$25*$AM138+WeightSDS!W$25,WeightSDS!M$27+WeightSDS!N$27/(1+EXP(WeightSDS!O$27+WeightSDS!P$27*$AM138)))),IF($AM138&lt;43.8,WeightSDS!M$29*$AM138^10+WeightSDS!N$29*$AM138^9+WeightSDS!O$29*$AM138^8+WeightSDS!P$29*$AM138^7+WeightSDS!Q$29*$AM138^6+WeightSDS!R$29*$AM138^5+WeightSDS!S$29*$AM138^4+WeightSDS!T$29*$AM138^3+WeightSDS!U$29*$AM138^2+WeightSDS!V$29*$AM138+WeightSDS!W$29-0.010431*(1-$AM138/210),IF($AM138&lt;123,WeightSDS!M$30*$AM138^10+WeightSDS!N$30*$AM138^9+WeightSDS!O$30*$AM138^8+WeightSDS!P$30*$AM138^7+WeightSDS!Q$30*$AM138^6+WeightSDS!R$30*$AM138^5+WeightSDS!S$30*$AM138^4+WeightSDS!T$30*$AM138^3+WeightSDS!U$30*$AM138^2+WeightSDS!V$30*$AM138+WeightSDS!W$30-0.010431*(1-1/$AM138),WeightSDS!M$32+WeightSDS!N$32/(1+EXP(WeightSDS!O$32+WeightSDS!P$32*$AM138))-0.010431*(1-$AM138/210))))</f>
        <v>2.9500001032655536</v>
      </c>
      <c r="AQ138" s="4">
        <f>IF(D138="M",IF($AM138&lt;162,WeightSDS!P$12*$AM138^7+WeightSDS!Q$12*$AM138^6+WeightSDS!R$12*$AM138^5+WeightSDS!S$12*$AM138^4+WeightSDS!T$12*$AM138^3+WeightSDS!U$12*$AM138^2+WeightSDS!V$12*$AM138+WeightSDS!W$12,WeightSDS!P$14*$AM138^7+WeightSDS!Q$14*$AM138^6+WeightSDS!R$14*$AM138^5+WeightSDS!S$14*$AM138^4+WeightSDS!T$14*$AM138^3+WeightSDS!U$14*$AM138^2+WeightSDS!V$14*$AM138+WeightSDS!W$14),IF($AM138&lt;156,WeightSDS!O$17*$AM138^8+WeightSDS!P$17*$AM138^7+WeightSDS!Q$17*$AM138^6+WeightSDS!R$17*$AM138^5+WeightSDS!S$17*$AM138^4+WeightSDS!T$17*$AM138^3+WeightSDS!U$17*$AM138^2+WeightSDS!V$17*$AM138+WeightSDS!W$17,IF($AM138&lt;186,WeightSDS!$U$18+(WeightSDS!$V$18-WeightSDS!$U$18)/24*($AM138-186)+WeightSDS!$W$18*(-$AM138+186)^2-0.005,WeightSDS!$U$18+(WeightSDS!$V$18-WeightSDS!$U$18)/24*($AM138-186)-0.005)))</f>
        <v>0.14604529399999999</v>
      </c>
      <c r="AT138" s="4">
        <f t="shared" si="49"/>
        <v>0.56299999999999994</v>
      </c>
      <c r="AU138" s="4">
        <f t="shared" si="50"/>
        <v>69</v>
      </c>
      <c r="AV138" s="4">
        <f t="shared" si="51"/>
        <v>0.51</v>
      </c>
    </row>
    <row r="139" spans="1:48" x14ac:dyDescent="0.15">
      <c r="A139" s="4"/>
      <c r="B139" s="21"/>
      <c r="C139" s="21"/>
      <c r="D139" s="21"/>
      <c r="E139" s="22"/>
      <c r="F139" s="22"/>
      <c r="G139" s="23"/>
      <c r="H139" s="23"/>
      <c r="I139" s="181"/>
      <c r="J139" s="8" t="str">
        <f t="shared" si="43"/>
        <v/>
      </c>
      <c r="K139" s="2" t="str">
        <f t="shared" si="52"/>
        <v/>
      </c>
      <c r="L139" s="2" t="str">
        <f t="shared" si="44"/>
        <v/>
      </c>
      <c r="M139" s="2" t="str">
        <f t="shared" si="53"/>
        <v/>
      </c>
      <c r="N139" s="2" t="str">
        <f t="shared" si="61"/>
        <v/>
      </c>
      <c r="O139" s="2" t="str">
        <f t="shared" si="54"/>
        <v/>
      </c>
      <c r="P139" s="8" t="str">
        <f t="shared" si="55"/>
        <v/>
      </c>
      <c r="Q139" s="8" t="str">
        <f t="shared" si="56"/>
        <v/>
      </c>
      <c r="R139" s="111" t="str">
        <f t="shared" si="57"/>
        <v/>
      </c>
      <c r="S139" s="44" t="str">
        <f t="shared" si="58"/>
        <v/>
      </c>
      <c r="T139" s="37" t="str">
        <f t="shared" si="59"/>
        <v/>
      </c>
      <c r="U139" s="44" t="str">
        <f t="shared" si="60"/>
        <v/>
      </c>
      <c r="V139" s="26"/>
      <c r="W139" s="26"/>
      <c r="X139" s="26"/>
      <c r="Y139" s="26"/>
      <c r="Z139" s="24"/>
      <c r="AA139" s="169">
        <f t="shared" si="45"/>
        <v>0</v>
      </c>
      <c r="AB139" s="4">
        <f t="shared" si="46"/>
        <v>0</v>
      </c>
      <c r="AC139" s="170">
        <f t="shared" si="42"/>
        <v>0</v>
      </c>
      <c r="AD139" s="58"/>
      <c r="AE139" s="58"/>
      <c r="AF139" s="58"/>
      <c r="AG139" s="59">
        <f t="shared" si="47"/>
        <v>9.0359999999999996</v>
      </c>
      <c r="AH139" s="59">
        <f t="shared" si="48"/>
        <v>-184.49199999999999</v>
      </c>
      <c r="AJ139" s="4">
        <f>IF(D139="M",IF(AM139&lt;78,BMILMS!$D$5*AM139^3+BMILMS!$E$5*AM139^2+BMILMS!$F$5*AM139+BMILMS!$G$5,IF(AM139&lt;150,BMILMS!$D$6*AM139^3+BMILMS!$E$6*AM139^2+BMILMS!$F$6*AM139+BMILMS!$G$6,BMILMS!$D$7*AM139^3+BMILMS!$E$7*AM139^2+BMILMS!$F$7*AM139+BMILMS!$G$7)),IF(AM139&lt;69,BMILMS!$D$9*AM139^3+BMILMS!$E$9*AM139^2+BMILMS!$F$9*AM139+BMILMS!$G$9,IF(AM139&lt;150,BMILMS!$D$10*AM139^3+BMILMS!$E$10*AM139^2+BMILMS!$F$10*AM139+BMILMS!$G$10,BMILMS!$D$11*AM139^3+BMILMS!$E$11*AM139^2+BMILMS!$F$11*AM139+BMILMS!$G$11)))</f>
        <v>0.79584630099999998</v>
      </c>
      <c r="AK139" s="4">
        <f>IF(D139="M",(IF(AM139&lt;2.5,BMILMS!$D$21*AM139^3+BMILMS!$E$21*AM139^2+BMILMS!$F$21*AM139+BMILMS!$G$21,IF(AM139&lt;9.5,BMILMS!$D$22*AM139^3+BMILMS!$E$22*AM139^2+BMILMS!$F$22*AM139+BMILMS!$G$22,IF(AM139&lt;26.75,BMILMS!$D$23*AM139^3+BMILMS!$E$23*AM139^2+BMILMS!$F$23*AM139+BMILMS!$G$23,IF(AM139&lt;90,BMILMS!$D$24*AM139^3+BMILMS!$E$24*AM139^2+BMILMS!$F$24*AM139+BMILMS!$G$24,BMILMS!$D$25*AM139^3+BMILMS!$E$25*AM139^2+BMILMS!$F$25*AM139+BMILMS!$G$25))))),(IF(AM139&lt;2.5,BMILMS!$D$27*AM139^3+BMILMS!$E$27*AM139^2+BMILMS!$F$27*AM139+BMILMS!$G$27,IF(AM139&lt;9.5,BMILMS!$D$28*AM139^3+BMILMS!$E$28*AM139^2+BMILMS!$F$28*AM139+BMILMS!$G$28,IF(AM139&lt;26.75,BMILMS!$D$29*AM139^3+BMILMS!$E$29*AM139^2+BMILMS!$F$29*AM139+BMILMS!$G$29,IF(AM139&lt;90,BMILMS!$D$30*AM139^3+BMILMS!$E$30*AM139^2+BMILMS!$F$30*AM139+BMILMS!$G$30,IF(AM139&lt;150,BMILMS!$D$31*AM139^3+BMILMS!$E$31*AM139^2+BMILMS!$F$31*AM139+BMILMS!$G$31,BMILMS!$D$32*AM139^3+BMILMS!$E$32*AM139^2+BMILMS!$F$32*AM139+BMILMS!$G$32)))))))</f>
        <v>12.568967990000001</v>
      </c>
      <c r="AL139" s="4">
        <f>IF(D139="M",(IF(AM139&lt;90,BMILMS!$D$14*AM139^3+BMILMS!$E$14*AM139^2+BMILMS!$F$14*AM139+BMILMS!$G$14,BMILMS!$D$15*AM139^3+BMILMS!$E$15*AM139^2+BMILMS!$F$15*AM139+BMILMS!$G$15)),(IF(AM139&lt;90,BMILMS!$D$17*AM139^3+BMILMS!$E$17*AM139^2+BMILMS!$F$17*AM139+BMILMS!$G$17,BMILMS!$D$18*AM139^3+BMILMS!$E$18*AM139^2+BMILMS!$F$18*AM139+BMILMS!$G$18)))</f>
        <v>8.8969350000000003E-2</v>
      </c>
      <c r="AM139" s="4">
        <f t="shared" si="62"/>
        <v>0</v>
      </c>
      <c r="AO139" s="56">
        <f>IF(D139="M",WeightSDS!P$5*$AM139^7+WeightSDS!Q$5*$AM139^6+WeightSDS!R$5*$AM139^5+WeightSDS!S$5*$AM139^4+WeightSDS!T$5*$AM139^3+WeightSDS!U$5*$AM139^2+WeightSDS!V$5*$AM139+WeightSDS!W$5,IF($AM139&lt;186,WeightSDS!P$8*$AM139^7+WeightSDS!Q$8*$AM139^6+WeightSDS!R$8*$AM139^5+WeightSDS!S$8*$AM139^4+WeightSDS!T$8*$AM139^3+WeightSDS!U$8*$AM139^2+WeightSDS!V$8*$AM139+WeightSDS!W$8,WeightSDS!$U$9+WeightSDS!$V$9*($AM139-WeightSDS!$W$9)))</f>
        <v>0.75407122999999998</v>
      </c>
      <c r="AP139" s="4">
        <f>IF(D139="M",IF($AM139&lt;45,WeightSDS!M$23*$AM139^10+WeightSDS!N$23*$AM139^9+WeightSDS!O$23*$AM139^8+WeightSDS!P$23*$AM139^7+WeightSDS!Q$23*$AM139^6+WeightSDS!R$23*$AM139^5+WeightSDS!S$23*$AM139^4+WeightSDS!T$23*$AM139^3+WeightSDS!U$23*$AM139^2+WeightSDS!V$23*$AM139+WeightSDS!W$23,IF($AM139&lt;153,WeightSDS!M$25*$AM139^10+WeightSDS!N$25*$AM139^9+WeightSDS!O$25*$AM139^8+WeightSDS!P$25*$AM139^7+WeightSDS!Q$25*$AM139^6+WeightSDS!R$25*$AM139^5+WeightSDS!S$25*$AM139^4+WeightSDS!T$25*$AM139^3+WeightSDS!U$25*$AM139^2+WeightSDS!V$25*$AM139+WeightSDS!W$25,WeightSDS!M$27+WeightSDS!N$27/(1+EXP(WeightSDS!O$27+WeightSDS!P$27*$AM139)))),IF($AM139&lt;43.8,WeightSDS!M$29*$AM139^10+WeightSDS!N$29*$AM139^9+WeightSDS!O$29*$AM139^8+WeightSDS!P$29*$AM139^7+WeightSDS!Q$29*$AM139^6+WeightSDS!R$29*$AM139^5+WeightSDS!S$29*$AM139^4+WeightSDS!T$29*$AM139^3+WeightSDS!U$29*$AM139^2+WeightSDS!V$29*$AM139+WeightSDS!W$29-0.010431*(1-$AM139/210),IF($AM139&lt;123,WeightSDS!M$30*$AM139^10+WeightSDS!N$30*$AM139^9+WeightSDS!O$30*$AM139^8+WeightSDS!P$30*$AM139^7+WeightSDS!Q$30*$AM139^6+WeightSDS!R$30*$AM139^5+WeightSDS!S$30*$AM139^4+WeightSDS!T$30*$AM139^3+WeightSDS!U$30*$AM139^2+WeightSDS!V$30*$AM139+WeightSDS!W$30-0.010431*(1-1/$AM139),WeightSDS!M$32+WeightSDS!N$32/(1+EXP(WeightSDS!O$32+WeightSDS!P$32*$AM139))-0.010431*(1-$AM139/210))))</f>
        <v>2.9500001032655536</v>
      </c>
      <c r="AQ139" s="4">
        <f>IF(D139="M",IF($AM139&lt;162,WeightSDS!P$12*$AM139^7+WeightSDS!Q$12*$AM139^6+WeightSDS!R$12*$AM139^5+WeightSDS!S$12*$AM139^4+WeightSDS!T$12*$AM139^3+WeightSDS!U$12*$AM139^2+WeightSDS!V$12*$AM139+WeightSDS!W$12,WeightSDS!P$14*$AM139^7+WeightSDS!Q$14*$AM139^6+WeightSDS!R$14*$AM139^5+WeightSDS!S$14*$AM139^4+WeightSDS!T$14*$AM139^3+WeightSDS!U$14*$AM139^2+WeightSDS!V$14*$AM139+WeightSDS!W$14),IF($AM139&lt;156,WeightSDS!O$17*$AM139^8+WeightSDS!P$17*$AM139^7+WeightSDS!Q$17*$AM139^6+WeightSDS!R$17*$AM139^5+WeightSDS!S$17*$AM139^4+WeightSDS!T$17*$AM139^3+WeightSDS!U$17*$AM139^2+WeightSDS!V$17*$AM139+WeightSDS!W$17,IF($AM139&lt;186,WeightSDS!$U$18+(WeightSDS!$V$18-WeightSDS!$U$18)/24*($AM139-186)+WeightSDS!$W$18*(-$AM139+186)^2-0.005,WeightSDS!$U$18+(WeightSDS!$V$18-WeightSDS!$U$18)/24*($AM139-186)-0.005)))</f>
        <v>0.14604529399999999</v>
      </c>
      <c r="AT139" s="4">
        <f t="shared" si="49"/>
        <v>0.56299999999999994</v>
      </c>
      <c r="AU139" s="4">
        <f t="shared" si="50"/>
        <v>69</v>
      </c>
      <c r="AV139" s="4">
        <f t="shared" si="51"/>
        <v>0.51</v>
      </c>
    </row>
    <row r="140" spans="1:48" x14ac:dyDescent="0.15">
      <c r="A140" s="4"/>
      <c r="B140" s="21"/>
      <c r="C140" s="21"/>
      <c r="D140" s="21"/>
      <c r="E140" s="22"/>
      <c r="F140" s="22"/>
      <c r="G140" s="23"/>
      <c r="H140" s="23"/>
      <c r="I140" s="181"/>
      <c r="J140" s="8" t="str">
        <f t="shared" si="43"/>
        <v/>
      </c>
      <c r="K140" s="2" t="str">
        <f t="shared" si="52"/>
        <v/>
      </c>
      <c r="L140" s="2" t="str">
        <f t="shared" si="44"/>
        <v/>
      </c>
      <c r="M140" s="2" t="str">
        <f t="shared" si="53"/>
        <v/>
      </c>
      <c r="N140" s="2" t="str">
        <f t="shared" si="61"/>
        <v/>
      </c>
      <c r="O140" s="2" t="str">
        <f t="shared" si="54"/>
        <v/>
      </c>
      <c r="P140" s="8" t="str">
        <f t="shared" si="55"/>
        <v/>
      </c>
      <c r="Q140" s="8" t="str">
        <f t="shared" si="56"/>
        <v/>
      </c>
      <c r="R140" s="111" t="str">
        <f t="shared" si="57"/>
        <v/>
      </c>
      <c r="S140" s="44" t="str">
        <f t="shared" si="58"/>
        <v/>
      </c>
      <c r="T140" s="37" t="str">
        <f t="shared" si="59"/>
        <v/>
      </c>
      <c r="U140" s="44" t="str">
        <f t="shared" si="60"/>
        <v/>
      </c>
      <c r="V140" s="26"/>
      <c r="W140" s="26"/>
      <c r="X140" s="26"/>
      <c r="Y140" s="26"/>
      <c r="Z140" s="24"/>
      <c r="AA140" s="169">
        <f t="shared" si="45"/>
        <v>0</v>
      </c>
      <c r="AB140" s="4">
        <f t="shared" si="46"/>
        <v>0</v>
      </c>
      <c r="AC140" s="170">
        <f t="shared" si="42"/>
        <v>0</v>
      </c>
      <c r="AD140" s="58"/>
      <c r="AE140" s="58"/>
      <c r="AF140" s="58"/>
      <c r="AG140" s="59">
        <f t="shared" si="47"/>
        <v>9.0359999999999996</v>
      </c>
      <c r="AH140" s="59">
        <f t="shared" si="48"/>
        <v>-184.49199999999999</v>
      </c>
      <c r="AJ140" s="4">
        <f>IF(D140="M",IF(AM140&lt;78,BMILMS!$D$5*AM140^3+BMILMS!$E$5*AM140^2+BMILMS!$F$5*AM140+BMILMS!$G$5,IF(AM140&lt;150,BMILMS!$D$6*AM140^3+BMILMS!$E$6*AM140^2+BMILMS!$F$6*AM140+BMILMS!$G$6,BMILMS!$D$7*AM140^3+BMILMS!$E$7*AM140^2+BMILMS!$F$7*AM140+BMILMS!$G$7)),IF(AM140&lt;69,BMILMS!$D$9*AM140^3+BMILMS!$E$9*AM140^2+BMILMS!$F$9*AM140+BMILMS!$G$9,IF(AM140&lt;150,BMILMS!$D$10*AM140^3+BMILMS!$E$10*AM140^2+BMILMS!$F$10*AM140+BMILMS!$G$10,BMILMS!$D$11*AM140^3+BMILMS!$E$11*AM140^2+BMILMS!$F$11*AM140+BMILMS!$G$11)))</f>
        <v>0.79584630099999998</v>
      </c>
      <c r="AK140" s="4">
        <f>IF(D140="M",(IF(AM140&lt;2.5,BMILMS!$D$21*AM140^3+BMILMS!$E$21*AM140^2+BMILMS!$F$21*AM140+BMILMS!$G$21,IF(AM140&lt;9.5,BMILMS!$D$22*AM140^3+BMILMS!$E$22*AM140^2+BMILMS!$F$22*AM140+BMILMS!$G$22,IF(AM140&lt;26.75,BMILMS!$D$23*AM140^3+BMILMS!$E$23*AM140^2+BMILMS!$F$23*AM140+BMILMS!$G$23,IF(AM140&lt;90,BMILMS!$D$24*AM140^3+BMILMS!$E$24*AM140^2+BMILMS!$F$24*AM140+BMILMS!$G$24,BMILMS!$D$25*AM140^3+BMILMS!$E$25*AM140^2+BMILMS!$F$25*AM140+BMILMS!$G$25))))),(IF(AM140&lt;2.5,BMILMS!$D$27*AM140^3+BMILMS!$E$27*AM140^2+BMILMS!$F$27*AM140+BMILMS!$G$27,IF(AM140&lt;9.5,BMILMS!$D$28*AM140^3+BMILMS!$E$28*AM140^2+BMILMS!$F$28*AM140+BMILMS!$G$28,IF(AM140&lt;26.75,BMILMS!$D$29*AM140^3+BMILMS!$E$29*AM140^2+BMILMS!$F$29*AM140+BMILMS!$G$29,IF(AM140&lt;90,BMILMS!$D$30*AM140^3+BMILMS!$E$30*AM140^2+BMILMS!$F$30*AM140+BMILMS!$G$30,IF(AM140&lt;150,BMILMS!$D$31*AM140^3+BMILMS!$E$31*AM140^2+BMILMS!$F$31*AM140+BMILMS!$G$31,BMILMS!$D$32*AM140^3+BMILMS!$E$32*AM140^2+BMILMS!$F$32*AM140+BMILMS!$G$32)))))))</f>
        <v>12.568967990000001</v>
      </c>
      <c r="AL140" s="4">
        <f>IF(D140="M",(IF(AM140&lt;90,BMILMS!$D$14*AM140^3+BMILMS!$E$14*AM140^2+BMILMS!$F$14*AM140+BMILMS!$G$14,BMILMS!$D$15*AM140^3+BMILMS!$E$15*AM140^2+BMILMS!$F$15*AM140+BMILMS!$G$15)),(IF(AM140&lt;90,BMILMS!$D$17*AM140^3+BMILMS!$E$17*AM140^2+BMILMS!$F$17*AM140+BMILMS!$G$17,BMILMS!$D$18*AM140^3+BMILMS!$E$18*AM140^2+BMILMS!$F$18*AM140+BMILMS!$G$18)))</f>
        <v>8.8969350000000003E-2</v>
      </c>
      <c r="AM140" s="4">
        <f t="shared" si="62"/>
        <v>0</v>
      </c>
      <c r="AO140" s="56">
        <f>IF(D140="M",WeightSDS!P$5*$AM140^7+WeightSDS!Q$5*$AM140^6+WeightSDS!R$5*$AM140^5+WeightSDS!S$5*$AM140^4+WeightSDS!T$5*$AM140^3+WeightSDS!U$5*$AM140^2+WeightSDS!V$5*$AM140+WeightSDS!W$5,IF($AM140&lt;186,WeightSDS!P$8*$AM140^7+WeightSDS!Q$8*$AM140^6+WeightSDS!R$8*$AM140^5+WeightSDS!S$8*$AM140^4+WeightSDS!T$8*$AM140^3+WeightSDS!U$8*$AM140^2+WeightSDS!V$8*$AM140+WeightSDS!W$8,WeightSDS!$U$9+WeightSDS!$V$9*($AM140-WeightSDS!$W$9)))</f>
        <v>0.75407122999999998</v>
      </c>
      <c r="AP140" s="4">
        <f>IF(D140="M",IF($AM140&lt;45,WeightSDS!M$23*$AM140^10+WeightSDS!N$23*$AM140^9+WeightSDS!O$23*$AM140^8+WeightSDS!P$23*$AM140^7+WeightSDS!Q$23*$AM140^6+WeightSDS!R$23*$AM140^5+WeightSDS!S$23*$AM140^4+WeightSDS!T$23*$AM140^3+WeightSDS!U$23*$AM140^2+WeightSDS!V$23*$AM140+WeightSDS!W$23,IF($AM140&lt;153,WeightSDS!M$25*$AM140^10+WeightSDS!N$25*$AM140^9+WeightSDS!O$25*$AM140^8+WeightSDS!P$25*$AM140^7+WeightSDS!Q$25*$AM140^6+WeightSDS!R$25*$AM140^5+WeightSDS!S$25*$AM140^4+WeightSDS!T$25*$AM140^3+WeightSDS!U$25*$AM140^2+WeightSDS!V$25*$AM140+WeightSDS!W$25,WeightSDS!M$27+WeightSDS!N$27/(1+EXP(WeightSDS!O$27+WeightSDS!P$27*$AM140)))),IF($AM140&lt;43.8,WeightSDS!M$29*$AM140^10+WeightSDS!N$29*$AM140^9+WeightSDS!O$29*$AM140^8+WeightSDS!P$29*$AM140^7+WeightSDS!Q$29*$AM140^6+WeightSDS!R$29*$AM140^5+WeightSDS!S$29*$AM140^4+WeightSDS!T$29*$AM140^3+WeightSDS!U$29*$AM140^2+WeightSDS!V$29*$AM140+WeightSDS!W$29-0.010431*(1-$AM140/210),IF($AM140&lt;123,WeightSDS!M$30*$AM140^10+WeightSDS!N$30*$AM140^9+WeightSDS!O$30*$AM140^8+WeightSDS!P$30*$AM140^7+WeightSDS!Q$30*$AM140^6+WeightSDS!R$30*$AM140^5+WeightSDS!S$30*$AM140^4+WeightSDS!T$30*$AM140^3+WeightSDS!U$30*$AM140^2+WeightSDS!V$30*$AM140+WeightSDS!W$30-0.010431*(1-1/$AM140),WeightSDS!M$32+WeightSDS!N$32/(1+EXP(WeightSDS!O$32+WeightSDS!P$32*$AM140))-0.010431*(1-$AM140/210))))</f>
        <v>2.9500001032655536</v>
      </c>
      <c r="AQ140" s="4">
        <f>IF(D140="M",IF($AM140&lt;162,WeightSDS!P$12*$AM140^7+WeightSDS!Q$12*$AM140^6+WeightSDS!R$12*$AM140^5+WeightSDS!S$12*$AM140^4+WeightSDS!T$12*$AM140^3+WeightSDS!U$12*$AM140^2+WeightSDS!V$12*$AM140+WeightSDS!W$12,WeightSDS!P$14*$AM140^7+WeightSDS!Q$14*$AM140^6+WeightSDS!R$14*$AM140^5+WeightSDS!S$14*$AM140^4+WeightSDS!T$14*$AM140^3+WeightSDS!U$14*$AM140^2+WeightSDS!V$14*$AM140+WeightSDS!W$14),IF($AM140&lt;156,WeightSDS!O$17*$AM140^8+WeightSDS!P$17*$AM140^7+WeightSDS!Q$17*$AM140^6+WeightSDS!R$17*$AM140^5+WeightSDS!S$17*$AM140^4+WeightSDS!T$17*$AM140^3+WeightSDS!U$17*$AM140^2+WeightSDS!V$17*$AM140+WeightSDS!W$17,IF($AM140&lt;186,WeightSDS!$U$18+(WeightSDS!$V$18-WeightSDS!$U$18)/24*($AM140-186)+WeightSDS!$W$18*(-$AM140+186)^2-0.005,WeightSDS!$U$18+(WeightSDS!$V$18-WeightSDS!$U$18)/24*($AM140-186)-0.005)))</f>
        <v>0.14604529399999999</v>
      </c>
      <c r="AT140" s="4">
        <f t="shared" si="49"/>
        <v>0.56299999999999994</v>
      </c>
      <c r="AU140" s="4">
        <f t="shared" si="50"/>
        <v>69</v>
      </c>
      <c r="AV140" s="4">
        <f t="shared" si="51"/>
        <v>0.51</v>
      </c>
    </row>
    <row r="141" spans="1:48" x14ac:dyDescent="0.15">
      <c r="A141" s="4"/>
      <c r="B141" s="21"/>
      <c r="C141" s="21"/>
      <c r="D141" s="21"/>
      <c r="E141" s="22"/>
      <c r="F141" s="22"/>
      <c r="G141" s="23"/>
      <c r="H141" s="23"/>
      <c r="I141" s="181"/>
      <c r="J141" s="8" t="str">
        <f t="shared" si="43"/>
        <v/>
      </c>
      <c r="K141" s="2" t="str">
        <f t="shared" si="52"/>
        <v/>
      </c>
      <c r="L141" s="2" t="str">
        <f t="shared" si="44"/>
        <v/>
      </c>
      <c r="M141" s="2" t="str">
        <f t="shared" si="53"/>
        <v/>
      </c>
      <c r="N141" s="2" t="str">
        <f t="shared" si="61"/>
        <v/>
      </c>
      <c r="O141" s="2" t="str">
        <f t="shared" si="54"/>
        <v/>
      </c>
      <c r="P141" s="8" t="str">
        <f t="shared" si="55"/>
        <v/>
      </c>
      <c r="Q141" s="8" t="str">
        <f t="shared" si="56"/>
        <v/>
      </c>
      <c r="R141" s="111" t="str">
        <f t="shared" si="57"/>
        <v/>
      </c>
      <c r="S141" s="44" t="str">
        <f t="shared" si="58"/>
        <v/>
      </c>
      <c r="T141" s="37" t="str">
        <f t="shared" si="59"/>
        <v/>
      </c>
      <c r="U141" s="44" t="str">
        <f t="shared" si="60"/>
        <v/>
      </c>
      <c r="V141" s="26"/>
      <c r="W141" s="26"/>
      <c r="X141" s="26"/>
      <c r="Y141" s="26"/>
      <c r="Z141" s="24"/>
      <c r="AA141" s="169">
        <f t="shared" si="45"/>
        <v>0</v>
      </c>
      <c r="AB141" s="4">
        <f t="shared" si="46"/>
        <v>0</v>
      </c>
      <c r="AC141" s="170">
        <f t="shared" si="42"/>
        <v>0</v>
      </c>
      <c r="AD141" s="58"/>
      <c r="AE141" s="58"/>
      <c r="AF141" s="58"/>
      <c r="AG141" s="59">
        <f t="shared" si="47"/>
        <v>9.0359999999999996</v>
      </c>
      <c r="AH141" s="59">
        <f t="shared" si="48"/>
        <v>-184.49199999999999</v>
      </c>
      <c r="AJ141" s="4">
        <f>IF(D141="M",IF(AM141&lt;78,BMILMS!$D$5*AM141^3+BMILMS!$E$5*AM141^2+BMILMS!$F$5*AM141+BMILMS!$G$5,IF(AM141&lt;150,BMILMS!$D$6*AM141^3+BMILMS!$E$6*AM141^2+BMILMS!$F$6*AM141+BMILMS!$G$6,BMILMS!$D$7*AM141^3+BMILMS!$E$7*AM141^2+BMILMS!$F$7*AM141+BMILMS!$G$7)),IF(AM141&lt;69,BMILMS!$D$9*AM141^3+BMILMS!$E$9*AM141^2+BMILMS!$F$9*AM141+BMILMS!$G$9,IF(AM141&lt;150,BMILMS!$D$10*AM141^3+BMILMS!$E$10*AM141^2+BMILMS!$F$10*AM141+BMILMS!$G$10,BMILMS!$D$11*AM141^3+BMILMS!$E$11*AM141^2+BMILMS!$F$11*AM141+BMILMS!$G$11)))</f>
        <v>0.79584630099999998</v>
      </c>
      <c r="AK141" s="4">
        <f>IF(D141="M",(IF(AM141&lt;2.5,BMILMS!$D$21*AM141^3+BMILMS!$E$21*AM141^2+BMILMS!$F$21*AM141+BMILMS!$G$21,IF(AM141&lt;9.5,BMILMS!$D$22*AM141^3+BMILMS!$E$22*AM141^2+BMILMS!$F$22*AM141+BMILMS!$G$22,IF(AM141&lt;26.75,BMILMS!$D$23*AM141^3+BMILMS!$E$23*AM141^2+BMILMS!$F$23*AM141+BMILMS!$G$23,IF(AM141&lt;90,BMILMS!$D$24*AM141^3+BMILMS!$E$24*AM141^2+BMILMS!$F$24*AM141+BMILMS!$G$24,BMILMS!$D$25*AM141^3+BMILMS!$E$25*AM141^2+BMILMS!$F$25*AM141+BMILMS!$G$25))))),(IF(AM141&lt;2.5,BMILMS!$D$27*AM141^3+BMILMS!$E$27*AM141^2+BMILMS!$F$27*AM141+BMILMS!$G$27,IF(AM141&lt;9.5,BMILMS!$D$28*AM141^3+BMILMS!$E$28*AM141^2+BMILMS!$F$28*AM141+BMILMS!$G$28,IF(AM141&lt;26.75,BMILMS!$D$29*AM141^3+BMILMS!$E$29*AM141^2+BMILMS!$F$29*AM141+BMILMS!$G$29,IF(AM141&lt;90,BMILMS!$D$30*AM141^3+BMILMS!$E$30*AM141^2+BMILMS!$F$30*AM141+BMILMS!$G$30,IF(AM141&lt;150,BMILMS!$D$31*AM141^3+BMILMS!$E$31*AM141^2+BMILMS!$F$31*AM141+BMILMS!$G$31,BMILMS!$D$32*AM141^3+BMILMS!$E$32*AM141^2+BMILMS!$F$32*AM141+BMILMS!$G$32)))))))</f>
        <v>12.568967990000001</v>
      </c>
      <c r="AL141" s="4">
        <f>IF(D141="M",(IF(AM141&lt;90,BMILMS!$D$14*AM141^3+BMILMS!$E$14*AM141^2+BMILMS!$F$14*AM141+BMILMS!$G$14,BMILMS!$D$15*AM141^3+BMILMS!$E$15*AM141^2+BMILMS!$F$15*AM141+BMILMS!$G$15)),(IF(AM141&lt;90,BMILMS!$D$17*AM141^3+BMILMS!$E$17*AM141^2+BMILMS!$F$17*AM141+BMILMS!$G$17,BMILMS!$D$18*AM141^3+BMILMS!$E$18*AM141^2+BMILMS!$F$18*AM141+BMILMS!$G$18)))</f>
        <v>8.8969350000000003E-2</v>
      </c>
      <c r="AM141" s="4">
        <f t="shared" si="62"/>
        <v>0</v>
      </c>
      <c r="AO141" s="56">
        <f>IF(D141="M",WeightSDS!P$5*$AM141^7+WeightSDS!Q$5*$AM141^6+WeightSDS!R$5*$AM141^5+WeightSDS!S$5*$AM141^4+WeightSDS!T$5*$AM141^3+WeightSDS!U$5*$AM141^2+WeightSDS!V$5*$AM141+WeightSDS!W$5,IF($AM141&lt;186,WeightSDS!P$8*$AM141^7+WeightSDS!Q$8*$AM141^6+WeightSDS!R$8*$AM141^5+WeightSDS!S$8*$AM141^4+WeightSDS!T$8*$AM141^3+WeightSDS!U$8*$AM141^2+WeightSDS!V$8*$AM141+WeightSDS!W$8,WeightSDS!$U$9+WeightSDS!$V$9*($AM141-WeightSDS!$W$9)))</f>
        <v>0.75407122999999998</v>
      </c>
      <c r="AP141" s="4">
        <f>IF(D141="M",IF($AM141&lt;45,WeightSDS!M$23*$AM141^10+WeightSDS!N$23*$AM141^9+WeightSDS!O$23*$AM141^8+WeightSDS!P$23*$AM141^7+WeightSDS!Q$23*$AM141^6+WeightSDS!R$23*$AM141^5+WeightSDS!S$23*$AM141^4+WeightSDS!T$23*$AM141^3+WeightSDS!U$23*$AM141^2+WeightSDS!V$23*$AM141+WeightSDS!W$23,IF($AM141&lt;153,WeightSDS!M$25*$AM141^10+WeightSDS!N$25*$AM141^9+WeightSDS!O$25*$AM141^8+WeightSDS!P$25*$AM141^7+WeightSDS!Q$25*$AM141^6+WeightSDS!R$25*$AM141^5+WeightSDS!S$25*$AM141^4+WeightSDS!T$25*$AM141^3+WeightSDS!U$25*$AM141^2+WeightSDS!V$25*$AM141+WeightSDS!W$25,WeightSDS!M$27+WeightSDS!N$27/(1+EXP(WeightSDS!O$27+WeightSDS!P$27*$AM141)))),IF($AM141&lt;43.8,WeightSDS!M$29*$AM141^10+WeightSDS!N$29*$AM141^9+WeightSDS!O$29*$AM141^8+WeightSDS!P$29*$AM141^7+WeightSDS!Q$29*$AM141^6+WeightSDS!R$29*$AM141^5+WeightSDS!S$29*$AM141^4+WeightSDS!T$29*$AM141^3+WeightSDS!U$29*$AM141^2+WeightSDS!V$29*$AM141+WeightSDS!W$29-0.010431*(1-$AM141/210),IF($AM141&lt;123,WeightSDS!M$30*$AM141^10+WeightSDS!N$30*$AM141^9+WeightSDS!O$30*$AM141^8+WeightSDS!P$30*$AM141^7+WeightSDS!Q$30*$AM141^6+WeightSDS!R$30*$AM141^5+WeightSDS!S$30*$AM141^4+WeightSDS!T$30*$AM141^3+WeightSDS!U$30*$AM141^2+WeightSDS!V$30*$AM141+WeightSDS!W$30-0.010431*(1-1/$AM141),WeightSDS!M$32+WeightSDS!N$32/(1+EXP(WeightSDS!O$32+WeightSDS!P$32*$AM141))-0.010431*(1-$AM141/210))))</f>
        <v>2.9500001032655536</v>
      </c>
      <c r="AQ141" s="4">
        <f>IF(D141="M",IF($AM141&lt;162,WeightSDS!P$12*$AM141^7+WeightSDS!Q$12*$AM141^6+WeightSDS!R$12*$AM141^5+WeightSDS!S$12*$AM141^4+WeightSDS!T$12*$AM141^3+WeightSDS!U$12*$AM141^2+WeightSDS!V$12*$AM141+WeightSDS!W$12,WeightSDS!P$14*$AM141^7+WeightSDS!Q$14*$AM141^6+WeightSDS!R$14*$AM141^5+WeightSDS!S$14*$AM141^4+WeightSDS!T$14*$AM141^3+WeightSDS!U$14*$AM141^2+WeightSDS!V$14*$AM141+WeightSDS!W$14),IF($AM141&lt;156,WeightSDS!O$17*$AM141^8+WeightSDS!P$17*$AM141^7+WeightSDS!Q$17*$AM141^6+WeightSDS!R$17*$AM141^5+WeightSDS!S$17*$AM141^4+WeightSDS!T$17*$AM141^3+WeightSDS!U$17*$AM141^2+WeightSDS!V$17*$AM141+WeightSDS!W$17,IF($AM141&lt;186,WeightSDS!$U$18+(WeightSDS!$V$18-WeightSDS!$U$18)/24*($AM141-186)+WeightSDS!$W$18*(-$AM141+186)^2-0.005,WeightSDS!$U$18+(WeightSDS!$V$18-WeightSDS!$U$18)/24*($AM141-186)-0.005)))</f>
        <v>0.14604529399999999</v>
      </c>
      <c r="AT141" s="4">
        <f t="shared" si="49"/>
        <v>0.56299999999999994</v>
      </c>
      <c r="AU141" s="4">
        <f t="shared" si="50"/>
        <v>69</v>
      </c>
      <c r="AV141" s="4">
        <f t="shared" si="51"/>
        <v>0.51</v>
      </c>
    </row>
    <row r="142" spans="1:48" x14ac:dyDescent="0.15">
      <c r="A142" s="4"/>
      <c r="B142" s="21"/>
      <c r="C142" s="21"/>
      <c r="D142" s="21"/>
      <c r="E142" s="22"/>
      <c r="F142" s="22"/>
      <c r="G142" s="23"/>
      <c r="H142" s="23"/>
      <c r="I142" s="181"/>
      <c r="J142" s="8" t="str">
        <f t="shared" si="43"/>
        <v/>
      </c>
      <c r="K142" s="2" t="str">
        <f t="shared" si="52"/>
        <v/>
      </c>
      <c r="L142" s="2" t="str">
        <f t="shared" si="44"/>
        <v/>
      </c>
      <c r="M142" s="2" t="str">
        <f t="shared" si="53"/>
        <v/>
      </c>
      <c r="N142" s="2" t="str">
        <f t="shared" si="61"/>
        <v/>
      </c>
      <c r="O142" s="2" t="str">
        <f t="shared" si="54"/>
        <v/>
      </c>
      <c r="P142" s="8" t="str">
        <f t="shared" si="55"/>
        <v/>
      </c>
      <c r="Q142" s="8" t="str">
        <f t="shared" si="56"/>
        <v/>
      </c>
      <c r="R142" s="111" t="str">
        <f t="shared" si="57"/>
        <v/>
      </c>
      <c r="S142" s="44" t="str">
        <f t="shared" si="58"/>
        <v/>
      </c>
      <c r="T142" s="37" t="str">
        <f t="shared" si="59"/>
        <v/>
      </c>
      <c r="U142" s="44" t="str">
        <f t="shared" si="60"/>
        <v/>
      </c>
      <c r="V142" s="26"/>
      <c r="W142" s="26"/>
      <c r="X142" s="26"/>
      <c r="Y142" s="26"/>
      <c r="Z142" s="24"/>
      <c r="AA142" s="169">
        <f t="shared" si="45"/>
        <v>0</v>
      </c>
      <c r="AB142" s="4">
        <f t="shared" si="46"/>
        <v>0</v>
      </c>
      <c r="AC142" s="170">
        <f t="shared" si="42"/>
        <v>0</v>
      </c>
      <c r="AD142" s="58"/>
      <c r="AE142" s="58"/>
      <c r="AF142" s="58"/>
      <c r="AG142" s="59">
        <f t="shared" si="47"/>
        <v>9.0359999999999996</v>
      </c>
      <c r="AH142" s="59">
        <f t="shared" si="48"/>
        <v>-184.49199999999999</v>
      </c>
      <c r="AJ142" s="4">
        <f>IF(D142="M",IF(AM142&lt;78,BMILMS!$D$5*AM142^3+BMILMS!$E$5*AM142^2+BMILMS!$F$5*AM142+BMILMS!$G$5,IF(AM142&lt;150,BMILMS!$D$6*AM142^3+BMILMS!$E$6*AM142^2+BMILMS!$F$6*AM142+BMILMS!$G$6,BMILMS!$D$7*AM142^3+BMILMS!$E$7*AM142^2+BMILMS!$F$7*AM142+BMILMS!$G$7)),IF(AM142&lt;69,BMILMS!$D$9*AM142^3+BMILMS!$E$9*AM142^2+BMILMS!$F$9*AM142+BMILMS!$G$9,IF(AM142&lt;150,BMILMS!$D$10*AM142^3+BMILMS!$E$10*AM142^2+BMILMS!$F$10*AM142+BMILMS!$G$10,BMILMS!$D$11*AM142^3+BMILMS!$E$11*AM142^2+BMILMS!$F$11*AM142+BMILMS!$G$11)))</f>
        <v>0.79584630099999998</v>
      </c>
      <c r="AK142" s="4">
        <f>IF(D142="M",(IF(AM142&lt;2.5,BMILMS!$D$21*AM142^3+BMILMS!$E$21*AM142^2+BMILMS!$F$21*AM142+BMILMS!$G$21,IF(AM142&lt;9.5,BMILMS!$D$22*AM142^3+BMILMS!$E$22*AM142^2+BMILMS!$F$22*AM142+BMILMS!$G$22,IF(AM142&lt;26.75,BMILMS!$D$23*AM142^3+BMILMS!$E$23*AM142^2+BMILMS!$F$23*AM142+BMILMS!$G$23,IF(AM142&lt;90,BMILMS!$D$24*AM142^3+BMILMS!$E$24*AM142^2+BMILMS!$F$24*AM142+BMILMS!$G$24,BMILMS!$D$25*AM142^3+BMILMS!$E$25*AM142^2+BMILMS!$F$25*AM142+BMILMS!$G$25))))),(IF(AM142&lt;2.5,BMILMS!$D$27*AM142^3+BMILMS!$E$27*AM142^2+BMILMS!$F$27*AM142+BMILMS!$G$27,IF(AM142&lt;9.5,BMILMS!$D$28*AM142^3+BMILMS!$E$28*AM142^2+BMILMS!$F$28*AM142+BMILMS!$G$28,IF(AM142&lt;26.75,BMILMS!$D$29*AM142^3+BMILMS!$E$29*AM142^2+BMILMS!$F$29*AM142+BMILMS!$G$29,IF(AM142&lt;90,BMILMS!$D$30*AM142^3+BMILMS!$E$30*AM142^2+BMILMS!$F$30*AM142+BMILMS!$G$30,IF(AM142&lt;150,BMILMS!$D$31*AM142^3+BMILMS!$E$31*AM142^2+BMILMS!$F$31*AM142+BMILMS!$G$31,BMILMS!$D$32*AM142^3+BMILMS!$E$32*AM142^2+BMILMS!$F$32*AM142+BMILMS!$G$32)))))))</f>
        <v>12.568967990000001</v>
      </c>
      <c r="AL142" s="4">
        <f>IF(D142="M",(IF(AM142&lt;90,BMILMS!$D$14*AM142^3+BMILMS!$E$14*AM142^2+BMILMS!$F$14*AM142+BMILMS!$G$14,BMILMS!$D$15*AM142^3+BMILMS!$E$15*AM142^2+BMILMS!$F$15*AM142+BMILMS!$G$15)),(IF(AM142&lt;90,BMILMS!$D$17*AM142^3+BMILMS!$E$17*AM142^2+BMILMS!$F$17*AM142+BMILMS!$G$17,BMILMS!$D$18*AM142^3+BMILMS!$E$18*AM142^2+BMILMS!$F$18*AM142+BMILMS!$G$18)))</f>
        <v>8.8969350000000003E-2</v>
      </c>
      <c r="AM142" s="4">
        <f t="shared" si="62"/>
        <v>0</v>
      </c>
      <c r="AO142" s="56">
        <f>IF(D142="M",WeightSDS!P$5*$AM142^7+WeightSDS!Q$5*$AM142^6+WeightSDS!R$5*$AM142^5+WeightSDS!S$5*$AM142^4+WeightSDS!T$5*$AM142^3+WeightSDS!U$5*$AM142^2+WeightSDS!V$5*$AM142+WeightSDS!W$5,IF($AM142&lt;186,WeightSDS!P$8*$AM142^7+WeightSDS!Q$8*$AM142^6+WeightSDS!R$8*$AM142^5+WeightSDS!S$8*$AM142^4+WeightSDS!T$8*$AM142^3+WeightSDS!U$8*$AM142^2+WeightSDS!V$8*$AM142+WeightSDS!W$8,WeightSDS!$U$9+WeightSDS!$V$9*($AM142-WeightSDS!$W$9)))</f>
        <v>0.75407122999999998</v>
      </c>
      <c r="AP142" s="4">
        <f>IF(D142="M",IF($AM142&lt;45,WeightSDS!M$23*$AM142^10+WeightSDS!N$23*$AM142^9+WeightSDS!O$23*$AM142^8+WeightSDS!P$23*$AM142^7+WeightSDS!Q$23*$AM142^6+WeightSDS!R$23*$AM142^5+WeightSDS!S$23*$AM142^4+WeightSDS!T$23*$AM142^3+WeightSDS!U$23*$AM142^2+WeightSDS!V$23*$AM142+WeightSDS!W$23,IF($AM142&lt;153,WeightSDS!M$25*$AM142^10+WeightSDS!N$25*$AM142^9+WeightSDS!O$25*$AM142^8+WeightSDS!P$25*$AM142^7+WeightSDS!Q$25*$AM142^6+WeightSDS!R$25*$AM142^5+WeightSDS!S$25*$AM142^4+WeightSDS!T$25*$AM142^3+WeightSDS!U$25*$AM142^2+WeightSDS!V$25*$AM142+WeightSDS!W$25,WeightSDS!M$27+WeightSDS!N$27/(1+EXP(WeightSDS!O$27+WeightSDS!P$27*$AM142)))),IF($AM142&lt;43.8,WeightSDS!M$29*$AM142^10+WeightSDS!N$29*$AM142^9+WeightSDS!O$29*$AM142^8+WeightSDS!P$29*$AM142^7+WeightSDS!Q$29*$AM142^6+WeightSDS!R$29*$AM142^5+WeightSDS!S$29*$AM142^4+WeightSDS!T$29*$AM142^3+WeightSDS!U$29*$AM142^2+WeightSDS!V$29*$AM142+WeightSDS!W$29-0.010431*(1-$AM142/210),IF($AM142&lt;123,WeightSDS!M$30*$AM142^10+WeightSDS!N$30*$AM142^9+WeightSDS!O$30*$AM142^8+WeightSDS!P$30*$AM142^7+WeightSDS!Q$30*$AM142^6+WeightSDS!R$30*$AM142^5+WeightSDS!S$30*$AM142^4+WeightSDS!T$30*$AM142^3+WeightSDS!U$30*$AM142^2+WeightSDS!V$30*$AM142+WeightSDS!W$30-0.010431*(1-1/$AM142),WeightSDS!M$32+WeightSDS!N$32/(1+EXP(WeightSDS!O$32+WeightSDS!P$32*$AM142))-0.010431*(1-$AM142/210))))</f>
        <v>2.9500001032655536</v>
      </c>
      <c r="AQ142" s="4">
        <f>IF(D142="M",IF($AM142&lt;162,WeightSDS!P$12*$AM142^7+WeightSDS!Q$12*$AM142^6+WeightSDS!R$12*$AM142^5+WeightSDS!S$12*$AM142^4+WeightSDS!T$12*$AM142^3+WeightSDS!U$12*$AM142^2+WeightSDS!V$12*$AM142+WeightSDS!W$12,WeightSDS!P$14*$AM142^7+WeightSDS!Q$14*$AM142^6+WeightSDS!R$14*$AM142^5+WeightSDS!S$14*$AM142^4+WeightSDS!T$14*$AM142^3+WeightSDS!U$14*$AM142^2+WeightSDS!V$14*$AM142+WeightSDS!W$14),IF($AM142&lt;156,WeightSDS!O$17*$AM142^8+WeightSDS!P$17*$AM142^7+WeightSDS!Q$17*$AM142^6+WeightSDS!R$17*$AM142^5+WeightSDS!S$17*$AM142^4+WeightSDS!T$17*$AM142^3+WeightSDS!U$17*$AM142^2+WeightSDS!V$17*$AM142+WeightSDS!W$17,IF($AM142&lt;186,WeightSDS!$U$18+(WeightSDS!$V$18-WeightSDS!$U$18)/24*($AM142-186)+WeightSDS!$W$18*(-$AM142+186)^2-0.005,WeightSDS!$U$18+(WeightSDS!$V$18-WeightSDS!$U$18)/24*($AM142-186)-0.005)))</f>
        <v>0.14604529399999999</v>
      </c>
      <c r="AT142" s="4">
        <f t="shared" si="49"/>
        <v>0.56299999999999994</v>
      </c>
      <c r="AU142" s="4">
        <f t="shared" si="50"/>
        <v>69</v>
      </c>
      <c r="AV142" s="4">
        <f t="shared" si="51"/>
        <v>0.51</v>
      </c>
    </row>
    <row r="143" spans="1:48" x14ac:dyDescent="0.15">
      <c r="A143" s="4"/>
      <c r="B143" s="21"/>
      <c r="C143" s="21"/>
      <c r="D143" s="21"/>
      <c r="E143" s="22"/>
      <c r="F143" s="22"/>
      <c r="G143" s="23"/>
      <c r="H143" s="23"/>
      <c r="I143" s="181"/>
      <c r="J143" s="8" t="str">
        <f t="shared" si="43"/>
        <v/>
      </c>
      <c r="K143" s="2" t="str">
        <f t="shared" si="52"/>
        <v/>
      </c>
      <c r="L143" s="2" t="str">
        <f t="shared" si="44"/>
        <v/>
      </c>
      <c r="M143" s="2" t="str">
        <f t="shared" si="53"/>
        <v/>
      </c>
      <c r="N143" s="2" t="str">
        <f t="shared" si="61"/>
        <v/>
      </c>
      <c r="O143" s="2" t="str">
        <f t="shared" si="54"/>
        <v/>
      </c>
      <c r="P143" s="8" t="str">
        <f t="shared" si="55"/>
        <v/>
      </c>
      <c r="Q143" s="8" t="str">
        <f t="shared" si="56"/>
        <v/>
      </c>
      <c r="R143" s="111" t="str">
        <f t="shared" si="57"/>
        <v/>
      </c>
      <c r="S143" s="44" t="str">
        <f t="shared" si="58"/>
        <v/>
      </c>
      <c r="T143" s="37" t="str">
        <f t="shared" si="59"/>
        <v/>
      </c>
      <c r="U143" s="44" t="str">
        <f t="shared" si="60"/>
        <v/>
      </c>
      <c r="V143" s="26"/>
      <c r="W143" s="26"/>
      <c r="X143" s="26"/>
      <c r="Y143" s="26"/>
      <c r="Z143" s="24"/>
      <c r="AA143" s="169">
        <f t="shared" si="45"/>
        <v>0</v>
      </c>
      <c r="AB143" s="4">
        <f t="shared" si="46"/>
        <v>0</v>
      </c>
      <c r="AC143" s="170">
        <f t="shared" si="42"/>
        <v>0</v>
      </c>
      <c r="AD143" s="58"/>
      <c r="AE143" s="58"/>
      <c r="AF143" s="58"/>
      <c r="AG143" s="59">
        <f t="shared" si="47"/>
        <v>9.0359999999999996</v>
      </c>
      <c r="AH143" s="59">
        <f t="shared" si="48"/>
        <v>-184.49199999999999</v>
      </c>
      <c r="AJ143" s="4">
        <f>IF(D143="M",IF(AM143&lt;78,BMILMS!$D$5*AM143^3+BMILMS!$E$5*AM143^2+BMILMS!$F$5*AM143+BMILMS!$G$5,IF(AM143&lt;150,BMILMS!$D$6*AM143^3+BMILMS!$E$6*AM143^2+BMILMS!$F$6*AM143+BMILMS!$G$6,BMILMS!$D$7*AM143^3+BMILMS!$E$7*AM143^2+BMILMS!$F$7*AM143+BMILMS!$G$7)),IF(AM143&lt;69,BMILMS!$D$9*AM143^3+BMILMS!$E$9*AM143^2+BMILMS!$F$9*AM143+BMILMS!$G$9,IF(AM143&lt;150,BMILMS!$D$10*AM143^3+BMILMS!$E$10*AM143^2+BMILMS!$F$10*AM143+BMILMS!$G$10,BMILMS!$D$11*AM143^3+BMILMS!$E$11*AM143^2+BMILMS!$F$11*AM143+BMILMS!$G$11)))</f>
        <v>0.79584630099999998</v>
      </c>
      <c r="AK143" s="4">
        <f>IF(D143="M",(IF(AM143&lt;2.5,BMILMS!$D$21*AM143^3+BMILMS!$E$21*AM143^2+BMILMS!$F$21*AM143+BMILMS!$G$21,IF(AM143&lt;9.5,BMILMS!$D$22*AM143^3+BMILMS!$E$22*AM143^2+BMILMS!$F$22*AM143+BMILMS!$G$22,IF(AM143&lt;26.75,BMILMS!$D$23*AM143^3+BMILMS!$E$23*AM143^2+BMILMS!$F$23*AM143+BMILMS!$G$23,IF(AM143&lt;90,BMILMS!$D$24*AM143^3+BMILMS!$E$24*AM143^2+BMILMS!$F$24*AM143+BMILMS!$G$24,BMILMS!$D$25*AM143^3+BMILMS!$E$25*AM143^2+BMILMS!$F$25*AM143+BMILMS!$G$25))))),(IF(AM143&lt;2.5,BMILMS!$D$27*AM143^3+BMILMS!$E$27*AM143^2+BMILMS!$F$27*AM143+BMILMS!$G$27,IF(AM143&lt;9.5,BMILMS!$D$28*AM143^3+BMILMS!$E$28*AM143^2+BMILMS!$F$28*AM143+BMILMS!$G$28,IF(AM143&lt;26.75,BMILMS!$D$29*AM143^3+BMILMS!$E$29*AM143^2+BMILMS!$F$29*AM143+BMILMS!$G$29,IF(AM143&lt;90,BMILMS!$D$30*AM143^3+BMILMS!$E$30*AM143^2+BMILMS!$F$30*AM143+BMILMS!$G$30,IF(AM143&lt;150,BMILMS!$D$31*AM143^3+BMILMS!$E$31*AM143^2+BMILMS!$F$31*AM143+BMILMS!$G$31,BMILMS!$D$32*AM143^3+BMILMS!$E$32*AM143^2+BMILMS!$F$32*AM143+BMILMS!$G$32)))))))</f>
        <v>12.568967990000001</v>
      </c>
      <c r="AL143" s="4">
        <f>IF(D143="M",(IF(AM143&lt;90,BMILMS!$D$14*AM143^3+BMILMS!$E$14*AM143^2+BMILMS!$F$14*AM143+BMILMS!$G$14,BMILMS!$D$15*AM143^3+BMILMS!$E$15*AM143^2+BMILMS!$F$15*AM143+BMILMS!$G$15)),(IF(AM143&lt;90,BMILMS!$D$17*AM143^3+BMILMS!$E$17*AM143^2+BMILMS!$F$17*AM143+BMILMS!$G$17,BMILMS!$D$18*AM143^3+BMILMS!$E$18*AM143^2+BMILMS!$F$18*AM143+BMILMS!$G$18)))</f>
        <v>8.8969350000000003E-2</v>
      </c>
      <c r="AM143" s="4">
        <f t="shared" si="62"/>
        <v>0</v>
      </c>
      <c r="AO143" s="56">
        <f>IF(D143="M",WeightSDS!P$5*$AM143^7+WeightSDS!Q$5*$AM143^6+WeightSDS!R$5*$AM143^5+WeightSDS!S$5*$AM143^4+WeightSDS!T$5*$AM143^3+WeightSDS!U$5*$AM143^2+WeightSDS!V$5*$AM143+WeightSDS!W$5,IF($AM143&lt;186,WeightSDS!P$8*$AM143^7+WeightSDS!Q$8*$AM143^6+WeightSDS!R$8*$AM143^5+WeightSDS!S$8*$AM143^4+WeightSDS!T$8*$AM143^3+WeightSDS!U$8*$AM143^2+WeightSDS!V$8*$AM143+WeightSDS!W$8,WeightSDS!$U$9+WeightSDS!$V$9*($AM143-WeightSDS!$W$9)))</f>
        <v>0.75407122999999998</v>
      </c>
      <c r="AP143" s="4">
        <f>IF(D143="M",IF($AM143&lt;45,WeightSDS!M$23*$AM143^10+WeightSDS!N$23*$AM143^9+WeightSDS!O$23*$AM143^8+WeightSDS!P$23*$AM143^7+WeightSDS!Q$23*$AM143^6+WeightSDS!R$23*$AM143^5+WeightSDS!S$23*$AM143^4+WeightSDS!T$23*$AM143^3+WeightSDS!U$23*$AM143^2+WeightSDS!V$23*$AM143+WeightSDS!W$23,IF($AM143&lt;153,WeightSDS!M$25*$AM143^10+WeightSDS!N$25*$AM143^9+WeightSDS!O$25*$AM143^8+WeightSDS!P$25*$AM143^7+WeightSDS!Q$25*$AM143^6+WeightSDS!R$25*$AM143^5+WeightSDS!S$25*$AM143^4+WeightSDS!T$25*$AM143^3+WeightSDS!U$25*$AM143^2+WeightSDS!V$25*$AM143+WeightSDS!W$25,WeightSDS!M$27+WeightSDS!N$27/(1+EXP(WeightSDS!O$27+WeightSDS!P$27*$AM143)))),IF($AM143&lt;43.8,WeightSDS!M$29*$AM143^10+WeightSDS!N$29*$AM143^9+WeightSDS!O$29*$AM143^8+WeightSDS!P$29*$AM143^7+WeightSDS!Q$29*$AM143^6+WeightSDS!R$29*$AM143^5+WeightSDS!S$29*$AM143^4+WeightSDS!T$29*$AM143^3+WeightSDS!U$29*$AM143^2+WeightSDS!V$29*$AM143+WeightSDS!W$29-0.010431*(1-$AM143/210),IF($AM143&lt;123,WeightSDS!M$30*$AM143^10+WeightSDS!N$30*$AM143^9+WeightSDS!O$30*$AM143^8+WeightSDS!P$30*$AM143^7+WeightSDS!Q$30*$AM143^6+WeightSDS!R$30*$AM143^5+WeightSDS!S$30*$AM143^4+WeightSDS!T$30*$AM143^3+WeightSDS!U$30*$AM143^2+WeightSDS!V$30*$AM143+WeightSDS!W$30-0.010431*(1-1/$AM143),WeightSDS!M$32+WeightSDS!N$32/(1+EXP(WeightSDS!O$32+WeightSDS!P$32*$AM143))-0.010431*(1-$AM143/210))))</f>
        <v>2.9500001032655536</v>
      </c>
      <c r="AQ143" s="4">
        <f>IF(D143="M",IF($AM143&lt;162,WeightSDS!P$12*$AM143^7+WeightSDS!Q$12*$AM143^6+WeightSDS!R$12*$AM143^5+WeightSDS!S$12*$AM143^4+WeightSDS!T$12*$AM143^3+WeightSDS!U$12*$AM143^2+WeightSDS!V$12*$AM143+WeightSDS!W$12,WeightSDS!P$14*$AM143^7+WeightSDS!Q$14*$AM143^6+WeightSDS!R$14*$AM143^5+WeightSDS!S$14*$AM143^4+WeightSDS!T$14*$AM143^3+WeightSDS!U$14*$AM143^2+WeightSDS!V$14*$AM143+WeightSDS!W$14),IF($AM143&lt;156,WeightSDS!O$17*$AM143^8+WeightSDS!P$17*$AM143^7+WeightSDS!Q$17*$AM143^6+WeightSDS!R$17*$AM143^5+WeightSDS!S$17*$AM143^4+WeightSDS!T$17*$AM143^3+WeightSDS!U$17*$AM143^2+WeightSDS!V$17*$AM143+WeightSDS!W$17,IF($AM143&lt;186,WeightSDS!$U$18+(WeightSDS!$V$18-WeightSDS!$U$18)/24*($AM143-186)+WeightSDS!$W$18*(-$AM143+186)^2-0.005,WeightSDS!$U$18+(WeightSDS!$V$18-WeightSDS!$U$18)/24*($AM143-186)-0.005)))</f>
        <v>0.14604529399999999</v>
      </c>
      <c r="AT143" s="4">
        <f t="shared" si="49"/>
        <v>0.56299999999999994</v>
      </c>
      <c r="AU143" s="4">
        <f t="shared" si="50"/>
        <v>69</v>
      </c>
      <c r="AV143" s="4">
        <f t="shared" si="51"/>
        <v>0.51</v>
      </c>
    </row>
    <row r="144" spans="1:48" x14ac:dyDescent="0.15">
      <c r="A144" s="4"/>
      <c r="B144" s="21"/>
      <c r="C144" s="21"/>
      <c r="D144" s="21"/>
      <c r="E144" s="22"/>
      <c r="F144" s="22"/>
      <c r="G144" s="23"/>
      <c r="H144" s="23"/>
      <c r="I144" s="181"/>
      <c r="J144" s="8" t="str">
        <f t="shared" si="43"/>
        <v/>
      </c>
      <c r="K144" s="2" t="str">
        <f t="shared" si="52"/>
        <v/>
      </c>
      <c r="L144" s="2" t="str">
        <f t="shared" si="44"/>
        <v/>
      </c>
      <c r="M144" s="2" t="str">
        <f t="shared" si="53"/>
        <v/>
      </c>
      <c r="N144" s="2" t="str">
        <f t="shared" si="61"/>
        <v/>
      </c>
      <c r="O144" s="2" t="str">
        <f t="shared" si="54"/>
        <v/>
      </c>
      <c r="P144" s="8" t="str">
        <f t="shared" si="55"/>
        <v/>
      </c>
      <c r="Q144" s="8" t="str">
        <f t="shared" si="56"/>
        <v/>
      </c>
      <c r="R144" s="111" t="str">
        <f t="shared" si="57"/>
        <v/>
      </c>
      <c r="S144" s="44" t="str">
        <f t="shared" si="58"/>
        <v/>
      </c>
      <c r="T144" s="37" t="str">
        <f t="shared" si="59"/>
        <v/>
      </c>
      <c r="U144" s="44" t="str">
        <f t="shared" si="60"/>
        <v/>
      </c>
      <c r="V144" s="26"/>
      <c r="W144" s="26"/>
      <c r="X144" s="26"/>
      <c r="Y144" s="26"/>
      <c r="Z144" s="24"/>
      <c r="AA144" s="169">
        <f t="shared" si="45"/>
        <v>0</v>
      </c>
      <c r="AB144" s="4">
        <f t="shared" si="46"/>
        <v>0</v>
      </c>
      <c r="AC144" s="170">
        <f t="shared" si="42"/>
        <v>0</v>
      </c>
      <c r="AD144" s="58"/>
      <c r="AE144" s="58"/>
      <c r="AF144" s="58"/>
      <c r="AG144" s="59">
        <f t="shared" si="47"/>
        <v>9.0359999999999996</v>
      </c>
      <c r="AH144" s="59">
        <f t="shared" si="48"/>
        <v>-184.49199999999999</v>
      </c>
      <c r="AJ144" s="4">
        <f>IF(D144="M",IF(AM144&lt;78,BMILMS!$D$5*AM144^3+BMILMS!$E$5*AM144^2+BMILMS!$F$5*AM144+BMILMS!$G$5,IF(AM144&lt;150,BMILMS!$D$6*AM144^3+BMILMS!$E$6*AM144^2+BMILMS!$F$6*AM144+BMILMS!$G$6,BMILMS!$D$7*AM144^3+BMILMS!$E$7*AM144^2+BMILMS!$F$7*AM144+BMILMS!$G$7)),IF(AM144&lt;69,BMILMS!$D$9*AM144^3+BMILMS!$E$9*AM144^2+BMILMS!$F$9*AM144+BMILMS!$G$9,IF(AM144&lt;150,BMILMS!$D$10*AM144^3+BMILMS!$E$10*AM144^2+BMILMS!$F$10*AM144+BMILMS!$G$10,BMILMS!$D$11*AM144^3+BMILMS!$E$11*AM144^2+BMILMS!$F$11*AM144+BMILMS!$G$11)))</f>
        <v>0.79584630099999998</v>
      </c>
      <c r="AK144" s="4">
        <f>IF(D144="M",(IF(AM144&lt;2.5,BMILMS!$D$21*AM144^3+BMILMS!$E$21*AM144^2+BMILMS!$F$21*AM144+BMILMS!$G$21,IF(AM144&lt;9.5,BMILMS!$D$22*AM144^3+BMILMS!$E$22*AM144^2+BMILMS!$F$22*AM144+BMILMS!$G$22,IF(AM144&lt;26.75,BMILMS!$D$23*AM144^3+BMILMS!$E$23*AM144^2+BMILMS!$F$23*AM144+BMILMS!$G$23,IF(AM144&lt;90,BMILMS!$D$24*AM144^3+BMILMS!$E$24*AM144^2+BMILMS!$F$24*AM144+BMILMS!$G$24,BMILMS!$D$25*AM144^3+BMILMS!$E$25*AM144^2+BMILMS!$F$25*AM144+BMILMS!$G$25))))),(IF(AM144&lt;2.5,BMILMS!$D$27*AM144^3+BMILMS!$E$27*AM144^2+BMILMS!$F$27*AM144+BMILMS!$G$27,IF(AM144&lt;9.5,BMILMS!$D$28*AM144^3+BMILMS!$E$28*AM144^2+BMILMS!$F$28*AM144+BMILMS!$G$28,IF(AM144&lt;26.75,BMILMS!$D$29*AM144^3+BMILMS!$E$29*AM144^2+BMILMS!$F$29*AM144+BMILMS!$G$29,IF(AM144&lt;90,BMILMS!$D$30*AM144^3+BMILMS!$E$30*AM144^2+BMILMS!$F$30*AM144+BMILMS!$G$30,IF(AM144&lt;150,BMILMS!$D$31*AM144^3+BMILMS!$E$31*AM144^2+BMILMS!$F$31*AM144+BMILMS!$G$31,BMILMS!$D$32*AM144^3+BMILMS!$E$32*AM144^2+BMILMS!$F$32*AM144+BMILMS!$G$32)))))))</f>
        <v>12.568967990000001</v>
      </c>
      <c r="AL144" s="4">
        <f>IF(D144="M",(IF(AM144&lt;90,BMILMS!$D$14*AM144^3+BMILMS!$E$14*AM144^2+BMILMS!$F$14*AM144+BMILMS!$G$14,BMILMS!$D$15*AM144^3+BMILMS!$E$15*AM144^2+BMILMS!$F$15*AM144+BMILMS!$G$15)),(IF(AM144&lt;90,BMILMS!$D$17*AM144^3+BMILMS!$E$17*AM144^2+BMILMS!$F$17*AM144+BMILMS!$G$17,BMILMS!$D$18*AM144^3+BMILMS!$E$18*AM144^2+BMILMS!$F$18*AM144+BMILMS!$G$18)))</f>
        <v>8.8969350000000003E-2</v>
      </c>
      <c r="AM144" s="4">
        <f t="shared" si="62"/>
        <v>0</v>
      </c>
      <c r="AO144" s="56">
        <f>IF(D144="M",WeightSDS!P$5*$AM144^7+WeightSDS!Q$5*$AM144^6+WeightSDS!R$5*$AM144^5+WeightSDS!S$5*$AM144^4+WeightSDS!T$5*$AM144^3+WeightSDS!U$5*$AM144^2+WeightSDS!V$5*$AM144+WeightSDS!W$5,IF($AM144&lt;186,WeightSDS!P$8*$AM144^7+WeightSDS!Q$8*$AM144^6+WeightSDS!R$8*$AM144^5+WeightSDS!S$8*$AM144^4+WeightSDS!T$8*$AM144^3+WeightSDS!U$8*$AM144^2+WeightSDS!V$8*$AM144+WeightSDS!W$8,WeightSDS!$U$9+WeightSDS!$V$9*($AM144-WeightSDS!$W$9)))</f>
        <v>0.75407122999999998</v>
      </c>
      <c r="AP144" s="4">
        <f>IF(D144="M",IF($AM144&lt;45,WeightSDS!M$23*$AM144^10+WeightSDS!N$23*$AM144^9+WeightSDS!O$23*$AM144^8+WeightSDS!P$23*$AM144^7+WeightSDS!Q$23*$AM144^6+WeightSDS!R$23*$AM144^5+WeightSDS!S$23*$AM144^4+WeightSDS!T$23*$AM144^3+WeightSDS!U$23*$AM144^2+WeightSDS!V$23*$AM144+WeightSDS!W$23,IF($AM144&lt;153,WeightSDS!M$25*$AM144^10+WeightSDS!N$25*$AM144^9+WeightSDS!O$25*$AM144^8+WeightSDS!P$25*$AM144^7+WeightSDS!Q$25*$AM144^6+WeightSDS!R$25*$AM144^5+WeightSDS!S$25*$AM144^4+WeightSDS!T$25*$AM144^3+WeightSDS!U$25*$AM144^2+WeightSDS!V$25*$AM144+WeightSDS!W$25,WeightSDS!M$27+WeightSDS!N$27/(1+EXP(WeightSDS!O$27+WeightSDS!P$27*$AM144)))),IF($AM144&lt;43.8,WeightSDS!M$29*$AM144^10+WeightSDS!N$29*$AM144^9+WeightSDS!O$29*$AM144^8+WeightSDS!P$29*$AM144^7+WeightSDS!Q$29*$AM144^6+WeightSDS!R$29*$AM144^5+WeightSDS!S$29*$AM144^4+WeightSDS!T$29*$AM144^3+WeightSDS!U$29*$AM144^2+WeightSDS!V$29*$AM144+WeightSDS!W$29-0.010431*(1-$AM144/210),IF($AM144&lt;123,WeightSDS!M$30*$AM144^10+WeightSDS!N$30*$AM144^9+WeightSDS!O$30*$AM144^8+WeightSDS!P$30*$AM144^7+WeightSDS!Q$30*$AM144^6+WeightSDS!R$30*$AM144^5+WeightSDS!S$30*$AM144^4+WeightSDS!T$30*$AM144^3+WeightSDS!U$30*$AM144^2+WeightSDS!V$30*$AM144+WeightSDS!W$30-0.010431*(1-1/$AM144),WeightSDS!M$32+WeightSDS!N$32/(1+EXP(WeightSDS!O$32+WeightSDS!P$32*$AM144))-0.010431*(1-$AM144/210))))</f>
        <v>2.9500001032655536</v>
      </c>
      <c r="AQ144" s="4">
        <f>IF(D144="M",IF($AM144&lt;162,WeightSDS!P$12*$AM144^7+WeightSDS!Q$12*$AM144^6+WeightSDS!R$12*$AM144^5+WeightSDS!S$12*$AM144^4+WeightSDS!T$12*$AM144^3+WeightSDS!U$12*$AM144^2+WeightSDS!V$12*$AM144+WeightSDS!W$12,WeightSDS!P$14*$AM144^7+WeightSDS!Q$14*$AM144^6+WeightSDS!R$14*$AM144^5+WeightSDS!S$14*$AM144^4+WeightSDS!T$14*$AM144^3+WeightSDS!U$14*$AM144^2+WeightSDS!V$14*$AM144+WeightSDS!W$14),IF($AM144&lt;156,WeightSDS!O$17*$AM144^8+WeightSDS!P$17*$AM144^7+WeightSDS!Q$17*$AM144^6+WeightSDS!R$17*$AM144^5+WeightSDS!S$17*$AM144^4+WeightSDS!T$17*$AM144^3+WeightSDS!U$17*$AM144^2+WeightSDS!V$17*$AM144+WeightSDS!W$17,IF($AM144&lt;186,WeightSDS!$U$18+(WeightSDS!$V$18-WeightSDS!$U$18)/24*($AM144-186)+WeightSDS!$W$18*(-$AM144+186)^2-0.005,WeightSDS!$U$18+(WeightSDS!$V$18-WeightSDS!$U$18)/24*($AM144-186)-0.005)))</f>
        <v>0.14604529399999999</v>
      </c>
      <c r="AT144" s="4">
        <f t="shared" si="49"/>
        <v>0.56299999999999994</v>
      </c>
      <c r="AU144" s="4">
        <f t="shared" si="50"/>
        <v>69</v>
      </c>
      <c r="AV144" s="4">
        <f t="shared" si="51"/>
        <v>0.51</v>
      </c>
    </row>
    <row r="145" spans="1:48" x14ac:dyDescent="0.15">
      <c r="A145" s="4"/>
      <c r="B145" s="21"/>
      <c r="C145" s="21"/>
      <c r="D145" s="21"/>
      <c r="E145" s="22"/>
      <c r="F145" s="22"/>
      <c r="G145" s="23"/>
      <c r="H145" s="23"/>
      <c r="I145" s="181"/>
      <c r="J145" s="8" t="str">
        <f t="shared" si="43"/>
        <v/>
      </c>
      <c r="K145" s="2" t="str">
        <f t="shared" si="52"/>
        <v/>
      </c>
      <c r="L145" s="2" t="str">
        <f t="shared" si="44"/>
        <v/>
      </c>
      <c r="M145" s="2" t="str">
        <f t="shared" si="53"/>
        <v/>
      </c>
      <c r="N145" s="2" t="str">
        <f t="shared" si="61"/>
        <v/>
      </c>
      <c r="O145" s="2" t="str">
        <f t="shared" si="54"/>
        <v/>
      </c>
      <c r="P145" s="8" t="str">
        <f t="shared" si="55"/>
        <v/>
      </c>
      <c r="Q145" s="8" t="str">
        <f t="shared" si="56"/>
        <v/>
      </c>
      <c r="R145" s="111" t="str">
        <f t="shared" si="57"/>
        <v/>
      </c>
      <c r="S145" s="44" t="str">
        <f t="shared" si="58"/>
        <v/>
      </c>
      <c r="T145" s="37" t="str">
        <f t="shared" si="59"/>
        <v/>
      </c>
      <c r="U145" s="44" t="str">
        <f t="shared" si="60"/>
        <v/>
      </c>
      <c r="V145" s="26"/>
      <c r="W145" s="26"/>
      <c r="X145" s="26"/>
      <c r="Y145" s="26"/>
      <c r="Z145" s="24"/>
      <c r="AA145" s="169">
        <f t="shared" si="45"/>
        <v>0</v>
      </c>
      <c r="AB145" s="4">
        <f t="shared" si="46"/>
        <v>0</v>
      </c>
      <c r="AC145" s="170">
        <f t="shared" si="42"/>
        <v>0</v>
      </c>
      <c r="AD145" s="58"/>
      <c r="AE145" s="58"/>
      <c r="AF145" s="58"/>
      <c r="AG145" s="59">
        <f t="shared" si="47"/>
        <v>9.0359999999999996</v>
      </c>
      <c r="AH145" s="59">
        <f t="shared" si="48"/>
        <v>-184.49199999999999</v>
      </c>
      <c r="AJ145" s="4">
        <f>IF(D145="M",IF(AM145&lt;78,BMILMS!$D$5*AM145^3+BMILMS!$E$5*AM145^2+BMILMS!$F$5*AM145+BMILMS!$G$5,IF(AM145&lt;150,BMILMS!$D$6*AM145^3+BMILMS!$E$6*AM145^2+BMILMS!$F$6*AM145+BMILMS!$G$6,BMILMS!$D$7*AM145^3+BMILMS!$E$7*AM145^2+BMILMS!$F$7*AM145+BMILMS!$G$7)),IF(AM145&lt;69,BMILMS!$D$9*AM145^3+BMILMS!$E$9*AM145^2+BMILMS!$F$9*AM145+BMILMS!$G$9,IF(AM145&lt;150,BMILMS!$D$10*AM145^3+BMILMS!$E$10*AM145^2+BMILMS!$F$10*AM145+BMILMS!$G$10,BMILMS!$D$11*AM145^3+BMILMS!$E$11*AM145^2+BMILMS!$F$11*AM145+BMILMS!$G$11)))</f>
        <v>0.79584630099999998</v>
      </c>
      <c r="AK145" s="4">
        <f>IF(D145="M",(IF(AM145&lt;2.5,BMILMS!$D$21*AM145^3+BMILMS!$E$21*AM145^2+BMILMS!$F$21*AM145+BMILMS!$G$21,IF(AM145&lt;9.5,BMILMS!$D$22*AM145^3+BMILMS!$E$22*AM145^2+BMILMS!$F$22*AM145+BMILMS!$G$22,IF(AM145&lt;26.75,BMILMS!$D$23*AM145^3+BMILMS!$E$23*AM145^2+BMILMS!$F$23*AM145+BMILMS!$G$23,IF(AM145&lt;90,BMILMS!$D$24*AM145^3+BMILMS!$E$24*AM145^2+BMILMS!$F$24*AM145+BMILMS!$G$24,BMILMS!$D$25*AM145^3+BMILMS!$E$25*AM145^2+BMILMS!$F$25*AM145+BMILMS!$G$25))))),(IF(AM145&lt;2.5,BMILMS!$D$27*AM145^3+BMILMS!$E$27*AM145^2+BMILMS!$F$27*AM145+BMILMS!$G$27,IF(AM145&lt;9.5,BMILMS!$D$28*AM145^3+BMILMS!$E$28*AM145^2+BMILMS!$F$28*AM145+BMILMS!$G$28,IF(AM145&lt;26.75,BMILMS!$D$29*AM145^3+BMILMS!$E$29*AM145^2+BMILMS!$F$29*AM145+BMILMS!$G$29,IF(AM145&lt;90,BMILMS!$D$30*AM145^3+BMILMS!$E$30*AM145^2+BMILMS!$F$30*AM145+BMILMS!$G$30,IF(AM145&lt;150,BMILMS!$D$31*AM145^3+BMILMS!$E$31*AM145^2+BMILMS!$F$31*AM145+BMILMS!$G$31,BMILMS!$D$32*AM145^3+BMILMS!$E$32*AM145^2+BMILMS!$F$32*AM145+BMILMS!$G$32)))))))</f>
        <v>12.568967990000001</v>
      </c>
      <c r="AL145" s="4">
        <f>IF(D145="M",(IF(AM145&lt;90,BMILMS!$D$14*AM145^3+BMILMS!$E$14*AM145^2+BMILMS!$F$14*AM145+BMILMS!$G$14,BMILMS!$D$15*AM145^3+BMILMS!$E$15*AM145^2+BMILMS!$F$15*AM145+BMILMS!$G$15)),(IF(AM145&lt;90,BMILMS!$D$17*AM145^3+BMILMS!$E$17*AM145^2+BMILMS!$F$17*AM145+BMILMS!$G$17,BMILMS!$D$18*AM145^3+BMILMS!$E$18*AM145^2+BMILMS!$F$18*AM145+BMILMS!$G$18)))</f>
        <v>8.8969350000000003E-2</v>
      </c>
      <c r="AM145" s="4">
        <f t="shared" si="62"/>
        <v>0</v>
      </c>
      <c r="AO145" s="56">
        <f>IF(D145="M",WeightSDS!P$5*$AM145^7+WeightSDS!Q$5*$AM145^6+WeightSDS!R$5*$AM145^5+WeightSDS!S$5*$AM145^4+WeightSDS!T$5*$AM145^3+WeightSDS!U$5*$AM145^2+WeightSDS!V$5*$AM145+WeightSDS!W$5,IF($AM145&lt;186,WeightSDS!P$8*$AM145^7+WeightSDS!Q$8*$AM145^6+WeightSDS!R$8*$AM145^5+WeightSDS!S$8*$AM145^4+WeightSDS!T$8*$AM145^3+WeightSDS!U$8*$AM145^2+WeightSDS!V$8*$AM145+WeightSDS!W$8,WeightSDS!$U$9+WeightSDS!$V$9*($AM145-WeightSDS!$W$9)))</f>
        <v>0.75407122999999998</v>
      </c>
      <c r="AP145" s="4">
        <f>IF(D145="M",IF($AM145&lt;45,WeightSDS!M$23*$AM145^10+WeightSDS!N$23*$AM145^9+WeightSDS!O$23*$AM145^8+WeightSDS!P$23*$AM145^7+WeightSDS!Q$23*$AM145^6+WeightSDS!R$23*$AM145^5+WeightSDS!S$23*$AM145^4+WeightSDS!T$23*$AM145^3+WeightSDS!U$23*$AM145^2+WeightSDS!V$23*$AM145+WeightSDS!W$23,IF($AM145&lt;153,WeightSDS!M$25*$AM145^10+WeightSDS!N$25*$AM145^9+WeightSDS!O$25*$AM145^8+WeightSDS!P$25*$AM145^7+WeightSDS!Q$25*$AM145^6+WeightSDS!R$25*$AM145^5+WeightSDS!S$25*$AM145^4+WeightSDS!T$25*$AM145^3+WeightSDS!U$25*$AM145^2+WeightSDS!V$25*$AM145+WeightSDS!W$25,WeightSDS!M$27+WeightSDS!N$27/(1+EXP(WeightSDS!O$27+WeightSDS!P$27*$AM145)))),IF($AM145&lt;43.8,WeightSDS!M$29*$AM145^10+WeightSDS!N$29*$AM145^9+WeightSDS!O$29*$AM145^8+WeightSDS!P$29*$AM145^7+WeightSDS!Q$29*$AM145^6+WeightSDS!R$29*$AM145^5+WeightSDS!S$29*$AM145^4+WeightSDS!T$29*$AM145^3+WeightSDS!U$29*$AM145^2+WeightSDS!V$29*$AM145+WeightSDS!W$29-0.010431*(1-$AM145/210),IF($AM145&lt;123,WeightSDS!M$30*$AM145^10+WeightSDS!N$30*$AM145^9+WeightSDS!O$30*$AM145^8+WeightSDS!P$30*$AM145^7+WeightSDS!Q$30*$AM145^6+WeightSDS!R$30*$AM145^5+WeightSDS!S$30*$AM145^4+WeightSDS!T$30*$AM145^3+WeightSDS!U$30*$AM145^2+WeightSDS!V$30*$AM145+WeightSDS!W$30-0.010431*(1-1/$AM145),WeightSDS!M$32+WeightSDS!N$32/(1+EXP(WeightSDS!O$32+WeightSDS!P$32*$AM145))-0.010431*(1-$AM145/210))))</f>
        <v>2.9500001032655536</v>
      </c>
      <c r="AQ145" s="4">
        <f>IF(D145="M",IF($AM145&lt;162,WeightSDS!P$12*$AM145^7+WeightSDS!Q$12*$AM145^6+WeightSDS!R$12*$AM145^5+WeightSDS!S$12*$AM145^4+WeightSDS!T$12*$AM145^3+WeightSDS!U$12*$AM145^2+WeightSDS!V$12*$AM145+WeightSDS!W$12,WeightSDS!P$14*$AM145^7+WeightSDS!Q$14*$AM145^6+WeightSDS!R$14*$AM145^5+WeightSDS!S$14*$AM145^4+WeightSDS!T$14*$AM145^3+WeightSDS!U$14*$AM145^2+WeightSDS!V$14*$AM145+WeightSDS!W$14),IF($AM145&lt;156,WeightSDS!O$17*$AM145^8+WeightSDS!P$17*$AM145^7+WeightSDS!Q$17*$AM145^6+WeightSDS!R$17*$AM145^5+WeightSDS!S$17*$AM145^4+WeightSDS!T$17*$AM145^3+WeightSDS!U$17*$AM145^2+WeightSDS!V$17*$AM145+WeightSDS!W$17,IF($AM145&lt;186,WeightSDS!$U$18+(WeightSDS!$V$18-WeightSDS!$U$18)/24*($AM145-186)+WeightSDS!$W$18*(-$AM145+186)^2-0.005,WeightSDS!$U$18+(WeightSDS!$V$18-WeightSDS!$U$18)/24*($AM145-186)-0.005)))</f>
        <v>0.14604529399999999</v>
      </c>
      <c r="AT145" s="4">
        <f t="shared" si="49"/>
        <v>0.56299999999999994</v>
      </c>
      <c r="AU145" s="4">
        <f t="shared" si="50"/>
        <v>69</v>
      </c>
      <c r="AV145" s="4">
        <f t="shared" si="51"/>
        <v>0.51</v>
      </c>
    </row>
    <row r="146" spans="1:48" x14ac:dyDescent="0.15">
      <c r="A146" s="4"/>
      <c r="B146" s="21"/>
      <c r="C146" s="21"/>
      <c r="D146" s="21"/>
      <c r="E146" s="22"/>
      <c r="F146" s="22"/>
      <c r="G146" s="23"/>
      <c r="H146" s="23"/>
      <c r="I146" s="181"/>
      <c r="J146" s="8" t="str">
        <f t="shared" si="43"/>
        <v/>
      </c>
      <c r="K146" s="2" t="str">
        <f t="shared" si="52"/>
        <v/>
      </c>
      <c r="L146" s="2" t="str">
        <f t="shared" si="44"/>
        <v/>
      </c>
      <c r="M146" s="2" t="str">
        <f t="shared" si="53"/>
        <v/>
      </c>
      <c r="N146" s="2" t="str">
        <f t="shared" si="61"/>
        <v/>
      </c>
      <c r="O146" s="2" t="str">
        <f t="shared" si="54"/>
        <v/>
      </c>
      <c r="P146" s="8" t="str">
        <f t="shared" si="55"/>
        <v/>
      </c>
      <c r="Q146" s="8" t="str">
        <f t="shared" si="56"/>
        <v/>
      </c>
      <c r="R146" s="111" t="str">
        <f t="shared" si="57"/>
        <v/>
      </c>
      <c r="S146" s="44" t="str">
        <f t="shared" si="58"/>
        <v/>
      </c>
      <c r="T146" s="37" t="str">
        <f t="shared" si="59"/>
        <v/>
      </c>
      <c r="U146" s="44" t="str">
        <f t="shared" si="60"/>
        <v/>
      </c>
      <c r="V146" s="26"/>
      <c r="W146" s="26"/>
      <c r="X146" s="26"/>
      <c r="Y146" s="26"/>
      <c r="Z146" s="24"/>
      <c r="AA146" s="169">
        <f t="shared" si="45"/>
        <v>0</v>
      </c>
      <c r="AB146" s="4">
        <f t="shared" si="46"/>
        <v>0</v>
      </c>
      <c r="AC146" s="170">
        <f t="shared" si="42"/>
        <v>0</v>
      </c>
      <c r="AD146" s="58"/>
      <c r="AE146" s="58"/>
      <c r="AF146" s="58"/>
      <c r="AG146" s="59">
        <f t="shared" si="47"/>
        <v>9.0359999999999996</v>
      </c>
      <c r="AH146" s="59">
        <f t="shared" si="48"/>
        <v>-184.49199999999999</v>
      </c>
      <c r="AJ146" s="4">
        <f>IF(D146="M",IF(AM146&lt;78,BMILMS!$D$5*AM146^3+BMILMS!$E$5*AM146^2+BMILMS!$F$5*AM146+BMILMS!$G$5,IF(AM146&lt;150,BMILMS!$D$6*AM146^3+BMILMS!$E$6*AM146^2+BMILMS!$F$6*AM146+BMILMS!$G$6,BMILMS!$D$7*AM146^3+BMILMS!$E$7*AM146^2+BMILMS!$F$7*AM146+BMILMS!$G$7)),IF(AM146&lt;69,BMILMS!$D$9*AM146^3+BMILMS!$E$9*AM146^2+BMILMS!$F$9*AM146+BMILMS!$G$9,IF(AM146&lt;150,BMILMS!$D$10*AM146^3+BMILMS!$E$10*AM146^2+BMILMS!$F$10*AM146+BMILMS!$G$10,BMILMS!$D$11*AM146^3+BMILMS!$E$11*AM146^2+BMILMS!$F$11*AM146+BMILMS!$G$11)))</f>
        <v>0.79584630099999998</v>
      </c>
      <c r="AK146" s="4">
        <f>IF(D146="M",(IF(AM146&lt;2.5,BMILMS!$D$21*AM146^3+BMILMS!$E$21*AM146^2+BMILMS!$F$21*AM146+BMILMS!$G$21,IF(AM146&lt;9.5,BMILMS!$D$22*AM146^3+BMILMS!$E$22*AM146^2+BMILMS!$F$22*AM146+BMILMS!$G$22,IF(AM146&lt;26.75,BMILMS!$D$23*AM146^3+BMILMS!$E$23*AM146^2+BMILMS!$F$23*AM146+BMILMS!$G$23,IF(AM146&lt;90,BMILMS!$D$24*AM146^3+BMILMS!$E$24*AM146^2+BMILMS!$F$24*AM146+BMILMS!$G$24,BMILMS!$D$25*AM146^3+BMILMS!$E$25*AM146^2+BMILMS!$F$25*AM146+BMILMS!$G$25))))),(IF(AM146&lt;2.5,BMILMS!$D$27*AM146^3+BMILMS!$E$27*AM146^2+BMILMS!$F$27*AM146+BMILMS!$G$27,IF(AM146&lt;9.5,BMILMS!$D$28*AM146^3+BMILMS!$E$28*AM146^2+BMILMS!$F$28*AM146+BMILMS!$G$28,IF(AM146&lt;26.75,BMILMS!$D$29*AM146^3+BMILMS!$E$29*AM146^2+BMILMS!$F$29*AM146+BMILMS!$G$29,IF(AM146&lt;90,BMILMS!$D$30*AM146^3+BMILMS!$E$30*AM146^2+BMILMS!$F$30*AM146+BMILMS!$G$30,IF(AM146&lt;150,BMILMS!$D$31*AM146^3+BMILMS!$E$31*AM146^2+BMILMS!$F$31*AM146+BMILMS!$G$31,BMILMS!$D$32*AM146^3+BMILMS!$E$32*AM146^2+BMILMS!$F$32*AM146+BMILMS!$G$32)))))))</f>
        <v>12.568967990000001</v>
      </c>
      <c r="AL146" s="4">
        <f>IF(D146="M",(IF(AM146&lt;90,BMILMS!$D$14*AM146^3+BMILMS!$E$14*AM146^2+BMILMS!$F$14*AM146+BMILMS!$G$14,BMILMS!$D$15*AM146^3+BMILMS!$E$15*AM146^2+BMILMS!$F$15*AM146+BMILMS!$G$15)),(IF(AM146&lt;90,BMILMS!$D$17*AM146^3+BMILMS!$E$17*AM146^2+BMILMS!$F$17*AM146+BMILMS!$G$17,BMILMS!$D$18*AM146^3+BMILMS!$E$18*AM146^2+BMILMS!$F$18*AM146+BMILMS!$G$18)))</f>
        <v>8.8969350000000003E-2</v>
      </c>
      <c r="AM146" s="4">
        <f t="shared" si="62"/>
        <v>0</v>
      </c>
      <c r="AO146" s="56">
        <f>IF(D146="M",WeightSDS!P$5*$AM146^7+WeightSDS!Q$5*$AM146^6+WeightSDS!R$5*$AM146^5+WeightSDS!S$5*$AM146^4+WeightSDS!T$5*$AM146^3+WeightSDS!U$5*$AM146^2+WeightSDS!V$5*$AM146+WeightSDS!W$5,IF($AM146&lt;186,WeightSDS!P$8*$AM146^7+WeightSDS!Q$8*$AM146^6+WeightSDS!R$8*$AM146^5+WeightSDS!S$8*$AM146^4+WeightSDS!T$8*$AM146^3+WeightSDS!U$8*$AM146^2+WeightSDS!V$8*$AM146+WeightSDS!W$8,WeightSDS!$U$9+WeightSDS!$V$9*($AM146-WeightSDS!$W$9)))</f>
        <v>0.75407122999999998</v>
      </c>
      <c r="AP146" s="4">
        <f>IF(D146="M",IF($AM146&lt;45,WeightSDS!M$23*$AM146^10+WeightSDS!N$23*$AM146^9+WeightSDS!O$23*$AM146^8+WeightSDS!P$23*$AM146^7+WeightSDS!Q$23*$AM146^6+WeightSDS!R$23*$AM146^5+WeightSDS!S$23*$AM146^4+WeightSDS!T$23*$AM146^3+WeightSDS!U$23*$AM146^2+WeightSDS!V$23*$AM146+WeightSDS!W$23,IF($AM146&lt;153,WeightSDS!M$25*$AM146^10+WeightSDS!N$25*$AM146^9+WeightSDS!O$25*$AM146^8+WeightSDS!P$25*$AM146^7+WeightSDS!Q$25*$AM146^6+WeightSDS!R$25*$AM146^5+WeightSDS!S$25*$AM146^4+WeightSDS!T$25*$AM146^3+WeightSDS!U$25*$AM146^2+WeightSDS!V$25*$AM146+WeightSDS!W$25,WeightSDS!M$27+WeightSDS!N$27/(1+EXP(WeightSDS!O$27+WeightSDS!P$27*$AM146)))),IF($AM146&lt;43.8,WeightSDS!M$29*$AM146^10+WeightSDS!N$29*$AM146^9+WeightSDS!O$29*$AM146^8+WeightSDS!P$29*$AM146^7+WeightSDS!Q$29*$AM146^6+WeightSDS!R$29*$AM146^5+WeightSDS!S$29*$AM146^4+WeightSDS!T$29*$AM146^3+WeightSDS!U$29*$AM146^2+WeightSDS!V$29*$AM146+WeightSDS!W$29-0.010431*(1-$AM146/210),IF($AM146&lt;123,WeightSDS!M$30*$AM146^10+WeightSDS!N$30*$AM146^9+WeightSDS!O$30*$AM146^8+WeightSDS!P$30*$AM146^7+WeightSDS!Q$30*$AM146^6+WeightSDS!R$30*$AM146^5+WeightSDS!S$30*$AM146^4+WeightSDS!T$30*$AM146^3+WeightSDS!U$30*$AM146^2+WeightSDS!V$30*$AM146+WeightSDS!W$30-0.010431*(1-1/$AM146),WeightSDS!M$32+WeightSDS!N$32/(1+EXP(WeightSDS!O$32+WeightSDS!P$32*$AM146))-0.010431*(1-$AM146/210))))</f>
        <v>2.9500001032655536</v>
      </c>
      <c r="AQ146" s="4">
        <f>IF(D146="M",IF($AM146&lt;162,WeightSDS!P$12*$AM146^7+WeightSDS!Q$12*$AM146^6+WeightSDS!R$12*$AM146^5+WeightSDS!S$12*$AM146^4+WeightSDS!T$12*$AM146^3+WeightSDS!U$12*$AM146^2+WeightSDS!V$12*$AM146+WeightSDS!W$12,WeightSDS!P$14*$AM146^7+WeightSDS!Q$14*$AM146^6+WeightSDS!R$14*$AM146^5+WeightSDS!S$14*$AM146^4+WeightSDS!T$14*$AM146^3+WeightSDS!U$14*$AM146^2+WeightSDS!V$14*$AM146+WeightSDS!W$14),IF($AM146&lt;156,WeightSDS!O$17*$AM146^8+WeightSDS!P$17*$AM146^7+WeightSDS!Q$17*$AM146^6+WeightSDS!R$17*$AM146^5+WeightSDS!S$17*$AM146^4+WeightSDS!T$17*$AM146^3+WeightSDS!U$17*$AM146^2+WeightSDS!V$17*$AM146+WeightSDS!W$17,IF($AM146&lt;186,WeightSDS!$U$18+(WeightSDS!$V$18-WeightSDS!$U$18)/24*($AM146-186)+WeightSDS!$W$18*(-$AM146+186)^2-0.005,WeightSDS!$U$18+(WeightSDS!$V$18-WeightSDS!$U$18)/24*($AM146-186)-0.005)))</f>
        <v>0.14604529399999999</v>
      </c>
      <c r="AT146" s="4">
        <f t="shared" si="49"/>
        <v>0.56299999999999994</v>
      </c>
      <c r="AU146" s="4">
        <f t="shared" si="50"/>
        <v>69</v>
      </c>
      <c r="AV146" s="4">
        <f t="shared" si="51"/>
        <v>0.51</v>
      </c>
    </row>
    <row r="147" spans="1:48" x14ac:dyDescent="0.15">
      <c r="A147" s="4"/>
      <c r="B147" s="21"/>
      <c r="C147" s="21"/>
      <c r="D147" s="21"/>
      <c r="E147" s="22"/>
      <c r="F147" s="22"/>
      <c r="G147" s="23"/>
      <c r="H147" s="23"/>
      <c r="I147" s="181"/>
      <c r="J147" s="8" t="str">
        <f t="shared" si="43"/>
        <v/>
      </c>
      <c r="K147" s="2" t="str">
        <f t="shared" si="52"/>
        <v/>
      </c>
      <c r="L147" s="2" t="str">
        <f t="shared" si="44"/>
        <v/>
      </c>
      <c r="M147" s="2" t="str">
        <f t="shared" si="53"/>
        <v/>
      </c>
      <c r="N147" s="2" t="str">
        <f t="shared" si="61"/>
        <v/>
      </c>
      <c r="O147" s="2" t="str">
        <f t="shared" si="54"/>
        <v/>
      </c>
      <c r="P147" s="8" t="str">
        <f t="shared" si="55"/>
        <v/>
      </c>
      <c r="Q147" s="8" t="str">
        <f t="shared" si="56"/>
        <v/>
      </c>
      <c r="R147" s="111" t="str">
        <f t="shared" si="57"/>
        <v/>
      </c>
      <c r="S147" s="44" t="str">
        <f t="shared" si="58"/>
        <v/>
      </c>
      <c r="T147" s="37" t="str">
        <f t="shared" si="59"/>
        <v/>
      </c>
      <c r="U147" s="44" t="str">
        <f t="shared" si="60"/>
        <v/>
      </c>
      <c r="V147" s="26"/>
      <c r="W147" s="26"/>
      <c r="X147" s="26"/>
      <c r="Y147" s="26"/>
      <c r="Z147" s="24"/>
      <c r="AA147" s="169">
        <f t="shared" si="45"/>
        <v>0</v>
      </c>
      <c r="AB147" s="4">
        <f t="shared" si="46"/>
        <v>0</v>
      </c>
      <c r="AC147" s="170">
        <f t="shared" si="42"/>
        <v>0</v>
      </c>
      <c r="AD147" s="58"/>
      <c r="AE147" s="58"/>
      <c r="AF147" s="58"/>
      <c r="AG147" s="59">
        <f t="shared" si="47"/>
        <v>9.0359999999999996</v>
      </c>
      <c r="AH147" s="59">
        <f t="shared" si="48"/>
        <v>-184.49199999999999</v>
      </c>
      <c r="AJ147" s="4">
        <f>IF(D147="M",IF(AM147&lt;78,BMILMS!$D$5*AM147^3+BMILMS!$E$5*AM147^2+BMILMS!$F$5*AM147+BMILMS!$G$5,IF(AM147&lt;150,BMILMS!$D$6*AM147^3+BMILMS!$E$6*AM147^2+BMILMS!$F$6*AM147+BMILMS!$G$6,BMILMS!$D$7*AM147^3+BMILMS!$E$7*AM147^2+BMILMS!$F$7*AM147+BMILMS!$G$7)),IF(AM147&lt;69,BMILMS!$D$9*AM147^3+BMILMS!$E$9*AM147^2+BMILMS!$F$9*AM147+BMILMS!$G$9,IF(AM147&lt;150,BMILMS!$D$10*AM147^3+BMILMS!$E$10*AM147^2+BMILMS!$F$10*AM147+BMILMS!$G$10,BMILMS!$D$11*AM147^3+BMILMS!$E$11*AM147^2+BMILMS!$F$11*AM147+BMILMS!$G$11)))</f>
        <v>0.79584630099999998</v>
      </c>
      <c r="AK147" s="4">
        <f>IF(D147="M",(IF(AM147&lt;2.5,BMILMS!$D$21*AM147^3+BMILMS!$E$21*AM147^2+BMILMS!$F$21*AM147+BMILMS!$G$21,IF(AM147&lt;9.5,BMILMS!$D$22*AM147^3+BMILMS!$E$22*AM147^2+BMILMS!$F$22*AM147+BMILMS!$G$22,IF(AM147&lt;26.75,BMILMS!$D$23*AM147^3+BMILMS!$E$23*AM147^2+BMILMS!$F$23*AM147+BMILMS!$G$23,IF(AM147&lt;90,BMILMS!$D$24*AM147^3+BMILMS!$E$24*AM147^2+BMILMS!$F$24*AM147+BMILMS!$G$24,BMILMS!$D$25*AM147^3+BMILMS!$E$25*AM147^2+BMILMS!$F$25*AM147+BMILMS!$G$25))))),(IF(AM147&lt;2.5,BMILMS!$D$27*AM147^3+BMILMS!$E$27*AM147^2+BMILMS!$F$27*AM147+BMILMS!$G$27,IF(AM147&lt;9.5,BMILMS!$D$28*AM147^3+BMILMS!$E$28*AM147^2+BMILMS!$F$28*AM147+BMILMS!$G$28,IF(AM147&lt;26.75,BMILMS!$D$29*AM147^3+BMILMS!$E$29*AM147^2+BMILMS!$F$29*AM147+BMILMS!$G$29,IF(AM147&lt;90,BMILMS!$D$30*AM147^3+BMILMS!$E$30*AM147^2+BMILMS!$F$30*AM147+BMILMS!$G$30,IF(AM147&lt;150,BMILMS!$D$31*AM147^3+BMILMS!$E$31*AM147^2+BMILMS!$F$31*AM147+BMILMS!$G$31,BMILMS!$D$32*AM147^3+BMILMS!$E$32*AM147^2+BMILMS!$F$32*AM147+BMILMS!$G$32)))))))</f>
        <v>12.568967990000001</v>
      </c>
      <c r="AL147" s="4">
        <f>IF(D147="M",(IF(AM147&lt;90,BMILMS!$D$14*AM147^3+BMILMS!$E$14*AM147^2+BMILMS!$F$14*AM147+BMILMS!$G$14,BMILMS!$D$15*AM147^3+BMILMS!$E$15*AM147^2+BMILMS!$F$15*AM147+BMILMS!$G$15)),(IF(AM147&lt;90,BMILMS!$D$17*AM147^3+BMILMS!$E$17*AM147^2+BMILMS!$F$17*AM147+BMILMS!$G$17,BMILMS!$D$18*AM147^3+BMILMS!$E$18*AM147^2+BMILMS!$F$18*AM147+BMILMS!$G$18)))</f>
        <v>8.8969350000000003E-2</v>
      </c>
      <c r="AM147" s="4">
        <f t="shared" si="62"/>
        <v>0</v>
      </c>
      <c r="AO147" s="56">
        <f>IF(D147="M",WeightSDS!P$5*$AM147^7+WeightSDS!Q$5*$AM147^6+WeightSDS!R$5*$AM147^5+WeightSDS!S$5*$AM147^4+WeightSDS!T$5*$AM147^3+WeightSDS!U$5*$AM147^2+WeightSDS!V$5*$AM147+WeightSDS!W$5,IF($AM147&lt;186,WeightSDS!P$8*$AM147^7+WeightSDS!Q$8*$AM147^6+WeightSDS!R$8*$AM147^5+WeightSDS!S$8*$AM147^4+WeightSDS!T$8*$AM147^3+WeightSDS!U$8*$AM147^2+WeightSDS!V$8*$AM147+WeightSDS!W$8,WeightSDS!$U$9+WeightSDS!$V$9*($AM147-WeightSDS!$W$9)))</f>
        <v>0.75407122999999998</v>
      </c>
      <c r="AP147" s="4">
        <f>IF(D147="M",IF($AM147&lt;45,WeightSDS!M$23*$AM147^10+WeightSDS!N$23*$AM147^9+WeightSDS!O$23*$AM147^8+WeightSDS!P$23*$AM147^7+WeightSDS!Q$23*$AM147^6+WeightSDS!R$23*$AM147^5+WeightSDS!S$23*$AM147^4+WeightSDS!T$23*$AM147^3+WeightSDS!U$23*$AM147^2+WeightSDS!V$23*$AM147+WeightSDS!W$23,IF($AM147&lt;153,WeightSDS!M$25*$AM147^10+WeightSDS!N$25*$AM147^9+WeightSDS!O$25*$AM147^8+WeightSDS!P$25*$AM147^7+WeightSDS!Q$25*$AM147^6+WeightSDS!R$25*$AM147^5+WeightSDS!S$25*$AM147^4+WeightSDS!T$25*$AM147^3+WeightSDS!U$25*$AM147^2+WeightSDS!V$25*$AM147+WeightSDS!W$25,WeightSDS!M$27+WeightSDS!N$27/(1+EXP(WeightSDS!O$27+WeightSDS!P$27*$AM147)))),IF($AM147&lt;43.8,WeightSDS!M$29*$AM147^10+WeightSDS!N$29*$AM147^9+WeightSDS!O$29*$AM147^8+WeightSDS!P$29*$AM147^7+WeightSDS!Q$29*$AM147^6+WeightSDS!R$29*$AM147^5+WeightSDS!S$29*$AM147^4+WeightSDS!T$29*$AM147^3+WeightSDS!U$29*$AM147^2+WeightSDS!V$29*$AM147+WeightSDS!W$29-0.010431*(1-$AM147/210),IF($AM147&lt;123,WeightSDS!M$30*$AM147^10+WeightSDS!N$30*$AM147^9+WeightSDS!O$30*$AM147^8+WeightSDS!P$30*$AM147^7+WeightSDS!Q$30*$AM147^6+WeightSDS!R$30*$AM147^5+WeightSDS!S$30*$AM147^4+WeightSDS!T$30*$AM147^3+WeightSDS!U$30*$AM147^2+WeightSDS!V$30*$AM147+WeightSDS!W$30-0.010431*(1-1/$AM147),WeightSDS!M$32+WeightSDS!N$32/(1+EXP(WeightSDS!O$32+WeightSDS!P$32*$AM147))-0.010431*(1-$AM147/210))))</f>
        <v>2.9500001032655536</v>
      </c>
      <c r="AQ147" s="4">
        <f>IF(D147="M",IF($AM147&lt;162,WeightSDS!P$12*$AM147^7+WeightSDS!Q$12*$AM147^6+WeightSDS!R$12*$AM147^5+WeightSDS!S$12*$AM147^4+WeightSDS!T$12*$AM147^3+WeightSDS!U$12*$AM147^2+WeightSDS!V$12*$AM147+WeightSDS!W$12,WeightSDS!P$14*$AM147^7+WeightSDS!Q$14*$AM147^6+WeightSDS!R$14*$AM147^5+WeightSDS!S$14*$AM147^4+WeightSDS!T$14*$AM147^3+WeightSDS!U$14*$AM147^2+WeightSDS!V$14*$AM147+WeightSDS!W$14),IF($AM147&lt;156,WeightSDS!O$17*$AM147^8+WeightSDS!P$17*$AM147^7+WeightSDS!Q$17*$AM147^6+WeightSDS!R$17*$AM147^5+WeightSDS!S$17*$AM147^4+WeightSDS!T$17*$AM147^3+WeightSDS!U$17*$AM147^2+WeightSDS!V$17*$AM147+WeightSDS!W$17,IF($AM147&lt;186,WeightSDS!$U$18+(WeightSDS!$V$18-WeightSDS!$U$18)/24*($AM147-186)+WeightSDS!$W$18*(-$AM147+186)^2-0.005,WeightSDS!$U$18+(WeightSDS!$V$18-WeightSDS!$U$18)/24*($AM147-186)-0.005)))</f>
        <v>0.14604529399999999</v>
      </c>
      <c r="AT147" s="4">
        <f t="shared" si="49"/>
        <v>0.56299999999999994</v>
      </c>
      <c r="AU147" s="4">
        <f t="shared" si="50"/>
        <v>69</v>
      </c>
      <c r="AV147" s="4">
        <f t="shared" si="51"/>
        <v>0.51</v>
      </c>
    </row>
    <row r="148" spans="1:48" x14ac:dyDescent="0.15">
      <c r="A148" s="4"/>
      <c r="B148" s="21"/>
      <c r="C148" s="21"/>
      <c r="D148" s="21"/>
      <c r="E148" s="22"/>
      <c r="F148" s="22"/>
      <c r="G148" s="23"/>
      <c r="H148" s="23"/>
      <c r="I148" s="181"/>
      <c r="J148" s="8" t="str">
        <f t="shared" si="43"/>
        <v/>
      </c>
      <c r="K148" s="2" t="str">
        <f t="shared" si="52"/>
        <v/>
      </c>
      <c r="L148" s="2" t="str">
        <f t="shared" si="44"/>
        <v/>
      </c>
      <c r="M148" s="2" t="str">
        <f t="shared" si="53"/>
        <v/>
      </c>
      <c r="N148" s="2" t="str">
        <f t="shared" si="61"/>
        <v/>
      </c>
      <c r="O148" s="2" t="str">
        <f t="shared" si="54"/>
        <v/>
      </c>
      <c r="P148" s="8" t="str">
        <f t="shared" si="55"/>
        <v/>
      </c>
      <c r="Q148" s="8" t="str">
        <f t="shared" si="56"/>
        <v/>
      </c>
      <c r="R148" s="111" t="str">
        <f t="shared" si="57"/>
        <v/>
      </c>
      <c r="S148" s="44" t="str">
        <f t="shared" si="58"/>
        <v/>
      </c>
      <c r="T148" s="37" t="str">
        <f t="shared" si="59"/>
        <v/>
      </c>
      <c r="U148" s="44" t="str">
        <f t="shared" si="60"/>
        <v/>
      </c>
      <c r="V148" s="26"/>
      <c r="W148" s="26"/>
      <c r="X148" s="26"/>
      <c r="Y148" s="26"/>
      <c r="Z148" s="24"/>
      <c r="AA148" s="169">
        <f t="shared" si="45"/>
        <v>0</v>
      </c>
      <c r="AB148" s="4">
        <f t="shared" si="46"/>
        <v>0</v>
      </c>
      <c r="AC148" s="170">
        <f t="shared" si="42"/>
        <v>0</v>
      </c>
      <c r="AD148" s="58"/>
      <c r="AE148" s="58"/>
      <c r="AF148" s="58"/>
      <c r="AG148" s="59">
        <f t="shared" si="47"/>
        <v>9.0359999999999996</v>
      </c>
      <c r="AH148" s="59">
        <f t="shared" si="48"/>
        <v>-184.49199999999999</v>
      </c>
      <c r="AJ148" s="4">
        <f>IF(D148="M",IF(AM148&lt;78,BMILMS!$D$5*AM148^3+BMILMS!$E$5*AM148^2+BMILMS!$F$5*AM148+BMILMS!$G$5,IF(AM148&lt;150,BMILMS!$D$6*AM148^3+BMILMS!$E$6*AM148^2+BMILMS!$F$6*AM148+BMILMS!$G$6,BMILMS!$D$7*AM148^3+BMILMS!$E$7*AM148^2+BMILMS!$F$7*AM148+BMILMS!$G$7)),IF(AM148&lt;69,BMILMS!$D$9*AM148^3+BMILMS!$E$9*AM148^2+BMILMS!$F$9*AM148+BMILMS!$G$9,IF(AM148&lt;150,BMILMS!$D$10*AM148^3+BMILMS!$E$10*AM148^2+BMILMS!$F$10*AM148+BMILMS!$G$10,BMILMS!$D$11*AM148^3+BMILMS!$E$11*AM148^2+BMILMS!$F$11*AM148+BMILMS!$G$11)))</f>
        <v>0.79584630099999998</v>
      </c>
      <c r="AK148" s="4">
        <f>IF(D148="M",(IF(AM148&lt;2.5,BMILMS!$D$21*AM148^3+BMILMS!$E$21*AM148^2+BMILMS!$F$21*AM148+BMILMS!$G$21,IF(AM148&lt;9.5,BMILMS!$D$22*AM148^3+BMILMS!$E$22*AM148^2+BMILMS!$F$22*AM148+BMILMS!$G$22,IF(AM148&lt;26.75,BMILMS!$D$23*AM148^3+BMILMS!$E$23*AM148^2+BMILMS!$F$23*AM148+BMILMS!$G$23,IF(AM148&lt;90,BMILMS!$D$24*AM148^3+BMILMS!$E$24*AM148^2+BMILMS!$F$24*AM148+BMILMS!$G$24,BMILMS!$D$25*AM148^3+BMILMS!$E$25*AM148^2+BMILMS!$F$25*AM148+BMILMS!$G$25))))),(IF(AM148&lt;2.5,BMILMS!$D$27*AM148^3+BMILMS!$E$27*AM148^2+BMILMS!$F$27*AM148+BMILMS!$G$27,IF(AM148&lt;9.5,BMILMS!$D$28*AM148^3+BMILMS!$E$28*AM148^2+BMILMS!$F$28*AM148+BMILMS!$G$28,IF(AM148&lt;26.75,BMILMS!$D$29*AM148^3+BMILMS!$E$29*AM148^2+BMILMS!$F$29*AM148+BMILMS!$G$29,IF(AM148&lt;90,BMILMS!$D$30*AM148^3+BMILMS!$E$30*AM148^2+BMILMS!$F$30*AM148+BMILMS!$G$30,IF(AM148&lt;150,BMILMS!$D$31*AM148^3+BMILMS!$E$31*AM148^2+BMILMS!$F$31*AM148+BMILMS!$G$31,BMILMS!$D$32*AM148^3+BMILMS!$E$32*AM148^2+BMILMS!$F$32*AM148+BMILMS!$G$32)))))))</f>
        <v>12.568967990000001</v>
      </c>
      <c r="AL148" s="4">
        <f>IF(D148="M",(IF(AM148&lt;90,BMILMS!$D$14*AM148^3+BMILMS!$E$14*AM148^2+BMILMS!$F$14*AM148+BMILMS!$G$14,BMILMS!$D$15*AM148^3+BMILMS!$E$15*AM148^2+BMILMS!$F$15*AM148+BMILMS!$G$15)),(IF(AM148&lt;90,BMILMS!$D$17*AM148^3+BMILMS!$E$17*AM148^2+BMILMS!$F$17*AM148+BMILMS!$G$17,BMILMS!$D$18*AM148^3+BMILMS!$E$18*AM148^2+BMILMS!$F$18*AM148+BMILMS!$G$18)))</f>
        <v>8.8969350000000003E-2</v>
      </c>
      <c r="AM148" s="4">
        <f t="shared" si="62"/>
        <v>0</v>
      </c>
      <c r="AO148" s="56">
        <f>IF(D148="M",WeightSDS!P$5*$AM148^7+WeightSDS!Q$5*$AM148^6+WeightSDS!R$5*$AM148^5+WeightSDS!S$5*$AM148^4+WeightSDS!T$5*$AM148^3+WeightSDS!U$5*$AM148^2+WeightSDS!V$5*$AM148+WeightSDS!W$5,IF($AM148&lt;186,WeightSDS!P$8*$AM148^7+WeightSDS!Q$8*$AM148^6+WeightSDS!R$8*$AM148^5+WeightSDS!S$8*$AM148^4+WeightSDS!T$8*$AM148^3+WeightSDS!U$8*$AM148^2+WeightSDS!V$8*$AM148+WeightSDS!W$8,WeightSDS!$U$9+WeightSDS!$V$9*($AM148-WeightSDS!$W$9)))</f>
        <v>0.75407122999999998</v>
      </c>
      <c r="AP148" s="4">
        <f>IF(D148="M",IF($AM148&lt;45,WeightSDS!M$23*$AM148^10+WeightSDS!N$23*$AM148^9+WeightSDS!O$23*$AM148^8+WeightSDS!P$23*$AM148^7+WeightSDS!Q$23*$AM148^6+WeightSDS!R$23*$AM148^5+WeightSDS!S$23*$AM148^4+WeightSDS!T$23*$AM148^3+WeightSDS!U$23*$AM148^2+WeightSDS!V$23*$AM148+WeightSDS!W$23,IF($AM148&lt;153,WeightSDS!M$25*$AM148^10+WeightSDS!N$25*$AM148^9+WeightSDS!O$25*$AM148^8+WeightSDS!P$25*$AM148^7+WeightSDS!Q$25*$AM148^6+WeightSDS!R$25*$AM148^5+WeightSDS!S$25*$AM148^4+WeightSDS!T$25*$AM148^3+WeightSDS!U$25*$AM148^2+WeightSDS!V$25*$AM148+WeightSDS!W$25,WeightSDS!M$27+WeightSDS!N$27/(1+EXP(WeightSDS!O$27+WeightSDS!P$27*$AM148)))),IF($AM148&lt;43.8,WeightSDS!M$29*$AM148^10+WeightSDS!N$29*$AM148^9+WeightSDS!O$29*$AM148^8+WeightSDS!P$29*$AM148^7+WeightSDS!Q$29*$AM148^6+WeightSDS!R$29*$AM148^5+WeightSDS!S$29*$AM148^4+WeightSDS!T$29*$AM148^3+WeightSDS!U$29*$AM148^2+WeightSDS!V$29*$AM148+WeightSDS!W$29-0.010431*(1-$AM148/210),IF($AM148&lt;123,WeightSDS!M$30*$AM148^10+WeightSDS!N$30*$AM148^9+WeightSDS!O$30*$AM148^8+WeightSDS!P$30*$AM148^7+WeightSDS!Q$30*$AM148^6+WeightSDS!R$30*$AM148^5+WeightSDS!S$30*$AM148^4+WeightSDS!T$30*$AM148^3+WeightSDS!U$30*$AM148^2+WeightSDS!V$30*$AM148+WeightSDS!W$30-0.010431*(1-1/$AM148),WeightSDS!M$32+WeightSDS!N$32/(1+EXP(WeightSDS!O$32+WeightSDS!P$32*$AM148))-0.010431*(1-$AM148/210))))</f>
        <v>2.9500001032655536</v>
      </c>
      <c r="AQ148" s="4">
        <f>IF(D148="M",IF($AM148&lt;162,WeightSDS!P$12*$AM148^7+WeightSDS!Q$12*$AM148^6+WeightSDS!R$12*$AM148^5+WeightSDS!S$12*$AM148^4+WeightSDS!T$12*$AM148^3+WeightSDS!U$12*$AM148^2+WeightSDS!V$12*$AM148+WeightSDS!W$12,WeightSDS!P$14*$AM148^7+WeightSDS!Q$14*$AM148^6+WeightSDS!R$14*$AM148^5+WeightSDS!S$14*$AM148^4+WeightSDS!T$14*$AM148^3+WeightSDS!U$14*$AM148^2+WeightSDS!V$14*$AM148+WeightSDS!W$14),IF($AM148&lt;156,WeightSDS!O$17*$AM148^8+WeightSDS!P$17*$AM148^7+WeightSDS!Q$17*$AM148^6+WeightSDS!R$17*$AM148^5+WeightSDS!S$17*$AM148^4+WeightSDS!T$17*$AM148^3+WeightSDS!U$17*$AM148^2+WeightSDS!V$17*$AM148+WeightSDS!W$17,IF($AM148&lt;186,WeightSDS!$U$18+(WeightSDS!$V$18-WeightSDS!$U$18)/24*($AM148-186)+WeightSDS!$W$18*(-$AM148+186)^2-0.005,WeightSDS!$U$18+(WeightSDS!$V$18-WeightSDS!$U$18)/24*($AM148-186)-0.005)))</f>
        <v>0.14604529399999999</v>
      </c>
      <c r="AT148" s="4">
        <f t="shared" si="49"/>
        <v>0.56299999999999994</v>
      </c>
      <c r="AU148" s="4">
        <f t="shared" si="50"/>
        <v>69</v>
      </c>
      <c r="AV148" s="4">
        <f t="shared" si="51"/>
        <v>0.51</v>
      </c>
    </row>
    <row r="149" spans="1:48" x14ac:dyDescent="0.15">
      <c r="A149" s="4"/>
      <c r="B149" s="21"/>
      <c r="C149" s="21"/>
      <c r="D149" s="21"/>
      <c r="E149" s="22"/>
      <c r="F149" s="22"/>
      <c r="G149" s="23"/>
      <c r="H149" s="23"/>
      <c r="I149" s="181"/>
      <c r="J149" s="8" t="str">
        <f t="shared" si="43"/>
        <v/>
      </c>
      <c r="K149" s="2" t="str">
        <f t="shared" si="52"/>
        <v/>
      </c>
      <c r="L149" s="2" t="str">
        <f t="shared" si="44"/>
        <v/>
      </c>
      <c r="M149" s="2" t="str">
        <f t="shared" si="53"/>
        <v/>
      </c>
      <c r="N149" s="2" t="str">
        <f t="shared" si="61"/>
        <v/>
      </c>
      <c r="O149" s="2" t="str">
        <f t="shared" si="54"/>
        <v/>
      </c>
      <c r="P149" s="8" t="str">
        <f t="shared" si="55"/>
        <v/>
      </c>
      <c r="Q149" s="8" t="str">
        <f t="shared" si="56"/>
        <v/>
      </c>
      <c r="R149" s="111" t="str">
        <f t="shared" si="57"/>
        <v/>
      </c>
      <c r="S149" s="44" t="str">
        <f t="shared" si="58"/>
        <v/>
      </c>
      <c r="T149" s="37" t="str">
        <f t="shared" si="59"/>
        <v/>
      </c>
      <c r="U149" s="44" t="str">
        <f t="shared" si="60"/>
        <v/>
      </c>
      <c r="V149" s="26"/>
      <c r="W149" s="26"/>
      <c r="X149" s="26"/>
      <c r="Y149" s="26"/>
      <c r="Z149" s="24"/>
      <c r="AA149" s="169">
        <f t="shared" si="45"/>
        <v>0</v>
      </c>
      <c r="AB149" s="4">
        <f t="shared" si="46"/>
        <v>0</v>
      </c>
      <c r="AC149" s="170">
        <f t="shared" si="42"/>
        <v>0</v>
      </c>
      <c r="AD149" s="58"/>
      <c r="AE149" s="58"/>
      <c r="AF149" s="58"/>
      <c r="AG149" s="59">
        <f t="shared" si="47"/>
        <v>9.0359999999999996</v>
      </c>
      <c r="AH149" s="59">
        <f t="shared" si="48"/>
        <v>-184.49199999999999</v>
      </c>
      <c r="AJ149" s="4">
        <f>IF(D149="M",IF(AM149&lt;78,BMILMS!$D$5*AM149^3+BMILMS!$E$5*AM149^2+BMILMS!$F$5*AM149+BMILMS!$G$5,IF(AM149&lt;150,BMILMS!$D$6*AM149^3+BMILMS!$E$6*AM149^2+BMILMS!$F$6*AM149+BMILMS!$G$6,BMILMS!$D$7*AM149^3+BMILMS!$E$7*AM149^2+BMILMS!$F$7*AM149+BMILMS!$G$7)),IF(AM149&lt;69,BMILMS!$D$9*AM149^3+BMILMS!$E$9*AM149^2+BMILMS!$F$9*AM149+BMILMS!$G$9,IF(AM149&lt;150,BMILMS!$D$10*AM149^3+BMILMS!$E$10*AM149^2+BMILMS!$F$10*AM149+BMILMS!$G$10,BMILMS!$D$11*AM149^3+BMILMS!$E$11*AM149^2+BMILMS!$F$11*AM149+BMILMS!$G$11)))</f>
        <v>0.79584630099999998</v>
      </c>
      <c r="AK149" s="4">
        <f>IF(D149="M",(IF(AM149&lt;2.5,BMILMS!$D$21*AM149^3+BMILMS!$E$21*AM149^2+BMILMS!$F$21*AM149+BMILMS!$G$21,IF(AM149&lt;9.5,BMILMS!$D$22*AM149^3+BMILMS!$E$22*AM149^2+BMILMS!$F$22*AM149+BMILMS!$G$22,IF(AM149&lt;26.75,BMILMS!$D$23*AM149^3+BMILMS!$E$23*AM149^2+BMILMS!$F$23*AM149+BMILMS!$G$23,IF(AM149&lt;90,BMILMS!$D$24*AM149^3+BMILMS!$E$24*AM149^2+BMILMS!$F$24*AM149+BMILMS!$G$24,BMILMS!$D$25*AM149^3+BMILMS!$E$25*AM149^2+BMILMS!$F$25*AM149+BMILMS!$G$25))))),(IF(AM149&lt;2.5,BMILMS!$D$27*AM149^3+BMILMS!$E$27*AM149^2+BMILMS!$F$27*AM149+BMILMS!$G$27,IF(AM149&lt;9.5,BMILMS!$D$28*AM149^3+BMILMS!$E$28*AM149^2+BMILMS!$F$28*AM149+BMILMS!$G$28,IF(AM149&lt;26.75,BMILMS!$D$29*AM149^3+BMILMS!$E$29*AM149^2+BMILMS!$F$29*AM149+BMILMS!$G$29,IF(AM149&lt;90,BMILMS!$D$30*AM149^3+BMILMS!$E$30*AM149^2+BMILMS!$F$30*AM149+BMILMS!$G$30,IF(AM149&lt;150,BMILMS!$D$31*AM149^3+BMILMS!$E$31*AM149^2+BMILMS!$F$31*AM149+BMILMS!$G$31,BMILMS!$D$32*AM149^3+BMILMS!$E$32*AM149^2+BMILMS!$F$32*AM149+BMILMS!$G$32)))))))</f>
        <v>12.568967990000001</v>
      </c>
      <c r="AL149" s="4">
        <f>IF(D149="M",(IF(AM149&lt;90,BMILMS!$D$14*AM149^3+BMILMS!$E$14*AM149^2+BMILMS!$F$14*AM149+BMILMS!$G$14,BMILMS!$D$15*AM149^3+BMILMS!$E$15*AM149^2+BMILMS!$F$15*AM149+BMILMS!$G$15)),(IF(AM149&lt;90,BMILMS!$D$17*AM149^3+BMILMS!$E$17*AM149^2+BMILMS!$F$17*AM149+BMILMS!$G$17,BMILMS!$D$18*AM149^3+BMILMS!$E$18*AM149^2+BMILMS!$F$18*AM149+BMILMS!$G$18)))</f>
        <v>8.8969350000000003E-2</v>
      </c>
      <c r="AM149" s="4">
        <f t="shared" si="62"/>
        <v>0</v>
      </c>
      <c r="AO149" s="56">
        <f>IF(D149="M",WeightSDS!P$5*$AM149^7+WeightSDS!Q$5*$AM149^6+WeightSDS!R$5*$AM149^5+WeightSDS!S$5*$AM149^4+WeightSDS!T$5*$AM149^3+WeightSDS!U$5*$AM149^2+WeightSDS!V$5*$AM149+WeightSDS!W$5,IF($AM149&lt;186,WeightSDS!P$8*$AM149^7+WeightSDS!Q$8*$AM149^6+WeightSDS!R$8*$AM149^5+WeightSDS!S$8*$AM149^4+WeightSDS!T$8*$AM149^3+WeightSDS!U$8*$AM149^2+WeightSDS!V$8*$AM149+WeightSDS!W$8,WeightSDS!$U$9+WeightSDS!$V$9*($AM149-WeightSDS!$W$9)))</f>
        <v>0.75407122999999998</v>
      </c>
      <c r="AP149" s="4">
        <f>IF(D149="M",IF($AM149&lt;45,WeightSDS!M$23*$AM149^10+WeightSDS!N$23*$AM149^9+WeightSDS!O$23*$AM149^8+WeightSDS!P$23*$AM149^7+WeightSDS!Q$23*$AM149^6+WeightSDS!R$23*$AM149^5+WeightSDS!S$23*$AM149^4+WeightSDS!T$23*$AM149^3+WeightSDS!U$23*$AM149^2+WeightSDS!V$23*$AM149+WeightSDS!W$23,IF($AM149&lt;153,WeightSDS!M$25*$AM149^10+WeightSDS!N$25*$AM149^9+WeightSDS!O$25*$AM149^8+WeightSDS!P$25*$AM149^7+WeightSDS!Q$25*$AM149^6+WeightSDS!R$25*$AM149^5+WeightSDS!S$25*$AM149^4+WeightSDS!T$25*$AM149^3+WeightSDS!U$25*$AM149^2+WeightSDS!V$25*$AM149+WeightSDS!W$25,WeightSDS!M$27+WeightSDS!N$27/(1+EXP(WeightSDS!O$27+WeightSDS!P$27*$AM149)))),IF($AM149&lt;43.8,WeightSDS!M$29*$AM149^10+WeightSDS!N$29*$AM149^9+WeightSDS!O$29*$AM149^8+WeightSDS!P$29*$AM149^7+WeightSDS!Q$29*$AM149^6+WeightSDS!R$29*$AM149^5+WeightSDS!S$29*$AM149^4+WeightSDS!T$29*$AM149^3+WeightSDS!U$29*$AM149^2+WeightSDS!V$29*$AM149+WeightSDS!W$29-0.010431*(1-$AM149/210),IF($AM149&lt;123,WeightSDS!M$30*$AM149^10+WeightSDS!N$30*$AM149^9+WeightSDS!O$30*$AM149^8+WeightSDS!P$30*$AM149^7+WeightSDS!Q$30*$AM149^6+WeightSDS!R$30*$AM149^5+WeightSDS!S$30*$AM149^4+WeightSDS!T$30*$AM149^3+WeightSDS!U$30*$AM149^2+WeightSDS!V$30*$AM149+WeightSDS!W$30-0.010431*(1-1/$AM149),WeightSDS!M$32+WeightSDS!N$32/(1+EXP(WeightSDS!O$32+WeightSDS!P$32*$AM149))-0.010431*(1-$AM149/210))))</f>
        <v>2.9500001032655536</v>
      </c>
      <c r="AQ149" s="4">
        <f>IF(D149="M",IF($AM149&lt;162,WeightSDS!P$12*$AM149^7+WeightSDS!Q$12*$AM149^6+WeightSDS!R$12*$AM149^5+WeightSDS!S$12*$AM149^4+WeightSDS!T$12*$AM149^3+WeightSDS!U$12*$AM149^2+WeightSDS!V$12*$AM149+WeightSDS!W$12,WeightSDS!P$14*$AM149^7+WeightSDS!Q$14*$AM149^6+WeightSDS!R$14*$AM149^5+WeightSDS!S$14*$AM149^4+WeightSDS!T$14*$AM149^3+WeightSDS!U$14*$AM149^2+WeightSDS!V$14*$AM149+WeightSDS!W$14),IF($AM149&lt;156,WeightSDS!O$17*$AM149^8+WeightSDS!P$17*$AM149^7+WeightSDS!Q$17*$AM149^6+WeightSDS!R$17*$AM149^5+WeightSDS!S$17*$AM149^4+WeightSDS!T$17*$AM149^3+WeightSDS!U$17*$AM149^2+WeightSDS!V$17*$AM149+WeightSDS!W$17,IF($AM149&lt;186,WeightSDS!$U$18+(WeightSDS!$V$18-WeightSDS!$U$18)/24*($AM149-186)+WeightSDS!$W$18*(-$AM149+186)^2-0.005,WeightSDS!$U$18+(WeightSDS!$V$18-WeightSDS!$U$18)/24*($AM149-186)-0.005)))</f>
        <v>0.14604529399999999</v>
      </c>
      <c r="AT149" s="4">
        <f t="shared" si="49"/>
        <v>0.56299999999999994</v>
      </c>
      <c r="AU149" s="4">
        <f t="shared" si="50"/>
        <v>69</v>
      </c>
      <c r="AV149" s="4">
        <f t="shared" si="51"/>
        <v>0.51</v>
      </c>
    </row>
    <row r="150" spans="1:48" x14ac:dyDescent="0.15">
      <c r="A150" s="4"/>
      <c r="B150" s="21"/>
      <c r="C150" s="21"/>
      <c r="D150" s="21"/>
      <c r="E150" s="22"/>
      <c r="F150" s="22"/>
      <c r="G150" s="23"/>
      <c r="H150" s="23"/>
      <c r="I150" s="181"/>
      <c r="J150" s="8" t="str">
        <f t="shared" si="43"/>
        <v/>
      </c>
      <c r="K150" s="2" t="str">
        <f t="shared" si="52"/>
        <v/>
      </c>
      <c r="L150" s="2" t="str">
        <f t="shared" si="44"/>
        <v/>
      </c>
      <c r="M150" s="2" t="str">
        <f t="shared" si="53"/>
        <v/>
      </c>
      <c r="N150" s="2" t="str">
        <f t="shared" si="61"/>
        <v/>
      </c>
      <c r="O150" s="2" t="str">
        <f t="shared" si="54"/>
        <v/>
      </c>
      <c r="P150" s="8" t="str">
        <f t="shared" si="55"/>
        <v/>
      </c>
      <c r="Q150" s="8" t="str">
        <f t="shared" si="56"/>
        <v/>
      </c>
      <c r="R150" s="111" t="str">
        <f t="shared" si="57"/>
        <v/>
      </c>
      <c r="S150" s="44" t="str">
        <f t="shared" si="58"/>
        <v/>
      </c>
      <c r="T150" s="37" t="str">
        <f t="shared" si="59"/>
        <v/>
      </c>
      <c r="U150" s="44" t="str">
        <f t="shared" si="60"/>
        <v/>
      </c>
      <c r="V150" s="26"/>
      <c r="W150" s="26"/>
      <c r="X150" s="26"/>
      <c r="Y150" s="26"/>
      <c r="Z150" s="24"/>
      <c r="AA150" s="169">
        <f t="shared" si="45"/>
        <v>0</v>
      </c>
      <c r="AB150" s="4">
        <f t="shared" si="46"/>
        <v>0</v>
      </c>
      <c r="AC150" s="170">
        <f t="shared" si="42"/>
        <v>0</v>
      </c>
      <c r="AD150" s="58"/>
      <c r="AE150" s="58"/>
      <c r="AF150" s="58"/>
      <c r="AG150" s="59">
        <f t="shared" si="47"/>
        <v>9.0359999999999996</v>
      </c>
      <c r="AH150" s="59">
        <f t="shared" si="48"/>
        <v>-184.49199999999999</v>
      </c>
      <c r="AJ150" s="4">
        <f>IF(D150="M",IF(AM150&lt;78,BMILMS!$D$5*AM150^3+BMILMS!$E$5*AM150^2+BMILMS!$F$5*AM150+BMILMS!$G$5,IF(AM150&lt;150,BMILMS!$D$6*AM150^3+BMILMS!$E$6*AM150^2+BMILMS!$F$6*AM150+BMILMS!$G$6,BMILMS!$D$7*AM150^3+BMILMS!$E$7*AM150^2+BMILMS!$F$7*AM150+BMILMS!$G$7)),IF(AM150&lt;69,BMILMS!$D$9*AM150^3+BMILMS!$E$9*AM150^2+BMILMS!$F$9*AM150+BMILMS!$G$9,IF(AM150&lt;150,BMILMS!$D$10*AM150^3+BMILMS!$E$10*AM150^2+BMILMS!$F$10*AM150+BMILMS!$G$10,BMILMS!$D$11*AM150^3+BMILMS!$E$11*AM150^2+BMILMS!$F$11*AM150+BMILMS!$G$11)))</f>
        <v>0.79584630099999998</v>
      </c>
      <c r="AK150" s="4">
        <f>IF(D150="M",(IF(AM150&lt;2.5,BMILMS!$D$21*AM150^3+BMILMS!$E$21*AM150^2+BMILMS!$F$21*AM150+BMILMS!$G$21,IF(AM150&lt;9.5,BMILMS!$D$22*AM150^3+BMILMS!$E$22*AM150^2+BMILMS!$F$22*AM150+BMILMS!$G$22,IF(AM150&lt;26.75,BMILMS!$D$23*AM150^3+BMILMS!$E$23*AM150^2+BMILMS!$F$23*AM150+BMILMS!$G$23,IF(AM150&lt;90,BMILMS!$D$24*AM150^3+BMILMS!$E$24*AM150^2+BMILMS!$F$24*AM150+BMILMS!$G$24,BMILMS!$D$25*AM150^3+BMILMS!$E$25*AM150^2+BMILMS!$F$25*AM150+BMILMS!$G$25))))),(IF(AM150&lt;2.5,BMILMS!$D$27*AM150^3+BMILMS!$E$27*AM150^2+BMILMS!$F$27*AM150+BMILMS!$G$27,IF(AM150&lt;9.5,BMILMS!$D$28*AM150^3+BMILMS!$E$28*AM150^2+BMILMS!$F$28*AM150+BMILMS!$G$28,IF(AM150&lt;26.75,BMILMS!$D$29*AM150^3+BMILMS!$E$29*AM150^2+BMILMS!$F$29*AM150+BMILMS!$G$29,IF(AM150&lt;90,BMILMS!$D$30*AM150^3+BMILMS!$E$30*AM150^2+BMILMS!$F$30*AM150+BMILMS!$G$30,IF(AM150&lt;150,BMILMS!$D$31*AM150^3+BMILMS!$E$31*AM150^2+BMILMS!$F$31*AM150+BMILMS!$G$31,BMILMS!$D$32*AM150^3+BMILMS!$E$32*AM150^2+BMILMS!$F$32*AM150+BMILMS!$G$32)))))))</f>
        <v>12.568967990000001</v>
      </c>
      <c r="AL150" s="4">
        <f>IF(D150="M",(IF(AM150&lt;90,BMILMS!$D$14*AM150^3+BMILMS!$E$14*AM150^2+BMILMS!$F$14*AM150+BMILMS!$G$14,BMILMS!$D$15*AM150^3+BMILMS!$E$15*AM150^2+BMILMS!$F$15*AM150+BMILMS!$G$15)),(IF(AM150&lt;90,BMILMS!$D$17*AM150^3+BMILMS!$E$17*AM150^2+BMILMS!$F$17*AM150+BMILMS!$G$17,BMILMS!$D$18*AM150^3+BMILMS!$E$18*AM150^2+BMILMS!$F$18*AM150+BMILMS!$G$18)))</f>
        <v>8.8969350000000003E-2</v>
      </c>
      <c r="AM150" s="4">
        <f t="shared" si="62"/>
        <v>0</v>
      </c>
      <c r="AO150" s="56">
        <f>IF(D150="M",WeightSDS!P$5*$AM150^7+WeightSDS!Q$5*$AM150^6+WeightSDS!R$5*$AM150^5+WeightSDS!S$5*$AM150^4+WeightSDS!T$5*$AM150^3+WeightSDS!U$5*$AM150^2+WeightSDS!V$5*$AM150+WeightSDS!W$5,IF($AM150&lt;186,WeightSDS!P$8*$AM150^7+WeightSDS!Q$8*$AM150^6+WeightSDS!R$8*$AM150^5+WeightSDS!S$8*$AM150^4+WeightSDS!T$8*$AM150^3+WeightSDS!U$8*$AM150^2+WeightSDS!V$8*$AM150+WeightSDS!W$8,WeightSDS!$U$9+WeightSDS!$V$9*($AM150-WeightSDS!$W$9)))</f>
        <v>0.75407122999999998</v>
      </c>
      <c r="AP150" s="4">
        <f>IF(D150="M",IF($AM150&lt;45,WeightSDS!M$23*$AM150^10+WeightSDS!N$23*$AM150^9+WeightSDS!O$23*$AM150^8+WeightSDS!P$23*$AM150^7+WeightSDS!Q$23*$AM150^6+WeightSDS!R$23*$AM150^5+WeightSDS!S$23*$AM150^4+WeightSDS!T$23*$AM150^3+WeightSDS!U$23*$AM150^2+WeightSDS!V$23*$AM150+WeightSDS!W$23,IF($AM150&lt;153,WeightSDS!M$25*$AM150^10+WeightSDS!N$25*$AM150^9+WeightSDS!O$25*$AM150^8+WeightSDS!P$25*$AM150^7+WeightSDS!Q$25*$AM150^6+WeightSDS!R$25*$AM150^5+WeightSDS!S$25*$AM150^4+WeightSDS!T$25*$AM150^3+WeightSDS!U$25*$AM150^2+WeightSDS!V$25*$AM150+WeightSDS!W$25,WeightSDS!M$27+WeightSDS!N$27/(1+EXP(WeightSDS!O$27+WeightSDS!P$27*$AM150)))),IF($AM150&lt;43.8,WeightSDS!M$29*$AM150^10+WeightSDS!N$29*$AM150^9+WeightSDS!O$29*$AM150^8+WeightSDS!P$29*$AM150^7+WeightSDS!Q$29*$AM150^6+WeightSDS!R$29*$AM150^5+WeightSDS!S$29*$AM150^4+WeightSDS!T$29*$AM150^3+WeightSDS!U$29*$AM150^2+WeightSDS!V$29*$AM150+WeightSDS!W$29-0.010431*(1-$AM150/210),IF($AM150&lt;123,WeightSDS!M$30*$AM150^10+WeightSDS!N$30*$AM150^9+WeightSDS!O$30*$AM150^8+WeightSDS!P$30*$AM150^7+WeightSDS!Q$30*$AM150^6+WeightSDS!R$30*$AM150^5+WeightSDS!S$30*$AM150^4+WeightSDS!T$30*$AM150^3+WeightSDS!U$30*$AM150^2+WeightSDS!V$30*$AM150+WeightSDS!W$30-0.010431*(1-1/$AM150),WeightSDS!M$32+WeightSDS!N$32/(1+EXP(WeightSDS!O$32+WeightSDS!P$32*$AM150))-0.010431*(1-$AM150/210))))</f>
        <v>2.9500001032655536</v>
      </c>
      <c r="AQ150" s="4">
        <f>IF(D150="M",IF($AM150&lt;162,WeightSDS!P$12*$AM150^7+WeightSDS!Q$12*$AM150^6+WeightSDS!R$12*$AM150^5+WeightSDS!S$12*$AM150^4+WeightSDS!T$12*$AM150^3+WeightSDS!U$12*$AM150^2+WeightSDS!V$12*$AM150+WeightSDS!W$12,WeightSDS!P$14*$AM150^7+WeightSDS!Q$14*$AM150^6+WeightSDS!R$14*$AM150^5+WeightSDS!S$14*$AM150^4+WeightSDS!T$14*$AM150^3+WeightSDS!U$14*$AM150^2+WeightSDS!V$14*$AM150+WeightSDS!W$14),IF($AM150&lt;156,WeightSDS!O$17*$AM150^8+WeightSDS!P$17*$AM150^7+WeightSDS!Q$17*$AM150^6+WeightSDS!R$17*$AM150^5+WeightSDS!S$17*$AM150^4+WeightSDS!T$17*$AM150^3+WeightSDS!U$17*$AM150^2+WeightSDS!V$17*$AM150+WeightSDS!W$17,IF($AM150&lt;186,WeightSDS!$U$18+(WeightSDS!$V$18-WeightSDS!$U$18)/24*($AM150-186)+WeightSDS!$W$18*(-$AM150+186)^2-0.005,WeightSDS!$U$18+(WeightSDS!$V$18-WeightSDS!$U$18)/24*($AM150-186)-0.005)))</f>
        <v>0.14604529399999999</v>
      </c>
      <c r="AT150" s="4">
        <f t="shared" si="49"/>
        <v>0.56299999999999994</v>
      </c>
      <c r="AU150" s="4">
        <f t="shared" si="50"/>
        <v>69</v>
      </c>
      <c r="AV150" s="4">
        <f t="shared" si="51"/>
        <v>0.51</v>
      </c>
    </row>
    <row r="151" spans="1:48" x14ac:dyDescent="0.15">
      <c r="A151" s="4"/>
      <c r="B151" s="21"/>
      <c r="C151" s="21"/>
      <c r="D151" s="21"/>
      <c r="E151" s="22"/>
      <c r="F151" s="22"/>
      <c r="G151" s="23"/>
      <c r="H151" s="23"/>
      <c r="I151" s="181"/>
      <c r="J151" s="8" t="str">
        <f t="shared" si="43"/>
        <v/>
      </c>
      <c r="K151" s="2" t="str">
        <f t="shared" si="52"/>
        <v/>
      </c>
      <c r="L151" s="2" t="str">
        <f t="shared" si="44"/>
        <v/>
      </c>
      <c r="M151" s="2" t="str">
        <f t="shared" si="53"/>
        <v/>
      </c>
      <c r="N151" s="2" t="str">
        <f t="shared" si="61"/>
        <v/>
      </c>
      <c r="O151" s="2" t="str">
        <f t="shared" si="54"/>
        <v/>
      </c>
      <c r="P151" s="8" t="str">
        <f t="shared" si="55"/>
        <v/>
      </c>
      <c r="Q151" s="8" t="str">
        <f t="shared" si="56"/>
        <v/>
      </c>
      <c r="R151" s="111" t="str">
        <f t="shared" si="57"/>
        <v/>
      </c>
      <c r="S151" s="44" t="str">
        <f t="shared" si="58"/>
        <v/>
      </c>
      <c r="T151" s="37" t="str">
        <f t="shared" si="59"/>
        <v/>
      </c>
      <c r="U151" s="44" t="str">
        <f t="shared" si="60"/>
        <v/>
      </c>
      <c r="V151" s="26"/>
      <c r="W151" s="26"/>
      <c r="X151" s="26"/>
      <c r="Y151" s="26"/>
      <c r="Z151" s="24"/>
      <c r="AA151" s="169">
        <f t="shared" si="45"/>
        <v>0</v>
      </c>
      <c r="AB151" s="4">
        <f t="shared" si="46"/>
        <v>0</v>
      </c>
      <c r="AC151" s="170">
        <f t="shared" si="42"/>
        <v>0</v>
      </c>
      <c r="AD151" s="58"/>
      <c r="AE151" s="58"/>
      <c r="AF151" s="58"/>
      <c r="AG151" s="59">
        <f t="shared" si="47"/>
        <v>9.0359999999999996</v>
      </c>
      <c r="AH151" s="59">
        <f t="shared" si="48"/>
        <v>-184.49199999999999</v>
      </c>
      <c r="AJ151" s="4">
        <f>IF(D151="M",IF(AM151&lt;78,BMILMS!$D$5*AM151^3+BMILMS!$E$5*AM151^2+BMILMS!$F$5*AM151+BMILMS!$G$5,IF(AM151&lt;150,BMILMS!$D$6*AM151^3+BMILMS!$E$6*AM151^2+BMILMS!$F$6*AM151+BMILMS!$G$6,BMILMS!$D$7*AM151^3+BMILMS!$E$7*AM151^2+BMILMS!$F$7*AM151+BMILMS!$G$7)),IF(AM151&lt;69,BMILMS!$D$9*AM151^3+BMILMS!$E$9*AM151^2+BMILMS!$F$9*AM151+BMILMS!$G$9,IF(AM151&lt;150,BMILMS!$D$10*AM151^3+BMILMS!$E$10*AM151^2+BMILMS!$F$10*AM151+BMILMS!$G$10,BMILMS!$D$11*AM151^3+BMILMS!$E$11*AM151^2+BMILMS!$F$11*AM151+BMILMS!$G$11)))</f>
        <v>0.79584630099999998</v>
      </c>
      <c r="AK151" s="4">
        <f>IF(D151="M",(IF(AM151&lt;2.5,BMILMS!$D$21*AM151^3+BMILMS!$E$21*AM151^2+BMILMS!$F$21*AM151+BMILMS!$G$21,IF(AM151&lt;9.5,BMILMS!$D$22*AM151^3+BMILMS!$E$22*AM151^2+BMILMS!$F$22*AM151+BMILMS!$G$22,IF(AM151&lt;26.75,BMILMS!$D$23*AM151^3+BMILMS!$E$23*AM151^2+BMILMS!$F$23*AM151+BMILMS!$G$23,IF(AM151&lt;90,BMILMS!$D$24*AM151^3+BMILMS!$E$24*AM151^2+BMILMS!$F$24*AM151+BMILMS!$G$24,BMILMS!$D$25*AM151^3+BMILMS!$E$25*AM151^2+BMILMS!$F$25*AM151+BMILMS!$G$25))))),(IF(AM151&lt;2.5,BMILMS!$D$27*AM151^3+BMILMS!$E$27*AM151^2+BMILMS!$F$27*AM151+BMILMS!$G$27,IF(AM151&lt;9.5,BMILMS!$D$28*AM151^3+BMILMS!$E$28*AM151^2+BMILMS!$F$28*AM151+BMILMS!$G$28,IF(AM151&lt;26.75,BMILMS!$D$29*AM151^3+BMILMS!$E$29*AM151^2+BMILMS!$F$29*AM151+BMILMS!$G$29,IF(AM151&lt;90,BMILMS!$D$30*AM151^3+BMILMS!$E$30*AM151^2+BMILMS!$F$30*AM151+BMILMS!$G$30,IF(AM151&lt;150,BMILMS!$D$31*AM151^3+BMILMS!$E$31*AM151^2+BMILMS!$F$31*AM151+BMILMS!$G$31,BMILMS!$D$32*AM151^3+BMILMS!$E$32*AM151^2+BMILMS!$F$32*AM151+BMILMS!$G$32)))))))</f>
        <v>12.568967990000001</v>
      </c>
      <c r="AL151" s="4">
        <f>IF(D151="M",(IF(AM151&lt;90,BMILMS!$D$14*AM151^3+BMILMS!$E$14*AM151^2+BMILMS!$F$14*AM151+BMILMS!$G$14,BMILMS!$D$15*AM151^3+BMILMS!$E$15*AM151^2+BMILMS!$F$15*AM151+BMILMS!$G$15)),(IF(AM151&lt;90,BMILMS!$D$17*AM151^3+BMILMS!$E$17*AM151^2+BMILMS!$F$17*AM151+BMILMS!$G$17,BMILMS!$D$18*AM151^3+BMILMS!$E$18*AM151^2+BMILMS!$F$18*AM151+BMILMS!$G$18)))</f>
        <v>8.8969350000000003E-2</v>
      </c>
      <c r="AM151" s="4">
        <f t="shared" si="62"/>
        <v>0</v>
      </c>
      <c r="AO151" s="56">
        <f>IF(D151="M",WeightSDS!P$5*$AM151^7+WeightSDS!Q$5*$AM151^6+WeightSDS!R$5*$AM151^5+WeightSDS!S$5*$AM151^4+WeightSDS!T$5*$AM151^3+WeightSDS!U$5*$AM151^2+WeightSDS!V$5*$AM151+WeightSDS!W$5,IF($AM151&lt;186,WeightSDS!P$8*$AM151^7+WeightSDS!Q$8*$AM151^6+WeightSDS!R$8*$AM151^5+WeightSDS!S$8*$AM151^4+WeightSDS!T$8*$AM151^3+WeightSDS!U$8*$AM151^2+WeightSDS!V$8*$AM151+WeightSDS!W$8,WeightSDS!$U$9+WeightSDS!$V$9*($AM151-WeightSDS!$W$9)))</f>
        <v>0.75407122999999998</v>
      </c>
      <c r="AP151" s="4">
        <f>IF(D151="M",IF($AM151&lt;45,WeightSDS!M$23*$AM151^10+WeightSDS!N$23*$AM151^9+WeightSDS!O$23*$AM151^8+WeightSDS!P$23*$AM151^7+WeightSDS!Q$23*$AM151^6+WeightSDS!R$23*$AM151^5+WeightSDS!S$23*$AM151^4+WeightSDS!T$23*$AM151^3+WeightSDS!U$23*$AM151^2+WeightSDS!V$23*$AM151+WeightSDS!W$23,IF($AM151&lt;153,WeightSDS!M$25*$AM151^10+WeightSDS!N$25*$AM151^9+WeightSDS!O$25*$AM151^8+WeightSDS!P$25*$AM151^7+WeightSDS!Q$25*$AM151^6+WeightSDS!R$25*$AM151^5+WeightSDS!S$25*$AM151^4+WeightSDS!T$25*$AM151^3+WeightSDS!U$25*$AM151^2+WeightSDS!V$25*$AM151+WeightSDS!W$25,WeightSDS!M$27+WeightSDS!N$27/(1+EXP(WeightSDS!O$27+WeightSDS!P$27*$AM151)))),IF($AM151&lt;43.8,WeightSDS!M$29*$AM151^10+WeightSDS!N$29*$AM151^9+WeightSDS!O$29*$AM151^8+WeightSDS!P$29*$AM151^7+WeightSDS!Q$29*$AM151^6+WeightSDS!R$29*$AM151^5+WeightSDS!S$29*$AM151^4+WeightSDS!T$29*$AM151^3+WeightSDS!U$29*$AM151^2+WeightSDS!V$29*$AM151+WeightSDS!W$29-0.010431*(1-$AM151/210),IF($AM151&lt;123,WeightSDS!M$30*$AM151^10+WeightSDS!N$30*$AM151^9+WeightSDS!O$30*$AM151^8+WeightSDS!P$30*$AM151^7+WeightSDS!Q$30*$AM151^6+WeightSDS!R$30*$AM151^5+WeightSDS!S$30*$AM151^4+WeightSDS!T$30*$AM151^3+WeightSDS!U$30*$AM151^2+WeightSDS!V$30*$AM151+WeightSDS!W$30-0.010431*(1-1/$AM151),WeightSDS!M$32+WeightSDS!N$32/(1+EXP(WeightSDS!O$32+WeightSDS!P$32*$AM151))-0.010431*(1-$AM151/210))))</f>
        <v>2.9500001032655536</v>
      </c>
      <c r="AQ151" s="4">
        <f>IF(D151="M",IF($AM151&lt;162,WeightSDS!P$12*$AM151^7+WeightSDS!Q$12*$AM151^6+WeightSDS!R$12*$AM151^5+WeightSDS!S$12*$AM151^4+WeightSDS!T$12*$AM151^3+WeightSDS!U$12*$AM151^2+WeightSDS!V$12*$AM151+WeightSDS!W$12,WeightSDS!P$14*$AM151^7+WeightSDS!Q$14*$AM151^6+WeightSDS!R$14*$AM151^5+WeightSDS!S$14*$AM151^4+WeightSDS!T$14*$AM151^3+WeightSDS!U$14*$AM151^2+WeightSDS!V$14*$AM151+WeightSDS!W$14),IF($AM151&lt;156,WeightSDS!O$17*$AM151^8+WeightSDS!P$17*$AM151^7+WeightSDS!Q$17*$AM151^6+WeightSDS!R$17*$AM151^5+WeightSDS!S$17*$AM151^4+WeightSDS!T$17*$AM151^3+WeightSDS!U$17*$AM151^2+WeightSDS!V$17*$AM151+WeightSDS!W$17,IF($AM151&lt;186,WeightSDS!$U$18+(WeightSDS!$V$18-WeightSDS!$U$18)/24*($AM151-186)+WeightSDS!$W$18*(-$AM151+186)^2-0.005,WeightSDS!$U$18+(WeightSDS!$V$18-WeightSDS!$U$18)/24*($AM151-186)-0.005)))</f>
        <v>0.14604529399999999</v>
      </c>
      <c r="AT151" s="4">
        <f t="shared" si="49"/>
        <v>0.56299999999999994</v>
      </c>
      <c r="AU151" s="4">
        <f t="shared" si="50"/>
        <v>69</v>
      </c>
      <c r="AV151" s="4">
        <f t="shared" si="51"/>
        <v>0.51</v>
      </c>
    </row>
    <row r="152" spans="1:48" x14ac:dyDescent="0.15">
      <c r="A152" s="4"/>
      <c r="B152" s="21"/>
      <c r="C152" s="21"/>
      <c r="D152" s="21"/>
      <c r="E152" s="22"/>
      <c r="F152" s="22"/>
      <c r="G152" s="23"/>
      <c r="H152" s="23"/>
      <c r="I152" s="181"/>
      <c r="J152" s="8" t="str">
        <f t="shared" si="43"/>
        <v/>
      </c>
      <c r="K152" s="2" t="str">
        <f t="shared" si="52"/>
        <v/>
      </c>
      <c r="L152" s="2" t="str">
        <f t="shared" si="44"/>
        <v/>
      </c>
      <c r="M152" s="2" t="str">
        <f t="shared" si="53"/>
        <v/>
      </c>
      <c r="N152" s="2" t="str">
        <f t="shared" si="61"/>
        <v/>
      </c>
      <c r="O152" s="2" t="str">
        <f t="shared" si="54"/>
        <v/>
      </c>
      <c r="P152" s="8" t="str">
        <f t="shared" si="55"/>
        <v/>
      </c>
      <c r="Q152" s="8" t="str">
        <f t="shared" si="56"/>
        <v/>
      </c>
      <c r="R152" s="111" t="str">
        <f t="shared" si="57"/>
        <v/>
      </c>
      <c r="S152" s="44" t="str">
        <f t="shared" si="58"/>
        <v/>
      </c>
      <c r="T152" s="37" t="str">
        <f t="shared" si="59"/>
        <v/>
      </c>
      <c r="U152" s="44" t="str">
        <f t="shared" si="60"/>
        <v/>
      </c>
      <c r="V152" s="26"/>
      <c r="W152" s="26"/>
      <c r="X152" s="26"/>
      <c r="Y152" s="26"/>
      <c r="Z152" s="24"/>
      <c r="AA152" s="169">
        <f t="shared" si="45"/>
        <v>0</v>
      </c>
      <c r="AB152" s="4">
        <f t="shared" si="46"/>
        <v>0</v>
      </c>
      <c r="AC152" s="170">
        <f t="shared" si="42"/>
        <v>0</v>
      </c>
      <c r="AD152" s="58"/>
      <c r="AE152" s="58"/>
      <c r="AF152" s="58"/>
      <c r="AG152" s="59">
        <f t="shared" si="47"/>
        <v>9.0359999999999996</v>
      </c>
      <c r="AH152" s="59">
        <f t="shared" si="48"/>
        <v>-184.49199999999999</v>
      </c>
      <c r="AJ152" s="4">
        <f>IF(D152="M",IF(AM152&lt;78,BMILMS!$D$5*AM152^3+BMILMS!$E$5*AM152^2+BMILMS!$F$5*AM152+BMILMS!$G$5,IF(AM152&lt;150,BMILMS!$D$6*AM152^3+BMILMS!$E$6*AM152^2+BMILMS!$F$6*AM152+BMILMS!$G$6,BMILMS!$D$7*AM152^3+BMILMS!$E$7*AM152^2+BMILMS!$F$7*AM152+BMILMS!$G$7)),IF(AM152&lt;69,BMILMS!$D$9*AM152^3+BMILMS!$E$9*AM152^2+BMILMS!$F$9*AM152+BMILMS!$G$9,IF(AM152&lt;150,BMILMS!$D$10*AM152^3+BMILMS!$E$10*AM152^2+BMILMS!$F$10*AM152+BMILMS!$G$10,BMILMS!$D$11*AM152^3+BMILMS!$E$11*AM152^2+BMILMS!$F$11*AM152+BMILMS!$G$11)))</f>
        <v>0.79584630099999998</v>
      </c>
      <c r="AK152" s="4">
        <f>IF(D152="M",(IF(AM152&lt;2.5,BMILMS!$D$21*AM152^3+BMILMS!$E$21*AM152^2+BMILMS!$F$21*AM152+BMILMS!$G$21,IF(AM152&lt;9.5,BMILMS!$D$22*AM152^3+BMILMS!$E$22*AM152^2+BMILMS!$F$22*AM152+BMILMS!$G$22,IF(AM152&lt;26.75,BMILMS!$D$23*AM152^3+BMILMS!$E$23*AM152^2+BMILMS!$F$23*AM152+BMILMS!$G$23,IF(AM152&lt;90,BMILMS!$D$24*AM152^3+BMILMS!$E$24*AM152^2+BMILMS!$F$24*AM152+BMILMS!$G$24,BMILMS!$D$25*AM152^3+BMILMS!$E$25*AM152^2+BMILMS!$F$25*AM152+BMILMS!$G$25))))),(IF(AM152&lt;2.5,BMILMS!$D$27*AM152^3+BMILMS!$E$27*AM152^2+BMILMS!$F$27*AM152+BMILMS!$G$27,IF(AM152&lt;9.5,BMILMS!$D$28*AM152^3+BMILMS!$E$28*AM152^2+BMILMS!$F$28*AM152+BMILMS!$G$28,IF(AM152&lt;26.75,BMILMS!$D$29*AM152^3+BMILMS!$E$29*AM152^2+BMILMS!$F$29*AM152+BMILMS!$G$29,IF(AM152&lt;90,BMILMS!$D$30*AM152^3+BMILMS!$E$30*AM152^2+BMILMS!$F$30*AM152+BMILMS!$G$30,IF(AM152&lt;150,BMILMS!$D$31*AM152^3+BMILMS!$E$31*AM152^2+BMILMS!$F$31*AM152+BMILMS!$G$31,BMILMS!$D$32*AM152^3+BMILMS!$E$32*AM152^2+BMILMS!$F$32*AM152+BMILMS!$G$32)))))))</f>
        <v>12.568967990000001</v>
      </c>
      <c r="AL152" s="4">
        <f>IF(D152="M",(IF(AM152&lt;90,BMILMS!$D$14*AM152^3+BMILMS!$E$14*AM152^2+BMILMS!$F$14*AM152+BMILMS!$G$14,BMILMS!$D$15*AM152^3+BMILMS!$E$15*AM152^2+BMILMS!$F$15*AM152+BMILMS!$G$15)),(IF(AM152&lt;90,BMILMS!$D$17*AM152^3+BMILMS!$E$17*AM152^2+BMILMS!$F$17*AM152+BMILMS!$G$17,BMILMS!$D$18*AM152^3+BMILMS!$E$18*AM152^2+BMILMS!$F$18*AM152+BMILMS!$G$18)))</f>
        <v>8.8969350000000003E-2</v>
      </c>
      <c r="AM152" s="4">
        <f t="shared" si="62"/>
        <v>0</v>
      </c>
      <c r="AO152" s="56">
        <f>IF(D152="M",WeightSDS!P$5*$AM152^7+WeightSDS!Q$5*$AM152^6+WeightSDS!R$5*$AM152^5+WeightSDS!S$5*$AM152^4+WeightSDS!T$5*$AM152^3+WeightSDS!U$5*$AM152^2+WeightSDS!V$5*$AM152+WeightSDS!W$5,IF($AM152&lt;186,WeightSDS!P$8*$AM152^7+WeightSDS!Q$8*$AM152^6+WeightSDS!R$8*$AM152^5+WeightSDS!S$8*$AM152^4+WeightSDS!T$8*$AM152^3+WeightSDS!U$8*$AM152^2+WeightSDS!V$8*$AM152+WeightSDS!W$8,WeightSDS!$U$9+WeightSDS!$V$9*($AM152-WeightSDS!$W$9)))</f>
        <v>0.75407122999999998</v>
      </c>
      <c r="AP152" s="4">
        <f>IF(D152="M",IF($AM152&lt;45,WeightSDS!M$23*$AM152^10+WeightSDS!N$23*$AM152^9+WeightSDS!O$23*$AM152^8+WeightSDS!P$23*$AM152^7+WeightSDS!Q$23*$AM152^6+WeightSDS!R$23*$AM152^5+WeightSDS!S$23*$AM152^4+WeightSDS!T$23*$AM152^3+WeightSDS!U$23*$AM152^2+WeightSDS!V$23*$AM152+WeightSDS!W$23,IF($AM152&lt;153,WeightSDS!M$25*$AM152^10+WeightSDS!N$25*$AM152^9+WeightSDS!O$25*$AM152^8+WeightSDS!P$25*$AM152^7+WeightSDS!Q$25*$AM152^6+WeightSDS!R$25*$AM152^5+WeightSDS!S$25*$AM152^4+WeightSDS!T$25*$AM152^3+WeightSDS!U$25*$AM152^2+WeightSDS!V$25*$AM152+WeightSDS!W$25,WeightSDS!M$27+WeightSDS!N$27/(1+EXP(WeightSDS!O$27+WeightSDS!P$27*$AM152)))),IF($AM152&lt;43.8,WeightSDS!M$29*$AM152^10+WeightSDS!N$29*$AM152^9+WeightSDS!O$29*$AM152^8+WeightSDS!P$29*$AM152^7+WeightSDS!Q$29*$AM152^6+WeightSDS!R$29*$AM152^5+WeightSDS!S$29*$AM152^4+WeightSDS!T$29*$AM152^3+WeightSDS!U$29*$AM152^2+WeightSDS!V$29*$AM152+WeightSDS!W$29-0.010431*(1-$AM152/210),IF($AM152&lt;123,WeightSDS!M$30*$AM152^10+WeightSDS!N$30*$AM152^9+WeightSDS!O$30*$AM152^8+WeightSDS!P$30*$AM152^7+WeightSDS!Q$30*$AM152^6+WeightSDS!R$30*$AM152^5+WeightSDS!S$30*$AM152^4+WeightSDS!T$30*$AM152^3+WeightSDS!U$30*$AM152^2+WeightSDS!V$30*$AM152+WeightSDS!W$30-0.010431*(1-1/$AM152),WeightSDS!M$32+WeightSDS!N$32/(1+EXP(WeightSDS!O$32+WeightSDS!P$32*$AM152))-0.010431*(1-$AM152/210))))</f>
        <v>2.9500001032655536</v>
      </c>
      <c r="AQ152" s="4">
        <f>IF(D152="M",IF($AM152&lt;162,WeightSDS!P$12*$AM152^7+WeightSDS!Q$12*$AM152^6+WeightSDS!R$12*$AM152^5+WeightSDS!S$12*$AM152^4+WeightSDS!T$12*$AM152^3+WeightSDS!U$12*$AM152^2+WeightSDS!V$12*$AM152+WeightSDS!W$12,WeightSDS!P$14*$AM152^7+WeightSDS!Q$14*$AM152^6+WeightSDS!R$14*$AM152^5+WeightSDS!S$14*$AM152^4+WeightSDS!T$14*$AM152^3+WeightSDS!U$14*$AM152^2+WeightSDS!V$14*$AM152+WeightSDS!W$14),IF($AM152&lt;156,WeightSDS!O$17*$AM152^8+WeightSDS!P$17*$AM152^7+WeightSDS!Q$17*$AM152^6+WeightSDS!R$17*$AM152^5+WeightSDS!S$17*$AM152^4+WeightSDS!T$17*$AM152^3+WeightSDS!U$17*$AM152^2+WeightSDS!V$17*$AM152+WeightSDS!W$17,IF($AM152&lt;186,WeightSDS!$U$18+(WeightSDS!$V$18-WeightSDS!$U$18)/24*($AM152-186)+WeightSDS!$W$18*(-$AM152+186)^2-0.005,WeightSDS!$U$18+(WeightSDS!$V$18-WeightSDS!$U$18)/24*($AM152-186)-0.005)))</f>
        <v>0.14604529399999999</v>
      </c>
      <c r="AT152" s="4">
        <f t="shared" si="49"/>
        <v>0.56299999999999994</v>
      </c>
      <c r="AU152" s="4">
        <f t="shared" si="50"/>
        <v>69</v>
      </c>
      <c r="AV152" s="4">
        <f t="shared" si="51"/>
        <v>0.51</v>
      </c>
    </row>
    <row r="153" spans="1:48" x14ac:dyDescent="0.15">
      <c r="A153" s="4"/>
      <c r="B153" s="21"/>
      <c r="C153" s="21"/>
      <c r="D153" s="21"/>
      <c r="E153" s="22"/>
      <c r="F153" s="22"/>
      <c r="G153" s="23"/>
      <c r="H153" s="23"/>
      <c r="I153" s="181"/>
      <c r="J153" s="8" t="str">
        <f t="shared" si="43"/>
        <v/>
      </c>
      <c r="K153" s="2" t="str">
        <f t="shared" si="52"/>
        <v/>
      </c>
      <c r="L153" s="2" t="str">
        <f t="shared" si="44"/>
        <v/>
      </c>
      <c r="M153" s="2" t="str">
        <f t="shared" si="53"/>
        <v/>
      </c>
      <c r="N153" s="2" t="str">
        <f t="shared" si="61"/>
        <v/>
      </c>
      <c r="O153" s="2" t="str">
        <f t="shared" si="54"/>
        <v/>
      </c>
      <c r="P153" s="8" t="str">
        <f t="shared" si="55"/>
        <v/>
      </c>
      <c r="Q153" s="8" t="str">
        <f t="shared" si="56"/>
        <v/>
      </c>
      <c r="R153" s="111" t="str">
        <f t="shared" si="57"/>
        <v/>
      </c>
      <c r="S153" s="44" t="str">
        <f t="shared" si="58"/>
        <v/>
      </c>
      <c r="T153" s="37" t="str">
        <f t="shared" si="59"/>
        <v/>
      </c>
      <c r="U153" s="44" t="str">
        <f t="shared" si="60"/>
        <v/>
      </c>
      <c r="V153" s="26"/>
      <c r="W153" s="26"/>
      <c r="X153" s="26"/>
      <c r="Y153" s="26"/>
      <c r="Z153" s="24"/>
      <c r="AA153" s="169">
        <f t="shared" si="45"/>
        <v>0</v>
      </c>
      <c r="AB153" s="4">
        <f t="shared" si="46"/>
        <v>0</v>
      </c>
      <c r="AC153" s="170">
        <f t="shared" si="42"/>
        <v>0</v>
      </c>
      <c r="AD153" s="58"/>
      <c r="AE153" s="58"/>
      <c r="AF153" s="58"/>
      <c r="AG153" s="59">
        <f t="shared" si="47"/>
        <v>9.0359999999999996</v>
      </c>
      <c r="AH153" s="59">
        <f t="shared" si="48"/>
        <v>-184.49199999999999</v>
      </c>
      <c r="AJ153" s="4">
        <f>IF(D153="M",IF(AM153&lt;78,BMILMS!$D$5*AM153^3+BMILMS!$E$5*AM153^2+BMILMS!$F$5*AM153+BMILMS!$G$5,IF(AM153&lt;150,BMILMS!$D$6*AM153^3+BMILMS!$E$6*AM153^2+BMILMS!$F$6*AM153+BMILMS!$G$6,BMILMS!$D$7*AM153^3+BMILMS!$E$7*AM153^2+BMILMS!$F$7*AM153+BMILMS!$G$7)),IF(AM153&lt;69,BMILMS!$D$9*AM153^3+BMILMS!$E$9*AM153^2+BMILMS!$F$9*AM153+BMILMS!$G$9,IF(AM153&lt;150,BMILMS!$D$10*AM153^3+BMILMS!$E$10*AM153^2+BMILMS!$F$10*AM153+BMILMS!$G$10,BMILMS!$D$11*AM153^3+BMILMS!$E$11*AM153^2+BMILMS!$F$11*AM153+BMILMS!$G$11)))</f>
        <v>0.79584630099999998</v>
      </c>
      <c r="AK153" s="4">
        <f>IF(D153="M",(IF(AM153&lt;2.5,BMILMS!$D$21*AM153^3+BMILMS!$E$21*AM153^2+BMILMS!$F$21*AM153+BMILMS!$G$21,IF(AM153&lt;9.5,BMILMS!$D$22*AM153^3+BMILMS!$E$22*AM153^2+BMILMS!$F$22*AM153+BMILMS!$G$22,IF(AM153&lt;26.75,BMILMS!$D$23*AM153^3+BMILMS!$E$23*AM153^2+BMILMS!$F$23*AM153+BMILMS!$G$23,IF(AM153&lt;90,BMILMS!$D$24*AM153^3+BMILMS!$E$24*AM153^2+BMILMS!$F$24*AM153+BMILMS!$G$24,BMILMS!$D$25*AM153^3+BMILMS!$E$25*AM153^2+BMILMS!$F$25*AM153+BMILMS!$G$25))))),(IF(AM153&lt;2.5,BMILMS!$D$27*AM153^3+BMILMS!$E$27*AM153^2+BMILMS!$F$27*AM153+BMILMS!$G$27,IF(AM153&lt;9.5,BMILMS!$D$28*AM153^3+BMILMS!$E$28*AM153^2+BMILMS!$F$28*AM153+BMILMS!$G$28,IF(AM153&lt;26.75,BMILMS!$D$29*AM153^3+BMILMS!$E$29*AM153^2+BMILMS!$F$29*AM153+BMILMS!$G$29,IF(AM153&lt;90,BMILMS!$D$30*AM153^3+BMILMS!$E$30*AM153^2+BMILMS!$F$30*AM153+BMILMS!$G$30,IF(AM153&lt;150,BMILMS!$D$31*AM153^3+BMILMS!$E$31*AM153^2+BMILMS!$F$31*AM153+BMILMS!$G$31,BMILMS!$D$32*AM153^3+BMILMS!$E$32*AM153^2+BMILMS!$F$32*AM153+BMILMS!$G$32)))))))</f>
        <v>12.568967990000001</v>
      </c>
      <c r="AL153" s="4">
        <f>IF(D153="M",(IF(AM153&lt;90,BMILMS!$D$14*AM153^3+BMILMS!$E$14*AM153^2+BMILMS!$F$14*AM153+BMILMS!$G$14,BMILMS!$D$15*AM153^3+BMILMS!$E$15*AM153^2+BMILMS!$F$15*AM153+BMILMS!$G$15)),(IF(AM153&lt;90,BMILMS!$D$17*AM153^3+BMILMS!$E$17*AM153^2+BMILMS!$F$17*AM153+BMILMS!$G$17,BMILMS!$D$18*AM153^3+BMILMS!$E$18*AM153^2+BMILMS!$F$18*AM153+BMILMS!$G$18)))</f>
        <v>8.8969350000000003E-2</v>
      </c>
      <c r="AM153" s="4">
        <f t="shared" si="62"/>
        <v>0</v>
      </c>
      <c r="AO153" s="56">
        <f>IF(D153="M",WeightSDS!P$5*$AM153^7+WeightSDS!Q$5*$AM153^6+WeightSDS!R$5*$AM153^5+WeightSDS!S$5*$AM153^4+WeightSDS!T$5*$AM153^3+WeightSDS!U$5*$AM153^2+WeightSDS!V$5*$AM153+WeightSDS!W$5,IF($AM153&lt;186,WeightSDS!P$8*$AM153^7+WeightSDS!Q$8*$AM153^6+WeightSDS!R$8*$AM153^5+WeightSDS!S$8*$AM153^4+WeightSDS!T$8*$AM153^3+WeightSDS!U$8*$AM153^2+WeightSDS!V$8*$AM153+WeightSDS!W$8,WeightSDS!$U$9+WeightSDS!$V$9*($AM153-WeightSDS!$W$9)))</f>
        <v>0.75407122999999998</v>
      </c>
      <c r="AP153" s="4">
        <f>IF(D153="M",IF($AM153&lt;45,WeightSDS!M$23*$AM153^10+WeightSDS!N$23*$AM153^9+WeightSDS!O$23*$AM153^8+WeightSDS!P$23*$AM153^7+WeightSDS!Q$23*$AM153^6+WeightSDS!R$23*$AM153^5+WeightSDS!S$23*$AM153^4+WeightSDS!T$23*$AM153^3+WeightSDS!U$23*$AM153^2+WeightSDS!V$23*$AM153+WeightSDS!W$23,IF($AM153&lt;153,WeightSDS!M$25*$AM153^10+WeightSDS!N$25*$AM153^9+WeightSDS!O$25*$AM153^8+WeightSDS!P$25*$AM153^7+WeightSDS!Q$25*$AM153^6+WeightSDS!R$25*$AM153^5+WeightSDS!S$25*$AM153^4+WeightSDS!T$25*$AM153^3+WeightSDS!U$25*$AM153^2+WeightSDS!V$25*$AM153+WeightSDS!W$25,WeightSDS!M$27+WeightSDS!N$27/(1+EXP(WeightSDS!O$27+WeightSDS!P$27*$AM153)))),IF($AM153&lt;43.8,WeightSDS!M$29*$AM153^10+WeightSDS!N$29*$AM153^9+WeightSDS!O$29*$AM153^8+WeightSDS!P$29*$AM153^7+WeightSDS!Q$29*$AM153^6+WeightSDS!R$29*$AM153^5+WeightSDS!S$29*$AM153^4+WeightSDS!T$29*$AM153^3+WeightSDS!U$29*$AM153^2+WeightSDS!V$29*$AM153+WeightSDS!W$29-0.010431*(1-$AM153/210),IF($AM153&lt;123,WeightSDS!M$30*$AM153^10+WeightSDS!N$30*$AM153^9+WeightSDS!O$30*$AM153^8+WeightSDS!P$30*$AM153^7+WeightSDS!Q$30*$AM153^6+WeightSDS!R$30*$AM153^5+WeightSDS!S$30*$AM153^4+WeightSDS!T$30*$AM153^3+WeightSDS!U$30*$AM153^2+WeightSDS!V$30*$AM153+WeightSDS!W$30-0.010431*(1-1/$AM153),WeightSDS!M$32+WeightSDS!N$32/(1+EXP(WeightSDS!O$32+WeightSDS!P$32*$AM153))-0.010431*(1-$AM153/210))))</f>
        <v>2.9500001032655536</v>
      </c>
      <c r="AQ153" s="4">
        <f>IF(D153="M",IF($AM153&lt;162,WeightSDS!P$12*$AM153^7+WeightSDS!Q$12*$AM153^6+WeightSDS!R$12*$AM153^5+WeightSDS!S$12*$AM153^4+WeightSDS!T$12*$AM153^3+WeightSDS!U$12*$AM153^2+WeightSDS!V$12*$AM153+WeightSDS!W$12,WeightSDS!P$14*$AM153^7+WeightSDS!Q$14*$AM153^6+WeightSDS!R$14*$AM153^5+WeightSDS!S$14*$AM153^4+WeightSDS!T$14*$AM153^3+WeightSDS!U$14*$AM153^2+WeightSDS!V$14*$AM153+WeightSDS!W$14),IF($AM153&lt;156,WeightSDS!O$17*$AM153^8+WeightSDS!P$17*$AM153^7+WeightSDS!Q$17*$AM153^6+WeightSDS!R$17*$AM153^5+WeightSDS!S$17*$AM153^4+WeightSDS!T$17*$AM153^3+WeightSDS!U$17*$AM153^2+WeightSDS!V$17*$AM153+WeightSDS!W$17,IF($AM153&lt;186,WeightSDS!$U$18+(WeightSDS!$V$18-WeightSDS!$U$18)/24*($AM153-186)+WeightSDS!$W$18*(-$AM153+186)^2-0.005,WeightSDS!$U$18+(WeightSDS!$V$18-WeightSDS!$U$18)/24*($AM153-186)-0.005)))</f>
        <v>0.14604529399999999</v>
      </c>
      <c r="AT153" s="4">
        <f t="shared" si="49"/>
        <v>0.56299999999999994</v>
      </c>
      <c r="AU153" s="4">
        <f t="shared" si="50"/>
        <v>69</v>
      </c>
      <c r="AV153" s="4">
        <f t="shared" si="51"/>
        <v>0.51</v>
      </c>
    </row>
    <row r="154" spans="1:48" x14ac:dyDescent="0.15">
      <c r="A154" s="4"/>
      <c r="B154" s="21"/>
      <c r="C154" s="21"/>
      <c r="D154" s="21"/>
      <c r="E154" s="22"/>
      <c r="F154" s="22"/>
      <c r="G154" s="23"/>
      <c r="H154" s="23"/>
      <c r="I154" s="181"/>
      <c r="J154" s="8" t="str">
        <f t="shared" si="43"/>
        <v/>
      </c>
      <c r="K154" s="2" t="str">
        <f t="shared" si="52"/>
        <v/>
      </c>
      <c r="L154" s="2" t="str">
        <f t="shared" si="44"/>
        <v/>
      </c>
      <c r="M154" s="2" t="str">
        <f t="shared" si="53"/>
        <v/>
      </c>
      <c r="N154" s="2" t="str">
        <f t="shared" si="61"/>
        <v/>
      </c>
      <c r="O154" s="2" t="str">
        <f t="shared" si="54"/>
        <v/>
      </c>
      <c r="P154" s="8" t="str">
        <f t="shared" si="55"/>
        <v/>
      </c>
      <c r="Q154" s="8" t="str">
        <f t="shared" si="56"/>
        <v/>
      </c>
      <c r="R154" s="111" t="str">
        <f t="shared" si="57"/>
        <v/>
      </c>
      <c r="S154" s="44" t="str">
        <f t="shared" si="58"/>
        <v/>
      </c>
      <c r="T154" s="37" t="str">
        <f t="shared" si="59"/>
        <v/>
      </c>
      <c r="U154" s="44" t="str">
        <f t="shared" si="60"/>
        <v/>
      </c>
      <c r="V154" s="26"/>
      <c r="W154" s="26"/>
      <c r="X154" s="26"/>
      <c r="Y154" s="26"/>
      <c r="Z154" s="24"/>
      <c r="AA154" s="169">
        <f t="shared" si="45"/>
        <v>0</v>
      </c>
      <c r="AB154" s="4">
        <f t="shared" si="46"/>
        <v>0</v>
      </c>
      <c r="AC154" s="170">
        <f t="shared" si="42"/>
        <v>0</v>
      </c>
      <c r="AD154" s="58"/>
      <c r="AE154" s="58"/>
      <c r="AF154" s="58"/>
      <c r="AG154" s="59">
        <f t="shared" si="47"/>
        <v>9.0359999999999996</v>
      </c>
      <c r="AH154" s="59">
        <f t="shared" si="48"/>
        <v>-184.49199999999999</v>
      </c>
      <c r="AJ154" s="4">
        <f>IF(D154="M",IF(AM154&lt;78,BMILMS!$D$5*AM154^3+BMILMS!$E$5*AM154^2+BMILMS!$F$5*AM154+BMILMS!$G$5,IF(AM154&lt;150,BMILMS!$D$6*AM154^3+BMILMS!$E$6*AM154^2+BMILMS!$F$6*AM154+BMILMS!$G$6,BMILMS!$D$7*AM154^3+BMILMS!$E$7*AM154^2+BMILMS!$F$7*AM154+BMILMS!$G$7)),IF(AM154&lt;69,BMILMS!$D$9*AM154^3+BMILMS!$E$9*AM154^2+BMILMS!$F$9*AM154+BMILMS!$G$9,IF(AM154&lt;150,BMILMS!$D$10*AM154^3+BMILMS!$E$10*AM154^2+BMILMS!$F$10*AM154+BMILMS!$G$10,BMILMS!$D$11*AM154^3+BMILMS!$E$11*AM154^2+BMILMS!$F$11*AM154+BMILMS!$G$11)))</f>
        <v>0.79584630099999998</v>
      </c>
      <c r="AK154" s="4">
        <f>IF(D154="M",(IF(AM154&lt;2.5,BMILMS!$D$21*AM154^3+BMILMS!$E$21*AM154^2+BMILMS!$F$21*AM154+BMILMS!$G$21,IF(AM154&lt;9.5,BMILMS!$D$22*AM154^3+BMILMS!$E$22*AM154^2+BMILMS!$F$22*AM154+BMILMS!$G$22,IF(AM154&lt;26.75,BMILMS!$D$23*AM154^3+BMILMS!$E$23*AM154^2+BMILMS!$F$23*AM154+BMILMS!$G$23,IF(AM154&lt;90,BMILMS!$D$24*AM154^3+BMILMS!$E$24*AM154^2+BMILMS!$F$24*AM154+BMILMS!$G$24,BMILMS!$D$25*AM154^3+BMILMS!$E$25*AM154^2+BMILMS!$F$25*AM154+BMILMS!$G$25))))),(IF(AM154&lt;2.5,BMILMS!$D$27*AM154^3+BMILMS!$E$27*AM154^2+BMILMS!$F$27*AM154+BMILMS!$G$27,IF(AM154&lt;9.5,BMILMS!$D$28*AM154^3+BMILMS!$E$28*AM154^2+BMILMS!$F$28*AM154+BMILMS!$G$28,IF(AM154&lt;26.75,BMILMS!$D$29*AM154^3+BMILMS!$E$29*AM154^2+BMILMS!$F$29*AM154+BMILMS!$G$29,IF(AM154&lt;90,BMILMS!$D$30*AM154^3+BMILMS!$E$30*AM154^2+BMILMS!$F$30*AM154+BMILMS!$G$30,IF(AM154&lt;150,BMILMS!$D$31*AM154^3+BMILMS!$E$31*AM154^2+BMILMS!$F$31*AM154+BMILMS!$G$31,BMILMS!$D$32*AM154^3+BMILMS!$E$32*AM154^2+BMILMS!$F$32*AM154+BMILMS!$G$32)))))))</f>
        <v>12.568967990000001</v>
      </c>
      <c r="AL154" s="4">
        <f>IF(D154="M",(IF(AM154&lt;90,BMILMS!$D$14*AM154^3+BMILMS!$E$14*AM154^2+BMILMS!$F$14*AM154+BMILMS!$G$14,BMILMS!$D$15*AM154^3+BMILMS!$E$15*AM154^2+BMILMS!$F$15*AM154+BMILMS!$G$15)),(IF(AM154&lt;90,BMILMS!$D$17*AM154^3+BMILMS!$E$17*AM154^2+BMILMS!$F$17*AM154+BMILMS!$G$17,BMILMS!$D$18*AM154^3+BMILMS!$E$18*AM154^2+BMILMS!$F$18*AM154+BMILMS!$G$18)))</f>
        <v>8.8969350000000003E-2</v>
      </c>
      <c r="AM154" s="4">
        <f t="shared" si="62"/>
        <v>0</v>
      </c>
      <c r="AO154" s="56">
        <f>IF(D154="M",WeightSDS!P$5*$AM154^7+WeightSDS!Q$5*$AM154^6+WeightSDS!R$5*$AM154^5+WeightSDS!S$5*$AM154^4+WeightSDS!T$5*$AM154^3+WeightSDS!U$5*$AM154^2+WeightSDS!V$5*$AM154+WeightSDS!W$5,IF($AM154&lt;186,WeightSDS!P$8*$AM154^7+WeightSDS!Q$8*$AM154^6+WeightSDS!R$8*$AM154^5+WeightSDS!S$8*$AM154^4+WeightSDS!T$8*$AM154^3+WeightSDS!U$8*$AM154^2+WeightSDS!V$8*$AM154+WeightSDS!W$8,WeightSDS!$U$9+WeightSDS!$V$9*($AM154-WeightSDS!$W$9)))</f>
        <v>0.75407122999999998</v>
      </c>
      <c r="AP154" s="4">
        <f>IF(D154="M",IF($AM154&lt;45,WeightSDS!M$23*$AM154^10+WeightSDS!N$23*$AM154^9+WeightSDS!O$23*$AM154^8+WeightSDS!P$23*$AM154^7+WeightSDS!Q$23*$AM154^6+WeightSDS!R$23*$AM154^5+WeightSDS!S$23*$AM154^4+WeightSDS!T$23*$AM154^3+WeightSDS!U$23*$AM154^2+WeightSDS!V$23*$AM154+WeightSDS!W$23,IF($AM154&lt;153,WeightSDS!M$25*$AM154^10+WeightSDS!N$25*$AM154^9+WeightSDS!O$25*$AM154^8+WeightSDS!P$25*$AM154^7+WeightSDS!Q$25*$AM154^6+WeightSDS!R$25*$AM154^5+WeightSDS!S$25*$AM154^4+WeightSDS!T$25*$AM154^3+WeightSDS!U$25*$AM154^2+WeightSDS!V$25*$AM154+WeightSDS!W$25,WeightSDS!M$27+WeightSDS!N$27/(1+EXP(WeightSDS!O$27+WeightSDS!P$27*$AM154)))),IF($AM154&lt;43.8,WeightSDS!M$29*$AM154^10+WeightSDS!N$29*$AM154^9+WeightSDS!O$29*$AM154^8+WeightSDS!P$29*$AM154^7+WeightSDS!Q$29*$AM154^6+WeightSDS!R$29*$AM154^5+WeightSDS!S$29*$AM154^4+WeightSDS!T$29*$AM154^3+WeightSDS!U$29*$AM154^2+WeightSDS!V$29*$AM154+WeightSDS!W$29-0.010431*(1-$AM154/210),IF($AM154&lt;123,WeightSDS!M$30*$AM154^10+WeightSDS!N$30*$AM154^9+WeightSDS!O$30*$AM154^8+WeightSDS!P$30*$AM154^7+WeightSDS!Q$30*$AM154^6+WeightSDS!R$30*$AM154^5+WeightSDS!S$30*$AM154^4+WeightSDS!T$30*$AM154^3+WeightSDS!U$30*$AM154^2+WeightSDS!V$30*$AM154+WeightSDS!W$30-0.010431*(1-1/$AM154),WeightSDS!M$32+WeightSDS!N$32/(1+EXP(WeightSDS!O$32+WeightSDS!P$32*$AM154))-0.010431*(1-$AM154/210))))</f>
        <v>2.9500001032655536</v>
      </c>
      <c r="AQ154" s="4">
        <f>IF(D154="M",IF($AM154&lt;162,WeightSDS!P$12*$AM154^7+WeightSDS!Q$12*$AM154^6+WeightSDS!R$12*$AM154^5+WeightSDS!S$12*$AM154^4+WeightSDS!T$12*$AM154^3+WeightSDS!U$12*$AM154^2+WeightSDS!V$12*$AM154+WeightSDS!W$12,WeightSDS!P$14*$AM154^7+WeightSDS!Q$14*$AM154^6+WeightSDS!R$14*$AM154^5+WeightSDS!S$14*$AM154^4+WeightSDS!T$14*$AM154^3+WeightSDS!U$14*$AM154^2+WeightSDS!V$14*$AM154+WeightSDS!W$14),IF($AM154&lt;156,WeightSDS!O$17*$AM154^8+WeightSDS!P$17*$AM154^7+WeightSDS!Q$17*$AM154^6+WeightSDS!R$17*$AM154^5+WeightSDS!S$17*$AM154^4+WeightSDS!T$17*$AM154^3+WeightSDS!U$17*$AM154^2+WeightSDS!V$17*$AM154+WeightSDS!W$17,IF($AM154&lt;186,WeightSDS!$U$18+(WeightSDS!$V$18-WeightSDS!$U$18)/24*($AM154-186)+WeightSDS!$W$18*(-$AM154+186)^2-0.005,WeightSDS!$U$18+(WeightSDS!$V$18-WeightSDS!$U$18)/24*($AM154-186)-0.005)))</f>
        <v>0.14604529399999999</v>
      </c>
      <c r="AT154" s="4">
        <f t="shared" si="49"/>
        <v>0.56299999999999994</v>
      </c>
      <c r="AU154" s="4">
        <f t="shared" si="50"/>
        <v>69</v>
      </c>
      <c r="AV154" s="4">
        <f t="shared" si="51"/>
        <v>0.51</v>
      </c>
    </row>
    <row r="155" spans="1:48" x14ac:dyDescent="0.15">
      <c r="A155" s="4"/>
      <c r="B155" s="21"/>
      <c r="C155" s="21"/>
      <c r="D155" s="21"/>
      <c r="E155" s="22"/>
      <c r="F155" s="22"/>
      <c r="G155" s="23"/>
      <c r="H155" s="23"/>
      <c r="I155" s="181"/>
      <c r="J155" s="8" t="str">
        <f t="shared" si="43"/>
        <v/>
      </c>
      <c r="K155" s="2" t="str">
        <f t="shared" si="52"/>
        <v/>
      </c>
      <c r="L155" s="2" t="str">
        <f t="shared" si="44"/>
        <v/>
      </c>
      <c r="M155" s="2" t="str">
        <f t="shared" si="53"/>
        <v/>
      </c>
      <c r="N155" s="2" t="str">
        <f t="shared" si="61"/>
        <v/>
      </c>
      <c r="O155" s="2" t="str">
        <f t="shared" si="54"/>
        <v/>
      </c>
      <c r="P155" s="8" t="str">
        <f t="shared" si="55"/>
        <v/>
      </c>
      <c r="Q155" s="8" t="str">
        <f t="shared" si="56"/>
        <v/>
      </c>
      <c r="R155" s="111" t="str">
        <f t="shared" si="57"/>
        <v/>
      </c>
      <c r="S155" s="44" t="str">
        <f t="shared" si="58"/>
        <v/>
      </c>
      <c r="T155" s="37" t="str">
        <f t="shared" si="59"/>
        <v/>
      </c>
      <c r="U155" s="44" t="str">
        <f t="shared" si="60"/>
        <v/>
      </c>
      <c r="V155" s="26"/>
      <c r="W155" s="26"/>
      <c r="X155" s="26"/>
      <c r="Y155" s="26"/>
      <c r="Z155" s="24"/>
      <c r="AA155" s="169">
        <f t="shared" si="45"/>
        <v>0</v>
      </c>
      <c r="AB155" s="4">
        <f t="shared" si="46"/>
        <v>0</v>
      </c>
      <c r="AC155" s="170">
        <f t="shared" si="42"/>
        <v>0</v>
      </c>
      <c r="AD155" s="58"/>
      <c r="AE155" s="58"/>
      <c r="AF155" s="58"/>
      <c r="AG155" s="59">
        <f t="shared" si="47"/>
        <v>9.0359999999999996</v>
      </c>
      <c r="AH155" s="59">
        <f t="shared" si="48"/>
        <v>-184.49199999999999</v>
      </c>
      <c r="AJ155" s="4">
        <f>IF(D155="M",IF(AM155&lt;78,BMILMS!$D$5*AM155^3+BMILMS!$E$5*AM155^2+BMILMS!$F$5*AM155+BMILMS!$G$5,IF(AM155&lt;150,BMILMS!$D$6*AM155^3+BMILMS!$E$6*AM155^2+BMILMS!$F$6*AM155+BMILMS!$G$6,BMILMS!$D$7*AM155^3+BMILMS!$E$7*AM155^2+BMILMS!$F$7*AM155+BMILMS!$G$7)),IF(AM155&lt;69,BMILMS!$D$9*AM155^3+BMILMS!$E$9*AM155^2+BMILMS!$F$9*AM155+BMILMS!$G$9,IF(AM155&lt;150,BMILMS!$D$10*AM155^3+BMILMS!$E$10*AM155^2+BMILMS!$F$10*AM155+BMILMS!$G$10,BMILMS!$D$11*AM155^3+BMILMS!$E$11*AM155^2+BMILMS!$F$11*AM155+BMILMS!$G$11)))</f>
        <v>0.79584630099999998</v>
      </c>
      <c r="AK155" s="4">
        <f>IF(D155="M",(IF(AM155&lt;2.5,BMILMS!$D$21*AM155^3+BMILMS!$E$21*AM155^2+BMILMS!$F$21*AM155+BMILMS!$G$21,IF(AM155&lt;9.5,BMILMS!$D$22*AM155^3+BMILMS!$E$22*AM155^2+BMILMS!$F$22*AM155+BMILMS!$G$22,IF(AM155&lt;26.75,BMILMS!$D$23*AM155^3+BMILMS!$E$23*AM155^2+BMILMS!$F$23*AM155+BMILMS!$G$23,IF(AM155&lt;90,BMILMS!$D$24*AM155^3+BMILMS!$E$24*AM155^2+BMILMS!$F$24*AM155+BMILMS!$G$24,BMILMS!$D$25*AM155^3+BMILMS!$E$25*AM155^2+BMILMS!$F$25*AM155+BMILMS!$G$25))))),(IF(AM155&lt;2.5,BMILMS!$D$27*AM155^3+BMILMS!$E$27*AM155^2+BMILMS!$F$27*AM155+BMILMS!$G$27,IF(AM155&lt;9.5,BMILMS!$D$28*AM155^3+BMILMS!$E$28*AM155^2+BMILMS!$F$28*AM155+BMILMS!$G$28,IF(AM155&lt;26.75,BMILMS!$D$29*AM155^3+BMILMS!$E$29*AM155^2+BMILMS!$F$29*AM155+BMILMS!$G$29,IF(AM155&lt;90,BMILMS!$D$30*AM155^3+BMILMS!$E$30*AM155^2+BMILMS!$F$30*AM155+BMILMS!$G$30,IF(AM155&lt;150,BMILMS!$D$31*AM155^3+BMILMS!$E$31*AM155^2+BMILMS!$F$31*AM155+BMILMS!$G$31,BMILMS!$D$32*AM155^3+BMILMS!$E$32*AM155^2+BMILMS!$F$32*AM155+BMILMS!$G$32)))))))</f>
        <v>12.568967990000001</v>
      </c>
      <c r="AL155" s="4">
        <f>IF(D155="M",(IF(AM155&lt;90,BMILMS!$D$14*AM155^3+BMILMS!$E$14*AM155^2+BMILMS!$F$14*AM155+BMILMS!$G$14,BMILMS!$D$15*AM155^3+BMILMS!$E$15*AM155^2+BMILMS!$F$15*AM155+BMILMS!$G$15)),(IF(AM155&lt;90,BMILMS!$D$17*AM155^3+BMILMS!$E$17*AM155^2+BMILMS!$F$17*AM155+BMILMS!$G$17,BMILMS!$D$18*AM155^3+BMILMS!$E$18*AM155^2+BMILMS!$F$18*AM155+BMILMS!$G$18)))</f>
        <v>8.8969350000000003E-2</v>
      </c>
      <c r="AM155" s="4">
        <f t="shared" si="62"/>
        <v>0</v>
      </c>
      <c r="AO155" s="56">
        <f>IF(D155="M",WeightSDS!P$5*$AM155^7+WeightSDS!Q$5*$AM155^6+WeightSDS!R$5*$AM155^5+WeightSDS!S$5*$AM155^4+WeightSDS!T$5*$AM155^3+WeightSDS!U$5*$AM155^2+WeightSDS!V$5*$AM155+WeightSDS!W$5,IF($AM155&lt;186,WeightSDS!P$8*$AM155^7+WeightSDS!Q$8*$AM155^6+WeightSDS!R$8*$AM155^5+WeightSDS!S$8*$AM155^4+WeightSDS!T$8*$AM155^3+WeightSDS!U$8*$AM155^2+WeightSDS!V$8*$AM155+WeightSDS!W$8,WeightSDS!$U$9+WeightSDS!$V$9*($AM155-WeightSDS!$W$9)))</f>
        <v>0.75407122999999998</v>
      </c>
      <c r="AP155" s="4">
        <f>IF(D155="M",IF($AM155&lt;45,WeightSDS!M$23*$AM155^10+WeightSDS!N$23*$AM155^9+WeightSDS!O$23*$AM155^8+WeightSDS!P$23*$AM155^7+WeightSDS!Q$23*$AM155^6+WeightSDS!R$23*$AM155^5+WeightSDS!S$23*$AM155^4+WeightSDS!T$23*$AM155^3+WeightSDS!U$23*$AM155^2+WeightSDS!V$23*$AM155+WeightSDS!W$23,IF($AM155&lt;153,WeightSDS!M$25*$AM155^10+WeightSDS!N$25*$AM155^9+WeightSDS!O$25*$AM155^8+WeightSDS!P$25*$AM155^7+WeightSDS!Q$25*$AM155^6+WeightSDS!R$25*$AM155^5+WeightSDS!S$25*$AM155^4+WeightSDS!T$25*$AM155^3+WeightSDS!U$25*$AM155^2+WeightSDS!V$25*$AM155+WeightSDS!W$25,WeightSDS!M$27+WeightSDS!N$27/(1+EXP(WeightSDS!O$27+WeightSDS!P$27*$AM155)))),IF($AM155&lt;43.8,WeightSDS!M$29*$AM155^10+WeightSDS!N$29*$AM155^9+WeightSDS!O$29*$AM155^8+WeightSDS!P$29*$AM155^7+WeightSDS!Q$29*$AM155^6+WeightSDS!R$29*$AM155^5+WeightSDS!S$29*$AM155^4+WeightSDS!T$29*$AM155^3+WeightSDS!U$29*$AM155^2+WeightSDS!V$29*$AM155+WeightSDS!W$29-0.010431*(1-$AM155/210),IF($AM155&lt;123,WeightSDS!M$30*$AM155^10+WeightSDS!N$30*$AM155^9+WeightSDS!O$30*$AM155^8+WeightSDS!P$30*$AM155^7+WeightSDS!Q$30*$AM155^6+WeightSDS!R$30*$AM155^5+WeightSDS!S$30*$AM155^4+WeightSDS!T$30*$AM155^3+WeightSDS!U$30*$AM155^2+WeightSDS!V$30*$AM155+WeightSDS!W$30-0.010431*(1-1/$AM155),WeightSDS!M$32+WeightSDS!N$32/(1+EXP(WeightSDS!O$32+WeightSDS!P$32*$AM155))-0.010431*(1-$AM155/210))))</f>
        <v>2.9500001032655536</v>
      </c>
      <c r="AQ155" s="4">
        <f>IF(D155="M",IF($AM155&lt;162,WeightSDS!P$12*$AM155^7+WeightSDS!Q$12*$AM155^6+WeightSDS!R$12*$AM155^5+WeightSDS!S$12*$AM155^4+WeightSDS!T$12*$AM155^3+WeightSDS!U$12*$AM155^2+WeightSDS!V$12*$AM155+WeightSDS!W$12,WeightSDS!P$14*$AM155^7+WeightSDS!Q$14*$AM155^6+WeightSDS!R$14*$AM155^5+WeightSDS!S$14*$AM155^4+WeightSDS!T$14*$AM155^3+WeightSDS!U$14*$AM155^2+WeightSDS!V$14*$AM155+WeightSDS!W$14),IF($AM155&lt;156,WeightSDS!O$17*$AM155^8+WeightSDS!P$17*$AM155^7+WeightSDS!Q$17*$AM155^6+WeightSDS!R$17*$AM155^5+WeightSDS!S$17*$AM155^4+WeightSDS!T$17*$AM155^3+WeightSDS!U$17*$AM155^2+WeightSDS!V$17*$AM155+WeightSDS!W$17,IF($AM155&lt;186,WeightSDS!$U$18+(WeightSDS!$V$18-WeightSDS!$U$18)/24*($AM155-186)+WeightSDS!$W$18*(-$AM155+186)^2-0.005,WeightSDS!$U$18+(WeightSDS!$V$18-WeightSDS!$U$18)/24*($AM155-186)-0.005)))</f>
        <v>0.14604529399999999</v>
      </c>
      <c r="AT155" s="4">
        <f t="shared" si="49"/>
        <v>0.56299999999999994</v>
      </c>
      <c r="AU155" s="4">
        <f t="shared" si="50"/>
        <v>69</v>
      </c>
      <c r="AV155" s="4">
        <f t="shared" si="51"/>
        <v>0.51</v>
      </c>
    </row>
    <row r="156" spans="1:48" x14ac:dyDescent="0.15">
      <c r="A156" s="4"/>
      <c r="B156" s="21"/>
      <c r="C156" s="21"/>
      <c r="D156" s="21"/>
      <c r="E156" s="22"/>
      <c r="F156" s="22"/>
      <c r="G156" s="23"/>
      <c r="H156" s="23"/>
      <c r="I156" s="181"/>
      <c r="J156" s="8" t="str">
        <f t="shared" si="43"/>
        <v/>
      </c>
      <c r="K156" s="2" t="str">
        <f t="shared" si="52"/>
        <v/>
      </c>
      <c r="L156" s="2" t="str">
        <f t="shared" si="44"/>
        <v/>
      </c>
      <c r="M156" s="2" t="str">
        <f t="shared" si="53"/>
        <v/>
      </c>
      <c r="N156" s="2" t="str">
        <f t="shared" si="61"/>
        <v/>
      </c>
      <c r="O156" s="2" t="str">
        <f t="shared" si="54"/>
        <v/>
      </c>
      <c r="P156" s="8" t="str">
        <f t="shared" si="55"/>
        <v/>
      </c>
      <c r="Q156" s="8" t="str">
        <f t="shared" si="56"/>
        <v/>
      </c>
      <c r="R156" s="111" t="str">
        <f t="shared" si="57"/>
        <v/>
      </c>
      <c r="S156" s="44" t="str">
        <f t="shared" si="58"/>
        <v/>
      </c>
      <c r="T156" s="37" t="str">
        <f t="shared" si="59"/>
        <v/>
      </c>
      <c r="U156" s="44" t="str">
        <f t="shared" si="60"/>
        <v/>
      </c>
      <c r="V156" s="26"/>
      <c r="W156" s="26"/>
      <c r="X156" s="26"/>
      <c r="Y156" s="26"/>
      <c r="Z156" s="24"/>
      <c r="AA156" s="169">
        <f t="shared" si="45"/>
        <v>0</v>
      </c>
      <c r="AB156" s="4">
        <f t="shared" si="46"/>
        <v>0</v>
      </c>
      <c r="AC156" s="170">
        <f t="shared" si="42"/>
        <v>0</v>
      </c>
      <c r="AD156" s="58"/>
      <c r="AE156" s="58"/>
      <c r="AF156" s="58"/>
      <c r="AG156" s="59">
        <f t="shared" si="47"/>
        <v>9.0359999999999996</v>
      </c>
      <c r="AH156" s="59">
        <f t="shared" si="48"/>
        <v>-184.49199999999999</v>
      </c>
      <c r="AJ156" s="4">
        <f>IF(D156="M",IF(AM156&lt;78,BMILMS!$D$5*AM156^3+BMILMS!$E$5*AM156^2+BMILMS!$F$5*AM156+BMILMS!$G$5,IF(AM156&lt;150,BMILMS!$D$6*AM156^3+BMILMS!$E$6*AM156^2+BMILMS!$F$6*AM156+BMILMS!$G$6,BMILMS!$D$7*AM156^3+BMILMS!$E$7*AM156^2+BMILMS!$F$7*AM156+BMILMS!$G$7)),IF(AM156&lt;69,BMILMS!$D$9*AM156^3+BMILMS!$E$9*AM156^2+BMILMS!$F$9*AM156+BMILMS!$G$9,IF(AM156&lt;150,BMILMS!$D$10*AM156^3+BMILMS!$E$10*AM156^2+BMILMS!$F$10*AM156+BMILMS!$G$10,BMILMS!$D$11*AM156^3+BMILMS!$E$11*AM156^2+BMILMS!$F$11*AM156+BMILMS!$G$11)))</f>
        <v>0.79584630099999998</v>
      </c>
      <c r="AK156" s="4">
        <f>IF(D156="M",(IF(AM156&lt;2.5,BMILMS!$D$21*AM156^3+BMILMS!$E$21*AM156^2+BMILMS!$F$21*AM156+BMILMS!$G$21,IF(AM156&lt;9.5,BMILMS!$D$22*AM156^3+BMILMS!$E$22*AM156^2+BMILMS!$F$22*AM156+BMILMS!$G$22,IF(AM156&lt;26.75,BMILMS!$D$23*AM156^3+BMILMS!$E$23*AM156^2+BMILMS!$F$23*AM156+BMILMS!$G$23,IF(AM156&lt;90,BMILMS!$D$24*AM156^3+BMILMS!$E$24*AM156^2+BMILMS!$F$24*AM156+BMILMS!$G$24,BMILMS!$D$25*AM156^3+BMILMS!$E$25*AM156^2+BMILMS!$F$25*AM156+BMILMS!$G$25))))),(IF(AM156&lt;2.5,BMILMS!$D$27*AM156^3+BMILMS!$E$27*AM156^2+BMILMS!$F$27*AM156+BMILMS!$G$27,IF(AM156&lt;9.5,BMILMS!$D$28*AM156^3+BMILMS!$E$28*AM156^2+BMILMS!$F$28*AM156+BMILMS!$G$28,IF(AM156&lt;26.75,BMILMS!$D$29*AM156^3+BMILMS!$E$29*AM156^2+BMILMS!$F$29*AM156+BMILMS!$G$29,IF(AM156&lt;90,BMILMS!$D$30*AM156^3+BMILMS!$E$30*AM156^2+BMILMS!$F$30*AM156+BMILMS!$G$30,IF(AM156&lt;150,BMILMS!$D$31*AM156^3+BMILMS!$E$31*AM156^2+BMILMS!$F$31*AM156+BMILMS!$G$31,BMILMS!$D$32*AM156^3+BMILMS!$E$32*AM156^2+BMILMS!$F$32*AM156+BMILMS!$G$32)))))))</f>
        <v>12.568967990000001</v>
      </c>
      <c r="AL156" s="4">
        <f>IF(D156="M",(IF(AM156&lt;90,BMILMS!$D$14*AM156^3+BMILMS!$E$14*AM156^2+BMILMS!$F$14*AM156+BMILMS!$G$14,BMILMS!$D$15*AM156^3+BMILMS!$E$15*AM156^2+BMILMS!$F$15*AM156+BMILMS!$G$15)),(IF(AM156&lt;90,BMILMS!$D$17*AM156^3+BMILMS!$E$17*AM156^2+BMILMS!$F$17*AM156+BMILMS!$G$17,BMILMS!$D$18*AM156^3+BMILMS!$E$18*AM156^2+BMILMS!$F$18*AM156+BMILMS!$G$18)))</f>
        <v>8.8969350000000003E-2</v>
      </c>
      <c r="AM156" s="4">
        <f t="shared" si="62"/>
        <v>0</v>
      </c>
      <c r="AO156" s="56">
        <f>IF(D156="M",WeightSDS!P$5*$AM156^7+WeightSDS!Q$5*$AM156^6+WeightSDS!R$5*$AM156^5+WeightSDS!S$5*$AM156^4+WeightSDS!T$5*$AM156^3+WeightSDS!U$5*$AM156^2+WeightSDS!V$5*$AM156+WeightSDS!W$5,IF($AM156&lt;186,WeightSDS!P$8*$AM156^7+WeightSDS!Q$8*$AM156^6+WeightSDS!R$8*$AM156^5+WeightSDS!S$8*$AM156^4+WeightSDS!T$8*$AM156^3+WeightSDS!U$8*$AM156^2+WeightSDS!V$8*$AM156+WeightSDS!W$8,WeightSDS!$U$9+WeightSDS!$V$9*($AM156-WeightSDS!$W$9)))</f>
        <v>0.75407122999999998</v>
      </c>
      <c r="AP156" s="4">
        <f>IF(D156="M",IF($AM156&lt;45,WeightSDS!M$23*$AM156^10+WeightSDS!N$23*$AM156^9+WeightSDS!O$23*$AM156^8+WeightSDS!P$23*$AM156^7+WeightSDS!Q$23*$AM156^6+WeightSDS!R$23*$AM156^5+WeightSDS!S$23*$AM156^4+WeightSDS!T$23*$AM156^3+WeightSDS!U$23*$AM156^2+WeightSDS!V$23*$AM156+WeightSDS!W$23,IF($AM156&lt;153,WeightSDS!M$25*$AM156^10+WeightSDS!N$25*$AM156^9+WeightSDS!O$25*$AM156^8+WeightSDS!P$25*$AM156^7+WeightSDS!Q$25*$AM156^6+WeightSDS!R$25*$AM156^5+WeightSDS!S$25*$AM156^4+WeightSDS!T$25*$AM156^3+WeightSDS!U$25*$AM156^2+WeightSDS!V$25*$AM156+WeightSDS!W$25,WeightSDS!M$27+WeightSDS!N$27/(1+EXP(WeightSDS!O$27+WeightSDS!P$27*$AM156)))),IF($AM156&lt;43.8,WeightSDS!M$29*$AM156^10+WeightSDS!N$29*$AM156^9+WeightSDS!O$29*$AM156^8+WeightSDS!P$29*$AM156^7+WeightSDS!Q$29*$AM156^6+WeightSDS!R$29*$AM156^5+WeightSDS!S$29*$AM156^4+WeightSDS!T$29*$AM156^3+WeightSDS!U$29*$AM156^2+WeightSDS!V$29*$AM156+WeightSDS!W$29-0.010431*(1-$AM156/210),IF($AM156&lt;123,WeightSDS!M$30*$AM156^10+WeightSDS!N$30*$AM156^9+WeightSDS!O$30*$AM156^8+WeightSDS!P$30*$AM156^7+WeightSDS!Q$30*$AM156^6+WeightSDS!R$30*$AM156^5+WeightSDS!S$30*$AM156^4+WeightSDS!T$30*$AM156^3+WeightSDS!U$30*$AM156^2+WeightSDS!V$30*$AM156+WeightSDS!W$30-0.010431*(1-1/$AM156),WeightSDS!M$32+WeightSDS!N$32/(1+EXP(WeightSDS!O$32+WeightSDS!P$32*$AM156))-0.010431*(1-$AM156/210))))</f>
        <v>2.9500001032655536</v>
      </c>
      <c r="AQ156" s="4">
        <f>IF(D156="M",IF($AM156&lt;162,WeightSDS!P$12*$AM156^7+WeightSDS!Q$12*$AM156^6+WeightSDS!R$12*$AM156^5+WeightSDS!S$12*$AM156^4+WeightSDS!T$12*$AM156^3+WeightSDS!U$12*$AM156^2+WeightSDS!V$12*$AM156+WeightSDS!W$12,WeightSDS!P$14*$AM156^7+WeightSDS!Q$14*$AM156^6+WeightSDS!R$14*$AM156^5+WeightSDS!S$14*$AM156^4+WeightSDS!T$14*$AM156^3+WeightSDS!U$14*$AM156^2+WeightSDS!V$14*$AM156+WeightSDS!W$14),IF($AM156&lt;156,WeightSDS!O$17*$AM156^8+WeightSDS!P$17*$AM156^7+WeightSDS!Q$17*$AM156^6+WeightSDS!R$17*$AM156^5+WeightSDS!S$17*$AM156^4+WeightSDS!T$17*$AM156^3+WeightSDS!U$17*$AM156^2+WeightSDS!V$17*$AM156+WeightSDS!W$17,IF($AM156&lt;186,WeightSDS!$U$18+(WeightSDS!$V$18-WeightSDS!$U$18)/24*($AM156-186)+WeightSDS!$W$18*(-$AM156+186)^2-0.005,WeightSDS!$U$18+(WeightSDS!$V$18-WeightSDS!$U$18)/24*($AM156-186)-0.005)))</f>
        <v>0.14604529399999999</v>
      </c>
      <c r="AT156" s="4">
        <f t="shared" si="49"/>
        <v>0.56299999999999994</v>
      </c>
      <c r="AU156" s="4">
        <f t="shared" si="50"/>
        <v>69</v>
      </c>
      <c r="AV156" s="4">
        <f t="shared" si="51"/>
        <v>0.51</v>
      </c>
    </row>
    <row r="157" spans="1:48" x14ac:dyDescent="0.15">
      <c r="A157" s="4"/>
      <c r="B157" s="21"/>
      <c r="C157" s="21"/>
      <c r="D157" s="21"/>
      <c r="E157" s="22"/>
      <c r="F157" s="22"/>
      <c r="G157" s="23"/>
      <c r="H157" s="23"/>
      <c r="I157" s="181"/>
      <c r="J157" s="8" t="str">
        <f t="shared" si="43"/>
        <v/>
      </c>
      <c r="K157" s="2" t="str">
        <f t="shared" si="52"/>
        <v/>
      </c>
      <c r="L157" s="2" t="str">
        <f t="shared" si="44"/>
        <v/>
      </c>
      <c r="M157" s="2" t="str">
        <f t="shared" si="53"/>
        <v/>
      </c>
      <c r="N157" s="2" t="str">
        <f t="shared" si="61"/>
        <v/>
      </c>
      <c r="O157" s="2" t="str">
        <f t="shared" si="54"/>
        <v/>
      </c>
      <c r="P157" s="8" t="str">
        <f t="shared" si="55"/>
        <v/>
      </c>
      <c r="Q157" s="8" t="str">
        <f t="shared" si="56"/>
        <v/>
      </c>
      <c r="R157" s="111" t="str">
        <f t="shared" si="57"/>
        <v/>
      </c>
      <c r="S157" s="44" t="str">
        <f t="shared" si="58"/>
        <v/>
      </c>
      <c r="T157" s="37" t="str">
        <f t="shared" si="59"/>
        <v/>
      </c>
      <c r="U157" s="44" t="str">
        <f t="shared" si="60"/>
        <v/>
      </c>
      <c r="V157" s="26"/>
      <c r="W157" s="26"/>
      <c r="X157" s="26"/>
      <c r="Y157" s="26"/>
      <c r="Z157" s="24"/>
      <c r="AA157" s="169">
        <f t="shared" si="45"/>
        <v>0</v>
      </c>
      <c r="AB157" s="4">
        <f t="shared" si="46"/>
        <v>0</v>
      </c>
      <c r="AC157" s="170">
        <f t="shared" si="42"/>
        <v>0</v>
      </c>
      <c r="AD157" s="58"/>
      <c r="AE157" s="58"/>
      <c r="AF157" s="58"/>
      <c r="AG157" s="59">
        <f t="shared" si="47"/>
        <v>9.0359999999999996</v>
      </c>
      <c r="AH157" s="59">
        <f t="shared" si="48"/>
        <v>-184.49199999999999</v>
      </c>
      <c r="AJ157" s="4">
        <f>IF(D157="M",IF(AM157&lt;78,BMILMS!$D$5*AM157^3+BMILMS!$E$5*AM157^2+BMILMS!$F$5*AM157+BMILMS!$G$5,IF(AM157&lt;150,BMILMS!$D$6*AM157^3+BMILMS!$E$6*AM157^2+BMILMS!$F$6*AM157+BMILMS!$G$6,BMILMS!$D$7*AM157^3+BMILMS!$E$7*AM157^2+BMILMS!$F$7*AM157+BMILMS!$G$7)),IF(AM157&lt;69,BMILMS!$D$9*AM157^3+BMILMS!$E$9*AM157^2+BMILMS!$F$9*AM157+BMILMS!$G$9,IF(AM157&lt;150,BMILMS!$D$10*AM157^3+BMILMS!$E$10*AM157^2+BMILMS!$F$10*AM157+BMILMS!$G$10,BMILMS!$D$11*AM157^3+BMILMS!$E$11*AM157^2+BMILMS!$F$11*AM157+BMILMS!$G$11)))</f>
        <v>0.79584630099999998</v>
      </c>
      <c r="AK157" s="4">
        <f>IF(D157="M",(IF(AM157&lt;2.5,BMILMS!$D$21*AM157^3+BMILMS!$E$21*AM157^2+BMILMS!$F$21*AM157+BMILMS!$G$21,IF(AM157&lt;9.5,BMILMS!$D$22*AM157^3+BMILMS!$E$22*AM157^2+BMILMS!$F$22*AM157+BMILMS!$G$22,IF(AM157&lt;26.75,BMILMS!$D$23*AM157^3+BMILMS!$E$23*AM157^2+BMILMS!$F$23*AM157+BMILMS!$G$23,IF(AM157&lt;90,BMILMS!$D$24*AM157^3+BMILMS!$E$24*AM157^2+BMILMS!$F$24*AM157+BMILMS!$G$24,BMILMS!$D$25*AM157^3+BMILMS!$E$25*AM157^2+BMILMS!$F$25*AM157+BMILMS!$G$25))))),(IF(AM157&lt;2.5,BMILMS!$D$27*AM157^3+BMILMS!$E$27*AM157^2+BMILMS!$F$27*AM157+BMILMS!$G$27,IF(AM157&lt;9.5,BMILMS!$D$28*AM157^3+BMILMS!$E$28*AM157^2+BMILMS!$F$28*AM157+BMILMS!$G$28,IF(AM157&lt;26.75,BMILMS!$D$29*AM157^3+BMILMS!$E$29*AM157^2+BMILMS!$F$29*AM157+BMILMS!$G$29,IF(AM157&lt;90,BMILMS!$D$30*AM157^3+BMILMS!$E$30*AM157^2+BMILMS!$F$30*AM157+BMILMS!$G$30,IF(AM157&lt;150,BMILMS!$D$31*AM157^3+BMILMS!$E$31*AM157^2+BMILMS!$F$31*AM157+BMILMS!$G$31,BMILMS!$D$32*AM157^3+BMILMS!$E$32*AM157^2+BMILMS!$F$32*AM157+BMILMS!$G$32)))))))</f>
        <v>12.568967990000001</v>
      </c>
      <c r="AL157" s="4">
        <f>IF(D157="M",(IF(AM157&lt;90,BMILMS!$D$14*AM157^3+BMILMS!$E$14*AM157^2+BMILMS!$F$14*AM157+BMILMS!$G$14,BMILMS!$D$15*AM157^3+BMILMS!$E$15*AM157^2+BMILMS!$F$15*AM157+BMILMS!$G$15)),(IF(AM157&lt;90,BMILMS!$D$17*AM157^3+BMILMS!$E$17*AM157^2+BMILMS!$F$17*AM157+BMILMS!$G$17,BMILMS!$D$18*AM157^3+BMILMS!$E$18*AM157^2+BMILMS!$F$18*AM157+BMILMS!$G$18)))</f>
        <v>8.8969350000000003E-2</v>
      </c>
      <c r="AM157" s="4">
        <f t="shared" si="62"/>
        <v>0</v>
      </c>
      <c r="AO157" s="56">
        <f>IF(D157="M",WeightSDS!P$5*$AM157^7+WeightSDS!Q$5*$AM157^6+WeightSDS!R$5*$AM157^5+WeightSDS!S$5*$AM157^4+WeightSDS!T$5*$AM157^3+WeightSDS!U$5*$AM157^2+WeightSDS!V$5*$AM157+WeightSDS!W$5,IF($AM157&lt;186,WeightSDS!P$8*$AM157^7+WeightSDS!Q$8*$AM157^6+WeightSDS!R$8*$AM157^5+WeightSDS!S$8*$AM157^4+WeightSDS!T$8*$AM157^3+WeightSDS!U$8*$AM157^2+WeightSDS!V$8*$AM157+WeightSDS!W$8,WeightSDS!$U$9+WeightSDS!$V$9*($AM157-WeightSDS!$W$9)))</f>
        <v>0.75407122999999998</v>
      </c>
      <c r="AP157" s="4">
        <f>IF(D157="M",IF($AM157&lt;45,WeightSDS!M$23*$AM157^10+WeightSDS!N$23*$AM157^9+WeightSDS!O$23*$AM157^8+WeightSDS!P$23*$AM157^7+WeightSDS!Q$23*$AM157^6+WeightSDS!R$23*$AM157^5+WeightSDS!S$23*$AM157^4+WeightSDS!T$23*$AM157^3+WeightSDS!U$23*$AM157^2+WeightSDS!V$23*$AM157+WeightSDS!W$23,IF($AM157&lt;153,WeightSDS!M$25*$AM157^10+WeightSDS!N$25*$AM157^9+WeightSDS!O$25*$AM157^8+WeightSDS!P$25*$AM157^7+WeightSDS!Q$25*$AM157^6+WeightSDS!R$25*$AM157^5+WeightSDS!S$25*$AM157^4+WeightSDS!T$25*$AM157^3+WeightSDS!U$25*$AM157^2+WeightSDS!V$25*$AM157+WeightSDS!W$25,WeightSDS!M$27+WeightSDS!N$27/(1+EXP(WeightSDS!O$27+WeightSDS!P$27*$AM157)))),IF($AM157&lt;43.8,WeightSDS!M$29*$AM157^10+WeightSDS!N$29*$AM157^9+WeightSDS!O$29*$AM157^8+WeightSDS!P$29*$AM157^7+WeightSDS!Q$29*$AM157^6+WeightSDS!R$29*$AM157^5+WeightSDS!S$29*$AM157^4+WeightSDS!T$29*$AM157^3+WeightSDS!U$29*$AM157^2+WeightSDS!V$29*$AM157+WeightSDS!W$29-0.010431*(1-$AM157/210),IF($AM157&lt;123,WeightSDS!M$30*$AM157^10+WeightSDS!N$30*$AM157^9+WeightSDS!O$30*$AM157^8+WeightSDS!P$30*$AM157^7+WeightSDS!Q$30*$AM157^6+WeightSDS!R$30*$AM157^5+WeightSDS!S$30*$AM157^4+WeightSDS!T$30*$AM157^3+WeightSDS!U$30*$AM157^2+WeightSDS!V$30*$AM157+WeightSDS!W$30-0.010431*(1-1/$AM157),WeightSDS!M$32+WeightSDS!N$32/(1+EXP(WeightSDS!O$32+WeightSDS!P$32*$AM157))-0.010431*(1-$AM157/210))))</f>
        <v>2.9500001032655536</v>
      </c>
      <c r="AQ157" s="4">
        <f>IF(D157="M",IF($AM157&lt;162,WeightSDS!P$12*$AM157^7+WeightSDS!Q$12*$AM157^6+WeightSDS!R$12*$AM157^5+WeightSDS!S$12*$AM157^4+WeightSDS!T$12*$AM157^3+WeightSDS!U$12*$AM157^2+WeightSDS!V$12*$AM157+WeightSDS!W$12,WeightSDS!P$14*$AM157^7+WeightSDS!Q$14*$AM157^6+WeightSDS!R$14*$AM157^5+WeightSDS!S$14*$AM157^4+WeightSDS!T$14*$AM157^3+WeightSDS!U$14*$AM157^2+WeightSDS!V$14*$AM157+WeightSDS!W$14),IF($AM157&lt;156,WeightSDS!O$17*$AM157^8+WeightSDS!P$17*$AM157^7+WeightSDS!Q$17*$AM157^6+WeightSDS!R$17*$AM157^5+WeightSDS!S$17*$AM157^4+WeightSDS!T$17*$AM157^3+WeightSDS!U$17*$AM157^2+WeightSDS!V$17*$AM157+WeightSDS!W$17,IF($AM157&lt;186,WeightSDS!$U$18+(WeightSDS!$V$18-WeightSDS!$U$18)/24*($AM157-186)+WeightSDS!$W$18*(-$AM157+186)^2-0.005,WeightSDS!$U$18+(WeightSDS!$V$18-WeightSDS!$U$18)/24*($AM157-186)-0.005)))</f>
        <v>0.14604529399999999</v>
      </c>
      <c r="AT157" s="4">
        <f t="shared" si="49"/>
        <v>0.56299999999999994</v>
      </c>
      <c r="AU157" s="4">
        <f t="shared" si="50"/>
        <v>69</v>
      </c>
      <c r="AV157" s="4">
        <f t="shared" si="51"/>
        <v>0.51</v>
      </c>
    </row>
    <row r="158" spans="1:48" x14ac:dyDescent="0.15">
      <c r="A158" s="4"/>
      <c r="B158" s="21"/>
      <c r="C158" s="21"/>
      <c r="D158" s="21"/>
      <c r="E158" s="22"/>
      <c r="F158" s="22"/>
      <c r="G158" s="23"/>
      <c r="H158" s="23"/>
      <c r="I158" s="181"/>
      <c r="J158" s="8" t="str">
        <f t="shared" si="43"/>
        <v/>
      </c>
      <c r="K158" s="2" t="str">
        <f t="shared" si="52"/>
        <v/>
      </c>
      <c r="L158" s="2" t="str">
        <f t="shared" si="44"/>
        <v/>
      </c>
      <c r="M158" s="2" t="str">
        <f t="shared" si="53"/>
        <v/>
      </c>
      <c r="N158" s="2" t="str">
        <f t="shared" si="61"/>
        <v/>
      </c>
      <c r="O158" s="2" t="str">
        <f t="shared" si="54"/>
        <v/>
      </c>
      <c r="P158" s="8" t="str">
        <f t="shared" si="55"/>
        <v/>
      </c>
      <c r="Q158" s="8" t="str">
        <f t="shared" si="56"/>
        <v/>
      </c>
      <c r="R158" s="111" t="str">
        <f t="shared" si="57"/>
        <v/>
      </c>
      <c r="S158" s="44" t="str">
        <f t="shared" si="58"/>
        <v/>
      </c>
      <c r="T158" s="37" t="str">
        <f t="shared" si="59"/>
        <v/>
      </c>
      <c r="U158" s="44" t="str">
        <f t="shared" si="60"/>
        <v/>
      </c>
      <c r="V158" s="26"/>
      <c r="W158" s="26"/>
      <c r="X158" s="26"/>
      <c r="Y158" s="26"/>
      <c r="Z158" s="24"/>
      <c r="AA158" s="169">
        <f t="shared" si="45"/>
        <v>0</v>
      </c>
      <c r="AB158" s="4">
        <f t="shared" si="46"/>
        <v>0</v>
      </c>
      <c r="AC158" s="170">
        <f t="shared" ref="AC158:AC221" si="63">DATEDIF(E158,F158,"Y")+(F158-(DATE(YEAR(E158)+DATEDIF(E158,F158,"Y"),MONTH(E158),DAY(E158))))/(365+IF(MOD(YEAR((DATE(YEAR(F158)-1,MONTH(E158),DAY(E158)))),4)=0,IF((DATE(YEAR(F158)-1,MONTH(E158),DAY(E158)))&gt;DATE(YEAR((DATE(YEAR(F158)-1,MONTH(E158),DAY(E158)))),2,29),0,1),0)+IF(MOD(YEAR(F158),4)=0,IF(F158&gt;DATE(YEAR(F158),2,29),1,0),0))</f>
        <v>0</v>
      </c>
      <c r="AD158" s="58"/>
      <c r="AE158" s="58"/>
      <c r="AF158" s="58"/>
      <c r="AG158" s="59">
        <f t="shared" si="47"/>
        <v>9.0359999999999996</v>
      </c>
      <c r="AH158" s="59">
        <f t="shared" si="48"/>
        <v>-184.49199999999999</v>
      </c>
      <c r="AJ158" s="4">
        <f>IF(D158="M",IF(AM158&lt;78,BMILMS!$D$5*AM158^3+BMILMS!$E$5*AM158^2+BMILMS!$F$5*AM158+BMILMS!$G$5,IF(AM158&lt;150,BMILMS!$D$6*AM158^3+BMILMS!$E$6*AM158^2+BMILMS!$F$6*AM158+BMILMS!$G$6,BMILMS!$D$7*AM158^3+BMILMS!$E$7*AM158^2+BMILMS!$F$7*AM158+BMILMS!$G$7)),IF(AM158&lt;69,BMILMS!$D$9*AM158^3+BMILMS!$E$9*AM158^2+BMILMS!$F$9*AM158+BMILMS!$G$9,IF(AM158&lt;150,BMILMS!$D$10*AM158^3+BMILMS!$E$10*AM158^2+BMILMS!$F$10*AM158+BMILMS!$G$10,BMILMS!$D$11*AM158^3+BMILMS!$E$11*AM158^2+BMILMS!$F$11*AM158+BMILMS!$G$11)))</f>
        <v>0.79584630099999998</v>
      </c>
      <c r="AK158" s="4">
        <f>IF(D158="M",(IF(AM158&lt;2.5,BMILMS!$D$21*AM158^3+BMILMS!$E$21*AM158^2+BMILMS!$F$21*AM158+BMILMS!$G$21,IF(AM158&lt;9.5,BMILMS!$D$22*AM158^3+BMILMS!$E$22*AM158^2+BMILMS!$F$22*AM158+BMILMS!$G$22,IF(AM158&lt;26.75,BMILMS!$D$23*AM158^3+BMILMS!$E$23*AM158^2+BMILMS!$F$23*AM158+BMILMS!$G$23,IF(AM158&lt;90,BMILMS!$D$24*AM158^3+BMILMS!$E$24*AM158^2+BMILMS!$F$24*AM158+BMILMS!$G$24,BMILMS!$D$25*AM158^3+BMILMS!$E$25*AM158^2+BMILMS!$F$25*AM158+BMILMS!$G$25))))),(IF(AM158&lt;2.5,BMILMS!$D$27*AM158^3+BMILMS!$E$27*AM158^2+BMILMS!$F$27*AM158+BMILMS!$G$27,IF(AM158&lt;9.5,BMILMS!$D$28*AM158^3+BMILMS!$E$28*AM158^2+BMILMS!$F$28*AM158+BMILMS!$G$28,IF(AM158&lt;26.75,BMILMS!$D$29*AM158^3+BMILMS!$E$29*AM158^2+BMILMS!$F$29*AM158+BMILMS!$G$29,IF(AM158&lt;90,BMILMS!$D$30*AM158^3+BMILMS!$E$30*AM158^2+BMILMS!$F$30*AM158+BMILMS!$G$30,IF(AM158&lt;150,BMILMS!$D$31*AM158^3+BMILMS!$E$31*AM158^2+BMILMS!$F$31*AM158+BMILMS!$G$31,BMILMS!$D$32*AM158^3+BMILMS!$E$32*AM158^2+BMILMS!$F$32*AM158+BMILMS!$G$32)))))))</f>
        <v>12.568967990000001</v>
      </c>
      <c r="AL158" s="4">
        <f>IF(D158="M",(IF(AM158&lt;90,BMILMS!$D$14*AM158^3+BMILMS!$E$14*AM158^2+BMILMS!$F$14*AM158+BMILMS!$G$14,BMILMS!$D$15*AM158^3+BMILMS!$E$15*AM158^2+BMILMS!$F$15*AM158+BMILMS!$G$15)),(IF(AM158&lt;90,BMILMS!$D$17*AM158^3+BMILMS!$E$17*AM158^2+BMILMS!$F$17*AM158+BMILMS!$G$17,BMILMS!$D$18*AM158^3+BMILMS!$E$18*AM158^2+BMILMS!$F$18*AM158+BMILMS!$G$18)))</f>
        <v>8.8969350000000003E-2</v>
      </c>
      <c r="AM158" s="4">
        <f t="shared" si="62"/>
        <v>0</v>
      </c>
      <c r="AO158" s="56">
        <f>IF(D158="M",WeightSDS!P$5*$AM158^7+WeightSDS!Q$5*$AM158^6+WeightSDS!R$5*$AM158^5+WeightSDS!S$5*$AM158^4+WeightSDS!T$5*$AM158^3+WeightSDS!U$5*$AM158^2+WeightSDS!V$5*$AM158+WeightSDS!W$5,IF($AM158&lt;186,WeightSDS!P$8*$AM158^7+WeightSDS!Q$8*$AM158^6+WeightSDS!R$8*$AM158^5+WeightSDS!S$8*$AM158^4+WeightSDS!T$8*$AM158^3+WeightSDS!U$8*$AM158^2+WeightSDS!V$8*$AM158+WeightSDS!W$8,WeightSDS!$U$9+WeightSDS!$V$9*($AM158-WeightSDS!$W$9)))</f>
        <v>0.75407122999999998</v>
      </c>
      <c r="AP158" s="4">
        <f>IF(D158="M",IF($AM158&lt;45,WeightSDS!M$23*$AM158^10+WeightSDS!N$23*$AM158^9+WeightSDS!O$23*$AM158^8+WeightSDS!P$23*$AM158^7+WeightSDS!Q$23*$AM158^6+WeightSDS!R$23*$AM158^5+WeightSDS!S$23*$AM158^4+WeightSDS!T$23*$AM158^3+WeightSDS!U$23*$AM158^2+WeightSDS!V$23*$AM158+WeightSDS!W$23,IF($AM158&lt;153,WeightSDS!M$25*$AM158^10+WeightSDS!N$25*$AM158^9+WeightSDS!O$25*$AM158^8+WeightSDS!P$25*$AM158^7+WeightSDS!Q$25*$AM158^6+WeightSDS!R$25*$AM158^5+WeightSDS!S$25*$AM158^4+WeightSDS!T$25*$AM158^3+WeightSDS!U$25*$AM158^2+WeightSDS!V$25*$AM158+WeightSDS!W$25,WeightSDS!M$27+WeightSDS!N$27/(1+EXP(WeightSDS!O$27+WeightSDS!P$27*$AM158)))),IF($AM158&lt;43.8,WeightSDS!M$29*$AM158^10+WeightSDS!N$29*$AM158^9+WeightSDS!O$29*$AM158^8+WeightSDS!P$29*$AM158^7+WeightSDS!Q$29*$AM158^6+WeightSDS!R$29*$AM158^5+WeightSDS!S$29*$AM158^4+WeightSDS!T$29*$AM158^3+WeightSDS!U$29*$AM158^2+WeightSDS!V$29*$AM158+WeightSDS!W$29-0.010431*(1-$AM158/210),IF($AM158&lt;123,WeightSDS!M$30*$AM158^10+WeightSDS!N$30*$AM158^9+WeightSDS!O$30*$AM158^8+WeightSDS!P$30*$AM158^7+WeightSDS!Q$30*$AM158^6+WeightSDS!R$30*$AM158^5+WeightSDS!S$30*$AM158^4+WeightSDS!T$30*$AM158^3+WeightSDS!U$30*$AM158^2+WeightSDS!V$30*$AM158+WeightSDS!W$30-0.010431*(1-1/$AM158),WeightSDS!M$32+WeightSDS!N$32/(1+EXP(WeightSDS!O$32+WeightSDS!P$32*$AM158))-0.010431*(1-$AM158/210))))</f>
        <v>2.9500001032655536</v>
      </c>
      <c r="AQ158" s="4">
        <f>IF(D158="M",IF($AM158&lt;162,WeightSDS!P$12*$AM158^7+WeightSDS!Q$12*$AM158^6+WeightSDS!R$12*$AM158^5+WeightSDS!S$12*$AM158^4+WeightSDS!T$12*$AM158^3+WeightSDS!U$12*$AM158^2+WeightSDS!V$12*$AM158+WeightSDS!W$12,WeightSDS!P$14*$AM158^7+WeightSDS!Q$14*$AM158^6+WeightSDS!R$14*$AM158^5+WeightSDS!S$14*$AM158^4+WeightSDS!T$14*$AM158^3+WeightSDS!U$14*$AM158^2+WeightSDS!V$14*$AM158+WeightSDS!W$14),IF($AM158&lt;156,WeightSDS!O$17*$AM158^8+WeightSDS!P$17*$AM158^7+WeightSDS!Q$17*$AM158^6+WeightSDS!R$17*$AM158^5+WeightSDS!S$17*$AM158^4+WeightSDS!T$17*$AM158^3+WeightSDS!U$17*$AM158^2+WeightSDS!V$17*$AM158+WeightSDS!W$17,IF($AM158&lt;186,WeightSDS!$U$18+(WeightSDS!$V$18-WeightSDS!$U$18)/24*($AM158-186)+WeightSDS!$W$18*(-$AM158+186)^2-0.005,WeightSDS!$U$18+(WeightSDS!$V$18-WeightSDS!$U$18)/24*($AM158-186)-0.005)))</f>
        <v>0.14604529399999999</v>
      </c>
      <c r="AT158" s="4">
        <f t="shared" si="49"/>
        <v>0.56299999999999994</v>
      </c>
      <c r="AU158" s="4">
        <f t="shared" si="50"/>
        <v>69</v>
      </c>
      <c r="AV158" s="4">
        <f t="shared" si="51"/>
        <v>0.51</v>
      </c>
    </row>
    <row r="159" spans="1:48" x14ac:dyDescent="0.15">
      <c r="A159" s="4"/>
      <c r="B159" s="21"/>
      <c r="C159" s="21"/>
      <c r="D159" s="21"/>
      <c r="E159" s="22"/>
      <c r="F159" s="22"/>
      <c r="G159" s="23"/>
      <c r="H159" s="23"/>
      <c r="I159" s="181"/>
      <c r="J159" s="8" t="str">
        <f t="shared" si="43"/>
        <v/>
      </c>
      <c r="K159" s="2" t="str">
        <f t="shared" si="52"/>
        <v/>
      </c>
      <c r="L159" s="2" t="str">
        <f t="shared" si="44"/>
        <v/>
      </c>
      <c r="M159" s="2" t="str">
        <f t="shared" si="53"/>
        <v/>
      </c>
      <c r="N159" s="2" t="str">
        <f t="shared" si="61"/>
        <v/>
      </c>
      <c r="O159" s="2" t="str">
        <f t="shared" si="54"/>
        <v/>
      </c>
      <c r="P159" s="8" t="str">
        <f t="shared" si="55"/>
        <v/>
      </c>
      <c r="Q159" s="8" t="str">
        <f t="shared" si="56"/>
        <v/>
      </c>
      <c r="R159" s="111" t="str">
        <f t="shared" si="57"/>
        <v/>
      </c>
      <c r="S159" s="44" t="str">
        <f t="shared" si="58"/>
        <v/>
      </c>
      <c r="T159" s="37" t="str">
        <f t="shared" si="59"/>
        <v/>
      </c>
      <c r="U159" s="44" t="str">
        <f t="shared" si="60"/>
        <v/>
      </c>
      <c r="V159" s="26"/>
      <c r="W159" s="26"/>
      <c r="X159" s="26"/>
      <c r="Y159" s="26"/>
      <c r="Z159" s="24"/>
      <c r="AA159" s="169">
        <f t="shared" si="45"/>
        <v>0</v>
      </c>
      <c r="AB159" s="4">
        <f t="shared" si="46"/>
        <v>0</v>
      </c>
      <c r="AC159" s="170">
        <f t="shared" si="63"/>
        <v>0</v>
      </c>
      <c r="AD159" s="58"/>
      <c r="AE159" s="58"/>
      <c r="AF159" s="58"/>
      <c r="AG159" s="59">
        <f t="shared" si="47"/>
        <v>9.0359999999999996</v>
      </c>
      <c r="AH159" s="59">
        <f t="shared" si="48"/>
        <v>-184.49199999999999</v>
      </c>
      <c r="AJ159" s="4">
        <f>IF(D159="M",IF(AM159&lt;78,BMILMS!$D$5*AM159^3+BMILMS!$E$5*AM159^2+BMILMS!$F$5*AM159+BMILMS!$G$5,IF(AM159&lt;150,BMILMS!$D$6*AM159^3+BMILMS!$E$6*AM159^2+BMILMS!$F$6*AM159+BMILMS!$G$6,BMILMS!$D$7*AM159^3+BMILMS!$E$7*AM159^2+BMILMS!$F$7*AM159+BMILMS!$G$7)),IF(AM159&lt;69,BMILMS!$D$9*AM159^3+BMILMS!$E$9*AM159^2+BMILMS!$F$9*AM159+BMILMS!$G$9,IF(AM159&lt;150,BMILMS!$D$10*AM159^3+BMILMS!$E$10*AM159^2+BMILMS!$F$10*AM159+BMILMS!$G$10,BMILMS!$D$11*AM159^3+BMILMS!$E$11*AM159^2+BMILMS!$F$11*AM159+BMILMS!$G$11)))</f>
        <v>0.79584630099999998</v>
      </c>
      <c r="AK159" s="4">
        <f>IF(D159="M",(IF(AM159&lt;2.5,BMILMS!$D$21*AM159^3+BMILMS!$E$21*AM159^2+BMILMS!$F$21*AM159+BMILMS!$G$21,IF(AM159&lt;9.5,BMILMS!$D$22*AM159^3+BMILMS!$E$22*AM159^2+BMILMS!$F$22*AM159+BMILMS!$G$22,IF(AM159&lt;26.75,BMILMS!$D$23*AM159^3+BMILMS!$E$23*AM159^2+BMILMS!$F$23*AM159+BMILMS!$G$23,IF(AM159&lt;90,BMILMS!$D$24*AM159^3+BMILMS!$E$24*AM159^2+BMILMS!$F$24*AM159+BMILMS!$G$24,BMILMS!$D$25*AM159^3+BMILMS!$E$25*AM159^2+BMILMS!$F$25*AM159+BMILMS!$G$25))))),(IF(AM159&lt;2.5,BMILMS!$D$27*AM159^3+BMILMS!$E$27*AM159^2+BMILMS!$F$27*AM159+BMILMS!$G$27,IF(AM159&lt;9.5,BMILMS!$D$28*AM159^3+BMILMS!$E$28*AM159^2+BMILMS!$F$28*AM159+BMILMS!$G$28,IF(AM159&lt;26.75,BMILMS!$D$29*AM159^3+BMILMS!$E$29*AM159^2+BMILMS!$F$29*AM159+BMILMS!$G$29,IF(AM159&lt;90,BMILMS!$D$30*AM159^3+BMILMS!$E$30*AM159^2+BMILMS!$F$30*AM159+BMILMS!$G$30,IF(AM159&lt;150,BMILMS!$D$31*AM159^3+BMILMS!$E$31*AM159^2+BMILMS!$F$31*AM159+BMILMS!$G$31,BMILMS!$D$32*AM159^3+BMILMS!$E$32*AM159^2+BMILMS!$F$32*AM159+BMILMS!$G$32)))))))</f>
        <v>12.568967990000001</v>
      </c>
      <c r="AL159" s="4">
        <f>IF(D159="M",(IF(AM159&lt;90,BMILMS!$D$14*AM159^3+BMILMS!$E$14*AM159^2+BMILMS!$F$14*AM159+BMILMS!$G$14,BMILMS!$D$15*AM159^3+BMILMS!$E$15*AM159^2+BMILMS!$F$15*AM159+BMILMS!$G$15)),(IF(AM159&lt;90,BMILMS!$D$17*AM159^3+BMILMS!$E$17*AM159^2+BMILMS!$F$17*AM159+BMILMS!$G$17,BMILMS!$D$18*AM159^3+BMILMS!$E$18*AM159^2+BMILMS!$F$18*AM159+BMILMS!$G$18)))</f>
        <v>8.8969350000000003E-2</v>
      </c>
      <c r="AM159" s="4">
        <f t="shared" si="62"/>
        <v>0</v>
      </c>
      <c r="AO159" s="56">
        <f>IF(D159="M",WeightSDS!P$5*$AM159^7+WeightSDS!Q$5*$AM159^6+WeightSDS!R$5*$AM159^5+WeightSDS!S$5*$AM159^4+WeightSDS!T$5*$AM159^3+WeightSDS!U$5*$AM159^2+WeightSDS!V$5*$AM159+WeightSDS!W$5,IF($AM159&lt;186,WeightSDS!P$8*$AM159^7+WeightSDS!Q$8*$AM159^6+WeightSDS!R$8*$AM159^5+WeightSDS!S$8*$AM159^4+WeightSDS!T$8*$AM159^3+WeightSDS!U$8*$AM159^2+WeightSDS!V$8*$AM159+WeightSDS!W$8,WeightSDS!$U$9+WeightSDS!$V$9*($AM159-WeightSDS!$W$9)))</f>
        <v>0.75407122999999998</v>
      </c>
      <c r="AP159" s="4">
        <f>IF(D159="M",IF($AM159&lt;45,WeightSDS!M$23*$AM159^10+WeightSDS!N$23*$AM159^9+WeightSDS!O$23*$AM159^8+WeightSDS!P$23*$AM159^7+WeightSDS!Q$23*$AM159^6+WeightSDS!R$23*$AM159^5+WeightSDS!S$23*$AM159^4+WeightSDS!T$23*$AM159^3+WeightSDS!U$23*$AM159^2+WeightSDS!V$23*$AM159+WeightSDS!W$23,IF($AM159&lt;153,WeightSDS!M$25*$AM159^10+WeightSDS!N$25*$AM159^9+WeightSDS!O$25*$AM159^8+WeightSDS!P$25*$AM159^7+WeightSDS!Q$25*$AM159^6+WeightSDS!R$25*$AM159^5+WeightSDS!S$25*$AM159^4+WeightSDS!T$25*$AM159^3+WeightSDS!U$25*$AM159^2+WeightSDS!V$25*$AM159+WeightSDS!W$25,WeightSDS!M$27+WeightSDS!N$27/(1+EXP(WeightSDS!O$27+WeightSDS!P$27*$AM159)))),IF($AM159&lt;43.8,WeightSDS!M$29*$AM159^10+WeightSDS!N$29*$AM159^9+WeightSDS!O$29*$AM159^8+WeightSDS!P$29*$AM159^7+WeightSDS!Q$29*$AM159^6+WeightSDS!R$29*$AM159^5+WeightSDS!S$29*$AM159^4+WeightSDS!T$29*$AM159^3+WeightSDS!U$29*$AM159^2+WeightSDS!V$29*$AM159+WeightSDS!W$29-0.010431*(1-$AM159/210),IF($AM159&lt;123,WeightSDS!M$30*$AM159^10+WeightSDS!N$30*$AM159^9+WeightSDS!O$30*$AM159^8+WeightSDS!P$30*$AM159^7+WeightSDS!Q$30*$AM159^6+WeightSDS!R$30*$AM159^5+WeightSDS!S$30*$AM159^4+WeightSDS!T$30*$AM159^3+WeightSDS!U$30*$AM159^2+WeightSDS!V$30*$AM159+WeightSDS!W$30-0.010431*(1-1/$AM159),WeightSDS!M$32+WeightSDS!N$32/(1+EXP(WeightSDS!O$32+WeightSDS!P$32*$AM159))-0.010431*(1-$AM159/210))))</f>
        <v>2.9500001032655536</v>
      </c>
      <c r="AQ159" s="4">
        <f>IF(D159="M",IF($AM159&lt;162,WeightSDS!P$12*$AM159^7+WeightSDS!Q$12*$AM159^6+WeightSDS!R$12*$AM159^5+WeightSDS!S$12*$AM159^4+WeightSDS!T$12*$AM159^3+WeightSDS!U$12*$AM159^2+WeightSDS!V$12*$AM159+WeightSDS!W$12,WeightSDS!P$14*$AM159^7+WeightSDS!Q$14*$AM159^6+WeightSDS!R$14*$AM159^5+WeightSDS!S$14*$AM159^4+WeightSDS!T$14*$AM159^3+WeightSDS!U$14*$AM159^2+WeightSDS!V$14*$AM159+WeightSDS!W$14),IF($AM159&lt;156,WeightSDS!O$17*$AM159^8+WeightSDS!P$17*$AM159^7+WeightSDS!Q$17*$AM159^6+WeightSDS!R$17*$AM159^5+WeightSDS!S$17*$AM159^4+WeightSDS!T$17*$AM159^3+WeightSDS!U$17*$AM159^2+WeightSDS!V$17*$AM159+WeightSDS!W$17,IF($AM159&lt;186,WeightSDS!$U$18+(WeightSDS!$V$18-WeightSDS!$U$18)/24*($AM159-186)+WeightSDS!$W$18*(-$AM159+186)^2-0.005,WeightSDS!$U$18+(WeightSDS!$V$18-WeightSDS!$U$18)/24*($AM159-186)-0.005)))</f>
        <v>0.14604529399999999</v>
      </c>
      <c r="AT159" s="4">
        <f t="shared" si="49"/>
        <v>0.56299999999999994</v>
      </c>
      <c r="AU159" s="4">
        <f t="shared" si="50"/>
        <v>69</v>
      </c>
      <c r="AV159" s="4">
        <f t="shared" si="51"/>
        <v>0.51</v>
      </c>
    </row>
    <row r="160" spans="1:48" x14ac:dyDescent="0.15">
      <c r="A160" s="4"/>
      <c r="B160" s="21"/>
      <c r="C160" s="21"/>
      <c r="D160" s="21"/>
      <c r="E160" s="22"/>
      <c r="F160" s="22"/>
      <c r="G160" s="23"/>
      <c r="H160" s="23"/>
      <c r="I160" s="181"/>
      <c r="J160" s="8" t="str">
        <f t="shared" si="43"/>
        <v/>
      </c>
      <c r="K160" s="2" t="str">
        <f t="shared" si="52"/>
        <v/>
      </c>
      <c r="L160" s="2" t="str">
        <f t="shared" si="44"/>
        <v/>
      </c>
      <c r="M160" s="2" t="str">
        <f t="shared" si="53"/>
        <v/>
      </c>
      <c r="N160" s="2" t="str">
        <f t="shared" si="61"/>
        <v/>
      </c>
      <c r="O160" s="2" t="str">
        <f t="shared" si="54"/>
        <v/>
      </c>
      <c r="P160" s="8" t="str">
        <f t="shared" si="55"/>
        <v/>
      </c>
      <c r="Q160" s="8" t="str">
        <f t="shared" si="56"/>
        <v/>
      </c>
      <c r="R160" s="111" t="str">
        <f t="shared" si="57"/>
        <v/>
      </c>
      <c r="S160" s="44" t="str">
        <f t="shared" si="58"/>
        <v/>
      </c>
      <c r="T160" s="37" t="str">
        <f t="shared" si="59"/>
        <v/>
      </c>
      <c r="U160" s="44" t="str">
        <f t="shared" si="60"/>
        <v/>
      </c>
      <c r="V160" s="26"/>
      <c r="W160" s="26"/>
      <c r="X160" s="26"/>
      <c r="Y160" s="26"/>
      <c r="Z160" s="24"/>
      <c r="AA160" s="169">
        <f t="shared" si="45"/>
        <v>0</v>
      </c>
      <c r="AB160" s="4">
        <f t="shared" si="46"/>
        <v>0</v>
      </c>
      <c r="AC160" s="170">
        <f t="shared" si="63"/>
        <v>0</v>
      </c>
      <c r="AD160" s="58"/>
      <c r="AE160" s="58"/>
      <c r="AF160" s="58"/>
      <c r="AG160" s="59">
        <f t="shared" si="47"/>
        <v>9.0359999999999996</v>
      </c>
      <c r="AH160" s="59">
        <f t="shared" si="48"/>
        <v>-184.49199999999999</v>
      </c>
      <c r="AJ160" s="4">
        <f>IF(D160="M",IF(AM160&lt;78,BMILMS!$D$5*AM160^3+BMILMS!$E$5*AM160^2+BMILMS!$F$5*AM160+BMILMS!$G$5,IF(AM160&lt;150,BMILMS!$D$6*AM160^3+BMILMS!$E$6*AM160^2+BMILMS!$F$6*AM160+BMILMS!$G$6,BMILMS!$D$7*AM160^3+BMILMS!$E$7*AM160^2+BMILMS!$F$7*AM160+BMILMS!$G$7)),IF(AM160&lt;69,BMILMS!$D$9*AM160^3+BMILMS!$E$9*AM160^2+BMILMS!$F$9*AM160+BMILMS!$G$9,IF(AM160&lt;150,BMILMS!$D$10*AM160^3+BMILMS!$E$10*AM160^2+BMILMS!$F$10*AM160+BMILMS!$G$10,BMILMS!$D$11*AM160^3+BMILMS!$E$11*AM160^2+BMILMS!$F$11*AM160+BMILMS!$G$11)))</f>
        <v>0.79584630099999998</v>
      </c>
      <c r="AK160" s="4">
        <f>IF(D160="M",(IF(AM160&lt;2.5,BMILMS!$D$21*AM160^3+BMILMS!$E$21*AM160^2+BMILMS!$F$21*AM160+BMILMS!$G$21,IF(AM160&lt;9.5,BMILMS!$D$22*AM160^3+BMILMS!$E$22*AM160^2+BMILMS!$F$22*AM160+BMILMS!$G$22,IF(AM160&lt;26.75,BMILMS!$D$23*AM160^3+BMILMS!$E$23*AM160^2+BMILMS!$F$23*AM160+BMILMS!$G$23,IF(AM160&lt;90,BMILMS!$D$24*AM160^3+BMILMS!$E$24*AM160^2+BMILMS!$F$24*AM160+BMILMS!$G$24,BMILMS!$D$25*AM160^3+BMILMS!$E$25*AM160^2+BMILMS!$F$25*AM160+BMILMS!$G$25))))),(IF(AM160&lt;2.5,BMILMS!$D$27*AM160^3+BMILMS!$E$27*AM160^2+BMILMS!$F$27*AM160+BMILMS!$G$27,IF(AM160&lt;9.5,BMILMS!$D$28*AM160^3+BMILMS!$E$28*AM160^2+BMILMS!$F$28*AM160+BMILMS!$G$28,IF(AM160&lt;26.75,BMILMS!$D$29*AM160^3+BMILMS!$E$29*AM160^2+BMILMS!$F$29*AM160+BMILMS!$G$29,IF(AM160&lt;90,BMILMS!$D$30*AM160^3+BMILMS!$E$30*AM160^2+BMILMS!$F$30*AM160+BMILMS!$G$30,IF(AM160&lt;150,BMILMS!$D$31*AM160^3+BMILMS!$E$31*AM160^2+BMILMS!$F$31*AM160+BMILMS!$G$31,BMILMS!$D$32*AM160^3+BMILMS!$E$32*AM160^2+BMILMS!$F$32*AM160+BMILMS!$G$32)))))))</f>
        <v>12.568967990000001</v>
      </c>
      <c r="AL160" s="4">
        <f>IF(D160="M",(IF(AM160&lt;90,BMILMS!$D$14*AM160^3+BMILMS!$E$14*AM160^2+BMILMS!$F$14*AM160+BMILMS!$G$14,BMILMS!$D$15*AM160^3+BMILMS!$E$15*AM160^2+BMILMS!$F$15*AM160+BMILMS!$G$15)),(IF(AM160&lt;90,BMILMS!$D$17*AM160^3+BMILMS!$E$17*AM160^2+BMILMS!$F$17*AM160+BMILMS!$G$17,BMILMS!$D$18*AM160^3+BMILMS!$E$18*AM160^2+BMILMS!$F$18*AM160+BMILMS!$G$18)))</f>
        <v>8.8969350000000003E-2</v>
      </c>
      <c r="AM160" s="4">
        <f t="shared" si="62"/>
        <v>0</v>
      </c>
      <c r="AO160" s="56">
        <f>IF(D160="M",WeightSDS!P$5*$AM160^7+WeightSDS!Q$5*$AM160^6+WeightSDS!R$5*$AM160^5+WeightSDS!S$5*$AM160^4+WeightSDS!T$5*$AM160^3+WeightSDS!U$5*$AM160^2+WeightSDS!V$5*$AM160+WeightSDS!W$5,IF($AM160&lt;186,WeightSDS!P$8*$AM160^7+WeightSDS!Q$8*$AM160^6+WeightSDS!R$8*$AM160^5+WeightSDS!S$8*$AM160^4+WeightSDS!T$8*$AM160^3+WeightSDS!U$8*$AM160^2+WeightSDS!V$8*$AM160+WeightSDS!W$8,WeightSDS!$U$9+WeightSDS!$V$9*($AM160-WeightSDS!$W$9)))</f>
        <v>0.75407122999999998</v>
      </c>
      <c r="AP160" s="4">
        <f>IF(D160="M",IF($AM160&lt;45,WeightSDS!M$23*$AM160^10+WeightSDS!N$23*$AM160^9+WeightSDS!O$23*$AM160^8+WeightSDS!P$23*$AM160^7+WeightSDS!Q$23*$AM160^6+WeightSDS!R$23*$AM160^5+WeightSDS!S$23*$AM160^4+WeightSDS!T$23*$AM160^3+WeightSDS!U$23*$AM160^2+WeightSDS!V$23*$AM160+WeightSDS!W$23,IF($AM160&lt;153,WeightSDS!M$25*$AM160^10+WeightSDS!N$25*$AM160^9+WeightSDS!O$25*$AM160^8+WeightSDS!P$25*$AM160^7+WeightSDS!Q$25*$AM160^6+WeightSDS!R$25*$AM160^5+WeightSDS!S$25*$AM160^4+WeightSDS!T$25*$AM160^3+WeightSDS!U$25*$AM160^2+WeightSDS!V$25*$AM160+WeightSDS!W$25,WeightSDS!M$27+WeightSDS!N$27/(1+EXP(WeightSDS!O$27+WeightSDS!P$27*$AM160)))),IF($AM160&lt;43.8,WeightSDS!M$29*$AM160^10+WeightSDS!N$29*$AM160^9+WeightSDS!O$29*$AM160^8+WeightSDS!P$29*$AM160^7+WeightSDS!Q$29*$AM160^6+WeightSDS!R$29*$AM160^5+WeightSDS!S$29*$AM160^4+WeightSDS!T$29*$AM160^3+WeightSDS!U$29*$AM160^2+WeightSDS!V$29*$AM160+WeightSDS!W$29-0.010431*(1-$AM160/210),IF($AM160&lt;123,WeightSDS!M$30*$AM160^10+WeightSDS!N$30*$AM160^9+WeightSDS!O$30*$AM160^8+WeightSDS!P$30*$AM160^7+WeightSDS!Q$30*$AM160^6+WeightSDS!R$30*$AM160^5+WeightSDS!S$30*$AM160^4+WeightSDS!T$30*$AM160^3+WeightSDS!U$30*$AM160^2+WeightSDS!V$30*$AM160+WeightSDS!W$30-0.010431*(1-1/$AM160),WeightSDS!M$32+WeightSDS!N$32/(1+EXP(WeightSDS!O$32+WeightSDS!P$32*$AM160))-0.010431*(1-$AM160/210))))</f>
        <v>2.9500001032655536</v>
      </c>
      <c r="AQ160" s="4">
        <f>IF(D160="M",IF($AM160&lt;162,WeightSDS!P$12*$AM160^7+WeightSDS!Q$12*$AM160^6+WeightSDS!R$12*$AM160^5+WeightSDS!S$12*$AM160^4+WeightSDS!T$12*$AM160^3+WeightSDS!U$12*$AM160^2+WeightSDS!V$12*$AM160+WeightSDS!W$12,WeightSDS!P$14*$AM160^7+WeightSDS!Q$14*$AM160^6+WeightSDS!R$14*$AM160^5+WeightSDS!S$14*$AM160^4+WeightSDS!T$14*$AM160^3+WeightSDS!U$14*$AM160^2+WeightSDS!V$14*$AM160+WeightSDS!W$14),IF($AM160&lt;156,WeightSDS!O$17*$AM160^8+WeightSDS!P$17*$AM160^7+WeightSDS!Q$17*$AM160^6+WeightSDS!R$17*$AM160^5+WeightSDS!S$17*$AM160^4+WeightSDS!T$17*$AM160^3+WeightSDS!U$17*$AM160^2+WeightSDS!V$17*$AM160+WeightSDS!W$17,IF($AM160&lt;186,WeightSDS!$U$18+(WeightSDS!$V$18-WeightSDS!$U$18)/24*($AM160-186)+WeightSDS!$W$18*(-$AM160+186)^2-0.005,WeightSDS!$U$18+(WeightSDS!$V$18-WeightSDS!$U$18)/24*($AM160-186)-0.005)))</f>
        <v>0.14604529399999999</v>
      </c>
      <c r="AT160" s="4">
        <f t="shared" si="49"/>
        <v>0.56299999999999994</v>
      </c>
      <c r="AU160" s="4">
        <f t="shared" si="50"/>
        <v>69</v>
      </c>
      <c r="AV160" s="4">
        <f t="shared" si="51"/>
        <v>0.51</v>
      </c>
    </row>
    <row r="161" spans="1:48" x14ac:dyDescent="0.15">
      <c r="A161" s="4"/>
      <c r="B161" s="21"/>
      <c r="C161" s="21"/>
      <c r="D161" s="21"/>
      <c r="E161" s="22"/>
      <c r="F161" s="22"/>
      <c r="G161" s="23"/>
      <c r="H161" s="23"/>
      <c r="I161" s="181"/>
      <c r="J161" s="8" t="str">
        <f t="shared" si="43"/>
        <v/>
      </c>
      <c r="K161" s="2" t="str">
        <f t="shared" si="52"/>
        <v/>
      </c>
      <c r="L161" s="2" t="str">
        <f t="shared" si="44"/>
        <v/>
      </c>
      <c r="M161" s="2" t="str">
        <f t="shared" si="53"/>
        <v/>
      </c>
      <c r="N161" s="2" t="str">
        <f t="shared" si="61"/>
        <v/>
      </c>
      <c r="O161" s="2" t="str">
        <f t="shared" si="54"/>
        <v/>
      </c>
      <c r="P161" s="8" t="str">
        <f t="shared" si="55"/>
        <v/>
      </c>
      <c r="Q161" s="8" t="str">
        <f t="shared" si="56"/>
        <v/>
      </c>
      <c r="R161" s="111" t="str">
        <f t="shared" si="57"/>
        <v/>
      </c>
      <c r="S161" s="44" t="str">
        <f t="shared" si="58"/>
        <v/>
      </c>
      <c r="T161" s="37" t="str">
        <f t="shared" si="59"/>
        <v/>
      </c>
      <c r="U161" s="44" t="str">
        <f t="shared" si="60"/>
        <v/>
      </c>
      <c r="V161" s="26"/>
      <c r="W161" s="26"/>
      <c r="X161" s="26"/>
      <c r="Y161" s="26"/>
      <c r="Z161" s="24"/>
      <c r="AA161" s="169">
        <f t="shared" si="45"/>
        <v>0</v>
      </c>
      <c r="AB161" s="4">
        <f t="shared" si="46"/>
        <v>0</v>
      </c>
      <c r="AC161" s="170">
        <f t="shared" si="63"/>
        <v>0</v>
      </c>
      <c r="AD161" s="58"/>
      <c r="AE161" s="58"/>
      <c r="AF161" s="58"/>
      <c r="AG161" s="59">
        <f t="shared" si="47"/>
        <v>9.0359999999999996</v>
      </c>
      <c r="AH161" s="59">
        <f t="shared" si="48"/>
        <v>-184.49199999999999</v>
      </c>
      <c r="AJ161" s="4">
        <f>IF(D161="M",IF(AM161&lt;78,BMILMS!$D$5*AM161^3+BMILMS!$E$5*AM161^2+BMILMS!$F$5*AM161+BMILMS!$G$5,IF(AM161&lt;150,BMILMS!$D$6*AM161^3+BMILMS!$E$6*AM161^2+BMILMS!$F$6*AM161+BMILMS!$G$6,BMILMS!$D$7*AM161^3+BMILMS!$E$7*AM161^2+BMILMS!$F$7*AM161+BMILMS!$G$7)),IF(AM161&lt;69,BMILMS!$D$9*AM161^3+BMILMS!$E$9*AM161^2+BMILMS!$F$9*AM161+BMILMS!$G$9,IF(AM161&lt;150,BMILMS!$D$10*AM161^3+BMILMS!$E$10*AM161^2+BMILMS!$F$10*AM161+BMILMS!$G$10,BMILMS!$D$11*AM161^3+BMILMS!$E$11*AM161^2+BMILMS!$F$11*AM161+BMILMS!$G$11)))</f>
        <v>0.79584630099999998</v>
      </c>
      <c r="AK161" s="4">
        <f>IF(D161="M",(IF(AM161&lt;2.5,BMILMS!$D$21*AM161^3+BMILMS!$E$21*AM161^2+BMILMS!$F$21*AM161+BMILMS!$G$21,IF(AM161&lt;9.5,BMILMS!$D$22*AM161^3+BMILMS!$E$22*AM161^2+BMILMS!$F$22*AM161+BMILMS!$G$22,IF(AM161&lt;26.75,BMILMS!$D$23*AM161^3+BMILMS!$E$23*AM161^2+BMILMS!$F$23*AM161+BMILMS!$G$23,IF(AM161&lt;90,BMILMS!$D$24*AM161^3+BMILMS!$E$24*AM161^2+BMILMS!$F$24*AM161+BMILMS!$G$24,BMILMS!$D$25*AM161^3+BMILMS!$E$25*AM161^2+BMILMS!$F$25*AM161+BMILMS!$G$25))))),(IF(AM161&lt;2.5,BMILMS!$D$27*AM161^3+BMILMS!$E$27*AM161^2+BMILMS!$F$27*AM161+BMILMS!$G$27,IF(AM161&lt;9.5,BMILMS!$D$28*AM161^3+BMILMS!$E$28*AM161^2+BMILMS!$F$28*AM161+BMILMS!$G$28,IF(AM161&lt;26.75,BMILMS!$D$29*AM161^3+BMILMS!$E$29*AM161^2+BMILMS!$F$29*AM161+BMILMS!$G$29,IF(AM161&lt;90,BMILMS!$D$30*AM161^3+BMILMS!$E$30*AM161^2+BMILMS!$F$30*AM161+BMILMS!$G$30,IF(AM161&lt;150,BMILMS!$D$31*AM161^3+BMILMS!$E$31*AM161^2+BMILMS!$F$31*AM161+BMILMS!$G$31,BMILMS!$D$32*AM161^3+BMILMS!$E$32*AM161^2+BMILMS!$F$32*AM161+BMILMS!$G$32)))))))</f>
        <v>12.568967990000001</v>
      </c>
      <c r="AL161" s="4">
        <f>IF(D161="M",(IF(AM161&lt;90,BMILMS!$D$14*AM161^3+BMILMS!$E$14*AM161^2+BMILMS!$F$14*AM161+BMILMS!$G$14,BMILMS!$D$15*AM161^3+BMILMS!$E$15*AM161^2+BMILMS!$F$15*AM161+BMILMS!$G$15)),(IF(AM161&lt;90,BMILMS!$D$17*AM161^3+BMILMS!$E$17*AM161^2+BMILMS!$F$17*AM161+BMILMS!$G$17,BMILMS!$D$18*AM161^3+BMILMS!$E$18*AM161^2+BMILMS!$F$18*AM161+BMILMS!$G$18)))</f>
        <v>8.8969350000000003E-2</v>
      </c>
      <c r="AM161" s="4">
        <f t="shared" si="62"/>
        <v>0</v>
      </c>
      <c r="AO161" s="56">
        <f>IF(D161="M",WeightSDS!P$5*$AM161^7+WeightSDS!Q$5*$AM161^6+WeightSDS!R$5*$AM161^5+WeightSDS!S$5*$AM161^4+WeightSDS!T$5*$AM161^3+WeightSDS!U$5*$AM161^2+WeightSDS!V$5*$AM161+WeightSDS!W$5,IF($AM161&lt;186,WeightSDS!P$8*$AM161^7+WeightSDS!Q$8*$AM161^6+WeightSDS!R$8*$AM161^5+WeightSDS!S$8*$AM161^4+WeightSDS!T$8*$AM161^3+WeightSDS!U$8*$AM161^2+WeightSDS!V$8*$AM161+WeightSDS!W$8,WeightSDS!$U$9+WeightSDS!$V$9*($AM161-WeightSDS!$W$9)))</f>
        <v>0.75407122999999998</v>
      </c>
      <c r="AP161" s="4">
        <f>IF(D161="M",IF($AM161&lt;45,WeightSDS!M$23*$AM161^10+WeightSDS!N$23*$AM161^9+WeightSDS!O$23*$AM161^8+WeightSDS!P$23*$AM161^7+WeightSDS!Q$23*$AM161^6+WeightSDS!R$23*$AM161^5+WeightSDS!S$23*$AM161^4+WeightSDS!T$23*$AM161^3+WeightSDS!U$23*$AM161^2+WeightSDS!V$23*$AM161+WeightSDS!W$23,IF($AM161&lt;153,WeightSDS!M$25*$AM161^10+WeightSDS!N$25*$AM161^9+WeightSDS!O$25*$AM161^8+WeightSDS!P$25*$AM161^7+WeightSDS!Q$25*$AM161^6+WeightSDS!R$25*$AM161^5+WeightSDS!S$25*$AM161^4+WeightSDS!T$25*$AM161^3+WeightSDS!U$25*$AM161^2+WeightSDS!V$25*$AM161+WeightSDS!W$25,WeightSDS!M$27+WeightSDS!N$27/(1+EXP(WeightSDS!O$27+WeightSDS!P$27*$AM161)))),IF($AM161&lt;43.8,WeightSDS!M$29*$AM161^10+WeightSDS!N$29*$AM161^9+WeightSDS!O$29*$AM161^8+WeightSDS!P$29*$AM161^7+WeightSDS!Q$29*$AM161^6+WeightSDS!R$29*$AM161^5+WeightSDS!S$29*$AM161^4+WeightSDS!T$29*$AM161^3+WeightSDS!U$29*$AM161^2+WeightSDS!V$29*$AM161+WeightSDS!W$29-0.010431*(1-$AM161/210),IF($AM161&lt;123,WeightSDS!M$30*$AM161^10+WeightSDS!N$30*$AM161^9+WeightSDS!O$30*$AM161^8+WeightSDS!P$30*$AM161^7+WeightSDS!Q$30*$AM161^6+WeightSDS!R$30*$AM161^5+WeightSDS!S$30*$AM161^4+WeightSDS!T$30*$AM161^3+WeightSDS!U$30*$AM161^2+WeightSDS!V$30*$AM161+WeightSDS!W$30-0.010431*(1-1/$AM161),WeightSDS!M$32+WeightSDS!N$32/(1+EXP(WeightSDS!O$32+WeightSDS!P$32*$AM161))-0.010431*(1-$AM161/210))))</f>
        <v>2.9500001032655536</v>
      </c>
      <c r="AQ161" s="4">
        <f>IF(D161="M",IF($AM161&lt;162,WeightSDS!P$12*$AM161^7+WeightSDS!Q$12*$AM161^6+WeightSDS!R$12*$AM161^5+WeightSDS!S$12*$AM161^4+WeightSDS!T$12*$AM161^3+WeightSDS!U$12*$AM161^2+WeightSDS!V$12*$AM161+WeightSDS!W$12,WeightSDS!P$14*$AM161^7+WeightSDS!Q$14*$AM161^6+WeightSDS!R$14*$AM161^5+WeightSDS!S$14*$AM161^4+WeightSDS!T$14*$AM161^3+WeightSDS!U$14*$AM161^2+WeightSDS!V$14*$AM161+WeightSDS!W$14),IF($AM161&lt;156,WeightSDS!O$17*$AM161^8+WeightSDS!P$17*$AM161^7+WeightSDS!Q$17*$AM161^6+WeightSDS!R$17*$AM161^5+WeightSDS!S$17*$AM161^4+WeightSDS!T$17*$AM161^3+WeightSDS!U$17*$AM161^2+WeightSDS!V$17*$AM161+WeightSDS!W$17,IF($AM161&lt;186,WeightSDS!$U$18+(WeightSDS!$V$18-WeightSDS!$U$18)/24*($AM161-186)+WeightSDS!$W$18*(-$AM161+186)^2-0.005,WeightSDS!$U$18+(WeightSDS!$V$18-WeightSDS!$U$18)/24*($AM161-186)-0.005)))</f>
        <v>0.14604529399999999</v>
      </c>
      <c r="AT161" s="4">
        <f t="shared" si="49"/>
        <v>0.56299999999999994</v>
      </c>
      <c r="AU161" s="4">
        <f t="shared" si="50"/>
        <v>69</v>
      </c>
      <c r="AV161" s="4">
        <f t="shared" si="51"/>
        <v>0.51</v>
      </c>
    </row>
    <row r="162" spans="1:48" x14ac:dyDescent="0.15">
      <c r="A162" s="4"/>
      <c r="B162" s="21"/>
      <c r="C162" s="21"/>
      <c r="D162" s="21"/>
      <c r="E162" s="22"/>
      <c r="F162" s="22"/>
      <c r="G162" s="23"/>
      <c r="H162" s="23"/>
      <c r="I162" s="181"/>
      <c r="J162" s="8" t="str">
        <f t="shared" si="43"/>
        <v/>
      </c>
      <c r="K162" s="2" t="str">
        <f t="shared" si="52"/>
        <v/>
      </c>
      <c r="L162" s="2" t="str">
        <f t="shared" si="44"/>
        <v/>
      </c>
      <c r="M162" s="2" t="str">
        <f t="shared" si="53"/>
        <v/>
      </c>
      <c r="N162" s="2" t="str">
        <f t="shared" si="61"/>
        <v/>
      </c>
      <c r="O162" s="2" t="str">
        <f t="shared" si="54"/>
        <v/>
      </c>
      <c r="P162" s="8" t="str">
        <f t="shared" si="55"/>
        <v/>
      </c>
      <c r="Q162" s="8" t="str">
        <f t="shared" si="56"/>
        <v/>
      </c>
      <c r="R162" s="111" t="str">
        <f t="shared" si="57"/>
        <v/>
      </c>
      <c r="S162" s="44" t="str">
        <f t="shared" si="58"/>
        <v/>
      </c>
      <c r="T162" s="37" t="str">
        <f t="shared" si="59"/>
        <v/>
      </c>
      <c r="U162" s="44" t="str">
        <f t="shared" si="60"/>
        <v/>
      </c>
      <c r="V162" s="26"/>
      <c r="W162" s="26"/>
      <c r="X162" s="26"/>
      <c r="Y162" s="26"/>
      <c r="Z162" s="24"/>
      <c r="AA162" s="169">
        <f t="shared" si="45"/>
        <v>0</v>
      </c>
      <c r="AB162" s="4">
        <f t="shared" si="46"/>
        <v>0</v>
      </c>
      <c r="AC162" s="170">
        <f t="shared" si="63"/>
        <v>0</v>
      </c>
      <c r="AD162" s="58"/>
      <c r="AE162" s="58"/>
      <c r="AF162" s="58"/>
      <c r="AG162" s="59">
        <f t="shared" si="47"/>
        <v>9.0359999999999996</v>
      </c>
      <c r="AH162" s="59">
        <f t="shared" si="48"/>
        <v>-184.49199999999999</v>
      </c>
      <c r="AJ162" s="4">
        <f>IF(D162="M",IF(AM162&lt;78,BMILMS!$D$5*AM162^3+BMILMS!$E$5*AM162^2+BMILMS!$F$5*AM162+BMILMS!$G$5,IF(AM162&lt;150,BMILMS!$D$6*AM162^3+BMILMS!$E$6*AM162^2+BMILMS!$F$6*AM162+BMILMS!$G$6,BMILMS!$D$7*AM162^3+BMILMS!$E$7*AM162^2+BMILMS!$F$7*AM162+BMILMS!$G$7)),IF(AM162&lt;69,BMILMS!$D$9*AM162^3+BMILMS!$E$9*AM162^2+BMILMS!$F$9*AM162+BMILMS!$G$9,IF(AM162&lt;150,BMILMS!$D$10*AM162^3+BMILMS!$E$10*AM162^2+BMILMS!$F$10*AM162+BMILMS!$G$10,BMILMS!$D$11*AM162^3+BMILMS!$E$11*AM162^2+BMILMS!$F$11*AM162+BMILMS!$G$11)))</f>
        <v>0.79584630099999998</v>
      </c>
      <c r="AK162" s="4">
        <f>IF(D162="M",(IF(AM162&lt;2.5,BMILMS!$D$21*AM162^3+BMILMS!$E$21*AM162^2+BMILMS!$F$21*AM162+BMILMS!$G$21,IF(AM162&lt;9.5,BMILMS!$D$22*AM162^3+BMILMS!$E$22*AM162^2+BMILMS!$F$22*AM162+BMILMS!$G$22,IF(AM162&lt;26.75,BMILMS!$D$23*AM162^3+BMILMS!$E$23*AM162^2+BMILMS!$F$23*AM162+BMILMS!$G$23,IF(AM162&lt;90,BMILMS!$D$24*AM162^3+BMILMS!$E$24*AM162^2+BMILMS!$F$24*AM162+BMILMS!$G$24,BMILMS!$D$25*AM162^3+BMILMS!$E$25*AM162^2+BMILMS!$F$25*AM162+BMILMS!$G$25))))),(IF(AM162&lt;2.5,BMILMS!$D$27*AM162^3+BMILMS!$E$27*AM162^2+BMILMS!$F$27*AM162+BMILMS!$G$27,IF(AM162&lt;9.5,BMILMS!$D$28*AM162^3+BMILMS!$E$28*AM162^2+BMILMS!$F$28*AM162+BMILMS!$G$28,IF(AM162&lt;26.75,BMILMS!$D$29*AM162^3+BMILMS!$E$29*AM162^2+BMILMS!$F$29*AM162+BMILMS!$G$29,IF(AM162&lt;90,BMILMS!$D$30*AM162^3+BMILMS!$E$30*AM162^2+BMILMS!$F$30*AM162+BMILMS!$G$30,IF(AM162&lt;150,BMILMS!$D$31*AM162^3+BMILMS!$E$31*AM162^2+BMILMS!$F$31*AM162+BMILMS!$G$31,BMILMS!$D$32*AM162^3+BMILMS!$E$32*AM162^2+BMILMS!$F$32*AM162+BMILMS!$G$32)))))))</f>
        <v>12.568967990000001</v>
      </c>
      <c r="AL162" s="4">
        <f>IF(D162="M",(IF(AM162&lt;90,BMILMS!$D$14*AM162^3+BMILMS!$E$14*AM162^2+BMILMS!$F$14*AM162+BMILMS!$G$14,BMILMS!$D$15*AM162^3+BMILMS!$E$15*AM162^2+BMILMS!$F$15*AM162+BMILMS!$G$15)),(IF(AM162&lt;90,BMILMS!$D$17*AM162^3+BMILMS!$E$17*AM162^2+BMILMS!$F$17*AM162+BMILMS!$G$17,BMILMS!$D$18*AM162^3+BMILMS!$E$18*AM162^2+BMILMS!$F$18*AM162+BMILMS!$G$18)))</f>
        <v>8.8969350000000003E-2</v>
      </c>
      <c r="AM162" s="4">
        <f t="shared" si="62"/>
        <v>0</v>
      </c>
      <c r="AO162" s="56">
        <f>IF(D162="M",WeightSDS!P$5*$AM162^7+WeightSDS!Q$5*$AM162^6+WeightSDS!R$5*$AM162^5+WeightSDS!S$5*$AM162^4+WeightSDS!T$5*$AM162^3+WeightSDS!U$5*$AM162^2+WeightSDS!V$5*$AM162+WeightSDS!W$5,IF($AM162&lt;186,WeightSDS!P$8*$AM162^7+WeightSDS!Q$8*$AM162^6+WeightSDS!R$8*$AM162^5+WeightSDS!S$8*$AM162^4+WeightSDS!T$8*$AM162^3+WeightSDS!U$8*$AM162^2+WeightSDS!V$8*$AM162+WeightSDS!W$8,WeightSDS!$U$9+WeightSDS!$V$9*($AM162-WeightSDS!$W$9)))</f>
        <v>0.75407122999999998</v>
      </c>
      <c r="AP162" s="4">
        <f>IF(D162="M",IF($AM162&lt;45,WeightSDS!M$23*$AM162^10+WeightSDS!N$23*$AM162^9+WeightSDS!O$23*$AM162^8+WeightSDS!P$23*$AM162^7+WeightSDS!Q$23*$AM162^6+WeightSDS!R$23*$AM162^5+WeightSDS!S$23*$AM162^4+WeightSDS!T$23*$AM162^3+WeightSDS!U$23*$AM162^2+WeightSDS!V$23*$AM162+WeightSDS!W$23,IF($AM162&lt;153,WeightSDS!M$25*$AM162^10+WeightSDS!N$25*$AM162^9+WeightSDS!O$25*$AM162^8+WeightSDS!P$25*$AM162^7+WeightSDS!Q$25*$AM162^6+WeightSDS!R$25*$AM162^5+WeightSDS!S$25*$AM162^4+WeightSDS!T$25*$AM162^3+WeightSDS!U$25*$AM162^2+WeightSDS!V$25*$AM162+WeightSDS!W$25,WeightSDS!M$27+WeightSDS!N$27/(1+EXP(WeightSDS!O$27+WeightSDS!P$27*$AM162)))),IF($AM162&lt;43.8,WeightSDS!M$29*$AM162^10+WeightSDS!N$29*$AM162^9+WeightSDS!O$29*$AM162^8+WeightSDS!P$29*$AM162^7+WeightSDS!Q$29*$AM162^6+WeightSDS!R$29*$AM162^5+WeightSDS!S$29*$AM162^4+WeightSDS!T$29*$AM162^3+WeightSDS!U$29*$AM162^2+WeightSDS!V$29*$AM162+WeightSDS!W$29-0.010431*(1-$AM162/210),IF($AM162&lt;123,WeightSDS!M$30*$AM162^10+WeightSDS!N$30*$AM162^9+WeightSDS!O$30*$AM162^8+WeightSDS!P$30*$AM162^7+WeightSDS!Q$30*$AM162^6+WeightSDS!R$30*$AM162^5+WeightSDS!S$30*$AM162^4+WeightSDS!T$30*$AM162^3+WeightSDS!U$30*$AM162^2+WeightSDS!V$30*$AM162+WeightSDS!W$30-0.010431*(1-1/$AM162),WeightSDS!M$32+WeightSDS!N$32/(1+EXP(WeightSDS!O$32+WeightSDS!P$32*$AM162))-0.010431*(1-$AM162/210))))</f>
        <v>2.9500001032655536</v>
      </c>
      <c r="AQ162" s="4">
        <f>IF(D162="M",IF($AM162&lt;162,WeightSDS!P$12*$AM162^7+WeightSDS!Q$12*$AM162^6+WeightSDS!R$12*$AM162^5+WeightSDS!S$12*$AM162^4+WeightSDS!T$12*$AM162^3+WeightSDS!U$12*$AM162^2+WeightSDS!V$12*$AM162+WeightSDS!W$12,WeightSDS!P$14*$AM162^7+WeightSDS!Q$14*$AM162^6+WeightSDS!R$14*$AM162^5+WeightSDS!S$14*$AM162^4+WeightSDS!T$14*$AM162^3+WeightSDS!U$14*$AM162^2+WeightSDS!V$14*$AM162+WeightSDS!W$14),IF($AM162&lt;156,WeightSDS!O$17*$AM162^8+WeightSDS!P$17*$AM162^7+WeightSDS!Q$17*$AM162^6+WeightSDS!R$17*$AM162^5+WeightSDS!S$17*$AM162^4+WeightSDS!T$17*$AM162^3+WeightSDS!U$17*$AM162^2+WeightSDS!V$17*$AM162+WeightSDS!W$17,IF($AM162&lt;186,WeightSDS!$U$18+(WeightSDS!$V$18-WeightSDS!$U$18)/24*($AM162-186)+WeightSDS!$W$18*(-$AM162+186)^2-0.005,WeightSDS!$U$18+(WeightSDS!$V$18-WeightSDS!$U$18)/24*($AM162-186)-0.005)))</f>
        <v>0.14604529399999999</v>
      </c>
      <c r="AT162" s="4">
        <f t="shared" si="49"/>
        <v>0.56299999999999994</v>
      </c>
      <c r="AU162" s="4">
        <f t="shared" si="50"/>
        <v>69</v>
      </c>
      <c r="AV162" s="4">
        <f t="shared" si="51"/>
        <v>0.51</v>
      </c>
    </row>
    <row r="163" spans="1:48" x14ac:dyDescent="0.15">
      <c r="A163" s="4"/>
      <c r="B163" s="21"/>
      <c r="C163" s="21"/>
      <c r="D163" s="21"/>
      <c r="E163" s="22"/>
      <c r="F163" s="22"/>
      <c r="G163" s="23"/>
      <c r="H163" s="23"/>
      <c r="I163" s="181"/>
      <c r="J163" s="8" t="str">
        <f t="shared" si="43"/>
        <v/>
      </c>
      <c r="K163" s="2" t="str">
        <f t="shared" si="52"/>
        <v/>
      </c>
      <c r="L163" s="2" t="str">
        <f t="shared" si="44"/>
        <v/>
      </c>
      <c r="M163" s="2" t="str">
        <f t="shared" si="53"/>
        <v/>
      </c>
      <c r="N163" s="2" t="str">
        <f t="shared" si="61"/>
        <v/>
      </c>
      <c r="O163" s="2" t="str">
        <f t="shared" si="54"/>
        <v/>
      </c>
      <c r="P163" s="8" t="str">
        <f t="shared" si="55"/>
        <v/>
      </c>
      <c r="Q163" s="8" t="str">
        <f t="shared" si="56"/>
        <v/>
      </c>
      <c r="R163" s="111" t="str">
        <f t="shared" si="57"/>
        <v/>
      </c>
      <c r="S163" s="44" t="str">
        <f t="shared" si="58"/>
        <v/>
      </c>
      <c r="T163" s="37" t="str">
        <f t="shared" si="59"/>
        <v/>
      </c>
      <c r="U163" s="44" t="str">
        <f t="shared" si="60"/>
        <v/>
      </c>
      <c r="V163" s="26"/>
      <c r="W163" s="26"/>
      <c r="X163" s="26"/>
      <c r="Y163" s="26"/>
      <c r="Z163" s="24"/>
      <c r="AA163" s="169">
        <f t="shared" si="45"/>
        <v>0</v>
      </c>
      <c r="AB163" s="4">
        <f t="shared" si="46"/>
        <v>0</v>
      </c>
      <c r="AC163" s="170">
        <f t="shared" si="63"/>
        <v>0</v>
      </c>
      <c r="AD163" s="58"/>
      <c r="AE163" s="58"/>
      <c r="AF163" s="58"/>
      <c r="AG163" s="59">
        <f t="shared" si="47"/>
        <v>9.0359999999999996</v>
      </c>
      <c r="AH163" s="59">
        <f t="shared" si="48"/>
        <v>-184.49199999999999</v>
      </c>
      <c r="AJ163" s="4">
        <f>IF(D163="M",IF(AM163&lt;78,BMILMS!$D$5*AM163^3+BMILMS!$E$5*AM163^2+BMILMS!$F$5*AM163+BMILMS!$G$5,IF(AM163&lt;150,BMILMS!$D$6*AM163^3+BMILMS!$E$6*AM163^2+BMILMS!$F$6*AM163+BMILMS!$G$6,BMILMS!$D$7*AM163^3+BMILMS!$E$7*AM163^2+BMILMS!$F$7*AM163+BMILMS!$G$7)),IF(AM163&lt;69,BMILMS!$D$9*AM163^3+BMILMS!$E$9*AM163^2+BMILMS!$F$9*AM163+BMILMS!$G$9,IF(AM163&lt;150,BMILMS!$D$10*AM163^3+BMILMS!$E$10*AM163^2+BMILMS!$F$10*AM163+BMILMS!$G$10,BMILMS!$D$11*AM163^3+BMILMS!$E$11*AM163^2+BMILMS!$F$11*AM163+BMILMS!$G$11)))</f>
        <v>0.79584630099999998</v>
      </c>
      <c r="AK163" s="4">
        <f>IF(D163="M",(IF(AM163&lt;2.5,BMILMS!$D$21*AM163^3+BMILMS!$E$21*AM163^2+BMILMS!$F$21*AM163+BMILMS!$G$21,IF(AM163&lt;9.5,BMILMS!$D$22*AM163^3+BMILMS!$E$22*AM163^2+BMILMS!$F$22*AM163+BMILMS!$G$22,IF(AM163&lt;26.75,BMILMS!$D$23*AM163^3+BMILMS!$E$23*AM163^2+BMILMS!$F$23*AM163+BMILMS!$G$23,IF(AM163&lt;90,BMILMS!$D$24*AM163^3+BMILMS!$E$24*AM163^2+BMILMS!$F$24*AM163+BMILMS!$G$24,BMILMS!$D$25*AM163^3+BMILMS!$E$25*AM163^2+BMILMS!$F$25*AM163+BMILMS!$G$25))))),(IF(AM163&lt;2.5,BMILMS!$D$27*AM163^3+BMILMS!$E$27*AM163^2+BMILMS!$F$27*AM163+BMILMS!$G$27,IF(AM163&lt;9.5,BMILMS!$D$28*AM163^3+BMILMS!$E$28*AM163^2+BMILMS!$F$28*AM163+BMILMS!$G$28,IF(AM163&lt;26.75,BMILMS!$D$29*AM163^3+BMILMS!$E$29*AM163^2+BMILMS!$F$29*AM163+BMILMS!$G$29,IF(AM163&lt;90,BMILMS!$D$30*AM163^3+BMILMS!$E$30*AM163^2+BMILMS!$F$30*AM163+BMILMS!$G$30,IF(AM163&lt;150,BMILMS!$D$31*AM163^3+BMILMS!$E$31*AM163^2+BMILMS!$F$31*AM163+BMILMS!$G$31,BMILMS!$D$32*AM163^3+BMILMS!$E$32*AM163^2+BMILMS!$F$32*AM163+BMILMS!$G$32)))))))</f>
        <v>12.568967990000001</v>
      </c>
      <c r="AL163" s="4">
        <f>IF(D163="M",(IF(AM163&lt;90,BMILMS!$D$14*AM163^3+BMILMS!$E$14*AM163^2+BMILMS!$F$14*AM163+BMILMS!$G$14,BMILMS!$D$15*AM163^3+BMILMS!$E$15*AM163^2+BMILMS!$F$15*AM163+BMILMS!$G$15)),(IF(AM163&lt;90,BMILMS!$D$17*AM163^3+BMILMS!$E$17*AM163^2+BMILMS!$F$17*AM163+BMILMS!$G$17,BMILMS!$D$18*AM163^3+BMILMS!$E$18*AM163^2+BMILMS!$F$18*AM163+BMILMS!$G$18)))</f>
        <v>8.8969350000000003E-2</v>
      </c>
      <c r="AM163" s="4">
        <f t="shared" si="62"/>
        <v>0</v>
      </c>
      <c r="AO163" s="56">
        <f>IF(D163="M",WeightSDS!P$5*$AM163^7+WeightSDS!Q$5*$AM163^6+WeightSDS!R$5*$AM163^5+WeightSDS!S$5*$AM163^4+WeightSDS!T$5*$AM163^3+WeightSDS!U$5*$AM163^2+WeightSDS!V$5*$AM163+WeightSDS!W$5,IF($AM163&lt;186,WeightSDS!P$8*$AM163^7+WeightSDS!Q$8*$AM163^6+WeightSDS!R$8*$AM163^5+WeightSDS!S$8*$AM163^4+WeightSDS!T$8*$AM163^3+WeightSDS!U$8*$AM163^2+WeightSDS!V$8*$AM163+WeightSDS!W$8,WeightSDS!$U$9+WeightSDS!$V$9*($AM163-WeightSDS!$W$9)))</f>
        <v>0.75407122999999998</v>
      </c>
      <c r="AP163" s="4">
        <f>IF(D163="M",IF($AM163&lt;45,WeightSDS!M$23*$AM163^10+WeightSDS!N$23*$AM163^9+WeightSDS!O$23*$AM163^8+WeightSDS!P$23*$AM163^7+WeightSDS!Q$23*$AM163^6+WeightSDS!R$23*$AM163^5+WeightSDS!S$23*$AM163^4+WeightSDS!T$23*$AM163^3+WeightSDS!U$23*$AM163^2+WeightSDS!V$23*$AM163+WeightSDS!W$23,IF($AM163&lt;153,WeightSDS!M$25*$AM163^10+WeightSDS!N$25*$AM163^9+WeightSDS!O$25*$AM163^8+WeightSDS!P$25*$AM163^7+WeightSDS!Q$25*$AM163^6+WeightSDS!R$25*$AM163^5+WeightSDS!S$25*$AM163^4+WeightSDS!T$25*$AM163^3+WeightSDS!U$25*$AM163^2+WeightSDS!V$25*$AM163+WeightSDS!W$25,WeightSDS!M$27+WeightSDS!N$27/(1+EXP(WeightSDS!O$27+WeightSDS!P$27*$AM163)))),IF($AM163&lt;43.8,WeightSDS!M$29*$AM163^10+WeightSDS!N$29*$AM163^9+WeightSDS!O$29*$AM163^8+WeightSDS!P$29*$AM163^7+WeightSDS!Q$29*$AM163^6+WeightSDS!R$29*$AM163^5+WeightSDS!S$29*$AM163^4+WeightSDS!T$29*$AM163^3+WeightSDS!U$29*$AM163^2+WeightSDS!V$29*$AM163+WeightSDS!W$29-0.010431*(1-$AM163/210),IF($AM163&lt;123,WeightSDS!M$30*$AM163^10+WeightSDS!N$30*$AM163^9+WeightSDS!O$30*$AM163^8+WeightSDS!P$30*$AM163^7+WeightSDS!Q$30*$AM163^6+WeightSDS!R$30*$AM163^5+WeightSDS!S$30*$AM163^4+WeightSDS!T$30*$AM163^3+WeightSDS!U$30*$AM163^2+WeightSDS!V$30*$AM163+WeightSDS!W$30-0.010431*(1-1/$AM163),WeightSDS!M$32+WeightSDS!N$32/(1+EXP(WeightSDS!O$32+WeightSDS!P$32*$AM163))-0.010431*(1-$AM163/210))))</f>
        <v>2.9500001032655536</v>
      </c>
      <c r="AQ163" s="4">
        <f>IF(D163="M",IF($AM163&lt;162,WeightSDS!P$12*$AM163^7+WeightSDS!Q$12*$AM163^6+WeightSDS!R$12*$AM163^5+WeightSDS!S$12*$AM163^4+WeightSDS!T$12*$AM163^3+WeightSDS!U$12*$AM163^2+WeightSDS!V$12*$AM163+WeightSDS!W$12,WeightSDS!P$14*$AM163^7+WeightSDS!Q$14*$AM163^6+WeightSDS!R$14*$AM163^5+WeightSDS!S$14*$AM163^4+WeightSDS!T$14*$AM163^3+WeightSDS!U$14*$AM163^2+WeightSDS!V$14*$AM163+WeightSDS!W$14),IF($AM163&lt;156,WeightSDS!O$17*$AM163^8+WeightSDS!P$17*$AM163^7+WeightSDS!Q$17*$AM163^6+WeightSDS!R$17*$AM163^5+WeightSDS!S$17*$AM163^4+WeightSDS!T$17*$AM163^3+WeightSDS!U$17*$AM163^2+WeightSDS!V$17*$AM163+WeightSDS!W$17,IF($AM163&lt;186,WeightSDS!$U$18+(WeightSDS!$V$18-WeightSDS!$U$18)/24*($AM163-186)+WeightSDS!$W$18*(-$AM163+186)^2-0.005,WeightSDS!$U$18+(WeightSDS!$V$18-WeightSDS!$U$18)/24*($AM163-186)-0.005)))</f>
        <v>0.14604529399999999</v>
      </c>
      <c r="AT163" s="4">
        <f t="shared" si="49"/>
        <v>0.56299999999999994</v>
      </c>
      <c r="AU163" s="4">
        <f t="shared" si="50"/>
        <v>69</v>
      </c>
      <c r="AV163" s="4">
        <f t="shared" si="51"/>
        <v>0.51</v>
      </c>
    </row>
    <row r="164" spans="1:48" x14ac:dyDescent="0.15">
      <c r="A164" s="4"/>
      <c r="B164" s="21"/>
      <c r="C164" s="21"/>
      <c r="D164" s="21"/>
      <c r="E164" s="22"/>
      <c r="F164" s="22"/>
      <c r="G164" s="23"/>
      <c r="H164" s="23"/>
      <c r="I164" s="181"/>
      <c r="J164" s="8" t="str">
        <f t="shared" si="43"/>
        <v/>
      </c>
      <c r="K164" s="2" t="str">
        <f t="shared" si="52"/>
        <v/>
      </c>
      <c r="L164" s="2" t="str">
        <f t="shared" si="44"/>
        <v/>
      </c>
      <c r="M164" s="2" t="str">
        <f t="shared" si="53"/>
        <v/>
      </c>
      <c r="N164" s="2" t="str">
        <f t="shared" si="61"/>
        <v/>
      </c>
      <c r="O164" s="2" t="str">
        <f t="shared" si="54"/>
        <v/>
      </c>
      <c r="P164" s="8" t="str">
        <f t="shared" si="55"/>
        <v/>
      </c>
      <c r="Q164" s="8" t="str">
        <f t="shared" si="56"/>
        <v/>
      </c>
      <c r="R164" s="111" t="str">
        <f t="shared" si="57"/>
        <v/>
      </c>
      <c r="S164" s="44" t="str">
        <f t="shared" si="58"/>
        <v/>
      </c>
      <c r="T164" s="37" t="str">
        <f t="shared" si="59"/>
        <v/>
      </c>
      <c r="U164" s="44" t="str">
        <f t="shared" si="60"/>
        <v/>
      </c>
      <c r="V164" s="26"/>
      <c r="W164" s="26"/>
      <c r="X164" s="26"/>
      <c r="Y164" s="26"/>
      <c r="Z164" s="24"/>
      <c r="AA164" s="169">
        <f t="shared" si="45"/>
        <v>0</v>
      </c>
      <c r="AB164" s="4">
        <f t="shared" si="46"/>
        <v>0</v>
      </c>
      <c r="AC164" s="170">
        <f t="shared" si="63"/>
        <v>0</v>
      </c>
      <c r="AD164" s="58"/>
      <c r="AE164" s="58"/>
      <c r="AF164" s="58"/>
      <c r="AG164" s="59">
        <f t="shared" si="47"/>
        <v>9.0359999999999996</v>
      </c>
      <c r="AH164" s="59">
        <f t="shared" si="48"/>
        <v>-184.49199999999999</v>
      </c>
      <c r="AJ164" s="4">
        <f>IF(D164="M",IF(AM164&lt;78,BMILMS!$D$5*AM164^3+BMILMS!$E$5*AM164^2+BMILMS!$F$5*AM164+BMILMS!$G$5,IF(AM164&lt;150,BMILMS!$D$6*AM164^3+BMILMS!$E$6*AM164^2+BMILMS!$F$6*AM164+BMILMS!$G$6,BMILMS!$D$7*AM164^3+BMILMS!$E$7*AM164^2+BMILMS!$F$7*AM164+BMILMS!$G$7)),IF(AM164&lt;69,BMILMS!$D$9*AM164^3+BMILMS!$E$9*AM164^2+BMILMS!$F$9*AM164+BMILMS!$G$9,IF(AM164&lt;150,BMILMS!$D$10*AM164^3+BMILMS!$E$10*AM164^2+BMILMS!$F$10*AM164+BMILMS!$G$10,BMILMS!$D$11*AM164^3+BMILMS!$E$11*AM164^2+BMILMS!$F$11*AM164+BMILMS!$G$11)))</f>
        <v>0.79584630099999998</v>
      </c>
      <c r="AK164" s="4">
        <f>IF(D164="M",(IF(AM164&lt;2.5,BMILMS!$D$21*AM164^3+BMILMS!$E$21*AM164^2+BMILMS!$F$21*AM164+BMILMS!$G$21,IF(AM164&lt;9.5,BMILMS!$D$22*AM164^3+BMILMS!$E$22*AM164^2+BMILMS!$F$22*AM164+BMILMS!$G$22,IF(AM164&lt;26.75,BMILMS!$D$23*AM164^3+BMILMS!$E$23*AM164^2+BMILMS!$F$23*AM164+BMILMS!$G$23,IF(AM164&lt;90,BMILMS!$D$24*AM164^3+BMILMS!$E$24*AM164^2+BMILMS!$F$24*AM164+BMILMS!$G$24,BMILMS!$D$25*AM164^3+BMILMS!$E$25*AM164^2+BMILMS!$F$25*AM164+BMILMS!$G$25))))),(IF(AM164&lt;2.5,BMILMS!$D$27*AM164^3+BMILMS!$E$27*AM164^2+BMILMS!$F$27*AM164+BMILMS!$G$27,IF(AM164&lt;9.5,BMILMS!$D$28*AM164^3+BMILMS!$E$28*AM164^2+BMILMS!$F$28*AM164+BMILMS!$G$28,IF(AM164&lt;26.75,BMILMS!$D$29*AM164^3+BMILMS!$E$29*AM164^2+BMILMS!$F$29*AM164+BMILMS!$G$29,IF(AM164&lt;90,BMILMS!$D$30*AM164^3+BMILMS!$E$30*AM164^2+BMILMS!$F$30*AM164+BMILMS!$G$30,IF(AM164&lt;150,BMILMS!$D$31*AM164^3+BMILMS!$E$31*AM164^2+BMILMS!$F$31*AM164+BMILMS!$G$31,BMILMS!$D$32*AM164^3+BMILMS!$E$32*AM164^2+BMILMS!$F$32*AM164+BMILMS!$G$32)))))))</f>
        <v>12.568967990000001</v>
      </c>
      <c r="AL164" s="4">
        <f>IF(D164="M",(IF(AM164&lt;90,BMILMS!$D$14*AM164^3+BMILMS!$E$14*AM164^2+BMILMS!$F$14*AM164+BMILMS!$G$14,BMILMS!$D$15*AM164^3+BMILMS!$E$15*AM164^2+BMILMS!$F$15*AM164+BMILMS!$G$15)),(IF(AM164&lt;90,BMILMS!$D$17*AM164^3+BMILMS!$E$17*AM164^2+BMILMS!$F$17*AM164+BMILMS!$G$17,BMILMS!$D$18*AM164^3+BMILMS!$E$18*AM164^2+BMILMS!$F$18*AM164+BMILMS!$G$18)))</f>
        <v>8.8969350000000003E-2</v>
      </c>
      <c r="AM164" s="4">
        <f t="shared" si="62"/>
        <v>0</v>
      </c>
      <c r="AO164" s="56">
        <f>IF(D164="M",WeightSDS!P$5*$AM164^7+WeightSDS!Q$5*$AM164^6+WeightSDS!R$5*$AM164^5+WeightSDS!S$5*$AM164^4+WeightSDS!T$5*$AM164^3+WeightSDS!U$5*$AM164^2+WeightSDS!V$5*$AM164+WeightSDS!W$5,IF($AM164&lt;186,WeightSDS!P$8*$AM164^7+WeightSDS!Q$8*$AM164^6+WeightSDS!R$8*$AM164^5+WeightSDS!S$8*$AM164^4+WeightSDS!T$8*$AM164^3+WeightSDS!U$8*$AM164^2+WeightSDS!V$8*$AM164+WeightSDS!W$8,WeightSDS!$U$9+WeightSDS!$V$9*($AM164-WeightSDS!$W$9)))</f>
        <v>0.75407122999999998</v>
      </c>
      <c r="AP164" s="4">
        <f>IF(D164="M",IF($AM164&lt;45,WeightSDS!M$23*$AM164^10+WeightSDS!N$23*$AM164^9+WeightSDS!O$23*$AM164^8+WeightSDS!P$23*$AM164^7+WeightSDS!Q$23*$AM164^6+WeightSDS!R$23*$AM164^5+WeightSDS!S$23*$AM164^4+WeightSDS!T$23*$AM164^3+WeightSDS!U$23*$AM164^2+WeightSDS!V$23*$AM164+WeightSDS!W$23,IF($AM164&lt;153,WeightSDS!M$25*$AM164^10+WeightSDS!N$25*$AM164^9+WeightSDS!O$25*$AM164^8+WeightSDS!P$25*$AM164^7+WeightSDS!Q$25*$AM164^6+WeightSDS!R$25*$AM164^5+WeightSDS!S$25*$AM164^4+WeightSDS!T$25*$AM164^3+WeightSDS!U$25*$AM164^2+WeightSDS!V$25*$AM164+WeightSDS!W$25,WeightSDS!M$27+WeightSDS!N$27/(1+EXP(WeightSDS!O$27+WeightSDS!P$27*$AM164)))),IF($AM164&lt;43.8,WeightSDS!M$29*$AM164^10+WeightSDS!N$29*$AM164^9+WeightSDS!O$29*$AM164^8+WeightSDS!P$29*$AM164^7+WeightSDS!Q$29*$AM164^6+WeightSDS!R$29*$AM164^5+WeightSDS!S$29*$AM164^4+WeightSDS!T$29*$AM164^3+WeightSDS!U$29*$AM164^2+WeightSDS!V$29*$AM164+WeightSDS!W$29-0.010431*(1-$AM164/210),IF($AM164&lt;123,WeightSDS!M$30*$AM164^10+WeightSDS!N$30*$AM164^9+WeightSDS!O$30*$AM164^8+WeightSDS!P$30*$AM164^7+WeightSDS!Q$30*$AM164^6+WeightSDS!R$30*$AM164^5+WeightSDS!S$30*$AM164^4+WeightSDS!T$30*$AM164^3+WeightSDS!U$30*$AM164^2+WeightSDS!V$30*$AM164+WeightSDS!W$30-0.010431*(1-1/$AM164),WeightSDS!M$32+WeightSDS!N$32/(1+EXP(WeightSDS!O$32+WeightSDS!P$32*$AM164))-0.010431*(1-$AM164/210))))</f>
        <v>2.9500001032655536</v>
      </c>
      <c r="AQ164" s="4">
        <f>IF(D164="M",IF($AM164&lt;162,WeightSDS!P$12*$AM164^7+WeightSDS!Q$12*$AM164^6+WeightSDS!R$12*$AM164^5+WeightSDS!S$12*$AM164^4+WeightSDS!T$12*$AM164^3+WeightSDS!U$12*$AM164^2+WeightSDS!V$12*$AM164+WeightSDS!W$12,WeightSDS!P$14*$AM164^7+WeightSDS!Q$14*$AM164^6+WeightSDS!R$14*$AM164^5+WeightSDS!S$14*$AM164^4+WeightSDS!T$14*$AM164^3+WeightSDS!U$14*$AM164^2+WeightSDS!V$14*$AM164+WeightSDS!W$14),IF($AM164&lt;156,WeightSDS!O$17*$AM164^8+WeightSDS!P$17*$AM164^7+WeightSDS!Q$17*$AM164^6+WeightSDS!R$17*$AM164^5+WeightSDS!S$17*$AM164^4+WeightSDS!T$17*$AM164^3+WeightSDS!U$17*$AM164^2+WeightSDS!V$17*$AM164+WeightSDS!W$17,IF($AM164&lt;186,WeightSDS!$U$18+(WeightSDS!$V$18-WeightSDS!$U$18)/24*($AM164-186)+WeightSDS!$W$18*(-$AM164+186)^2-0.005,WeightSDS!$U$18+(WeightSDS!$V$18-WeightSDS!$U$18)/24*($AM164-186)-0.005)))</f>
        <v>0.14604529399999999</v>
      </c>
      <c r="AT164" s="4">
        <f t="shared" si="49"/>
        <v>0.56299999999999994</v>
      </c>
      <c r="AU164" s="4">
        <f t="shared" si="50"/>
        <v>69</v>
      </c>
      <c r="AV164" s="4">
        <f t="shared" si="51"/>
        <v>0.51</v>
      </c>
    </row>
    <row r="165" spans="1:48" x14ac:dyDescent="0.15">
      <c r="A165" s="4"/>
      <c r="B165" s="21"/>
      <c r="C165" s="21"/>
      <c r="D165" s="21"/>
      <c r="E165" s="22"/>
      <c r="F165" s="22"/>
      <c r="G165" s="23"/>
      <c r="H165" s="23"/>
      <c r="I165" s="181"/>
      <c r="J165" s="8" t="str">
        <f t="shared" si="43"/>
        <v/>
      </c>
      <c r="K165" s="2" t="str">
        <f t="shared" si="52"/>
        <v/>
      </c>
      <c r="L165" s="2" t="str">
        <f t="shared" si="44"/>
        <v/>
      </c>
      <c r="M165" s="2" t="str">
        <f t="shared" si="53"/>
        <v/>
      </c>
      <c r="N165" s="2" t="str">
        <f t="shared" si="61"/>
        <v/>
      </c>
      <c r="O165" s="2" t="str">
        <f t="shared" si="54"/>
        <v/>
      </c>
      <c r="P165" s="8" t="str">
        <f t="shared" si="55"/>
        <v/>
      </c>
      <c r="Q165" s="8" t="str">
        <f t="shared" si="56"/>
        <v/>
      </c>
      <c r="R165" s="111" t="str">
        <f t="shared" si="57"/>
        <v/>
      </c>
      <c r="S165" s="44" t="str">
        <f t="shared" si="58"/>
        <v/>
      </c>
      <c r="T165" s="37" t="str">
        <f t="shared" si="59"/>
        <v/>
      </c>
      <c r="U165" s="44" t="str">
        <f t="shared" si="60"/>
        <v/>
      </c>
      <c r="V165" s="26"/>
      <c r="W165" s="26"/>
      <c r="X165" s="26"/>
      <c r="Y165" s="26"/>
      <c r="Z165" s="24"/>
      <c r="AA165" s="169">
        <f t="shared" si="45"/>
        <v>0</v>
      </c>
      <c r="AB165" s="4">
        <f t="shared" si="46"/>
        <v>0</v>
      </c>
      <c r="AC165" s="170">
        <f t="shared" si="63"/>
        <v>0</v>
      </c>
      <c r="AD165" s="58"/>
      <c r="AE165" s="58"/>
      <c r="AF165" s="58"/>
      <c r="AG165" s="59">
        <f t="shared" si="47"/>
        <v>9.0359999999999996</v>
      </c>
      <c r="AH165" s="59">
        <f t="shared" si="48"/>
        <v>-184.49199999999999</v>
      </c>
      <c r="AJ165" s="4">
        <f>IF(D165="M",IF(AM165&lt;78,BMILMS!$D$5*AM165^3+BMILMS!$E$5*AM165^2+BMILMS!$F$5*AM165+BMILMS!$G$5,IF(AM165&lt;150,BMILMS!$D$6*AM165^3+BMILMS!$E$6*AM165^2+BMILMS!$F$6*AM165+BMILMS!$G$6,BMILMS!$D$7*AM165^3+BMILMS!$E$7*AM165^2+BMILMS!$F$7*AM165+BMILMS!$G$7)),IF(AM165&lt;69,BMILMS!$D$9*AM165^3+BMILMS!$E$9*AM165^2+BMILMS!$F$9*AM165+BMILMS!$G$9,IF(AM165&lt;150,BMILMS!$D$10*AM165^3+BMILMS!$E$10*AM165^2+BMILMS!$F$10*AM165+BMILMS!$G$10,BMILMS!$D$11*AM165^3+BMILMS!$E$11*AM165^2+BMILMS!$F$11*AM165+BMILMS!$G$11)))</f>
        <v>0.79584630099999998</v>
      </c>
      <c r="AK165" s="4">
        <f>IF(D165="M",(IF(AM165&lt;2.5,BMILMS!$D$21*AM165^3+BMILMS!$E$21*AM165^2+BMILMS!$F$21*AM165+BMILMS!$G$21,IF(AM165&lt;9.5,BMILMS!$D$22*AM165^3+BMILMS!$E$22*AM165^2+BMILMS!$F$22*AM165+BMILMS!$G$22,IF(AM165&lt;26.75,BMILMS!$D$23*AM165^3+BMILMS!$E$23*AM165^2+BMILMS!$F$23*AM165+BMILMS!$G$23,IF(AM165&lt;90,BMILMS!$D$24*AM165^3+BMILMS!$E$24*AM165^2+BMILMS!$F$24*AM165+BMILMS!$G$24,BMILMS!$D$25*AM165^3+BMILMS!$E$25*AM165^2+BMILMS!$F$25*AM165+BMILMS!$G$25))))),(IF(AM165&lt;2.5,BMILMS!$D$27*AM165^3+BMILMS!$E$27*AM165^2+BMILMS!$F$27*AM165+BMILMS!$G$27,IF(AM165&lt;9.5,BMILMS!$D$28*AM165^3+BMILMS!$E$28*AM165^2+BMILMS!$F$28*AM165+BMILMS!$G$28,IF(AM165&lt;26.75,BMILMS!$D$29*AM165^3+BMILMS!$E$29*AM165^2+BMILMS!$F$29*AM165+BMILMS!$G$29,IF(AM165&lt;90,BMILMS!$D$30*AM165^3+BMILMS!$E$30*AM165^2+BMILMS!$F$30*AM165+BMILMS!$G$30,IF(AM165&lt;150,BMILMS!$D$31*AM165^3+BMILMS!$E$31*AM165^2+BMILMS!$F$31*AM165+BMILMS!$G$31,BMILMS!$D$32*AM165^3+BMILMS!$E$32*AM165^2+BMILMS!$F$32*AM165+BMILMS!$G$32)))))))</f>
        <v>12.568967990000001</v>
      </c>
      <c r="AL165" s="4">
        <f>IF(D165="M",(IF(AM165&lt;90,BMILMS!$D$14*AM165^3+BMILMS!$E$14*AM165^2+BMILMS!$F$14*AM165+BMILMS!$G$14,BMILMS!$D$15*AM165^3+BMILMS!$E$15*AM165^2+BMILMS!$F$15*AM165+BMILMS!$G$15)),(IF(AM165&lt;90,BMILMS!$D$17*AM165^3+BMILMS!$E$17*AM165^2+BMILMS!$F$17*AM165+BMILMS!$G$17,BMILMS!$D$18*AM165^3+BMILMS!$E$18*AM165^2+BMILMS!$F$18*AM165+BMILMS!$G$18)))</f>
        <v>8.8969350000000003E-2</v>
      </c>
      <c r="AM165" s="4">
        <f t="shared" si="62"/>
        <v>0</v>
      </c>
      <c r="AO165" s="56">
        <f>IF(D165="M",WeightSDS!P$5*$AM165^7+WeightSDS!Q$5*$AM165^6+WeightSDS!R$5*$AM165^5+WeightSDS!S$5*$AM165^4+WeightSDS!T$5*$AM165^3+WeightSDS!U$5*$AM165^2+WeightSDS!V$5*$AM165+WeightSDS!W$5,IF($AM165&lt;186,WeightSDS!P$8*$AM165^7+WeightSDS!Q$8*$AM165^6+WeightSDS!R$8*$AM165^5+WeightSDS!S$8*$AM165^4+WeightSDS!T$8*$AM165^3+WeightSDS!U$8*$AM165^2+WeightSDS!V$8*$AM165+WeightSDS!W$8,WeightSDS!$U$9+WeightSDS!$V$9*($AM165-WeightSDS!$W$9)))</f>
        <v>0.75407122999999998</v>
      </c>
      <c r="AP165" s="4">
        <f>IF(D165="M",IF($AM165&lt;45,WeightSDS!M$23*$AM165^10+WeightSDS!N$23*$AM165^9+WeightSDS!O$23*$AM165^8+WeightSDS!P$23*$AM165^7+WeightSDS!Q$23*$AM165^6+WeightSDS!R$23*$AM165^5+WeightSDS!S$23*$AM165^4+WeightSDS!T$23*$AM165^3+WeightSDS!U$23*$AM165^2+WeightSDS!V$23*$AM165+WeightSDS!W$23,IF($AM165&lt;153,WeightSDS!M$25*$AM165^10+WeightSDS!N$25*$AM165^9+WeightSDS!O$25*$AM165^8+WeightSDS!P$25*$AM165^7+WeightSDS!Q$25*$AM165^6+WeightSDS!R$25*$AM165^5+WeightSDS!S$25*$AM165^4+WeightSDS!T$25*$AM165^3+WeightSDS!U$25*$AM165^2+WeightSDS!V$25*$AM165+WeightSDS!W$25,WeightSDS!M$27+WeightSDS!N$27/(1+EXP(WeightSDS!O$27+WeightSDS!P$27*$AM165)))),IF($AM165&lt;43.8,WeightSDS!M$29*$AM165^10+WeightSDS!N$29*$AM165^9+WeightSDS!O$29*$AM165^8+WeightSDS!P$29*$AM165^7+WeightSDS!Q$29*$AM165^6+WeightSDS!R$29*$AM165^5+WeightSDS!S$29*$AM165^4+WeightSDS!T$29*$AM165^3+WeightSDS!U$29*$AM165^2+WeightSDS!V$29*$AM165+WeightSDS!W$29-0.010431*(1-$AM165/210),IF($AM165&lt;123,WeightSDS!M$30*$AM165^10+WeightSDS!N$30*$AM165^9+WeightSDS!O$30*$AM165^8+WeightSDS!P$30*$AM165^7+WeightSDS!Q$30*$AM165^6+WeightSDS!R$30*$AM165^5+WeightSDS!S$30*$AM165^4+WeightSDS!T$30*$AM165^3+WeightSDS!U$30*$AM165^2+WeightSDS!V$30*$AM165+WeightSDS!W$30-0.010431*(1-1/$AM165),WeightSDS!M$32+WeightSDS!N$32/(1+EXP(WeightSDS!O$32+WeightSDS!P$32*$AM165))-0.010431*(1-$AM165/210))))</f>
        <v>2.9500001032655536</v>
      </c>
      <c r="AQ165" s="4">
        <f>IF(D165="M",IF($AM165&lt;162,WeightSDS!P$12*$AM165^7+WeightSDS!Q$12*$AM165^6+WeightSDS!R$12*$AM165^5+WeightSDS!S$12*$AM165^4+WeightSDS!T$12*$AM165^3+WeightSDS!U$12*$AM165^2+WeightSDS!V$12*$AM165+WeightSDS!W$12,WeightSDS!P$14*$AM165^7+WeightSDS!Q$14*$AM165^6+WeightSDS!R$14*$AM165^5+WeightSDS!S$14*$AM165^4+WeightSDS!T$14*$AM165^3+WeightSDS!U$14*$AM165^2+WeightSDS!V$14*$AM165+WeightSDS!W$14),IF($AM165&lt;156,WeightSDS!O$17*$AM165^8+WeightSDS!P$17*$AM165^7+WeightSDS!Q$17*$AM165^6+WeightSDS!R$17*$AM165^5+WeightSDS!S$17*$AM165^4+WeightSDS!T$17*$AM165^3+WeightSDS!U$17*$AM165^2+WeightSDS!V$17*$AM165+WeightSDS!W$17,IF($AM165&lt;186,WeightSDS!$U$18+(WeightSDS!$V$18-WeightSDS!$U$18)/24*($AM165-186)+WeightSDS!$W$18*(-$AM165+186)^2-0.005,WeightSDS!$U$18+(WeightSDS!$V$18-WeightSDS!$U$18)/24*($AM165-186)-0.005)))</f>
        <v>0.14604529399999999</v>
      </c>
      <c r="AT165" s="4">
        <f t="shared" si="49"/>
        <v>0.56299999999999994</v>
      </c>
      <c r="AU165" s="4">
        <f t="shared" si="50"/>
        <v>69</v>
      </c>
      <c r="AV165" s="4">
        <f t="shared" si="51"/>
        <v>0.51</v>
      </c>
    </row>
    <row r="166" spans="1:48" x14ac:dyDescent="0.15">
      <c r="A166" s="4"/>
      <c r="B166" s="21"/>
      <c r="C166" s="21"/>
      <c r="D166" s="21"/>
      <c r="E166" s="22"/>
      <c r="F166" s="22"/>
      <c r="G166" s="23"/>
      <c r="H166" s="23"/>
      <c r="I166" s="181"/>
      <c r="J166" s="8" t="str">
        <f t="shared" si="43"/>
        <v/>
      </c>
      <c r="K166" s="2" t="str">
        <f t="shared" si="52"/>
        <v/>
      </c>
      <c r="L166" s="2" t="str">
        <f t="shared" si="44"/>
        <v/>
      </c>
      <c r="M166" s="2" t="str">
        <f t="shared" si="53"/>
        <v/>
      </c>
      <c r="N166" s="2" t="str">
        <f t="shared" si="61"/>
        <v/>
      </c>
      <c r="O166" s="2" t="str">
        <f t="shared" si="54"/>
        <v/>
      </c>
      <c r="P166" s="8" t="str">
        <f t="shared" si="55"/>
        <v/>
      </c>
      <c r="Q166" s="8" t="str">
        <f t="shared" si="56"/>
        <v/>
      </c>
      <c r="R166" s="111" t="str">
        <f t="shared" si="57"/>
        <v/>
      </c>
      <c r="S166" s="44" t="str">
        <f t="shared" si="58"/>
        <v/>
      </c>
      <c r="T166" s="37" t="str">
        <f t="shared" si="59"/>
        <v/>
      </c>
      <c r="U166" s="44" t="str">
        <f t="shared" si="60"/>
        <v/>
      </c>
      <c r="V166" s="26"/>
      <c r="W166" s="26"/>
      <c r="X166" s="26"/>
      <c r="Y166" s="26"/>
      <c r="Z166" s="24"/>
      <c r="AA166" s="169">
        <f t="shared" si="45"/>
        <v>0</v>
      </c>
      <c r="AB166" s="4">
        <f t="shared" si="46"/>
        <v>0</v>
      </c>
      <c r="AC166" s="170">
        <f t="shared" si="63"/>
        <v>0</v>
      </c>
      <c r="AD166" s="58"/>
      <c r="AE166" s="58"/>
      <c r="AF166" s="58"/>
      <c r="AG166" s="59">
        <f t="shared" si="47"/>
        <v>9.0359999999999996</v>
      </c>
      <c r="AH166" s="59">
        <f t="shared" si="48"/>
        <v>-184.49199999999999</v>
      </c>
      <c r="AJ166" s="4">
        <f>IF(D166="M",IF(AM166&lt;78,BMILMS!$D$5*AM166^3+BMILMS!$E$5*AM166^2+BMILMS!$F$5*AM166+BMILMS!$G$5,IF(AM166&lt;150,BMILMS!$D$6*AM166^3+BMILMS!$E$6*AM166^2+BMILMS!$F$6*AM166+BMILMS!$G$6,BMILMS!$D$7*AM166^3+BMILMS!$E$7*AM166^2+BMILMS!$F$7*AM166+BMILMS!$G$7)),IF(AM166&lt;69,BMILMS!$D$9*AM166^3+BMILMS!$E$9*AM166^2+BMILMS!$F$9*AM166+BMILMS!$G$9,IF(AM166&lt;150,BMILMS!$D$10*AM166^3+BMILMS!$E$10*AM166^2+BMILMS!$F$10*AM166+BMILMS!$G$10,BMILMS!$D$11*AM166^3+BMILMS!$E$11*AM166^2+BMILMS!$F$11*AM166+BMILMS!$G$11)))</f>
        <v>0.79584630099999998</v>
      </c>
      <c r="AK166" s="4">
        <f>IF(D166="M",(IF(AM166&lt;2.5,BMILMS!$D$21*AM166^3+BMILMS!$E$21*AM166^2+BMILMS!$F$21*AM166+BMILMS!$G$21,IF(AM166&lt;9.5,BMILMS!$D$22*AM166^3+BMILMS!$E$22*AM166^2+BMILMS!$F$22*AM166+BMILMS!$G$22,IF(AM166&lt;26.75,BMILMS!$D$23*AM166^3+BMILMS!$E$23*AM166^2+BMILMS!$F$23*AM166+BMILMS!$G$23,IF(AM166&lt;90,BMILMS!$D$24*AM166^3+BMILMS!$E$24*AM166^2+BMILMS!$F$24*AM166+BMILMS!$G$24,BMILMS!$D$25*AM166^3+BMILMS!$E$25*AM166^2+BMILMS!$F$25*AM166+BMILMS!$G$25))))),(IF(AM166&lt;2.5,BMILMS!$D$27*AM166^3+BMILMS!$E$27*AM166^2+BMILMS!$F$27*AM166+BMILMS!$G$27,IF(AM166&lt;9.5,BMILMS!$D$28*AM166^3+BMILMS!$E$28*AM166^2+BMILMS!$F$28*AM166+BMILMS!$G$28,IF(AM166&lt;26.75,BMILMS!$D$29*AM166^3+BMILMS!$E$29*AM166^2+BMILMS!$F$29*AM166+BMILMS!$G$29,IF(AM166&lt;90,BMILMS!$D$30*AM166^3+BMILMS!$E$30*AM166^2+BMILMS!$F$30*AM166+BMILMS!$G$30,IF(AM166&lt;150,BMILMS!$D$31*AM166^3+BMILMS!$E$31*AM166^2+BMILMS!$F$31*AM166+BMILMS!$G$31,BMILMS!$D$32*AM166^3+BMILMS!$E$32*AM166^2+BMILMS!$F$32*AM166+BMILMS!$G$32)))))))</f>
        <v>12.568967990000001</v>
      </c>
      <c r="AL166" s="4">
        <f>IF(D166="M",(IF(AM166&lt;90,BMILMS!$D$14*AM166^3+BMILMS!$E$14*AM166^2+BMILMS!$F$14*AM166+BMILMS!$G$14,BMILMS!$D$15*AM166^3+BMILMS!$E$15*AM166^2+BMILMS!$F$15*AM166+BMILMS!$G$15)),(IF(AM166&lt;90,BMILMS!$D$17*AM166^3+BMILMS!$E$17*AM166^2+BMILMS!$F$17*AM166+BMILMS!$G$17,BMILMS!$D$18*AM166^3+BMILMS!$E$18*AM166^2+BMILMS!$F$18*AM166+BMILMS!$G$18)))</f>
        <v>8.8969350000000003E-2</v>
      </c>
      <c r="AM166" s="4">
        <f t="shared" si="62"/>
        <v>0</v>
      </c>
      <c r="AO166" s="56">
        <f>IF(D166="M",WeightSDS!P$5*$AM166^7+WeightSDS!Q$5*$AM166^6+WeightSDS!R$5*$AM166^5+WeightSDS!S$5*$AM166^4+WeightSDS!T$5*$AM166^3+WeightSDS!U$5*$AM166^2+WeightSDS!V$5*$AM166+WeightSDS!W$5,IF($AM166&lt;186,WeightSDS!P$8*$AM166^7+WeightSDS!Q$8*$AM166^6+WeightSDS!R$8*$AM166^5+WeightSDS!S$8*$AM166^4+WeightSDS!T$8*$AM166^3+WeightSDS!U$8*$AM166^2+WeightSDS!V$8*$AM166+WeightSDS!W$8,WeightSDS!$U$9+WeightSDS!$V$9*($AM166-WeightSDS!$W$9)))</f>
        <v>0.75407122999999998</v>
      </c>
      <c r="AP166" s="4">
        <f>IF(D166="M",IF($AM166&lt;45,WeightSDS!M$23*$AM166^10+WeightSDS!N$23*$AM166^9+WeightSDS!O$23*$AM166^8+WeightSDS!P$23*$AM166^7+WeightSDS!Q$23*$AM166^6+WeightSDS!R$23*$AM166^5+WeightSDS!S$23*$AM166^4+WeightSDS!T$23*$AM166^3+WeightSDS!U$23*$AM166^2+WeightSDS!V$23*$AM166+WeightSDS!W$23,IF($AM166&lt;153,WeightSDS!M$25*$AM166^10+WeightSDS!N$25*$AM166^9+WeightSDS!O$25*$AM166^8+WeightSDS!P$25*$AM166^7+WeightSDS!Q$25*$AM166^6+WeightSDS!R$25*$AM166^5+WeightSDS!S$25*$AM166^4+WeightSDS!T$25*$AM166^3+WeightSDS!U$25*$AM166^2+WeightSDS!V$25*$AM166+WeightSDS!W$25,WeightSDS!M$27+WeightSDS!N$27/(1+EXP(WeightSDS!O$27+WeightSDS!P$27*$AM166)))),IF($AM166&lt;43.8,WeightSDS!M$29*$AM166^10+WeightSDS!N$29*$AM166^9+WeightSDS!O$29*$AM166^8+WeightSDS!P$29*$AM166^7+WeightSDS!Q$29*$AM166^6+WeightSDS!R$29*$AM166^5+WeightSDS!S$29*$AM166^4+WeightSDS!T$29*$AM166^3+WeightSDS!U$29*$AM166^2+WeightSDS!V$29*$AM166+WeightSDS!W$29-0.010431*(1-$AM166/210),IF($AM166&lt;123,WeightSDS!M$30*$AM166^10+WeightSDS!N$30*$AM166^9+WeightSDS!O$30*$AM166^8+WeightSDS!P$30*$AM166^7+WeightSDS!Q$30*$AM166^6+WeightSDS!R$30*$AM166^5+WeightSDS!S$30*$AM166^4+WeightSDS!T$30*$AM166^3+WeightSDS!U$30*$AM166^2+WeightSDS!V$30*$AM166+WeightSDS!W$30-0.010431*(1-1/$AM166),WeightSDS!M$32+WeightSDS!N$32/(1+EXP(WeightSDS!O$32+WeightSDS!P$32*$AM166))-0.010431*(1-$AM166/210))))</f>
        <v>2.9500001032655536</v>
      </c>
      <c r="AQ166" s="4">
        <f>IF(D166="M",IF($AM166&lt;162,WeightSDS!P$12*$AM166^7+WeightSDS!Q$12*$AM166^6+WeightSDS!R$12*$AM166^5+WeightSDS!S$12*$AM166^4+WeightSDS!T$12*$AM166^3+WeightSDS!U$12*$AM166^2+WeightSDS!V$12*$AM166+WeightSDS!W$12,WeightSDS!P$14*$AM166^7+WeightSDS!Q$14*$AM166^6+WeightSDS!R$14*$AM166^5+WeightSDS!S$14*$AM166^4+WeightSDS!T$14*$AM166^3+WeightSDS!U$14*$AM166^2+WeightSDS!V$14*$AM166+WeightSDS!W$14),IF($AM166&lt;156,WeightSDS!O$17*$AM166^8+WeightSDS!P$17*$AM166^7+WeightSDS!Q$17*$AM166^6+WeightSDS!R$17*$AM166^5+WeightSDS!S$17*$AM166^4+WeightSDS!T$17*$AM166^3+WeightSDS!U$17*$AM166^2+WeightSDS!V$17*$AM166+WeightSDS!W$17,IF($AM166&lt;186,WeightSDS!$U$18+(WeightSDS!$V$18-WeightSDS!$U$18)/24*($AM166-186)+WeightSDS!$W$18*(-$AM166+186)^2-0.005,WeightSDS!$U$18+(WeightSDS!$V$18-WeightSDS!$U$18)/24*($AM166-186)-0.005)))</f>
        <v>0.14604529399999999</v>
      </c>
      <c r="AT166" s="4">
        <f t="shared" si="49"/>
        <v>0.56299999999999994</v>
      </c>
      <c r="AU166" s="4">
        <f t="shared" si="50"/>
        <v>69</v>
      </c>
      <c r="AV166" s="4">
        <f t="shared" si="51"/>
        <v>0.51</v>
      </c>
    </row>
    <row r="167" spans="1:48" x14ac:dyDescent="0.15">
      <c r="A167" s="4"/>
      <c r="B167" s="21"/>
      <c r="C167" s="21"/>
      <c r="D167" s="21"/>
      <c r="E167" s="22"/>
      <c r="F167" s="22"/>
      <c r="G167" s="23"/>
      <c r="H167" s="23"/>
      <c r="I167" s="181"/>
      <c r="J167" s="8" t="str">
        <f t="shared" si="43"/>
        <v/>
      </c>
      <c r="K167" s="2" t="str">
        <f t="shared" si="52"/>
        <v/>
      </c>
      <c r="L167" s="2" t="str">
        <f t="shared" si="44"/>
        <v/>
      </c>
      <c r="M167" s="2" t="str">
        <f t="shared" si="53"/>
        <v/>
      </c>
      <c r="N167" s="2" t="str">
        <f t="shared" si="61"/>
        <v/>
      </c>
      <c r="O167" s="2" t="str">
        <f t="shared" si="54"/>
        <v/>
      </c>
      <c r="P167" s="8" t="str">
        <f t="shared" si="55"/>
        <v/>
      </c>
      <c r="Q167" s="8" t="str">
        <f t="shared" si="56"/>
        <v/>
      </c>
      <c r="R167" s="111" t="str">
        <f t="shared" si="57"/>
        <v/>
      </c>
      <c r="S167" s="44" t="str">
        <f t="shared" si="58"/>
        <v/>
      </c>
      <c r="T167" s="37" t="str">
        <f t="shared" si="59"/>
        <v/>
      </c>
      <c r="U167" s="44" t="str">
        <f t="shared" si="60"/>
        <v/>
      </c>
      <c r="V167" s="26"/>
      <c r="W167" s="26"/>
      <c r="X167" s="26"/>
      <c r="Y167" s="26"/>
      <c r="Z167" s="24"/>
      <c r="AA167" s="169">
        <f t="shared" si="45"/>
        <v>0</v>
      </c>
      <c r="AB167" s="4">
        <f t="shared" si="46"/>
        <v>0</v>
      </c>
      <c r="AC167" s="170">
        <f t="shared" si="63"/>
        <v>0</v>
      </c>
      <c r="AD167" s="58"/>
      <c r="AE167" s="58"/>
      <c r="AF167" s="58"/>
      <c r="AG167" s="59">
        <f t="shared" si="47"/>
        <v>9.0359999999999996</v>
      </c>
      <c r="AH167" s="59">
        <f t="shared" si="48"/>
        <v>-184.49199999999999</v>
      </c>
      <c r="AJ167" s="4">
        <f>IF(D167="M",IF(AM167&lt;78,BMILMS!$D$5*AM167^3+BMILMS!$E$5*AM167^2+BMILMS!$F$5*AM167+BMILMS!$G$5,IF(AM167&lt;150,BMILMS!$D$6*AM167^3+BMILMS!$E$6*AM167^2+BMILMS!$F$6*AM167+BMILMS!$G$6,BMILMS!$D$7*AM167^3+BMILMS!$E$7*AM167^2+BMILMS!$F$7*AM167+BMILMS!$G$7)),IF(AM167&lt;69,BMILMS!$D$9*AM167^3+BMILMS!$E$9*AM167^2+BMILMS!$F$9*AM167+BMILMS!$G$9,IF(AM167&lt;150,BMILMS!$D$10*AM167^3+BMILMS!$E$10*AM167^2+BMILMS!$F$10*AM167+BMILMS!$G$10,BMILMS!$D$11*AM167^3+BMILMS!$E$11*AM167^2+BMILMS!$F$11*AM167+BMILMS!$G$11)))</f>
        <v>0.79584630099999998</v>
      </c>
      <c r="AK167" s="4">
        <f>IF(D167="M",(IF(AM167&lt;2.5,BMILMS!$D$21*AM167^3+BMILMS!$E$21*AM167^2+BMILMS!$F$21*AM167+BMILMS!$G$21,IF(AM167&lt;9.5,BMILMS!$D$22*AM167^3+BMILMS!$E$22*AM167^2+BMILMS!$F$22*AM167+BMILMS!$G$22,IF(AM167&lt;26.75,BMILMS!$D$23*AM167^3+BMILMS!$E$23*AM167^2+BMILMS!$F$23*AM167+BMILMS!$G$23,IF(AM167&lt;90,BMILMS!$D$24*AM167^3+BMILMS!$E$24*AM167^2+BMILMS!$F$24*AM167+BMILMS!$G$24,BMILMS!$D$25*AM167^3+BMILMS!$E$25*AM167^2+BMILMS!$F$25*AM167+BMILMS!$G$25))))),(IF(AM167&lt;2.5,BMILMS!$D$27*AM167^3+BMILMS!$E$27*AM167^2+BMILMS!$F$27*AM167+BMILMS!$G$27,IF(AM167&lt;9.5,BMILMS!$D$28*AM167^3+BMILMS!$E$28*AM167^2+BMILMS!$F$28*AM167+BMILMS!$G$28,IF(AM167&lt;26.75,BMILMS!$D$29*AM167^3+BMILMS!$E$29*AM167^2+BMILMS!$F$29*AM167+BMILMS!$G$29,IF(AM167&lt;90,BMILMS!$D$30*AM167^3+BMILMS!$E$30*AM167^2+BMILMS!$F$30*AM167+BMILMS!$G$30,IF(AM167&lt;150,BMILMS!$D$31*AM167^3+BMILMS!$E$31*AM167^2+BMILMS!$F$31*AM167+BMILMS!$G$31,BMILMS!$D$32*AM167^3+BMILMS!$E$32*AM167^2+BMILMS!$F$32*AM167+BMILMS!$G$32)))))))</f>
        <v>12.568967990000001</v>
      </c>
      <c r="AL167" s="4">
        <f>IF(D167="M",(IF(AM167&lt;90,BMILMS!$D$14*AM167^3+BMILMS!$E$14*AM167^2+BMILMS!$F$14*AM167+BMILMS!$G$14,BMILMS!$D$15*AM167^3+BMILMS!$E$15*AM167^2+BMILMS!$F$15*AM167+BMILMS!$G$15)),(IF(AM167&lt;90,BMILMS!$D$17*AM167^3+BMILMS!$E$17*AM167^2+BMILMS!$F$17*AM167+BMILMS!$G$17,BMILMS!$D$18*AM167^3+BMILMS!$E$18*AM167^2+BMILMS!$F$18*AM167+BMILMS!$G$18)))</f>
        <v>8.8969350000000003E-2</v>
      </c>
      <c r="AM167" s="4">
        <f t="shared" si="62"/>
        <v>0</v>
      </c>
      <c r="AO167" s="56">
        <f>IF(D167="M",WeightSDS!P$5*$AM167^7+WeightSDS!Q$5*$AM167^6+WeightSDS!R$5*$AM167^5+WeightSDS!S$5*$AM167^4+WeightSDS!T$5*$AM167^3+WeightSDS!U$5*$AM167^2+WeightSDS!V$5*$AM167+WeightSDS!W$5,IF($AM167&lt;186,WeightSDS!P$8*$AM167^7+WeightSDS!Q$8*$AM167^6+WeightSDS!R$8*$AM167^5+WeightSDS!S$8*$AM167^4+WeightSDS!T$8*$AM167^3+WeightSDS!U$8*$AM167^2+WeightSDS!V$8*$AM167+WeightSDS!W$8,WeightSDS!$U$9+WeightSDS!$V$9*($AM167-WeightSDS!$W$9)))</f>
        <v>0.75407122999999998</v>
      </c>
      <c r="AP167" s="4">
        <f>IF(D167="M",IF($AM167&lt;45,WeightSDS!M$23*$AM167^10+WeightSDS!N$23*$AM167^9+WeightSDS!O$23*$AM167^8+WeightSDS!P$23*$AM167^7+WeightSDS!Q$23*$AM167^6+WeightSDS!R$23*$AM167^5+WeightSDS!S$23*$AM167^4+WeightSDS!T$23*$AM167^3+WeightSDS!U$23*$AM167^2+WeightSDS!V$23*$AM167+WeightSDS!W$23,IF($AM167&lt;153,WeightSDS!M$25*$AM167^10+WeightSDS!N$25*$AM167^9+WeightSDS!O$25*$AM167^8+WeightSDS!P$25*$AM167^7+WeightSDS!Q$25*$AM167^6+WeightSDS!R$25*$AM167^5+WeightSDS!S$25*$AM167^4+WeightSDS!T$25*$AM167^3+WeightSDS!U$25*$AM167^2+WeightSDS!V$25*$AM167+WeightSDS!W$25,WeightSDS!M$27+WeightSDS!N$27/(1+EXP(WeightSDS!O$27+WeightSDS!P$27*$AM167)))),IF($AM167&lt;43.8,WeightSDS!M$29*$AM167^10+WeightSDS!N$29*$AM167^9+WeightSDS!O$29*$AM167^8+WeightSDS!P$29*$AM167^7+WeightSDS!Q$29*$AM167^6+WeightSDS!R$29*$AM167^5+WeightSDS!S$29*$AM167^4+WeightSDS!T$29*$AM167^3+WeightSDS!U$29*$AM167^2+WeightSDS!V$29*$AM167+WeightSDS!W$29-0.010431*(1-$AM167/210),IF($AM167&lt;123,WeightSDS!M$30*$AM167^10+WeightSDS!N$30*$AM167^9+WeightSDS!O$30*$AM167^8+WeightSDS!P$30*$AM167^7+WeightSDS!Q$30*$AM167^6+WeightSDS!R$30*$AM167^5+WeightSDS!S$30*$AM167^4+WeightSDS!T$30*$AM167^3+WeightSDS!U$30*$AM167^2+WeightSDS!V$30*$AM167+WeightSDS!W$30-0.010431*(1-1/$AM167),WeightSDS!M$32+WeightSDS!N$32/(1+EXP(WeightSDS!O$32+WeightSDS!P$32*$AM167))-0.010431*(1-$AM167/210))))</f>
        <v>2.9500001032655536</v>
      </c>
      <c r="AQ167" s="4">
        <f>IF(D167="M",IF($AM167&lt;162,WeightSDS!P$12*$AM167^7+WeightSDS!Q$12*$AM167^6+WeightSDS!R$12*$AM167^5+WeightSDS!S$12*$AM167^4+WeightSDS!T$12*$AM167^3+WeightSDS!U$12*$AM167^2+WeightSDS!V$12*$AM167+WeightSDS!W$12,WeightSDS!P$14*$AM167^7+WeightSDS!Q$14*$AM167^6+WeightSDS!R$14*$AM167^5+WeightSDS!S$14*$AM167^4+WeightSDS!T$14*$AM167^3+WeightSDS!U$14*$AM167^2+WeightSDS!V$14*$AM167+WeightSDS!W$14),IF($AM167&lt;156,WeightSDS!O$17*$AM167^8+WeightSDS!P$17*$AM167^7+WeightSDS!Q$17*$AM167^6+WeightSDS!R$17*$AM167^5+WeightSDS!S$17*$AM167^4+WeightSDS!T$17*$AM167^3+WeightSDS!U$17*$AM167^2+WeightSDS!V$17*$AM167+WeightSDS!W$17,IF($AM167&lt;186,WeightSDS!$U$18+(WeightSDS!$V$18-WeightSDS!$U$18)/24*($AM167-186)+WeightSDS!$W$18*(-$AM167+186)^2-0.005,WeightSDS!$U$18+(WeightSDS!$V$18-WeightSDS!$U$18)/24*($AM167-186)-0.005)))</f>
        <v>0.14604529399999999</v>
      </c>
      <c r="AT167" s="4">
        <f t="shared" si="49"/>
        <v>0.56299999999999994</v>
      </c>
      <c r="AU167" s="4">
        <f t="shared" si="50"/>
        <v>69</v>
      </c>
      <c r="AV167" s="4">
        <f t="shared" si="51"/>
        <v>0.51</v>
      </c>
    </row>
    <row r="168" spans="1:48" x14ac:dyDescent="0.15">
      <c r="A168" s="4"/>
      <c r="B168" s="21"/>
      <c r="C168" s="21"/>
      <c r="D168" s="21"/>
      <c r="E168" s="22"/>
      <c r="F168" s="22"/>
      <c r="G168" s="23"/>
      <c r="H168" s="23"/>
      <c r="I168" s="181"/>
      <c r="J168" s="8" t="str">
        <f t="shared" si="43"/>
        <v/>
      </c>
      <c r="K168" s="2" t="str">
        <f t="shared" si="52"/>
        <v/>
      </c>
      <c r="L168" s="2" t="str">
        <f t="shared" si="44"/>
        <v/>
      </c>
      <c r="M168" s="2" t="str">
        <f t="shared" si="53"/>
        <v/>
      </c>
      <c r="N168" s="2" t="str">
        <f t="shared" si="61"/>
        <v/>
      </c>
      <c r="O168" s="2" t="str">
        <f t="shared" si="54"/>
        <v/>
      </c>
      <c r="P168" s="8" t="str">
        <f t="shared" si="55"/>
        <v/>
      </c>
      <c r="Q168" s="8" t="str">
        <f t="shared" si="56"/>
        <v/>
      </c>
      <c r="R168" s="111" t="str">
        <f t="shared" si="57"/>
        <v/>
      </c>
      <c r="S168" s="44" t="str">
        <f t="shared" si="58"/>
        <v/>
      </c>
      <c r="T168" s="37" t="str">
        <f t="shared" si="59"/>
        <v/>
      </c>
      <c r="U168" s="44" t="str">
        <f t="shared" si="60"/>
        <v/>
      </c>
      <c r="V168" s="26"/>
      <c r="W168" s="26"/>
      <c r="X168" s="26"/>
      <c r="Y168" s="26"/>
      <c r="Z168" s="24"/>
      <c r="AA168" s="169">
        <f t="shared" si="45"/>
        <v>0</v>
      </c>
      <c r="AB168" s="4">
        <f t="shared" si="46"/>
        <v>0</v>
      </c>
      <c r="AC168" s="170">
        <f t="shared" si="63"/>
        <v>0</v>
      </c>
      <c r="AD168" s="58"/>
      <c r="AE168" s="58"/>
      <c r="AF168" s="58"/>
      <c r="AG168" s="59">
        <f t="shared" si="47"/>
        <v>9.0359999999999996</v>
      </c>
      <c r="AH168" s="59">
        <f t="shared" si="48"/>
        <v>-184.49199999999999</v>
      </c>
      <c r="AJ168" s="4">
        <f>IF(D168="M",IF(AM168&lt;78,BMILMS!$D$5*AM168^3+BMILMS!$E$5*AM168^2+BMILMS!$F$5*AM168+BMILMS!$G$5,IF(AM168&lt;150,BMILMS!$D$6*AM168^3+BMILMS!$E$6*AM168^2+BMILMS!$F$6*AM168+BMILMS!$G$6,BMILMS!$D$7*AM168^3+BMILMS!$E$7*AM168^2+BMILMS!$F$7*AM168+BMILMS!$G$7)),IF(AM168&lt;69,BMILMS!$D$9*AM168^3+BMILMS!$E$9*AM168^2+BMILMS!$F$9*AM168+BMILMS!$G$9,IF(AM168&lt;150,BMILMS!$D$10*AM168^3+BMILMS!$E$10*AM168^2+BMILMS!$F$10*AM168+BMILMS!$G$10,BMILMS!$D$11*AM168^3+BMILMS!$E$11*AM168^2+BMILMS!$F$11*AM168+BMILMS!$G$11)))</f>
        <v>0.79584630099999998</v>
      </c>
      <c r="AK168" s="4">
        <f>IF(D168="M",(IF(AM168&lt;2.5,BMILMS!$D$21*AM168^3+BMILMS!$E$21*AM168^2+BMILMS!$F$21*AM168+BMILMS!$G$21,IF(AM168&lt;9.5,BMILMS!$D$22*AM168^3+BMILMS!$E$22*AM168^2+BMILMS!$F$22*AM168+BMILMS!$G$22,IF(AM168&lt;26.75,BMILMS!$D$23*AM168^3+BMILMS!$E$23*AM168^2+BMILMS!$F$23*AM168+BMILMS!$G$23,IF(AM168&lt;90,BMILMS!$D$24*AM168^3+BMILMS!$E$24*AM168^2+BMILMS!$F$24*AM168+BMILMS!$G$24,BMILMS!$D$25*AM168^3+BMILMS!$E$25*AM168^2+BMILMS!$F$25*AM168+BMILMS!$G$25))))),(IF(AM168&lt;2.5,BMILMS!$D$27*AM168^3+BMILMS!$E$27*AM168^2+BMILMS!$F$27*AM168+BMILMS!$G$27,IF(AM168&lt;9.5,BMILMS!$D$28*AM168^3+BMILMS!$E$28*AM168^2+BMILMS!$F$28*AM168+BMILMS!$G$28,IF(AM168&lt;26.75,BMILMS!$D$29*AM168^3+BMILMS!$E$29*AM168^2+BMILMS!$F$29*AM168+BMILMS!$G$29,IF(AM168&lt;90,BMILMS!$D$30*AM168^3+BMILMS!$E$30*AM168^2+BMILMS!$F$30*AM168+BMILMS!$G$30,IF(AM168&lt;150,BMILMS!$D$31*AM168^3+BMILMS!$E$31*AM168^2+BMILMS!$F$31*AM168+BMILMS!$G$31,BMILMS!$D$32*AM168^3+BMILMS!$E$32*AM168^2+BMILMS!$F$32*AM168+BMILMS!$G$32)))))))</f>
        <v>12.568967990000001</v>
      </c>
      <c r="AL168" s="4">
        <f>IF(D168="M",(IF(AM168&lt;90,BMILMS!$D$14*AM168^3+BMILMS!$E$14*AM168^2+BMILMS!$F$14*AM168+BMILMS!$G$14,BMILMS!$D$15*AM168^3+BMILMS!$E$15*AM168^2+BMILMS!$F$15*AM168+BMILMS!$G$15)),(IF(AM168&lt;90,BMILMS!$D$17*AM168^3+BMILMS!$E$17*AM168^2+BMILMS!$F$17*AM168+BMILMS!$G$17,BMILMS!$D$18*AM168^3+BMILMS!$E$18*AM168^2+BMILMS!$F$18*AM168+BMILMS!$G$18)))</f>
        <v>8.8969350000000003E-2</v>
      </c>
      <c r="AM168" s="4">
        <f t="shared" si="62"/>
        <v>0</v>
      </c>
      <c r="AO168" s="56">
        <f>IF(D168="M",WeightSDS!P$5*$AM168^7+WeightSDS!Q$5*$AM168^6+WeightSDS!R$5*$AM168^5+WeightSDS!S$5*$AM168^4+WeightSDS!T$5*$AM168^3+WeightSDS!U$5*$AM168^2+WeightSDS!V$5*$AM168+WeightSDS!W$5,IF($AM168&lt;186,WeightSDS!P$8*$AM168^7+WeightSDS!Q$8*$AM168^6+WeightSDS!R$8*$AM168^5+WeightSDS!S$8*$AM168^4+WeightSDS!T$8*$AM168^3+WeightSDS!U$8*$AM168^2+WeightSDS!V$8*$AM168+WeightSDS!W$8,WeightSDS!$U$9+WeightSDS!$V$9*($AM168-WeightSDS!$W$9)))</f>
        <v>0.75407122999999998</v>
      </c>
      <c r="AP168" s="4">
        <f>IF(D168="M",IF($AM168&lt;45,WeightSDS!M$23*$AM168^10+WeightSDS!N$23*$AM168^9+WeightSDS!O$23*$AM168^8+WeightSDS!P$23*$AM168^7+WeightSDS!Q$23*$AM168^6+WeightSDS!R$23*$AM168^5+WeightSDS!S$23*$AM168^4+WeightSDS!T$23*$AM168^3+WeightSDS!U$23*$AM168^2+WeightSDS!V$23*$AM168+WeightSDS!W$23,IF($AM168&lt;153,WeightSDS!M$25*$AM168^10+WeightSDS!N$25*$AM168^9+WeightSDS!O$25*$AM168^8+WeightSDS!P$25*$AM168^7+WeightSDS!Q$25*$AM168^6+WeightSDS!R$25*$AM168^5+WeightSDS!S$25*$AM168^4+WeightSDS!T$25*$AM168^3+WeightSDS!U$25*$AM168^2+WeightSDS!V$25*$AM168+WeightSDS!W$25,WeightSDS!M$27+WeightSDS!N$27/(1+EXP(WeightSDS!O$27+WeightSDS!P$27*$AM168)))),IF($AM168&lt;43.8,WeightSDS!M$29*$AM168^10+WeightSDS!N$29*$AM168^9+WeightSDS!O$29*$AM168^8+WeightSDS!P$29*$AM168^7+WeightSDS!Q$29*$AM168^6+WeightSDS!R$29*$AM168^5+WeightSDS!S$29*$AM168^4+WeightSDS!T$29*$AM168^3+WeightSDS!U$29*$AM168^2+WeightSDS!V$29*$AM168+WeightSDS!W$29-0.010431*(1-$AM168/210),IF($AM168&lt;123,WeightSDS!M$30*$AM168^10+WeightSDS!N$30*$AM168^9+WeightSDS!O$30*$AM168^8+WeightSDS!P$30*$AM168^7+WeightSDS!Q$30*$AM168^6+WeightSDS!R$30*$AM168^5+WeightSDS!S$30*$AM168^4+WeightSDS!T$30*$AM168^3+WeightSDS!U$30*$AM168^2+WeightSDS!V$30*$AM168+WeightSDS!W$30-0.010431*(1-1/$AM168),WeightSDS!M$32+WeightSDS!N$32/(1+EXP(WeightSDS!O$32+WeightSDS!P$32*$AM168))-0.010431*(1-$AM168/210))))</f>
        <v>2.9500001032655536</v>
      </c>
      <c r="AQ168" s="4">
        <f>IF(D168="M",IF($AM168&lt;162,WeightSDS!P$12*$AM168^7+WeightSDS!Q$12*$AM168^6+WeightSDS!R$12*$AM168^5+WeightSDS!S$12*$AM168^4+WeightSDS!T$12*$AM168^3+WeightSDS!U$12*$AM168^2+WeightSDS!V$12*$AM168+WeightSDS!W$12,WeightSDS!P$14*$AM168^7+WeightSDS!Q$14*$AM168^6+WeightSDS!R$14*$AM168^5+WeightSDS!S$14*$AM168^4+WeightSDS!T$14*$AM168^3+WeightSDS!U$14*$AM168^2+WeightSDS!V$14*$AM168+WeightSDS!W$14),IF($AM168&lt;156,WeightSDS!O$17*$AM168^8+WeightSDS!P$17*$AM168^7+WeightSDS!Q$17*$AM168^6+WeightSDS!R$17*$AM168^5+WeightSDS!S$17*$AM168^4+WeightSDS!T$17*$AM168^3+WeightSDS!U$17*$AM168^2+WeightSDS!V$17*$AM168+WeightSDS!W$17,IF($AM168&lt;186,WeightSDS!$U$18+(WeightSDS!$V$18-WeightSDS!$U$18)/24*($AM168-186)+WeightSDS!$W$18*(-$AM168+186)^2-0.005,WeightSDS!$U$18+(WeightSDS!$V$18-WeightSDS!$U$18)/24*($AM168-186)-0.005)))</f>
        <v>0.14604529399999999</v>
      </c>
      <c r="AT168" s="4">
        <f t="shared" si="49"/>
        <v>0.56299999999999994</v>
      </c>
      <c r="AU168" s="4">
        <f t="shared" si="50"/>
        <v>69</v>
      </c>
      <c r="AV168" s="4">
        <f t="shared" si="51"/>
        <v>0.51</v>
      </c>
    </row>
    <row r="169" spans="1:48" x14ac:dyDescent="0.15">
      <c r="A169" s="4"/>
      <c r="B169" s="21"/>
      <c r="C169" s="21"/>
      <c r="D169" s="21"/>
      <c r="E169" s="22"/>
      <c r="F169" s="22"/>
      <c r="G169" s="23"/>
      <c r="H169" s="23"/>
      <c r="I169" s="181"/>
      <c r="J169" s="8" t="str">
        <f t="shared" si="43"/>
        <v/>
      </c>
      <c r="K169" s="2" t="str">
        <f t="shared" si="52"/>
        <v/>
      </c>
      <c r="L169" s="2" t="str">
        <f t="shared" si="44"/>
        <v/>
      </c>
      <c r="M169" s="2" t="str">
        <f t="shared" si="53"/>
        <v/>
      </c>
      <c r="N169" s="2" t="str">
        <f t="shared" si="61"/>
        <v/>
      </c>
      <c r="O169" s="2" t="str">
        <f t="shared" si="54"/>
        <v/>
      </c>
      <c r="P169" s="8" t="str">
        <f t="shared" si="55"/>
        <v/>
      </c>
      <c r="Q169" s="8" t="str">
        <f t="shared" si="56"/>
        <v/>
      </c>
      <c r="R169" s="111" t="str">
        <f t="shared" si="57"/>
        <v/>
      </c>
      <c r="S169" s="44" t="str">
        <f t="shared" si="58"/>
        <v/>
      </c>
      <c r="T169" s="37" t="str">
        <f t="shared" si="59"/>
        <v/>
      </c>
      <c r="U169" s="44" t="str">
        <f t="shared" si="60"/>
        <v/>
      </c>
      <c r="V169" s="26"/>
      <c r="W169" s="26"/>
      <c r="X169" s="26"/>
      <c r="Y169" s="26"/>
      <c r="Z169" s="24"/>
      <c r="AA169" s="169">
        <f t="shared" si="45"/>
        <v>0</v>
      </c>
      <c r="AB169" s="4">
        <f t="shared" si="46"/>
        <v>0</v>
      </c>
      <c r="AC169" s="170">
        <f t="shared" si="63"/>
        <v>0</v>
      </c>
      <c r="AD169" s="58"/>
      <c r="AE169" s="58"/>
      <c r="AF169" s="58"/>
      <c r="AG169" s="59">
        <f t="shared" si="47"/>
        <v>9.0359999999999996</v>
      </c>
      <c r="AH169" s="59">
        <f t="shared" si="48"/>
        <v>-184.49199999999999</v>
      </c>
      <c r="AJ169" s="4">
        <f>IF(D169="M",IF(AM169&lt;78,BMILMS!$D$5*AM169^3+BMILMS!$E$5*AM169^2+BMILMS!$F$5*AM169+BMILMS!$G$5,IF(AM169&lt;150,BMILMS!$D$6*AM169^3+BMILMS!$E$6*AM169^2+BMILMS!$F$6*AM169+BMILMS!$G$6,BMILMS!$D$7*AM169^3+BMILMS!$E$7*AM169^2+BMILMS!$F$7*AM169+BMILMS!$G$7)),IF(AM169&lt;69,BMILMS!$D$9*AM169^3+BMILMS!$E$9*AM169^2+BMILMS!$F$9*AM169+BMILMS!$G$9,IF(AM169&lt;150,BMILMS!$D$10*AM169^3+BMILMS!$E$10*AM169^2+BMILMS!$F$10*AM169+BMILMS!$G$10,BMILMS!$D$11*AM169^3+BMILMS!$E$11*AM169^2+BMILMS!$F$11*AM169+BMILMS!$G$11)))</f>
        <v>0.79584630099999998</v>
      </c>
      <c r="AK169" s="4">
        <f>IF(D169="M",(IF(AM169&lt;2.5,BMILMS!$D$21*AM169^3+BMILMS!$E$21*AM169^2+BMILMS!$F$21*AM169+BMILMS!$G$21,IF(AM169&lt;9.5,BMILMS!$D$22*AM169^3+BMILMS!$E$22*AM169^2+BMILMS!$F$22*AM169+BMILMS!$G$22,IF(AM169&lt;26.75,BMILMS!$D$23*AM169^3+BMILMS!$E$23*AM169^2+BMILMS!$F$23*AM169+BMILMS!$G$23,IF(AM169&lt;90,BMILMS!$D$24*AM169^3+BMILMS!$E$24*AM169^2+BMILMS!$F$24*AM169+BMILMS!$G$24,BMILMS!$D$25*AM169^3+BMILMS!$E$25*AM169^2+BMILMS!$F$25*AM169+BMILMS!$G$25))))),(IF(AM169&lt;2.5,BMILMS!$D$27*AM169^3+BMILMS!$E$27*AM169^2+BMILMS!$F$27*AM169+BMILMS!$G$27,IF(AM169&lt;9.5,BMILMS!$D$28*AM169^3+BMILMS!$E$28*AM169^2+BMILMS!$F$28*AM169+BMILMS!$G$28,IF(AM169&lt;26.75,BMILMS!$D$29*AM169^3+BMILMS!$E$29*AM169^2+BMILMS!$F$29*AM169+BMILMS!$G$29,IF(AM169&lt;90,BMILMS!$D$30*AM169^3+BMILMS!$E$30*AM169^2+BMILMS!$F$30*AM169+BMILMS!$G$30,IF(AM169&lt;150,BMILMS!$D$31*AM169^3+BMILMS!$E$31*AM169^2+BMILMS!$F$31*AM169+BMILMS!$G$31,BMILMS!$D$32*AM169^3+BMILMS!$E$32*AM169^2+BMILMS!$F$32*AM169+BMILMS!$G$32)))))))</f>
        <v>12.568967990000001</v>
      </c>
      <c r="AL169" s="4">
        <f>IF(D169="M",(IF(AM169&lt;90,BMILMS!$D$14*AM169^3+BMILMS!$E$14*AM169^2+BMILMS!$F$14*AM169+BMILMS!$G$14,BMILMS!$D$15*AM169^3+BMILMS!$E$15*AM169^2+BMILMS!$F$15*AM169+BMILMS!$G$15)),(IF(AM169&lt;90,BMILMS!$D$17*AM169^3+BMILMS!$E$17*AM169^2+BMILMS!$F$17*AM169+BMILMS!$G$17,BMILMS!$D$18*AM169^3+BMILMS!$E$18*AM169^2+BMILMS!$F$18*AM169+BMILMS!$G$18)))</f>
        <v>8.8969350000000003E-2</v>
      </c>
      <c r="AM169" s="4">
        <f t="shared" si="62"/>
        <v>0</v>
      </c>
      <c r="AO169" s="56">
        <f>IF(D169="M",WeightSDS!P$5*$AM169^7+WeightSDS!Q$5*$AM169^6+WeightSDS!R$5*$AM169^5+WeightSDS!S$5*$AM169^4+WeightSDS!T$5*$AM169^3+WeightSDS!U$5*$AM169^2+WeightSDS!V$5*$AM169+WeightSDS!W$5,IF($AM169&lt;186,WeightSDS!P$8*$AM169^7+WeightSDS!Q$8*$AM169^6+WeightSDS!R$8*$AM169^5+WeightSDS!S$8*$AM169^4+WeightSDS!T$8*$AM169^3+WeightSDS!U$8*$AM169^2+WeightSDS!V$8*$AM169+WeightSDS!W$8,WeightSDS!$U$9+WeightSDS!$V$9*($AM169-WeightSDS!$W$9)))</f>
        <v>0.75407122999999998</v>
      </c>
      <c r="AP169" s="4">
        <f>IF(D169="M",IF($AM169&lt;45,WeightSDS!M$23*$AM169^10+WeightSDS!N$23*$AM169^9+WeightSDS!O$23*$AM169^8+WeightSDS!P$23*$AM169^7+WeightSDS!Q$23*$AM169^6+WeightSDS!R$23*$AM169^5+WeightSDS!S$23*$AM169^4+WeightSDS!T$23*$AM169^3+WeightSDS!U$23*$AM169^2+WeightSDS!V$23*$AM169+WeightSDS!W$23,IF($AM169&lt;153,WeightSDS!M$25*$AM169^10+WeightSDS!N$25*$AM169^9+WeightSDS!O$25*$AM169^8+WeightSDS!P$25*$AM169^7+WeightSDS!Q$25*$AM169^6+WeightSDS!R$25*$AM169^5+WeightSDS!S$25*$AM169^4+WeightSDS!T$25*$AM169^3+WeightSDS!U$25*$AM169^2+WeightSDS!V$25*$AM169+WeightSDS!W$25,WeightSDS!M$27+WeightSDS!N$27/(1+EXP(WeightSDS!O$27+WeightSDS!P$27*$AM169)))),IF($AM169&lt;43.8,WeightSDS!M$29*$AM169^10+WeightSDS!N$29*$AM169^9+WeightSDS!O$29*$AM169^8+WeightSDS!P$29*$AM169^7+WeightSDS!Q$29*$AM169^6+WeightSDS!R$29*$AM169^5+WeightSDS!S$29*$AM169^4+WeightSDS!T$29*$AM169^3+WeightSDS!U$29*$AM169^2+WeightSDS!V$29*$AM169+WeightSDS!W$29-0.010431*(1-$AM169/210),IF($AM169&lt;123,WeightSDS!M$30*$AM169^10+WeightSDS!N$30*$AM169^9+WeightSDS!O$30*$AM169^8+WeightSDS!P$30*$AM169^7+WeightSDS!Q$30*$AM169^6+WeightSDS!R$30*$AM169^5+WeightSDS!S$30*$AM169^4+WeightSDS!T$30*$AM169^3+WeightSDS!U$30*$AM169^2+WeightSDS!V$30*$AM169+WeightSDS!W$30-0.010431*(1-1/$AM169),WeightSDS!M$32+WeightSDS!N$32/(1+EXP(WeightSDS!O$32+WeightSDS!P$32*$AM169))-0.010431*(1-$AM169/210))))</f>
        <v>2.9500001032655536</v>
      </c>
      <c r="AQ169" s="4">
        <f>IF(D169="M",IF($AM169&lt;162,WeightSDS!P$12*$AM169^7+WeightSDS!Q$12*$AM169^6+WeightSDS!R$12*$AM169^5+WeightSDS!S$12*$AM169^4+WeightSDS!T$12*$AM169^3+WeightSDS!U$12*$AM169^2+WeightSDS!V$12*$AM169+WeightSDS!W$12,WeightSDS!P$14*$AM169^7+WeightSDS!Q$14*$AM169^6+WeightSDS!R$14*$AM169^5+WeightSDS!S$14*$AM169^4+WeightSDS!T$14*$AM169^3+WeightSDS!U$14*$AM169^2+WeightSDS!V$14*$AM169+WeightSDS!W$14),IF($AM169&lt;156,WeightSDS!O$17*$AM169^8+WeightSDS!P$17*$AM169^7+WeightSDS!Q$17*$AM169^6+WeightSDS!R$17*$AM169^5+WeightSDS!S$17*$AM169^4+WeightSDS!T$17*$AM169^3+WeightSDS!U$17*$AM169^2+WeightSDS!V$17*$AM169+WeightSDS!W$17,IF($AM169&lt;186,WeightSDS!$U$18+(WeightSDS!$V$18-WeightSDS!$U$18)/24*($AM169-186)+WeightSDS!$W$18*(-$AM169+186)^2-0.005,WeightSDS!$U$18+(WeightSDS!$V$18-WeightSDS!$U$18)/24*($AM169-186)-0.005)))</f>
        <v>0.14604529399999999</v>
      </c>
      <c r="AT169" s="4">
        <f t="shared" si="49"/>
        <v>0.56299999999999994</v>
      </c>
      <c r="AU169" s="4">
        <f t="shared" si="50"/>
        <v>69</v>
      </c>
      <c r="AV169" s="4">
        <f t="shared" si="51"/>
        <v>0.51</v>
      </c>
    </row>
    <row r="170" spans="1:48" x14ac:dyDescent="0.15">
      <c r="A170" s="4"/>
      <c r="B170" s="21"/>
      <c r="C170" s="21"/>
      <c r="D170" s="21"/>
      <c r="E170" s="22"/>
      <c r="F170" s="22"/>
      <c r="G170" s="23"/>
      <c r="H170" s="23"/>
      <c r="I170" s="181"/>
      <c r="J170" s="8" t="str">
        <f t="shared" si="43"/>
        <v/>
      </c>
      <c r="K170" s="2" t="str">
        <f t="shared" si="52"/>
        <v/>
      </c>
      <c r="L170" s="2" t="str">
        <f t="shared" si="44"/>
        <v/>
      </c>
      <c r="M170" s="2" t="str">
        <f t="shared" si="53"/>
        <v/>
      </c>
      <c r="N170" s="2" t="str">
        <f t="shared" si="61"/>
        <v/>
      </c>
      <c r="O170" s="2" t="str">
        <f t="shared" si="54"/>
        <v/>
      </c>
      <c r="P170" s="8" t="str">
        <f t="shared" si="55"/>
        <v/>
      </c>
      <c r="Q170" s="8" t="str">
        <f t="shared" si="56"/>
        <v/>
      </c>
      <c r="R170" s="111" t="str">
        <f t="shared" si="57"/>
        <v/>
      </c>
      <c r="S170" s="44" t="str">
        <f t="shared" si="58"/>
        <v/>
      </c>
      <c r="T170" s="37" t="str">
        <f t="shared" si="59"/>
        <v/>
      </c>
      <c r="U170" s="44" t="str">
        <f t="shared" si="60"/>
        <v/>
      </c>
      <c r="V170" s="26"/>
      <c r="W170" s="26"/>
      <c r="X170" s="26"/>
      <c r="Y170" s="26"/>
      <c r="Z170" s="24"/>
      <c r="AA170" s="169">
        <f t="shared" si="45"/>
        <v>0</v>
      </c>
      <c r="AB170" s="4">
        <f t="shared" si="46"/>
        <v>0</v>
      </c>
      <c r="AC170" s="170">
        <f t="shared" si="63"/>
        <v>0</v>
      </c>
      <c r="AD170" s="58"/>
      <c r="AE170" s="58"/>
      <c r="AF170" s="58"/>
      <c r="AG170" s="59">
        <f t="shared" si="47"/>
        <v>9.0359999999999996</v>
      </c>
      <c r="AH170" s="59">
        <f t="shared" si="48"/>
        <v>-184.49199999999999</v>
      </c>
      <c r="AJ170" s="4">
        <f>IF(D170="M",IF(AM170&lt;78,BMILMS!$D$5*AM170^3+BMILMS!$E$5*AM170^2+BMILMS!$F$5*AM170+BMILMS!$G$5,IF(AM170&lt;150,BMILMS!$D$6*AM170^3+BMILMS!$E$6*AM170^2+BMILMS!$F$6*AM170+BMILMS!$G$6,BMILMS!$D$7*AM170^3+BMILMS!$E$7*AM170^2+BMILMS!$F$7*AM170+BMILMS!$G$7)),IF(AM170&lt;69,BMILMS!$D$9*AM170^3+BMILMS!$E$9*AM170^2+BMILMS!$F$9*AM170+BMILMS!$G$9,IF(AM170&lt;150,BMILMS!$D$10*AM170^3+BMILMS!$E$10*AM170^2+BMILMS!$F$10*AM170+BMILMS!$G$10,BMILMS!$D$11*AM170^3+BMILMS!$E$11*AM170^2+BMILMS!$F$11*AM170+BMILMS!$G$11)))</f>
        <v>0.79584630099999998</v>
      </c>
      <c r="AK170" s="4">
        <f>IF(D170="M",(IF(AM170&lt;2.5,BMILMS!$D$21*AM170^3+BMILMS!$E$21*AM170^2+BMILMS!$F$21*AM170+BMILMS!$G$21,IF(AM170&lt;9.5,BMILMS!$D$22*AM170^3+BMILMS!$E$22*AM170^2+BMILMS!$F$22*AM170+BMILMS!$G$22,IF(AM170&lt;26.75,BMILMS!$D$23*AM170^3+BMILMS!$E$23*AM170^2+BMILMS!$F$23*AM170+BMILMS!$G$23,IF(AM170&lt;90,BMILMS!$D$24*AM170^3+BMILMS!$E$24*AM170^2+BMILMS!$F$24*AM170+BMILMS!$G$24,BMILMS!$D$25*AM170^3+BMILMS!$E$25*AM170^2+BMILMS!$F$25*AM170+BMILMS!$G$25))))),(IF(AM170&lt;2.5,BMILMS!$D$27*AM170^3+BMILMS!$E$27*AM170^2+BMILMS!$F$27*AM170+BMILMS!$G$27,IF(AM170&lt;9.5,BMILMS!$D$28*AM170^3+BMILMS!$E$28*AM170^2+BMILMS!$F$28*AM170+BMILMS!$G$28,IF(AM170&lt;26.75,BMILMS!$D$29*AM170^3+BMILMS!$E$29*AM170^2+BMILMS!$F$29*AM170+BMILMS!$G$29,IF(AM170&lt;90,BMILMS!$D$30*AM170^3+BMILMS!$E$30*AM170^2+BMILMS!$F$30*AM170+BMILMS!$G$30,IF(AM170&lt;150,BMILMS!$D$31*AM170^3+BMILMS!$E$31*AM170^2+BMILMS!$F$31*AM170+BMILMS!$G$31,BMILMS!$D$32*AM170^3+BMILMS!$E$32*AM170^2+BMILMS!$F$32*AM170+BMILMS!$G$32)))))))</f>
        <v>12.568967990000001</v>
      </c>
      <c r="AL170" s="4">
        <f>IF(D170="M",(IF(AM170&lt;90,BMILMS!$D$14*AM170^3+BMILMS!$E$14*AM170^2+BMILMS!$F$14*AM170+BMILMS!$G$14,BMILMS!$D$15*AM170^3+BMILMS!$E$15*AM170^2+BMILMS!$F$15*AM170+BMILMS!$G$15)),(IF(AM170&lt;90,BMILMS!$D$17*AM170^3+BMILMS!$E$17*AM170^2+BMILMS!$F$17*AM170+BMILMS!$G$17,BMILMS!$D$18*AM170^3+BMILMS!$E$18*AM170^2+BMILMS!$F$18*AM170+BMILMS!$G$18)))</f>
        <v>8.8969350000000003E-2</v>
      </c>
      <c r="AM170" s="4">
        <f t="shared" si="62"/>
        <v>0</v>
      </c>
      <c r="AO170" s="56">
        <f>IF(D170="M",WeightSDS!P$5*$AM170^7+WeightSDS!Q$5*$AM170^6+WeightSDS!R$5*$AM170^5+WeightSDS!S$5*$AM170^4+WeightSDS!T$5*$AM170^3+WeightSDS!U$5*$AM170^2+WeightSDS!V$5*$AM170+WeightSDS!W$5,IF($AM170&lt;186,WeightSDS!P$8*$AM170^7+WeightSDS!Q$8*$AM170^6+WeightSDS!R$8*$AM170^5+WeightSDS!S$8*$AM170^4+WeightSDS!T$8*$AM170^3+WeightSDS!U$8*$AM170^2+WeightSDS!V$8*$AM170+WeightSDS!W$8,WeightSDS!$U$9+WeightSDS!$V$9*($AM170-WeightSDS!$W$9)))</f>
        <v>0.75407122999999998</v>
      </c>
      <c r="AP170" s="4">
        <f>IF(D170="M",IF($AM170&lt;45,WeightSDS!M$23*$AM170^10+WeightSDS!N$23*$AM170^9+WeightSDS!O$23*$AM170^8+WeightSDS!P$23*$AM170^7+WeightSDS!Q$23*$AM170^6+WeightSDS!R$23*$AM170^5+WeightSDS!S$23*$AM170^4+WeightSDS!T$23*$AM170^3+WeightSDS!U$23*$AM170^2+WeightSDS!V$23*$AM170+WeightSDS!W$23,IF($AM170&lt;153,WeightSDS!M$25*$AM170^10+WeightSDS!N$25*$AM170^9+WeightSDS!O$25*$AM170^8+WeightSDS!P$25*$AM170^7+WeightSDS!Q$25*$AM170^6+WeightSDS!R$25*$AM170^5+WeightSDS!S$25*$AM170^4+WeightSDS!T$25*$AM170^3+WeightSDS!U$25*$AM170^2+WeightSDS!V$25*$AM170+WeightSDS!W$25,WeightSDS!M$27+WeightSDS!N$27/(1+EXP(WeightSDS!O$27+WeightSDS!P$27*$AM170)))),IF($AM170&lt;43.8,WeightSDS!M$29*$AM170^10+WeightSDS!N$29*$AM170^9+WeightSDS!O$29*$AM170^8+WeightSDS!P$29*$AM170^7+WeightSDS!Q$29*$AM170^6+WeightSDS!R$29*$AM170^5+WeightSDS!S$29*$AM170^4+WeightSDS!T$29*$AM170^3+WeightSDS!U$29*$AM170^2+WeightSDS!V$29*$AM170+WeightSDS!W$29-0.010431*(1-$AM170/210),IF($AM170&lt;123,WeightSDS!M$30*$AM170^10+WeightSDS!N$30*$AM170^9+WeightSDS!O$30*$AM170^8+WeightSDS!P$30*$AM170^7+WeightSDS!Q$30*$AM170^6+WeightSDS!R$30*$AM170^5+WeightSDS!S$30*$AM170^4+WeightSDS!T$30*$AM170^3+WeightSDS!U$30*$AM170^2+WeightSDS!V$30*$AM170+WeightSDS!W$30-0.010431*(1-1/$AM170),WeightSDS!M$32+WeightSDS!N$32/(1+EXP(WeightSDS!O$32+WeightSDS!P$32*$AM170))-0.010431*(1-$AM170/210))))</f>
        <v>2.9500001032655536</v>
      </c>
      <c r="AQ170" s="4">
        <f>IF(D170="M",IF($AM170&lt;162,WeightSDS!P$12*$AM170^7+WeightSDS!Q$12*$AM170^6+WeightSDS!R$12*$AM170^5+WeightSDS!S$12*$AM170^4+WeightSDS!T$12*$AM170^3+WeightSDS!U$12*$AM170^2+WeightSDS!V$12*$AM170+WeightSDS!W$12,WeightSDS!P$14*$AM170^7+WeightSDS!Q$14*$AM170^6+WeightSDS!R$14*$AM170^5+WeightSDS!S$14*$AM170^4+WeightSDS!T$14*$AM170^3+WeightSDS!U$14*$AM170^2+WeightSDS!V$14*$AM170+WeightSDS!W$14),IF($AM170&lt;156,WeightSDS!O$17*$AM170^8+WeightSDS!P$17*$AM170^7+WeightSDS!Q$17*$AM170^6+WeightSDS!R$17*$AM170^5+WeightSDS!S$17*$AM170^4+WeightSDS!T$17*$AM170^3+WeightSDS!U$17*$AM170^2+WeightSDS!V$17*$AM170+WeightSDS!W$17,IF($AM170&lt;186,WeightSDS!$U$18+(WeightSDS!$V$18-WeightSDS!$U$18)/24*($AM170-186)+WeightSDS!$W$18*(-$AM170+186)^2-0.005,WeightSDS!$U$18+(WeightSDS!$V$18-WeightSDS!$U$18)/24*($AM170-186)-0.005)))</f>
        <v>0.14604529399999999</v>
      </c>
      <c r="AT170" s="4">
        <f t="shared" si="49"/>
        <v>0.56299999999999994</v>
      </c>
      <c r="AU170" s="4">
        <f t="shared" si="50"/>
        <v>69</v>
      </c>
      <c r="AV170" s="4">
        <f t="shared" si="51"/>
        <v>0.51</v>
      </c>
    </row>
    <row r="171" spans="1:48" x14ac:dyDescent="0.15">
      <c r="A171" s="4"/>
      <c r="B171" s="21"/>
      <c r="C171" s="21"/>
      <c r="D171" s="21"/>
      <c r="E171" s="22"/>
      <c r="F171" s="22"/>
      <c r="G171" s="23"/>
      <c r="H171" s="23"/>
      <c r="I171" s="181"/>
      <c r="J171" s="8" t="str">
        <f t="shared" si="43"/>
        <v/>
      </c>
      <c r="K171" s="2" t="str">
        <f t="shared" si="52"/>
        <v/>
      </c>
      <c r="L171" s="2" t="str">
        <f t="shared" si="44"/>
        <v/>
      </c>
      <c r="M171" s="2" t="str">
        <f t="shared" si="53"/>
        <v/>
      </c>
      <c r="N171" s="2" t="str">
        <f t="shared" si="61"/>
        <v/>
      </c>
      <c r="O171" s="2" t="str">
        <f t="shared" si="54"/>
        <v/>
      </c>
      <c r="P171" s="8" t="str">
        <f t="shared" si="55"/>
        <v/>
      </c>
      <c r="Q171" s="8" t="str">
        <f t="shared" si="56"/>
        <v/>
      </c>
      <c r="R171" s="111" t="str">
        <f t="shared" si="57"/>
        <v/>
      </c>
      <c r="S171" s="44" t="str">
        <f t="shared" si="58"/>
        <v/>
      </c>
      <c r="T171" s="37" t="str">
        <f t="shared" si="59"/>
        <v/>
      </c>
      <c r="U171" s="44" t="str">
        <f t="shared" si="60"/>
        <v/>
      </c>
      <c r="V171" s="26"/>
      <c r="W171" s="26"/>
      <c r="X171" s="26"/>
      <c r="Y171" s="26"/>
      <c r="Z171" s="24"/>
      <c r="AA171" s="169">
        <f t="shared" si="45"/>
        <v>0</v>
      </c>
      <c r="AB171" s="4">
        <f t="shared" si="46"/>
        <v>0</v>
      </c>
      <c r="AC171" s="170">
        <f t="shared" si="63"/>
        <v>0</v>
      </c>
      <c r="AD171" s="58"/>
      <c r="AE171" s="58"/>
      <c r="AF171" s="58"/>
      <c r="AG171" s="59">
        <f t="shared" si="47"/>
        <v>9.0359999999999996</v>
      </c>
      <c r="AH171" s="59">
        <f t="shared" si="48"/>
        <v>-184.49199999999999</v>
      </c>
      <c r="AJ171" s="4">
        <f>IF(D171="M",IF(AM171&lt;78,BMILMS!$D$5*AM171^3+BMILMS!$E$5*AM171^2+BMILMS!$F$5*AM171+BMILMS!$G$5,IF(AM171&lt;150,BMILMS!$D$6*AM171^3+BMILMS!$E$6*AM171^2+BMILMS!$F$6*AM171+BMILMS!$G$6,BMILMS!$D$7*AM171^3+BMILMS!$E$7*AM171^2+BMILMS!$F$7*AM171+BMILMS!$G$7)),IF(AM171&lt;69,BMILMS!$D$9*AM171^3+BMILMS!$E$9*AM171^2+BMILMS!$F$9*AM171+BMILMS!$G$9,IF(AM171&lt;150,BMILMS!$D$10*AM171^3+BMILMS!$E$10*AM171^2+BMILMS!$F$10*AM171+BMILMS!$G$10,BMILMS!$D$11*AM171^3+BMILMS!$E$11*AM171^2+BMILMS!$F$11*AM171+BMILMS!$G$11)))</f>
        <v>0.79584630099999998</v>
      </c>
      <c r="AK171" s="4">
        <f>IF(D171="M",(IF(AM171&lt;2.5,BMILMS!$D$21*AM171^3+BMILMS!$E$21*AM171^2+BMILMS!$F$21*AM171+BMILMS!$G$21,IF(AM171&lt;9.5,BMILMS!$D$22*AM171^3+BMILMS!$E$22*AM171^2+BMILMS!$F$22*AM171+BMILMS!$G$22,IF(AM171&lt;26.75,BMILMS!$D$23*AM171^3+BMILMS!$E$23*AM171^2+BMILMS!$F$23*AM171+BMILMS!$G$23,IF(AM171&lt;90,BMILMS!$D$24*AM171^3+BMILMS!$E$24*AM171^2+BMILMS!$F$24*AM171+BMILMS!$G$24,BMILMS!$D$25*AM171^3+BMILMS!$E$25*AM171^2+BMILMS!$F$25*AM171+BMILMS!$G$25))))),(IF(AM171&lt;2.5,BMILMS!$D$27*AM171^3+BMILMS!$E$27*AM171^2+BMILMS!$F$27*AM171+BMILMS!$G$27,IF(AM171&lt;9.5,BMILMS!$D$28*AM171^3+BMILMS!$E$28*AM171^2+BMILMS!$F$28*AM171+BMILMS!$G$28,IF(AM171&lt;26.75,BMILMS!$D$29*AM171^3+BMILMS!$E$29*AM171^2+BMILMS!$F$29*AM171+BMILMS!$G$29,IF(AM171&lt;90,BMILMS!$D$30*AM171^3+BMILMS!$E$30*AM171^2+BMILMS!$F$30*AM171+BMILMS!$G$30,IF(AM171&lt;150,BMILMS!$D$31*AM171^3+BMILMS!$E$31*AM171^2+BMILMS!$F$31*AM171+BMILMS!$G$31,BMILMS!$D$32*AM171^3+BMILMS!$E$32*AM171^2+BMILMS!$F$32*AM171+BMILMS!$G$32)))))))</f>
        <v>12.568967990000001</v>
      </c>
      <c r="AL171" s="4">
        <f>IF(D171="M",(IF(AM171&lt;90,BMILMS!$D$14*AM171^3+BMILMS!$E$14*AM171^2+BMILMS!$F$14*AM171+BMILMS!$G$14,BMILMS!$D$15*AM171^3+BMILMS!$E$15*AM171^2+BMILMS!$F$15*AM171+BMILMS!$G$15)),(IF(AM171&lt;90,BMILMS!$D$17*AM171^3+BMILMS!$E$17*AM171^2+BMILMS!$F$17*AM171+BMILMS!$G$17,BMILMS!$D$18*AM171^3+BMILMS!$E$18*AM171^2+BMILMS!$F$18*AM171+BMILMS!$G$18)))</f>
        <v>8.8969350000000003E-2</v>
      </c>
      <c r="AM171" s="4">
        <f t="shared" si="62"/>
        <v>0</v>
      </c>
      <c r="AO171" s="56">
        <f>IF(D171="M",WeightSDS!P$5*$AM171^7+WeightSDS!Q$5*$AM171^6+WeightSDS!R$5*$AM171^5+WeightSDS!S$5*$AM171^4+WeightSDS!T$5*$AM171^3+WeightSDS!U$5*$AM171^2+WeightSDS!V$5*$AM171+WeightSDS!W$5,IF($AM171&lt;186,WeightSDS!P$8*$AM171^7+WeightSDS!Q$8*$AM171^6+WeightSDS!R$8*$AM171^5+WeightSDS!S$8*$AM171^4+WeightSDS!T$8*$AM171^3+WeightSDS!U$8*$AM171^2+WeightSDS!V$8*$AM171+WeightSDS!W$8,WeightSDS!$U$9+WeightSDS!$V$9*($AM171-WeightSDS!$W$9)))</f>
        <v>0.75407122999999998</v>
      </c>
      <c r="AP171" s="4">
        <f>IF(D171="M",IF($AM171&lt;45,WeightSDS!M$23*$AM171^10+WeightSDS!N$23*$AM171^9+WeightSDS!O$23*$AM171^8+WeightSDS!P$23*$AM171^7+WeightSDS!Q$23*$AM171^6+WeightSDS!R$23*$AM171^5+WeightSDS!S$23*$AM171^4+WeightSDS!T$23*$AM171^3+WeightSDS!U$23*$AM171^2+WeightSDS!V$23*$AM171+WeightSDS!W$23,IF($AM171&lt;153,WeightSDS!M$25*$AM171^10+WeightSDS!N$25*$AM171^9+WeightSDS!O$25*$AM171^8+WeightSDS!P$25*$AM171^7+WeightSDS!Q$25*$AM171^6+WeightSDS!R$25*$AM171^5+WeightSDS!S$25*$AM171^4+WeightSDS!T$25*$AM171^3+WeightSDS!U$25*$AM171^2+WeightSDS!V$25*$AM171+WeightSDS!W$25,WeightSDS!M$27+WeightSDS!N$27/(1+EXP(WeightSDS!O$27+WeightSDS!P$27*$AM171)))),IF($AM171&lt;43.8,WeightSDS!M$29*$AM171^10+WeightSDS!N$29*$AM171^9+WeightSDS!O$29*$AM171^8+WeightSDS!P$29*$AM171^7+WeightSDS!Q$29*$AM171^6+WeightSDS!R$29*$AM171^5+WeightSDS!S$29*$AM171^4+WeightSDS!T$29*$AM171^3+WeightSDS!U$29*$AM171^2+WeightSDS!V$29*$AM171+WeightSDS!W$29-0.010431*(1-$AM171/210),IF($AM171&lt;123,WeightSDS!M$30*$AM171^10+WeightSDS!N$30*$AM171^9+WeightSDS!O$30*$AM171^8+WeightSDS!P$30*$AM171^7+WeightSDS!Q$30*$AM171^6+WeightSDS!R$30*$AM171^5+WeightSDS!S$30*$AM171^4+WeightSDS!T$30*$AM171^3+WeightSDS!U$30*$AM171^2+WeightSDS!V$30*$AM171+WeightSDS!W$30-0.010431*(1-1/$AM171),WeightSDS!M$32+WeightSDS!N$32/(1+EXP(WeightSDS!O$32+WeightSDS!P$32*$AM171))-0.010431*(1-$AM171/210))))</f>
        <v>2.9500001032655536</v>
      </c>
      <c r="AQ171" s="4">
        <f>IF(D171="M",IF($AM171&lt;162,WeightSDS!P$12*$AM171^7+WeightSDS!Q$12*$AM171^6+WeightSDS!R$12*$AM171^5+WeightSDS!S$12*$AM171^4+WeightSDS!T$12*$AM171^3+WeightSDS!U$12*$AM171^2+WeightSDS!V$12*$AM171+WeightSDS!W$12,WeightSDS!P$14*$AM171^7+WeightSDS!Q$14*$AM171^6+WeightSDS!R$14*$AM171^5+WeightSDS!S$14*$AM171^4+WeightSDS!T$14*$AM171^3+WeightSDS!U$14*$AM171^2+WeightSDS!V$14*$AM171+WeightSDS!W$14),IF($AM171&lt;156,WeightSDS!O$17*$AM171^8+WeightSDS!P$17*$AM171^7+WeightSDS!Q$17*$AM171^6+WeightSDS!R$17*$AM171^5+WeightSDS!S$17*$AM171^4+WeightSDS!T$17*$AM171^3+WeightSDS!U$17*$AM171^2+WeightSDS!V$17*$AM171+WeightSDS!W$17,IF($AM171&lt;186,WeightSDS!$U$18+(WeightSDS!$V$18-WeightSDS!$U$18)/24*($AM171-186)+WeightSDS!$W$18*(-$AM171+186)^2-0.005,WeightSDS!$U$18+(WeightSDS!$V$18-WeightSDS!$U$18)/24*($AM171-186)-0.005)))</f>
        <v>0.14604529399999999</v>
      </c>
      <c r="AT171" s="4">
        <f t="shared" si="49"/>
        <v>0.56299999999999994</v>
      </c>
      <c r="AU171" s="4">
        <f t="shared" si="50"/>
        <v>69</v>
      </c>
      <c r="AV171" s="4">
        <f t="shared" si="51"/>
        <v>0.51</v>
      </c>
    </row>
    <row r="172" spans="1:48" x14ac:dyDescent="0.15">
      <c r="A172" s="4"/>
      <c r="B172" s="21"/>
      <c r="C172" s="21"/>
      <c r="D172" s="21"/>
      <c r="E172" s="22"/>
      <c r="F172" s="22"/>
      <c r="G172" s="23"/>
      <c r="H172" s="23"/>
      <c r="I172" s="181"/>
      <c r="J172" s="8" t="str">
        <f t="shared" si="43"/>
        <v/>
      </c>
      <c r="K172" s="2" t="str">
        <f t="shared" si="52"/>
        <v/>
      </c>
      <c r="L172" s="2" t="str">
        <f t="shared" si="44"/>
        <v/>
      </c>
      <c r="M172" s="2" t="str">
        <f t="shared" si="53"/>
        <v/>
      </c>
      <c r="N172" s="2" t="str">
        <f t="shared" si="61"/>
        <v/>
      </c>
      <c r="O172" s="2" t="str">
        <f t="shared" si="54"/>
        <v/>
      </c>
      <c r="P172" s="8" t="str">
        <f t="shared" si="55"/>
        <v/>
      </c>
      <c r="Q172" s="8" t="str">
        <f t="shared" si="56"/>
        <v/>
      </c>
      <c r="R172" s="111" t="str">
        <f t="shared" si="57"/>
        <v/>
      </c>
      <c r="S172" s="44" t="str">
        <f t="shared" si="58"/>
        <v/>
      </c>
      <c r="T172" s="37" t="str">
        <f t="shared" si="59"/>
        <v/>
      </c>
      <c r="U172" s="44" t="str">
        <f t="shared" si="60"/>
        <v/>
      </c>
      <c r="V172" s="26"/>
      <c r="W172" s="26"/>
      <c r="X172" s="26"/>
      <c r="Y172" s="26"/>
      <c r="Z172" s="24"/>
      <c r="AA172" s="169">
        <f t="shared" si="45"/>
        <v>0</v>
      </c>
      <c r="AB172" s="4">
        <f t="shared" si="46"/>
        <v>0</v>
      </c>
      <c r="AC172" s="170">
        <f t="shared" si="63"/>
        <v>0</v>
      </c>
      <c r="AD172" s="58"/>
      <c r="AE172" s="58"/>
      <c r="AF172" s="58"/>
      <c r="AG172" s="59">
        <f t="shared" si="47"/>
        <v>9.0359999999999996</v>
      </c>
      <c r="AH172" s="59">
        <f t="shared" si="48"/>
        <v>-184.49199999999999</v>
      </c>
      <c r="AJ172" s="4">
        <f>IF(D172="M",IF(AM172&lt;78,BMILMS!$D$5*AM172^3+BMILMS!$E$5*AM172^2+BMILMS!$F$5*AM172+BMILMS!$G$5,IF(AM172&lt;150,BMILMS!$D$6*AM172^3+BMILMS!$E$6*AM172^2+BMILMS!$F$6*AM172+BMILMS!$G$6,BMILMS!$D$7*AM172^3+BMILMS!$E$7*AM172^2+BMILMS!$F$7*AM172+BMILMS!$G$7)),IF(AM172&lt;69,BMILMS!$D$9*AM172^3+BMILMS!$E$9*AM172^2+BMILMS!$F$9*AM172+BMILMS!$G$9,IF(AM172&lt;150,BMILMS!$D$10*AM172^3+BMILMS!$E$10*AM172^2+BMILMS!$F$10*AM172+BMILMS!$G$10,BMILMS!$D$11*AM172^3+BMILMS!$E$11*AM172^2+BMILMS!$F$11*AM172+BMILMS!$G$11)))</f>
        <v>0.79584630099999998</v>
      </c>
      <c r="AK172" s="4">
        <f>IF(D172="M",(IF(AM172&lt;2.5,BMILMS!$D$21*AM172^3+BMILMS!$E$21*AM172^2+BMILMS!$F$21*AM172+BMILMS!$G$21,IF(AM172&lt;9.5,BMILMS!$D$22*AM172^3+BMILMS!$E$22*AM172^2+BMILMS!$F$22*AM172+BMILMS!$G$22,IF(AM172&lt;26.75,BMILMS!$D$23*AM172^3+BMILMS!$E$23*AM172^2+BMILMS!$F$23*AM172+BMILMS!$G$23,IF(AM172&lt;90,BMILMS!$D$24*AM172^3+BMILMS!$E$24*AM172^2+BMILMS!$F$24*AM172+BMILMS!$G$24,BMILMS!$D$25*AM172^3+BMILMS!$E$25*AM172^2+BMILMS!$F$25*AM172+BMILMS!$G$25))))),(IF(AM172&lt;2.5,BMILMS!$D$27*AM172^3+BMILMS!$E$27*AM172^2+BMILMS!$F$27*AM172+BMILMS!$G$27,IF(AM172&lt;9.5,BMILMS!$D$28*AM172^3+BMILMS!$E$28*AM172^2+BMILMS!$F$28*AM172+BMILMS!$G$28,IF(AM172&lt;26.75,BMILMS!$D$29*AM172^3+BMILMS!$E$29*AM172^2+BMILMS!$F$29*AM172+BMILMS!$G$29,IF(AM172&lt;90,BMILMS!$D$30*AM172^3+BMILMS!$E$30*AM172^2+BMILMS!$F$30*AM172+BMILMS!$G$30,IF(AM172&lt;150,BMILMS!$D$31*AM172^3+BMILMS!$E$31*AM172^2+BMILMS!$F$31*AM172+BMILMS!$G$31,BMILMS!$D$32*AM172^3+BMILMS!$E$32*AM172^2+BMILMS!$F$32*AM172+BMILMS!$G$32)))))))</f>
        <v>12.568967990000001</v>
      </c>
      <c r="AL172" s="4">
        <f>IF(D172="M",(IF(AM172&lt;90,BMILMS!$D$14*AM172^3+BMILMS!$E$14*AM172^2+BMILMS!$F$14*AM172+BMILMS!$G$14,BMILMS!$D$15*AM172^3+BMILMS!$E$15*AM172^2+BMILMS!$F$15*AM172+BMILMS!$G$15)),(IF(AM172&lt;90,BMILMS!$D$17*AM172^3+BMILMS!$E$17*AM172^2+BMILMS!$F$17*AM172+BMILMS!$G$17,BMILMS!$D$18*AM172^3+BMILMS!$E$18*AM172^2+BMILMS!$F$18*AM172+BMILMS!$G$18)))</f>
        <v>8.8969350000000003E-2</v>
      </c>
      <c r="AM172" s="4">
        <f t="shared" si="62"/>
        <v>0</v>
      </c>
      <c r="AO172" s="56">
        <f>IF(D172="M",WeightSDS!P$5*$AM172^7+WeightSDS!Q$5*$AM172^6+WeightSDS!R$5*$AM172^5+WeightSDS!S$5*$AM172^4+WeightSDS!T$5*$AM172^3+WeightSDS!U$5*$AM172^2+WeightSDS!V$5*$AM172+WeightSDS!W$5,IF($AM172&lt;186,WeightSDS!P$8*$AM172^7+WeightSDS!Q$8*$AM172^6+WeightSDS!R$8*$AM172^5+WeightSDS!S$8*$AM172^4+WeightSDS!T$8*$AM172^3+WeightSDS!U$8*$AM172^2+WeightSDS!V$8*$AM172+WeightSDS!W$8,WeightSDS!$U$9+WeightSDS!$V$9*($AM172-WeightSDS!$W$9)))</f>
        <v>0.75407122999999998</v>
      </c>
      <c r="AP172" s="4">
        <f>IF(D172="M",IF($AM172&lt;45,WeightSDS!M$23*$AM172^10+WeightSDS!N$23*$AM172^9+WeightSDS!O$23*$AM172^8+WeightSDS!P$23*$AM172^7+WeightSDS!Q$23*$AM172^6+WeightSDS!R$23*$AM172^5+WeightSDS!S$23*$AM172^4+WeightSDS!T$23*$AM172^3+WeightSDS!U$23*$AM172^2+WeightSDS!V$23*$AM172+WeightSDS!W$23,IF($AM172&lt;153,WeightSDS!M$25*$AM172^10+WeightSDS!N$25*$AM172^9+WeightSDS!O$25*$AM172^8+WeightSDS!P$25*$AM172^7+WeightSDS!Q$25*$AM172^6+WeightSDS!R$25*$AM172^5+WeightSDS!S$25*$AM172^4+WeightSDS!T$25*$AM172^3+WeightSDS!U$25*$AM172^2+WeightSDS!V$25*$AM172+WeightSDS!W$25,WeightSDS!M$27+WeightSDS!N$27/(1+EXP(WeightSDS!O$27+WeightSDS!P$27*$AM172)))),IF($AM172&lt;43.8,WeightSDS!M$29*$AM172^10+WeightSDS!N$29*$AM172^9+WeightSDS!O$29*$AM172^8+WeightSDS!P$29*$AM172^7+WeightSDS!Q$29*$AM172^6+WeightSDS!R$29*$AM172^5+WeightSDS!S$29*$AM172^4+WeightSDS!T$29*$AM172^3+WeightSDS!U$29*$AM172^2+WeightSDS!V$29*$AM172+WeightSDS!W$29-0.010431*(1-$AM172/210),IF($AM172&lt;123,WeightSDS!M$30*$AM172^10+WeightSDS!N$30*$AM172^9+WeightSDS!O$30*$AM172^8+WeightSDS!P$30*$AM172^7+WeightSDS!Q$30*$AM172^6+WeightSDS!R$30*$AM172^5+WeightSDS!S$30*$AM172^4+WeightSDS!T$30*$AM172^3+WeightSDS!U$30*$AM172^2+WeightSDS!V$30*$AM172+WeightSDS!W$30-0.010431*(1-1/$AM172),WeightSDS!M$32+WeightSDS!N$32/(1+EXP(WeightSDS!O$32+WeightSDS!P$32*$AM172))-0.010431*(1-$AM172/210))))</f>
        <v>2.9500001032655536</v>
      </c>
      <c r="AQ172" s="4">
        <f>IF(D172="M",IF($AM172&lt;162,WeightSDS!P$12*$AM172^7+WeightSDS!Q$12*$AM172^6+WeightSDS!R$12*$AM172^5+WeightSDS!S$12*$AM172^4+WeightSDS!T$12*$AM172^3+WeightSDS!U$12*$AM172^2+WeightSDS!V$12*$AM172+WeightSDS!W$12,WeightSDS!P$14*$AM172^7+WeightSDS!Q$14*$AM172^6+WeightSDS!R$14*$AM172^5+WeightSDS!S$14*$AM172^4+WeightSDS!T$14*$AM172^3+WeightSDS!U$14*$AM172^2+WeightSDS!V$14*$AM172+WeightSDS!W$14),IF($AM172&lt;156,WeightSDS!O$17*$AM172^8+WeightSDS!P$17*$AM172^7+WeightSDS!Q$17*$AM172^6+WeightSDS!R$17*$AM172^5+WeightSDS!S$17*$AM172^4+WeightSDS!T$17*$AM172^3+WeightSDS!U$17*$AM172^2+WeightSDS!V$17*$AM172+WeightSDS!W$17,IF($AM172&lt;186,WeightSDS!$U$18+(WeightSDS!$V$18-WeightSDS!$U$18)/24*($AM172-186)+WeightSDS!$W$18*(-$AM172+186)^2-0.005,WeightSDS!$U$18+(WeightSDS!$V$18-WeightSDS!$U$18)/24*($AM172-186)-0.005)))</f>
        <v>0.14604529399999999</v>
      </c>
      <c r="AT172" s="4">
        <f t="shared" si="49"/>
        <v>0.56299999999999994</v>
      </c>
      <c r="AU172" s="4">
        <f t="shared" si="50"/>
        <v>69</v>
      </c>
      <c r="AV172" s="4">
        <f t="shared" si="51"/>
        <v>0.51</v>
      </c>
    </row>
    <row r="173" spans="1:48" x14ac:dyDescent="0.15">
      <c r="A173" s="4"/>
      <c r="B173" s="21"/>
      <c r="C173" s="21"/>
      <c r="D173" s="21"/>
      <c r="E173" s="22"/>
      <c r="F173" s="22"/>
      <c r="G173" s="23"/>
      <c r="H173" s="23"/>
      <c r="I173" s="181"/>
      <c r="J173" s="8" t="str">
        <f t="shared" si="43"/>
        <v/>
      </c>
      <c r="K173" s="2" t="str">
        <f t="shared" si="52"/>
        <v/>
      </c>
      <c r="L173" s="2" t="str">
        <f t="shared" si="44"/>
        <v/>
      </c>
      <c r="M173" s="2" t="str">
        <f t="shared" si="53"/>
        <v/>
      </c>
      <c r="N173" s="2" t="str">
        <f t="shared" si="61"/>
        <v/>
      </c>
      <c r="O173" s="2" t="str">
        <f t="shared" si="54"/>
        <v/>
      </c>
      <c r="P173" s="8" t="str">
        <f t="shared" si="55"/>
        <v/>
      </c>
      <c r="Q173" s="8" t="str">
        <f t="shared" si="56"/>
        <v/>
      </c>
      <c r="R173" s="111" t="str">
        <f t="shared" si="57"/>
        <v/>
      </c>
      <c r="S173" s="44" t="str">
        <f t="shared" si="58"/>
        <v/>
      </c>
      <c r="T173" s="37" t="str">
        <f t="shared" si="59"/>
        <v/>
      </c>
      <c r="U173" s="44" t="str">
        <f t="shared" si="60"/>
        <v/>
      </c>
      <c r="V173" s="26"/>
      <c r="W173" s="26"/>
      <c r="X173" s="26"/>
      <c r="Y173" s="26"/>
      <c r="Z173" s="24"/>
      <c r="AA173" s="169">
        <f t="shared" si="45"/>
        <v>0</v>
      </c>
      <c r="AB173" s="4">
        <f t="shared" si="46"/>
        <v>0</v>
      </c>
      <c r="AC173" s="170">
        <f t="shared" si="63"/>
        <v>0</v>
      </c>
      <c r="AD173" s="58"/>
      <c r="AE173" s="58"/>
      <c r="AF173" s="58"/>
      <c r="AG173" s="59">
        <f t="shared" si="47"/>
        <v>9.0359999999999996</v>
      </c>
      <c r="AH173" s="59">
        <f t="shared" si="48"/>
        <v>-184.49199999999999</v>
      </c>
      <c r="AJ173" s="4">
        <f>IF(D173="M",IF(AM173&lt;78,BMILMS!$D$5*AM173^3+BMILMS!$E$5*AM173^2+BMILMS!$F$5*AM173+BMILMS!$G$5,IF(AM173&lt;150,BMILMS!$D$6*AM173^3+BMILMS!$E$6*AM173^2+BMILMS!$F$6*AM173+BMILMS!$G$6,BMILMS!$D$7*AM173^3+BMILMS!$E$7*AM173^2+BMILMS!$F$7*AM173+BMILMS!$G$7)),IF(AM173&lt;69,BMILMS!$D$9*AM173^3+BMILMS!$E$9*AM173^2+BMILMS!$F$9*AM173+BMILMS!$G$9,IF(AM173&lt;150,BMILMS!$D$10*AM173^3+BMILMS!$E$10*AM173^2+BMILMS!$F$10*AM173+BMILMS!$G$10,BMILMS!$D$11*AM173^3+BMILMS!$E$11*AM173^2+BMILMS!$F$11*AM173+BMILMS!$G$11)))</f>
        <v>0.79584630099999998</v>
      </c>
      <c r="AK173" s="4">
        <f>IF(D173="M",(IF(AM173&lt;2.5,BMILMS!$D$21*AM173^3+BMILMS!$E$21*AM173^2+BMILMS!$F$21*AM173+BMILMS!$G$21,IF(AM173&lt;9.5,BMILMS!$D$22*AM173^3+BMILMS!$E$22*AM173^2+BMILMS!$F$22*AM173+BMILMS!$G$22,IF(AM173&lt;26.75,BMILMS!$D$23*AM173^3+BMILMS!$E$23*AM173^2+BMILMS!$F$23*AM173+BMILMS!$G$23,IF(AM173&lt;90,BMILMS!$D$24*AM173^3+BMILMS!$E$24*AM173^2+BMILMS!$F$24*AM173+BMILMS!$G$24,BMILMS!$D$25*AM173^3+BMILMS!$E$25*AM173^2+BMILMS!$F$25*AM173+BMILMS!$G$25))))),(IF(AM173&lt;2.5,BMILMS!$D$27*AM173^3+BMILMS!$E$27*AM173^2+BMILMS!$F$27*AM173+BMILMS!$G$27,IF(AM173&lt;9.5,BMILMS!$D$28*AM173^3+BMILMS!$E$28*AM173^2+BMILMS!$F$28*AM173+BMILMS!$G$28,IF(AM173&lt;26.75,BMILMS!$D$29*AM173^3+BMILMS!$E$29*AM173^2+BMILMS!$F$29*AM173+BMILMS!$G$29,IF(AM173&lt;90,BMILMS!$D$30*AM173^3+BMILMS!$E$30*AM173^2+BMILMS!$F$30*AM173+BMILMS!$G$30,IF(AM173&lt;150,BMILMS!$D$31*AM173^3+BMILMS!$E$31*AM173^2+BMILMS!$F$31*AM173+BMILMS!$G$31,BMILMS!$D$32*AM173^3+BMILMS!$E$32*AM173^2+BMILMS!$F$32*AM173+BMILMS!$G$32)))))))</f>
        <v>12.568967990000001</v>
      </c>
      <c r="AL173" s="4">
        <f>IF(D173="M",(IF(AM173&lt;90,BMILMS!$D$14*AM173^3+BMILMS!$E$14*AM173^2+BMILMS!$F$14*AM173+BMILMS!$G$14,BMILMS!$D$15*AM173^3+BMILMS!$E$15*AM173^2+BMILMS!$F$15*AM173+BMILMS!$G$15)),(IF(AM173&lt;90,BMILMS!$D$17*AM173^3+BMILMS!$E$17*AM173^2+BMILMS!$F$17*AM173+BMILMS!$G$17,BMILMS!$D$18*AM173^3+BMILMS!$E$18*AM173^2+BMILMS!$F$18*AM173+BMILMS!$G$18)))</f>
        <v>8.8969350000000003E-2</v>
      </c>
      <c r="AM173" s="4">
        <f t="shared" si="62"/>
        <v>0</v>
      </c>
      <c r="AO173" s="56">
        <f>IF(D173="M",WeightSDS!P$5*$AM173^7+WeightSDS!Q$5*$AM173^6+WeightSDS!R$5*$AM173^5+WeightSDS!S$5*$AM173^4+WeightSDS!T$5*$AM173^3+WeightSDS!U$5*$AM173^2+WeightSDS!V$5*$AM173+WeightSDS!W$5,IF($AM173&lt;186,WeightSDS!P$8*$AM173^7+WeightSDS!Q$8*$AM173^6+WeightSDS!R$8*$AM173^5+WeightSDS!S$8*$AM173^4+WeightSDS!T$8*$AM173^3+WeightSDS!U$8*$AM173^2+WeightSDS!V$8*$AM173+WeightSDS!W$8,WeightSDS!$U$9+WeightSDS!$V$9*($AM173-WeightSDS!$W$9)))</f>
        <v>0.75407122999999998</v>
      </c>
      <c r="AP173" s="4">
        <f>IF(D173="M",IF($AM173&lt;45,WeightSDS!M$23*$AM173^10+WeightSDS!N$23*$AM173^9+WeightSDS!O$23*$AM173^8+WeightSDS!P$23*$AM173^7+WeightSDS!Q$23*$AM173^6+WeightSDS!R$23*$AM173^5+WeightSDS!S$23*$AM173^4+WeightSDS!T$23*$AM173^3+WeightSDS!U$23*$AM173^2+WeightSDS!V$23*$AM173+WeightSDS!W$23,IF($AM173&lt;153,WeightSDS!M$25*$AM173^10+WeightSDS!N$25*$AM173^9+WeightSDS!O$25*$AM173^8+WeightSDS!P$25*$AM173^7+WeightSDS!Q$25*$AM173^6+WeightSDS!R$25*$AM173^5+WeightSDS!S$25*$AM173^4+WeightSDS!T$25*$AM173^3+WeightSDS!U$25*$AM173^2+WeightSDS!V$25*$AM173+WeightSDS!W$25,WeightSDS!M$27+WeightSDS!N$27/(1+EXP(WeightSDS!O$27+WeightSDS!P$27*$AM173)))),IF($AM173&lt;43.8,WeightSDS!M$29*$AM173^10+WeightSDS!N$29*$AM173^9+WeightSDS!O$29*$AM173^8+WeightSDS!P$29*$AM173^7+WeightSDS!Q$29*$AM173^6+WeightSDS!R$29*$AM173^5+WeightSDS!S$29*$AM173^4+WeightSDS!T$29*$AM173^3+WeightSDS!U$29*$AM173^2+WeightSDS!V$29*$AM173+WeightSDS!W$29-0.010431*(1-$AM173/210),IF($AM173&lt;123,WeightSDS!M$30*$AM173^10+WeightSDS!N$30*$AM173^9+WeightSDS!O$30*$AM173^8+WeightSDS!P$30*$AM173^7+WeightSDS!Q$30*$AM173^6+WeightSDS!R$30*$AM173^5+WeightSDS!S$30*$AM173^4+WeightSDS!T$30*$AM173^3+WeightSDS!U$30*$AM173^2+WeightSDS!V$30*$AM173+WeightSDS!W$30-0.010431*(1-1/$AM173),WeightSDS!M$32+WeightSDS!N$32/(1+EXP(WeightSDS!O$32+WeightSDS!P$32*$AM173))-0.010431*(1-$AM173/210))))</f>
        <v>2.9500001032655536</v>
      </c>
      <c r="AQ173" s="4">
        <f>IF(D173="M",IF($AM173&lt;162,WeightSDS!P$12*$AM173^7+WeightSDS!Q$12*$AM173^6+WeightSDS!R$12*$AM173^5+WeightSDS!S$12*$AM173^4+WeightSDS!T$12*$AM173^3+WeightSDS!U$12*$AM173^2+WeightSDS!V$12*$AM173+WeightSDS!W$12,WeightSDS!P$14*$AM173^7+WeightSDS!Q$14*$AM173^6+WeightSDS!R$14*$AM173^5+WeightSDS!S$14*$AM173^4+WeightSDS!T$14*$AM173^3+WeightSDS!U$14*$AM173^2+WeightSDS!V$14*$AM173+WeightSDS!W$14),IF($AM173&lt;156,WeightSDS!O$17*$AM173^8+WeightSDS!P$17*$AM173^7+WeightSDS!Q$17*$AM173^6+WeightSDS!R$17*$AM173^5+WeightSDS!S$17*$AM173^4+WeightSDS!T$17*$AM173^3+WeightSDS!U$17*$AM173^2+WeightSDS!V$17*$AM173+WeightSDS!W$17,IF($AM173&lt;186,WeightSDS!$U$18+(WeightSDS!$V$18-WeightSDS!$U$18)/24*($AM173-186)+WeightSDS!$W$18*(-$AM173+186)^2-0.005,WeightSDS!$U$18+(WeightSDS!$V$18-WeightSDS!$U$18)/24*($AM173-186)-0.005)))</f>
        <v>0.14604529399999999</v>
      </c>
      <c r="AT173" s="4">
        <f t="shared" si="49"/>
        <v>0.56299999999999994</v>
      </c>
      <c r="AU173" s="4">
        <f t="shared" si="50"/>
        <v>69</v>
      </c>
      <c r="AV173" s="4">
        <f t="shared" si="51"/>
        <v>0.51</v>
      </c>
    </row>
    <row r="174" spans="1:48" x14ac:dyDescent="0.15">
      <c r="A174" s="4"/>
      <c r="B174" s="21"/>
      <c r="C174" s="21"/>
      <c r="D174" s="21"/>
      <c r="E174" s="22"/>
      <c r="F174" s="22"/>
      <c r="G174" s="23"/>
      <c r="H174" s="23"/>
      <c r="I174" s="181"/>
      <c r="J174" s="8" t="str">
        <f t="shared" si="43"/>
        <v/>
      </c>
      <c r="K174" s="2" t="str">
        <f t="shared" si="52"/>
        <v/>
      </c>
      <c r="L174" s="2" t="str">
        <f t="shared" si="44"/>
        <v/>
      </c>
      <c r="M174" s="2" t="str">
        <f t="shared" si="53"/>
        <v/>
      </c>
      <c r="N174" s="2" t="str">
        <f t="shared" si="61"/>
        <v/>
      </c>
      <c r="O174" s="2" t="str">
        <f t="shared" si="54"/>
        <v/>
      </c>
      <c r="P174" s="8" t="str">
        <f t="shared" si="55"/>
        <v/>
      </c>
      <c r="Q174" s="8" t="str">
        <f t="shared" si="56"/>
        <v/>
      </c>
      <c r="R174" s="111" t="str">
        <f t="shared" si="57"/>
        <v/>
      </c>
      <c r="S174" s="44" t="str">
        <f t="shared" si="58"/>
        <v/>
      </c>
      <c r="T174" s="37" t="str">
        <f t="shared" si="59"/>
        <v/>
      </c>
      <c r="U174" s="44" t="str">
        <f t="shared" si="60"/>
        <v/>
      </c>
      <c r="V174" s="26"/>
      <c r="W174" s="26"/>
      <c r="X174" s="26"/>
      <c r="Y174" s="26"/>
      <c r="Z174" s="24"/>
      <c r="AA174" s="169">
        <f t="shared" si="45"/>
        <v>0</v>
      </c>
      <c r="AB174" s="4">
        <f t="shared" si="46"/>
        <v>0</v>
      </c>
      <c r="AC174" s="170">
        <f t="shared" si="63"/>
        <v>0</v>
      </c>
      <c r="AD174" s="58"/>
      <c r="AE174" s="58"/>
      <c r="AF174" s="58"/>
      <c r="AG174" s="59">
        <f t="shared" si="47"/>
        <v>9.0359999999999996</v>
      </c>
      <c r="AH174" s="59">
        <f t="shared" si="48"/>
        <v>-184.49199999999999</v>
      </c>
      <c r="AJ174" s="4">
        <f>IF(D174="M",IF(AM174&lt;78,BMILMS!$D$5*AM174^3+BMILMS!$E$5*AM174^2+BMILMS!$F$5*AM174+BMILMS!$G$5,IF(AM174&lt;150,BMILMS!$D$6*AM174^3+BMILMS!$E$6*AM174^2+BMILMS!$F$6*AM174+BMILMS!$G$6,BMILMS!$D$7*AM174^3+BMILMS!$E$7*AM174^2+BMILMS!$F$7*AM174+BMILMS!$G$7)),IF(AM174&lt;69,BMILMS!$D$9*AM174^3+BMILMS!$E$9*AM174^2+BMILMS!$F$9*AM174+BMILMS!$G$9,IF(AM174&lt;150,BMILMS!$D$10*AM174^3+BMILMS!$E$10*AM174^2+BMILMS!$F$10*AM174+BMILMS!$G$10,BMILMS!$D$11*AM174^3+BMILMS!$E$11*AM174^2+BMILMS!$F$11*AM174+BMILMS!$G$11)))</f>
        <v>0.79584630099999998</v>
      </c>
      <c r="AK174" s="4">
        <f>IF(D174="M",(IF(AM174&lt;2.5,BMILMS!$D$21*AM174^3+BMILMS!$E$21*AM174^2+BMILMS!$F$21*AM174+BMILMS!$G$21,IF(AM174&lt;9.5,BMILMS!$D$22*AM174^3+BMILMS!$E$22*AM174^2+BMILMS!$F$22*AM174+BMILMS!$G$22,IF(AM174&lt;26.75,BMILMS!$D$23*AM174^3+BMILMS!$E$23*AM174^2+BMILMS!$F$23*AM174+BMILMS!$G$23,IF(AM174&lt;90,BMILMS!$D$24*AM174^3+BMILMS!$E$24*AM174^2+BMILMS!$F$24*AM174+BMILMS!$G$24,BMILMS!$D$25*AM174^3+BMILMS!$E$25*AM174^2+BMILMS!$F$25*AM174+BMILMS!$G$25))))),(IF(AM174&lt;2.5,BMILMS!$D$27*AM174^3+BMILMS!$E$27*AM174^2+BMILMS!$F$27*AM174+BMILMS!$G$27,IF(AM174&lt;9.5,BMILMS!$D$28*AM174^3+BMILMS!$E$28*AM174^2+BMILMS!$F$28*AM174+BMILMS!$G$28,IF(AM174&lt;26.75,BMILMS!$D$29*AM174^3+BMILMS!$E$29*AM174^2+BMILMS!$F$29*AM174+BMILMS!$G$29,IF(AM174&lt;90,BMILMS!$D$30*AM174^3+BMILMS!$E$30*AM174^2+BMILMS!$F$30*AM174+BMILMS!$G$30,IF(AM174&lt;150,BMILMS!$D$31*AM174^3+BMILMS!$E$31*AM174^2+BMILMS!$F$31*AM174+BMILMS!$G$31,BMILMS!$D$32*AM174^3+BMILMS!$E$32*AM174^2+BMILMS!$F$32*AM174+BMILMS!$G$32)))))))</f>
        <v>12.568967990000001</v>
      </c>
      <c r="AL174" s="4">
        <f>IF(D174="M",(IF(AM174&lt;90,BMILMS!$D$14*AM174^3+BMILMS!$E$14*AM174^2+BMILMS!$F$14*AM174+BMILMS!$G$14,BMILMS!$D$15*AM174^3+BMILMS!$E$15*AM174^2+BMILMS!$F$15*AM174+BMILMS!$G$15)),(IF(AM174&lt;90,BMILMS!$D$17*AM174^3+BMILMS!$E$17*AM174^2+BMILMS!$F$17*AM174+BMILMS!$G$17,BMILMS!$D$18*AM174^3+BMILMS!$E$18*AM174^2+BMILMS!$F$18*AM174+BMILMS!$G$18)))</f>
        <v>8.8969350000000003E-2</v>
      </c>
      <c r="AM174" s="4">
        <f t="shared" si="62"/>
        <v>0</v>
      </c>
      <c r="AO174" s="56">
        <f>IF(D174="M",WeightSDS!P$5*$AM174^7+WeightSDS!Q$5*$AM174^6+WeightSDS!R$5*$AM174^5+WeightSDS!S$5*$AM174^4+WeightSDS!T$5*$AM174^3+WeightSDS!U$5*$AM174^2+WeightSDS!V$5*$AM174+WeightSDS!W$5,IF($AM174&lt;186,WeightSDS!P$8*$AM174^7+WeightSDS!Q$8*$AM174^6+WeightSDS!R$8*$AM174^5+WeightSDS!S$8*$AM174^4+WeightSDS!T$8*$AM174^3+WeightSDS!U$8*$AM174^2+WeightSDS!V$8*$AM174+WeightSDS!W$8,WeightSDS!$U$9+WeightSDS!$V$9*($AM174-WeightSDS!$W$9)))</f>
        <v>0.75407122999999998</v>
      </c>
      <c r="AP174" s="4">
        <f>IF(D174="M",IF($AM174&lt;45,WeightSDS!M$23*$AM174^10+WeightSDS!N$23*$AM174^9+WeightSDS!O$23*$AM174^8+WeightSDS!P$23*$AM174^7+WeightSDS!Q$23*$AM174^6+WeightSDS!R$23*$AM174^5+WeightSDS!S$23*$AM174^4+WeightSDS!T$23*$AM174^3+WeightSDS!U$23*$AM174^2+WeightSDS!V$23*$AM174+WeightSDS!W$23,IF($AM174&lt;153,WeightSDS!M$25*$AM174^10+WeightSDS!N$25*$AM174^9+WeightSDS!O$25*$AM174^8+WeightSDS!P$25*$AM174^7+WeightSDS!Q$25*$AM174^6+WeightSDS!R$25*$AM174^5+WeightSDS!S$25*$AM174^4+WeightSDS!T$25*$AM174^3+WeightSDS!U$25*$AM174^2+WeightSDS!V$25*$AM174+WeightSDS!W$25,WeightSDS!M$27+WeightSDS!N$27/(1+EXP(WeightSDS!O$27+WeightSDS!P$27*$AM174)))),IF($AM174&lt;43.8,WeightSDS!M$29*$AM174^10+WeightSDS!N$29*$AM174^9+WeightSDS!O$29*$AM174^8+WeightSDS!P$29*$AM174^7+WeightSDS!Q$29*$AM174^6+WeightSDS!R$29*$AM174^5+WeightSDS!S$29*$AM174^4+WeightSDS!T$29*$AM174^3+WeightSDS!U$29*$AM174^2+WeightSDS!V$29*$AM174+WeightSDS!W$29-0.010431*(1-$AM174/210),IF($AM174&lt;123,WeightSDS!M$30*$AM174^10+WeightSDS!N$30*$AM174^9+WeightSDS!O$30*$AM174^8+WeightSDS!P$30*$AM174^7+WeightSDS!Q$30*$AM174^6+WeightSDS!R$30*$AM174^5+WeightSDS!S$30*$AM174^4+WeightSDS!T$30*$AM174^3+WeightSDS!U$30*$AM174^2+WeightSDS!V$30*$AM174+WeightSDS!W$30-0.010431*(1-1/$AM174),WeightSDS!M$32+WeightSDS!N$32/(1+EXP(WeightSDS!O$32+WeightSDS!P$32*$AM174))-0.010431*(1-$AM174/210))))</f>
        <v>2.9500001032655536</v>
      </c>
      <c r="AQ174" s="4">
        <f>IF(D174="M",IF($AM174&lt;162,WeightSDS!P$12*$AM174^7+WeightSDS!Q$12*$AM174^6+WeightSDS!R$12*$AM174^5+WeightSDS!S$12*$AM174^4+WeightSDS!T$12*$AM174^3+WeightSDS!U$12*$AM174^2+WeightSDS!V$12*$AM174+WeightSDS!W$12,WeightSDS!P$14*$AM174^7+WeightSDS!Q$14*$AM174^6+WeightSDS!R$14*$AM174^5+WeightSDS!S$14*$AM174^4+WeightSDS!T$14*$AM174^3+WeightSDS!U$14*$AM174^2+WeightSDS!V$14*$AM174+WeightSDS!W$14),IF($AM174&lt;156,WeightSDS!O$17*$AM174^8+WeightSDS!P$17*$AM174^7+WeightSDS!Q$17*$AM174^6+WeightSDS!R$17*$AM174^5+WeightSDS!S$17*$AM174^4+WeightSDS!T$17*$AM174^3+WeightSDS!U$17*$AM174^2+WeightSDS!V$17*$AM174+WeightSDS!W$17,IF($AM174&lt;186,WeightSDS!$U$18+(WeightSDS!$V$18-WeightSDS!$U$18)/24*($AM174-186)+WeightSDS!$W$18*(-$AM174+186)^2-0.005,WeightSDS!$U$18+(WeightSDS!$V$18-WeightSDS!$U$18)/24*($AM174-186)-0.005)))</f>
        <v>0.14604529399999999</v>
      </c>
      <c r="AT174" s="4">
        <f t="shared" si="49"/>
        <v>0.56299999999999994</v>
      </c>
      <c r="AU174" s="4">
        <f t="shared" si="50"/>
        <v>69</v>
      </c>
      <c r="AV174" s="4">
        <f t="shared" si="51"/>
        <v>0.51</v>
      </c>
    </row>
    <row r="175" spans="1:48" x14ac:dyDescent="0.15">
      <c r="A175" s="4"/>
      <c r="B175" s="21"/>
      <c r="C175" s="21"/>
      <c r="D175" s="21"/>
      <c r="E175" s="22"/>
      <c r="F175" s="22"/>
      <c r="G175" s="23"/>
      <c r="H175" s="23"/>
      <c r="I175" s="181"/>
      <c r="J175" s="8" t="str">
        <f t="shared" si="43"/>
        <v/>
      </c>
      <c r="K175" s="2" t="str">
        <f t="shared" si="52"/>
        <v/>
      </c>
      <c r="L175" s="2" t="str">
        <f t="shared" si="44"/>
        <v/>
      </c>
      <c r="M175" s="2" t="str">
        <f t="shared" si="53"/>
        <v/>
      </c>
      <c r="N175" s="2" t="str">
        <f t="shared" si="61"/>
        <v/>
      </c>
      <c r="O175" s="2" t="str">
        <f t="shared" si="54"/>
        <v/>
      </c>
      <c r="P175" s="8" t="str">
        <f t="shared" si="55"/>
        <v/>
      </c>
      <c r="Q175" s="8" t="str">
        <f t="shared" si="56"/>
        <v/>
      </c>
      <c r="R175" s="111" t="str">
        <f t="shared" si="57"/>
        <v/>
      </c>
      <c r="S175" s="44" t="str">
        <f t="shared" si="58"/>
        <v/>
      </c>
      <c r="T175" s="37" t="str">
        <f t="shared" si="59"/>
        <v/>
      </c>
      <c r="U175" s="44" t="str">
        <f t="shared" si="60"/>
        <v/>
      </c>
      <c r="V175" s="26"/>
      <c r="W175" s="26"/>
      <c r="X175" s="26"/>
      <c r="Y175" s="26"/>
      <c r="Z175" s="24"/>
      <c r="AA175" s="169">
        <f t="shared" si="45"/>
        <v>0</v>
      </c>
      <c r="AB175" s="4">
        <f t="shared" si="46"/>
        <v>0</v>
      </c>
      <c r="AC175" s="170">
        <f t="shared" si="63"/>
        <v>0</v>
      </c>
      <c r="AD175" s="58"/>
      <c r="AE175" s="58"/>
      <c r="AF175" s="58"/>
      <c r="AG175" s="59">
        <f t="shared" si="47"/>
        <v>9.0359999999999996</v>
      </c>
      <c r="AH175" s="59">
        <f t="shared" si="48"/>
        <v>-184.49199999999999</v>
      </c>
      <c r="AJ175" s="4">
        <f>IF(D175="M",IF(AM175&lt;78,BMILMS!$D$5*AM175^3+BMILMS!$E$5*AM175^2+BMILMS!$F$5*AM175+BMILMS!$G$5,IF(AM175&lt;150,BMILMS!$D$6*AM175^3+BMILMS!$E$6*AM175^2+BMILMS!$F$6*AM175+BMILMS!$G$6,BMILMS!$D$7*AM175^3+BMILMS!$E$7*AM175^2+BMILMS!$F$7*AM175+BMILMS!$G$7)),IF(AM175&lt;69,BMILMS!$D$9*AM175^3+BMILMS!$E$9*AM175^2+BMILMS!$F$9*AM175+BMILMS!$G$9,IF(AM175&lt;150,BMILMS!$D$10*AM175^3+BMILMS!$E$10*AM175^2+BMILMS!$F$10*AM175+BMILMS!$G$10,BMILMS!$D$11*AM175^3+BMILMS!$E$11*AM175^2+BMILMS!$F$11*AM175+BMILMS!$G$11)))</f>
        <v>0.79584630099999998</v>
      </c>
      <c r="AK175" s="4">
        <f>IF(D175="M",(IF(AM175&lt;2.5,BMILMS!$D$21*AM175^3+BMILMS!$E$21*AM175^2+BMILMS!$F$21*AM175+BMILMS!$G$21,IF(AM175&lt;9.5,BMILMS!$D$22*AM175^3+BMILMS!$E$22*AM175^2+BMILMS!$F$22*AM175+BMILMS!$G$22,IF(AM175&lt;26.75,BMILMS!$D$23*AM175^3+BMILMS!$E$23*AM175^2+BMILMS!$F$23*AM175+BMILMS!$G$23,IF(AM175&lt;90,BMILMS!$D$24*AM175^3+BMILMS!$E$24*AM175^2+BMILMS!$F$24*AM175+BMILMS!$G$24,BMILMS!$D$25*AM175^3+BMILMS!$E$25*AM175^2+BMILMS!$F$25*AM175+BMILMS!$G$25))))),(IF(AM175&lt;2.5,BMILMS!$D$27*AM175^3+BMILMS!$E$27*AM175^2+BMILMS!$F$27*AM175+BMILMS!$G$27,IF(AM175&lt;9.5,BMILMS!$D$28*AM175^3+BMILMS!$E$28*AM175^2+BMILMS!$F$28*AM175+BMILMS!$G$28,IF(AM175&lt;26.75,BMILMS!$D$29*AM175^3+BMILMS!$E$29*AM175^2+BMILMS!$F$29*AM175+BMILMS!$G$29,IF(AM175&lt;90,BMILMS!$D$30*AM175^3+BMILMS!$E$30*AM175^2+BMILMS!$F$30*AM175+BMILMS!$G$30,IF(AM175&lt;150,BMILMS!$D$31*AM175^3+BMILMS!$E$31*AM175^2+BMILMS!$F$31*AM175+BMILMS!$G$31,BMILMS!$D$32*AM175^3+BMILMS!$E$32*AM175^2+BMILMS!$F$32*AM175+BMILMS!$G$32)))))))</f>
        <v>12.568967990000001</v>
      </c>
      <c r="AL175" s="4">
        <f>IF(D175="M",(IF(AM175&lt;90,BMILMS!$D$14*AM175^3+BMILMS!$E$14*AM175^2+BMILMS!$F$14*AM175+BMILMS!$G$14,BMILMS!$D$15*AM175^3+BMILMS!$E$15*AM175^2+BMILMS!$F$15*AM175+BMILMS!$G$15)),(IF(AM175&lt;90,BMILMS!$D$17*AM175^3+BMILMS!$E$17*AM175^2+BMILMS!$F$17*AM175+BMILMS!$G$17,BMILMS!$D$18*AM175^3+BMILMS!$E$18*AM175^2+BMILMS!$F$18*AM175+BMILMS!$G$18)))</f>
        <v>8.8969350000000003E-2</v>
      </c>
      <c r="AM175" s="4">
        <f t="shared" si="62"/>
        <v>0</v>
      </c>
      <c r="AO175" s="56">
        <f>IF(D175="M",WeightSDS!P$5*$AM175^7+WeightSDS!Q$5*$AM175^6+WeightSDS!R$5*$AM175^5+WeightSDS!S$5*$AM175^4+WeightSDS!T$5*$AM175^3+WeightSDS!U$5*$AM175^2+WeightSDS!V$5*$AM175+WeightSDS!W$5,IF($AM175&lt;186,WeightSDS!P$8*$AM175^7+WeightSDS!Q$8*$AM175^6+WeightSDS!R$8*$AM175^5+WeightSDS!S$8*$AM175^4+WeightSDS!T$8*$AM175^3+WeightSDS!U$8*$AM175^2+WeightSDS!V$8*$AM175+WeightSDS!W$8,WeightSDS!$U$9+WeightSDS!$V$9*($AM175-WeightSDS!$W$9)))</f>
        <v>0.75407122999999998</v>
      </c>
      <c r="AP175" s="4">
        <f>IF(D175="M",IF($AM175&lt;45,WeightSDS!M$23*$AM175^10+WeightSDS!N$23*$AM175^9+WeightSDS!O$23*$AM175^8+WeightSDS!P$23*$AM175^7+WeightSDS!Q$23*$AM175^6+WeightSDS!R$23*$AM175^5+WeightSDS!S$23*$AM175^4+WeightSDS!T$23*$AM175^3+WeightSDS!U$23*$AM175^2+WeightSDS!V$23*$AM175+WeightSDS!W$23,IF($AM175&lt;153,WeightSDS!M$25*$AM175^10+WeightSDS!N$25*$AM175^9+WeightSDS!O$25*$AM175^8+WeightSDS!P$25*$AM175^7+WeightSDS!Q$25*$AM175^6+WeightSDS!R$25*$AM175^5+WeightSDS!S$25*$AM175^4+WeightSDS!T$25*$AM175^3+WeightSDS!U$25*$AM175^2+WeightSDS!V$25*$AM175+WeightSDS!W$25,WeightSDS!M$27+WeightSDS!N$27/(1+EXP(WeightSDS!O$27+WeightSDS!P$27*$AM175)))),IF($AM175&lt;43.8,WeightSDS!M$29*$AM175^10+WeightSDS!N$29*$AM175^9+WeightSDS!O$29*$AM175^8+WeightSDS!P$29*$AM175^7+WeightSDS!Q$29*$AM175^6+WeightSDS!R$29*$AM175^5+WeightSDS!S$29*$AM175^4+WeightSDS!T$29*$AM175^3+WeightSDS!U$29*$AM175^2+WeightSDS!V$29*$AM175+WeightSDS!W$29-0.010431*(1-$AM175/210),IF($AM175&lt;123,WeightSDS!M$30*$AM175^10+WeightSDS!N$30*$AM175^9+WeightSDS!O$30*$AM175^8+WeightSDS!P$30*$AM175^7+WeightSDS!Q$30*$AM175^6+WeightSDS!R$30*$AM175^5+WeightSDS!S$30*$AM175^4+WeightSDS!T$30*$AM175^3+WeightSDS!U$30*$AM175^2+WeightSDS!V$30*$AM175+WeightSDS!W$30-0.010431*(1-1/$AM175),WeightSDS!M$32+WeightSDS!N$32/(1+EXP(WeightSDS!O$32+WeightSDS!P$32*$AM175))-0.010431*(1-$AM175/210))))</f>
        <v>2.9500001032655536</v>
      </c>
      <c r="AQ175" s="4">
        <f>IF(D175="M",IF($AM175&lt;162,WeightSDS!P$12*$AM175^7+WeightSDS!Q$12*$AM175^6+WeightSDS!R$12*$AM175^5+WeightSDS!S$12*$AM175^4+WeightSDS!T$12*$AM175^3+WeightSDS!U$12*$AM175^2+WeightSDS!V$12*$AM175+WeightSDS!W$12,WeightSDS!P$14*$AM175^7+WeightSDS!Q$14*$AM175^6+WeightSDS!R$14*$AM175^5+WeightSDS!S$14*$AM175^4+WeightSDS!T$14*$AM175^3+WeightSDS!U$14*$AM175^2+WeightSDS!V$14*$AM175+WeightSDS!W$14),IF($AM175&lt;156,WeightSDS!O$17*$AM175^8+WeightSDS!P$17*$AM175^7+WeightSDS!Q$17*$AM175^6+WeightSDS!R$17*$AM175^5+WeightSDS!S$17*$AM175^4+WeightSDS!T$17*$AM175^3+WeightSDS!U$17*$AM175^2+WeightSDS!V$17*$AM175+WeightSDS!W$17,IF($AM175&lt;186,WeightSDS!$U$18+(WeightSDS!$V$18-WeightSDS!$U$18)/24*($AM175-186)+WeightSDS!$W$18*(-$AM175+186)^2-0.005,WeightSDS!$U$18+(WeightSDS!$V$18-WeightSDS!$U$18)/24*($AM175-186)-0.005)))</f>
        <v>0.14604529399999999</v>
      </c>
      <c r="AT175" s="4">
        <f t="shared" si="49"/>
        <v>0.56299999999999994</v>
      </c>
      <c r="AU175" s="4">
        <f t="shared" si="50"/>
        <v>69</v>
      </c>
      <c r="AV175" s="4">
        <f t="shared" si="51"/>
        <v>0.51</v>
      </c>
    </row>
    <row r="176" spans="1:48" x14ac:dyDescent="0.15">
      <c r="A176" s="4"/>
      <c r="B176" s="21"/>
      <c r="C176" s="21"/>
      <c r="D176" s="21"/>
      <c r="E176" s="22"/>
      <c r="F176" s="22"/>
      <c r="G176" s="23"/>
      <c r="H176" s="23"/>
      <c r="I176" s="181"/>
      <c r="J176" s="8" t="str">
        <f t="shared" si="43"/>
        <v/>
      </c>
      <c r="K176" s="2" t="str">
        <f t="shared" si="52"/>
        <v/>
      </c>
      <c r="L176" s="2" t="str">
        <f t="shared" si="44"/>
        <v/>
      </c>
      <c r="M176" s="2" t="str">
        <f t="shared" si="53"/>
        <v/>
      </c>
      <c r="N176" s="2" t="str">
        <f t="shared" si="61"/>
        <v/>
      </c>
      <c r="O176" s="2" t="str">
        <f t="shared" si="54"/>
        <v/>
      </c>
      <c r="P176" s="8" t="str">
        <f t="shared" si="55"/>
        <v/>
      </c>
      <c r="Q176" s="8" t="str">
        <f t="shared" si="56"/>
        <v/>
      </c>
      <c r="R176" s="111" t="str">
        <f t="shared" si="57"/>
        <v/>
      </c>
      <c r="S176" s="44" t="str">
        <f t="shared" si="58"/>
        <v/>
      </c>
      <c r="T176" s="37" t="str">
        <f t="shared" si="59"/>
        <v/>
      </c>
      <c r="U176" s="44" t="str">
        <f t="shared" si="60"/>
        <v/>
      </c>
      <c r="V176" s="26"/>
      <c r="W176" s="26"/>
      <c r="X176" s="26"/>
      <c r="Y176" s="26"/>
      <c r="Z176" s="24"/>
      <c r="AA176" s="169">
        <f t="shared" si="45"/>
        <v>0</v>
      </c>
      <c r="AB176" s="4">
        <f t="shared" si="46"/>
        <v>0</v>
      </c>
      <c r="AC176" s="170">
        <f t="shared" si="63"/>
        <v>0</v>
      </c>
      <c r="AD176" s="58"/>
      <c r="AE176" s="58"/>
      <c r="AF176" s="58"/>
      <c r="AG176" s="59">
        <f t="shared" si="47"/>
        <v>9.0359999999999996</v>
      </c>
      <c r="AH176" s="59">
        <f t="shared" si="48"/>
        <v>-184.49199999999999</v>
      </c>
      <c r="AJ176" s="4">
        <f>IF(D176="M",IF(AM176&lt;78,BMILMS!$D$5*AM176^3+BMILMS!$E$5*AM176^2+BMILMS!$F$5*AM176+BMILMS!$G$5,IF(AM176&lt;150,BMILMS!$D$6*AM176^3+BMILMS!$E$6*AM176^2+BMILMS!$F$6*AM176+BMILMS!$G$6,BMILMS!$D$7*AM176^3+BMILMS!$E$7*AM176^2+BMILMS!$F$7*AM176+BMILMS!$G$7)),IF(AM176&lt;69,BMILMS!$D$9*AM176^3+BMILMS!$E$9*AM176^2+BMILMS!$F$9*AM176+BMILMS!$G$9,IF(AM176&lt;150,BMILMS!$D$10*AM176^3+BMILMS!$E$10*AM176^2+BMILMS!$F$10*AM176+BMILMS!$G$10,BMILMS!$D$11*AM176^3+BMILMS!$E$11*AM176^2+BMILMS!$F$11*AM176+BMILMS!$G$11)))</f>
        <v>0.79584630099999998</v>
      </c>
      <c r="AK176" s="4">
        <f>IF(D176="M",(IF(AM176&lt;2.5,BMILMS!$D$21*AM176^3+BMILMS!$E$21*AM176^2+BMILMS!$F$21*AM176+BMILMS!$G$21,IF(AM176&lt;9.5,BMILMS!$D$22*AM176^3+BMILMS!$E$22*AM176^2+BMILMS!$F$22*AM176+BMILMS!$G$22,IF(AM176&lt;26.75,BMILMS!$D$23*AM176^3+BMILMS!$E$23*AM176^2+BMILMS!$F$23*AM176+BMILMS!$G$23,IF(AM176&lt;90,BMILMS!$D$24*AM176^3+BMILMS!$E$24*AM176^2+BMILMS!$F$24*AM176+BMILMS!$G$24,BMILMS!$D$25*AM176^3+BMILMS!$E$25*AM176^2+BMILMS!$F$25*AM176+BMILMS!$G$25))))),(IF(AM176&lt;2.5,BMILMS!$D$27*AM176^3+BMILMS!$E$27*AM176^2+BMILMS!$F$27*AM176+BMILMS!$G$27,IF(AM176&lt;9.5,BMILMS!$D$28*AM176^3+BMILMS!$E$28*AM176^2+BMILMS!$F$28*AM176+BMILMS!$G$28,IF(AM176&lt;26.75,BMILMS!$D$29*AM176^3+BMILMS!$E$29*AM176^2+BMILMS!$F$29*AM176+BMILMS!$G$29,IF(AM176&lt;90,BMILMS!$D$30*AM176^3+BMILMS!$E$30*AM176^2+BMILMS!$F$30*AM176+BMILMS!$G$30,IF(AM176&lt;150,BMILMS!$D$31*AM176^3+BMILMS!$E$31*AM176^2+BMILMS!$F$31*AM176+BMILMS!$G$31,BMILMS!$D$32*AM176^3+BMILMS!$E$32*AM176^2+BMILMS!$F$32*AM176+BMILMS!$G$32)))))))</f>
        <v>12.568967990000001</v>
      </c>
      <c r="AL176" s="4">
        <f>IF(D176="M",(IF(AM176&lt;90,BMILMS!$D$14*AM176^3+BMILMS!$E$14*AM176^2+BMILMS!$F$14*AM176+BMILMS!$G$14,BMILMS!$D$15*AM176^3+BMILMS!$E$15*AM176^2+BMILMS!$F$15*AM176+BMILMS!$G$15)),(IF(AM176&lt;90,BMILMS!$D$17*AM176^3+BMILMS!$E$17*AM176^2+BMILMS!$F$17*AM176+BMILMS!$G$17,BMILMS!$D$18*AM176^3+BMILMS!$E$18*AM176^2+BMILMS!$F$18*AM176+BMILMS!$G$18)))</f>
        <v>8.8969350000000003E-2</v>
      </c>
      <c r="AM176" s="4">
        <f t="shared" si="62"/>
        <v>0</v>
      </c>
      <c r="AO176" s="56">
        <f>IF(D176="M",WeightSDS!P$5*$AM176^7+WeightSDS!Q$5*$AM176^6+WeightSDS!R$5*$AM176^5+WeightSDS!S$5*$AM176^4+WeightSDS!T$5*$AM176^3+WeightSDS!U$5*$AM176^2+WeightSDS!V$5*$AM176+WeightSDS!W$5,IF($AM176&lt;186,WeightSDS!P$8*$AM176^7+WeightSDS!Q$8*$AM176^6+WeightSDS!R$8*$AM176^5+WeightSDS!S$8*$AM176^4+WeightSDS!T$8*$AM176^3+WeightSDS!U$8*$AM176^2+WeightSDS!V$8*$AM176+WeightSDS!W$8,WeightSDS!$U$9+WeightSDS!$V$9*($AM176-WeightSDS!$W$9)))</f>
        <v>0.75407122999999998</v>
      </c>
      <c r="AP176" s="4">
        <f>IF(D176="M",IF($AM176&lt;45,WeightSDS!M$23*$AM176^10+WeightSDS!N$23*$AM176^9+WeightSDS!O$23*$AM176^8+WeightSDS!P$23*$AM176^7+WeightSDS!Q$23*$AM176^6+WeightSDS!R$23*$AM176^5+WeightSDS!S$23*$AM176^4+WeightSDS!T$23*$AM176^3+WeightSDS!U$23*$AM176^2+WeightSDS!V$23*$AM176+WeightSDS!W$23,IF($AM176&lt;153,WeightSDS!M$25*$AM176^10+WeightSDS!N$25*$AM176^9+WeightSDS!O$25*$AM176^8+WeightSDS!P$25*$AM176^7+WeightSDS!Q$25*$AM176^6+WeightSDS!R$25*$AM176^5+WeightSDS!S$25*$AM176^4+WeightSDS!T$25*$AM176^3+WeightSDS!U$25*$AM176^2+WeightSDS!V$25*$AM176+WeightSDS!W$25,WeightSDS!M$27+WeightSDS!N$27/(1+EXP(WeightSDS!O$27+WeightSDS!P$27*$AM176)))),IF($AM176&lt;43.8,WeightSDS!M$29*$AM176^10+WeightSDS!N$29*$AM176^9+WeightSDS!O$29*$AM176^8+WeightSDS!P$29*$AM176^7+WeightSDS!Q$29*$AM176^6+WeightSDS!R$29*$AM176^5+WeightSDS!S$29*$AM176^4+WeightSDS!T$29*$AM176^3+WeightSDS!U$29*$AM176^2+WeightSDS!V$29*$AM176+WeightSDS!W$29-0.010431*(1-$AM176/210),IF($AM176&lt;123,WeightSDS!M$30*$AM176^10+WeightSDS!N$30*$AM176^9+WeightSDS!O$30*$AM176^8+WeightSDS!P$30*$AM176^7+WeightSDS!Q$30*$AM176^6+WeightSDS!R$30*$AM176^5+WeightSDS!S$30*$AM176^4+WeightSDS!T$30*$AM176^3+WeightSDS!U$30*$AM176^2+WeightSDS!V$30*$AM176+WeightSDS!W$30-0.010431*(1-1/$AM176),WeightSDS!M$32+WeightSDS!N$32/(1+EXP(WeightSDS!O$32+WeightSDS!P$32*$AM176))-0.010431*(1-$AM176/210))))</f>
        <v>2.9500001032655536</v>
      </c>
      <c r="AQ176" s="4">
        <f>IF(D176="M",IF($AM176&lt;162,WeightSDS!P$12*$AM176^7+WeightSDS!Q$12*$AM176^6+WeightSDS!R$12*$AM176^5+WeightSDS!S$12*$AM176^4+WeightSDS!T$12*$AM176^3+WeightSDS!U$12*$AM176^2+WeightSDS!V$12*$AM176+WeightSDS!W$12,WeightSDS!P$14*$AM176^7+WeightSDS!Q$14*$AM176^6+WeightSDS!R$14*$AM176^5+WeightSDS!S$14*$AM176^4+WeightSDS!T$14*$AM176^3+WeightSDS!U$14*$AM176^2+WeightSDS!V$14*$AM176+WeightSDS!W$14),IF($AM176&lt;156,WeightSDS!O$17*$AM176^8+WeightSDS!P$17*$AM176^7+WeightSDS!Q$17*$AM176^6+WeightSDS!R$17*$AM176^5+WeightSDS!S$17*$AM176^4+WeightSDS!T$17*$AM176^3+WeightSDS!U$17*$AM176^2+WeightSDS!V$17*$AM176+WeightSDS!W$17,IF($AM176&lt;186,WeightSDS!$U$18+(WeightSDS!$V$18-WeightSDS!$U$18)/24*($AM176-186)+WeightSDS!$W$18*(-$AM176+186)^2-0.005,WeightSDS!$U$18+(WeightSDS!$V$18-WeightSDS!$U$18)/24*($AM176-186)-0.005)))</f>
        <v>0.14604529399999999</v>
      </c>
      <c r="AT176" s="4">
        <f t="shared" si="49"/>
        <v>0.56299999999999994</v>
      </c>
      <c r="AU176" s="4">
        <f t="shared" si="50"/>
        <v>69</v>
      </c>
      <c r="AV176" s="4">
        <f t="shared" si="51"/>
        <v>0.51</v>
      </c>
    </row>
    <row r="177" spans="1:48" x14ac:dyDescent="0.15">
      <c r="A177" s="4"/>
      <c r="B177" s="21"/>
      <c r="C177" s="21"/>
      <c r="D177" s="21"/>
      <c r="E177" s="22"/>
      <c r="F177" s="22"/>
      <c r="G177" s="23"/>
      <c r="H177" s="23"/>
      <c r="I177" s="181"/>
      <c r="J177" s="8" t="str">
        <f t="shared" si="43"/>
        <v/>
      </c>
      <c r="K177" s="2" t="str">
        <f t="shared" si="52"/>
        <v/>
      </c>
      <c r="L177" s="2" t="str">
        <f t="shared" si="44"/>
        <v/>
      </c>
      <c r="M177" s="2" t="str">
        <f t="shared" si="53"/>
        <v/>
      </c>
      <c r="N177" s="2" t="str">
        <f t="shared" si="61"/>
        <v/>
      </c>
      <c r="O177" s="2" t="str">
        <f t="shared" si="54"/>
        <v/>
      </c>
      <c r="P177" s="8" t="str">
        <f t="shared" si="55"/>
        <v/>
      </c>
      <c r="Q177" s="8" t="str">
        <f t="shared" si="56"/>
        <v/>
      </c>
      <c r="R177" s="111" t="str">
        <f t="shared" si="57"/>
        <v/>
      </c>
      <c r="S177" s="44" t="str">
        <f t="shared" si="58"/>
        <v/>
      </c>
      <c r="T177" s="37" t="str">
        <f t="shared" si="59"/>
        <v/>
      </c>
      <c r="U177" s="44" t="str">
        <f t="shared" si="60"/>
        <v/>
      </c>
      <c r="V177" s="26"/>
      <c r="W177" s="26"/>
      <c r="X177" s="26"/>
      <c r="Y177" s="26"/>
      <c r="Z177" s="24"/>
      <c r="AA177" s="169">
        <f t="shared" si="45"/>
        <v>0</v>
      </c>
      <c r="AB177" s="4">
        <f t="shared" si="46"/>
        <v>0</v>
      </c>
      <c r="AC177" s="170">
        <f t="shared" si="63"/>
        <v>0</v>
      </c>
      <c r="AD177" s="58"/>
      <c r="AE177" s="58"/>
      <c r="AF177" s="58"/>
      <c r="AG177" s="59">
        <f t="shared" si="47"/>
        <v>9.0359999999999996</v>
      </c>
      <c r="AH177" s="59">
        <f t="shared" si="48"/>
        <v>-184.49199999999999</v>
      </c>
      <c r="AJ177" s="4">
        <f>IF(D177="M",IF(AM177&lt;78,BMILMS!$D$5*AM177^3+BMILMS!$E$5*AM177^2+BMILMS!$F$5*AM177+BMILMS!$G$5,IF(AM177&lt;150,BMILMS!$D$6*AM177^3+BMILMS!$E$6*AM177^2+BMILMS!$F$6*AM177+BMILMS!$G$6,BMILMS!$D$7*AM177^3+BMILMS!$E$7*AM177^2+BMILMS!$F$7*AM177+BMILMS!$G$7)),IF(AM177&lt;69,BMILMS!$D$9*AM177^3+BMILMS!$E$9*AM177^2+BMILMS!$F$9*AM177+BMILMS!$G$9,IF(AM177&lt;150,BMILMS!$D$10*AM177^3+BMILMS!$E$10*AM177^2+BMILMS!$F$10*AM177+BMILMS!$G$10,BMILMS!$D$11*AM177^3+BMILMS!$E$11*AM177^2+BMILMS!$F$11*AM177+BMILMS!$G$11)))</f>
        <v>0.79584630099999998</v>
      </c>
      <c r="AK177" s="4">
        <f>IF(D177="M",(IF(AM177&lt;2.5,BMILMS!$D$21*AM177^3+BMILMS!$E$21*AM177^2+BMILMS!$F$21*AM177+BMILMS!$G$21,IF(AM177&lt;9.5,BMILMS!$D$22*AM177^3+BMILMS!$E$22*AM177^2+BMILMS!$F$22*AM177+BMILMS!$G$22,IF(AM177&lt;26.75,BMILMS!$D$23*AM177^3+BMILMS!$E$23*AM177^2+BMILMS!$F$23*AM177+BMILMS!$G$23,IF(AM177&lt;90,BMILMS!$D$24*AM177^3+BMILMS!$E$24*AM177^2+BMILMS!$F$24*AM177+BMILMS!$G$24,BMILMS!$D$25*AM177^3+BMILMS!$E$25*AM177^2+BMILMS!$F$25*AM177+BMILMS!$G$25))))),(IF(AM177&lt;2.5,BMILMS!$D$27*AM177^3+BMILMS!$E$27*AM177^2+BMILMS!$F$27*AM177+BMILMS!$G$27,IF(AM177&lt;9.5,BMILMS!$D$28*AM177^3+BMILMS!$E$28*AM177^2+BMILMS!$F$28*AM177+BMILMS!$G$28,IF(AM177&lt;26.75,BMILMS!$D$29*AM177^3+BMILMS!$E$29*AM177^2+BMILMS!$F$29*AM177+BMILMS!$G$29,IF(AM177&lt;90,BMILMS!$D$30*AM177^3+BMILMS!$E$30*AM177^2+BMILMS!$F$30*AM177+BMILMS!$G$30,IF(AM177&lt;150,BMILMS!$D$31*AM177^3+BMILMS!$E$31*AM177^2+BMILMS!$F$31*AM177+BMILMS!$G$31,BMILMS!$D$32*AM177^3+BMILMS!$E$32*AM177^2+BMILMS!$F$32*AM177+BMILMS!$G$32)))))))</f>
        <v>12.568967990000001</v>
      </c>
      <c r="AL177" s="4">
        <f>IF(D177="M",(IF(AM177&lt;90,BMILMS!$D$14*AM177^3+BMILMS!$E$14*AM177^2+BMILMS!$F$14*AM177+BMILMS!$G$14,BMILMS!$D$15*AM177^3+BMILMS!$E$15*AM177^2+BMILMS!$F$15*AM177+BMILMS!$G$15)),(IF(AM177&lt;90,BMILMS!$D$17*AM177^3+BMILMS!$E$17*AM177^2+BMILMS!$F$17*AM177+BMILMS!$G$17,BMILMS!$D$18*AM177^3+BMILMS!$E$18*AM177^2+BMILMS!$F$18*AM177+BMILMS!$G$18)))</f>
        <v>8.8969350000000003E-2</v>
      </c>
      <c r="AM177" s="4">
        <f t="shared" si="62"/>
        <v>0</v>
      </c>
      <c r="AO177" s="56">
        <f>IF(D177="M",WeightSDS!P$5*$AM177^7+WeightSDS!Q$5*$AM177^6+WeightSDS!R$5*$AM177^5+WeightSDS!S$5*$AM177^4+WeightSDS!T$5*$AM177^3+WeightSDS!U$5*$AM177^2+WeightSDS!V$5*$AM177+WeightSDS!W$5,IF($AM177&lt;186,WeightSDS!P$8*$AM177^7+WeightSDS!Q$8*$AM177^6+WeightSDS!R$8*$AM177^5+WeightSDS!S$8*$AM177^4+WeightSDS!T$8*$AM177^3+WeightSDS!U$8*$AM177^2+WeightSDS!V$8*$AM177+WeightSDS!W$8,WeightSDS!$U$9+WeightSDS!$V$9*($AM177-WeightSDS!$W$9)))</f>
        <v>0.75407122999999998</v>
      </c>
      <c r="AP177" s="4">
        <f>IF(D177="M",IF($AM177&lt;45,WeightSDS!M$23*$AM177^10+WeightSDS!N$23*$AM177^9+WeightSDS!O$23*$AM177^8+WeightSDS!P$23*$AM177^7+WeightSDS!Q$23*$AM177^6+WeightSDS!R$23*$AM177^5+WeightSDS!S$23*$AM177^4+WeightSDS!T$23*$AM177^3+WeightSDS!U$23*$AM177^2+WeightSDS!V$23*$AM177+WeightSDS!W$23,IF($AM177&lt;153,WeightSDS!M$25*$AM177^10+WeightSDS!N$25*$AM177^9+WeightSDS!O$25*$AM177^8+WeightSDS!P$25*$AM177^7+WeightSDS!Q$25*$AM177^6+WeightSDS!R$25*$AM177^5+WeightSDS!S$25*$AM177^4+WeightSDS!T$25*$AM177^3+WeightSDS!U$25*$AM177^2+WeightSDS!V$25*$AM177+WeightSDS!W$25,WeightSDS!M$27+WeightSDS!N$27/(1+EXP(WeightSDS!O$27+WeightSDS!P$27*$AM177)))),IF($AM177&lt;43.8,WeightSDS!M$29*$AM177^10+WeightSDS!N$29*$AM177^9+WeightSDS!O$29*$AM177^8+WeightSDS!P$29*$AM177^7+WeightSDS!Q$29*$AM177^6+WeightSDS!R$29*$AM177^5+WeightSDS!S$29*$AM177^4+WeightSDS!T$29*$AM177^3+WeightSDS!U$29*$AM177^2+WeightSDS!V$29*$AM177+WeightSDS!W$29-0.010431*(1-$AM177/210),IF($AM177&lt;123,WeightSDS!M$30*$AM177^10+WeightSDS!N$30*$AM177^9+WeightSDS!O$30*$AM177^8+WeightSDS!P$30*$AM177^7+WeightSDS!Q$30*$AM177^6+WeightSDS!R$30*$AM177^5+WeightSDS!S$30*$AM177^4+WeightSDS!T$30*$AM177^3+WeightSDS!U$30*$AM177^2+WeightSDS!V$30*$AM177+WeightSDS!W$30-0.010431*(1-1/$AM177),WeightSDS!M$32+WeightSDS!N$32/(1+EXP(WeightSDS!O$32+WeightSDS!P$32*$AM177))-0.010431*(1-$AM177/210))))</f>
        <v>2.9500001032655536</v>
      </c>
      <c r="AQ177" s="4">
        <f>IF(D177="M",IF($AM177&lt;162,WeightSDS!P$12*$AM177^7+WeightSDS!Q$12*$AM177^6+WeightSDS!R$12*$AM177^5+WeightSDS!S$12*$AM177^4+WeightSDS!T$12*$AM177^3+WeightSDS!U$12*$AM177^2+WeightSDS!V$12*$AM177+WeightSDS!W$12,WeightSDS!P$14*$AM177^7+WeightSDS!Q$14*$AM177^6+WeightSDS!R$14*$AM177^5+WeightSDS!S$14*$AM177^4+WeightSDS!T$14*$AM177^3+WeightSDS!U$14*$AM177^2+WeightSDS!V$14*$AM177+WeightSDS!W$14),IF($AM177&lt;156,WeightSDS!O$17*$AM177^8+WeightSDS!P$17*$AM177^7+WeightSDS!Q$17*$AM177^6+WeightSDS!R$17*$AM177^5+WeightSDS!S$17*$AM177^4+WeightSDS!T$17*$AM177^3+WeightSDS!U$17*$AM177^2+WeightSDS!V$17*$AM177+WeightSDS!W$17,IF($AM177&lt;186,WeightSDS!$U$18+(WeightSDS!$V$18-WeightSDS!$U$18)/24*($AM177-186)+WeightSDS!$W$18*(-$AM177+186)^2-0.005,WeightSDS!$U$18+(WeightSDS!$V$18-WeightSDS!$U$18)/24*($AM177-186)-0.005)))</f>
        <v>0.14604529399999999</v>
      </c>
      <c r="AT177" s="4">
        <f t="shared" si="49"/>
        <v>0.56299999999999994</v>
      </c>
      <c r="AU177" s="4">
        <f t="shared" si="50"/>
        <v>69</v>
      </c>
      <c r="AV177" s="4">
        <f t="shared" si="51"/>
        <v>0.51</v>
      </c>
    </row>
    <row r="178" spans="1:48" x14ac:dyDescent="0.15">
      <c r="A178" s="4"/>
      <c r="B178" s="21"/>
      <c r="C178" s="21"/>
      <c r="D178" s="21"/>
      <c r="E178" s="22"/>
      <c r="F178" s="22"/>
      <c r="G178" s="23"/>
      <c r="H178" s="23"/>
      <c r="I178" s="181"/>
      <c r="J178" s="8" t="str">
        <f t="shared" si="43"/>
        <v/>
      </c>
      <c r="K178" s="2" t="str">
        <f t="shared" si="52"/>
        <v/>
      </c>
      <c r="L178" s="2" t="str">
        <f t="shared" si="44"/>
        <v/>
      </c>
      <c r="M178" s="2" t="str">
        <f t="shared" si="53"/>
        <v/>
      </c>
      <c r="N178" s="2" t="str">
        <f t="shared" si="61"/>
        <v/>
      </c>
      <c r="O178" s="2" t="str">
        <f t="shared" si="54"/>
        <v/>
      </c>
      <c r="P178" s="8" t="str">
        <f t="shared" si="55"/>
        <v/>
      </c>
      <c r="Q178" s="8" t="str">
        <f t="shared" si="56"/>
        <v/>
      </c>
      <c r="R178" s="111" t="str">
        <f t="shared" si="57"/>
        <v/>
      </c>
      <c r="S178" s="44" t="str">
        <f t="shared" si="58"/>
        <v/>
      </c>
      <c r="T178" s="37" t="str">
        <f t="shared" si="59"/>
        <v/>
      </c>
      <c r="U178" s="44" t="str">
        <f t="shared" si="60"/>
        <v/>
      </c>
      <c r="V178" s="26"/>
      <c r="W178" s="26"/>
      <c r="X178" s="26"/>
      <c r="Y178" s="26"/>
      <c r="Z178" s="24"/>
      <c r="AA178" s="169">
        <f t="shared" si="45"/>
        <v>0</v>
      </c>
      <c r="AB178" s="4">
        <f t="shared" si="46"/>
        <v>0</v>
      </c>
      <c r="AC178" s="170">
        <f t="shared" si="63"/>
        <v>0</v>
      </c>
      <c r="AD178" s="58"/>
      <c r="AE178" s="58"/>
      <c r="AF178" s="58"/>
      <c r="AG178" s="59">
        <f t="shared" si="47"/>
        <v>9.0359999999999996</v>
      </c>
      <c r="AH178" s="59">
        <f t="shared" si="48"/>
        <v>-184.49199999999999</v>
      </c>
      <c r="AJ178" s="4">
        <f>IF(D178="M",IF(AM178&lt;78,BMILMS!$D$5*AM178^3+BMILMS!$E$5*AM178^2+BMILMS!$F$5*AM178+BMILMS!$G$5,IF(AM178&lt;150,BMILMS!$D$6*AM178^3+BMILMS!$E$6*AM178^2+BMILMS!$F$6*AM178+BMILMS!$G$6,BMILMS!$D$7*AM178^3+BMILMS!$E$7*AM178^2+BMILMS!$F$7*AM178+BMILMS!$G$7)),IF(AM178&lt;69,BMILMS!$D$9*AM178^3+BMILMS!$E$9*AM178^2+BMILMS!$F$9*AM178+BMILMS!$G$9,IF(AM178&lt;150,BMILMS!$D$10*AM178^3+BMILMS!$E$10*AM178^2+BMILMS!$F$10*AM178+BMILMS!$G$10,BMILMS!$D$11*AM178^3+BMILMS!$E$11*AM178^2+BMILMS!$F$11*AM178+BMILMS!$G$11)))</f>
        <v>0.79584630099999998</v>
      </c>
      <c r="AK178" s="4">
        <f>IF(D178="M",(IF(AM178&lt;2.5,BMILMS!$D$21*AM178^3+BMILMS!$E$21*AM178^2+BMILMS!$F$21*AM178+BMILMS!$G$21,IF(AM178&lt;9.5,BMILMS!$D$22*AM178^3+BMILMS!$E$22*AM178^2+BMILMS!$F$22*AM178+BMILMS!$G$22,IF(AM178&lt;26.75,BMILMS!$D$23*AM178^3+BMILMS!$E$23*AM178^2+BMILMS!$F$23*AM178+BMILMS!$G$23,IF(AM178&lt;90,BMILMS!$D$24*AM178^3+BMILMS!$E$24*AM178^2+BMILMS!$F$24*AM178+BMILMS!$G$24,BMILMS!$D$25*AM178^3+BMILMS!$E$25*AM178^2+BMILMS!$F$25*AM178+BMILMS!$G$25))))),(IF(AM178&lt;2.5,BMILMS!$D$27*AM178^3+BMILMS!$E$27*AM178^2+BMILMS!$F$27*AM178+BMILMS!$G$27,IF(AM178&lt;9.5,BMILMS!$D$28*AM178^3+BMILMS!$E$28*AM178^2+BMILMS!$F$28*AM178+BMILMS!$G$28,IF(AM178&lt;26.75,BMILMS!$D$29*AM178^3+BMILMS!$E$29*AM178^2+BMILMS!$F$29*AM178+BMILMS!$G$29,IF(AM178&lt;90,BMILMS!$D$30*AM178^3+BMILMS!$E$30*AM178^2+BMILMS!$F$30*AM178+BMILMS!$G$30,IF(AM178&lt;150,BMILMS!$D$31*AM178^3+BMILMS!$E$31*AM178^2+BMILMS!$F$31*AM178+BMILMS!$G$31,BMILMS!$D$32*AM178^3+BMILMS!$E$32*AM178^2+BMILMS!$F$32*AM178+BMILMS!$G$32)))))))</f>
        <v>12.568967990000001</v>
      </c>
      <c r="AL178" s="4">
        <f>IF(D178="M",(IF(AM178&lt;90,BMILMS!$D$14*AM178^3+BMILMS!$E$14*AM178^2+BMILMS!$F$14*AM178+BMILMS!$G$14,BMILMS!$D$15*AM178^3+BMILMS!$E$15*AM178^2+BMILMS!$F$15*AM178+BMILMS!$G$15)),(IF(AM178&lt;90,BMILMS!$D$17*AM178^3+BMILMS!$E$17*AM178^2+BMILMS!$F$17*AM178+BMILMS!$G$17,BMILMS!$D$18*AM178^3+BMILMS!$E$18*AM178^2+BMILMS!$F$18*AM178+BMILMS!$G$18)))</f>
        <v>8.8969350000000003E-2</v>
      </c>
      <c r="AM178" s="4">
        <f t="shared" si="62"/>
        <v>0</v>
      </c>
      <c r="AO178" s="56">
        <f>IF(D178="M",WeightSDS!P$5*$AM178^7+WeightSDS!Q$5*$AM178^6+WeightSDS!R$5*$AM178^5+WeightSDS!S$5*$AM178^4+WeightSDS!T$5*$AM178^3+WeightSDS!U$5*$AM178^2+WeightSDS!V$5*$AM178+WeightSDS!W$5,IF($AM178&lt;186,WeightSDS!P$8*$AM178^7+WeightSDS!Q$8*$AM178^6+WeightSDS!R$8*$AM178^5+WeightSDS!S$8*$AM178^4+WeightSDS!T$8*$AM178^3+WeightSDS!U$8*$AM178^2+WeightSDS!V$8*$AM178+WeightSDS!W$8,WeightSDS!$U$9+WeightSDS!$V$9*($AM178-WeightSDS!$W$9)))</f>
        <v>0.75407122999999998</v>
      </c>
      <c r="AP178" s="4">
        <f>IF(D178="M",IF($AM178&lt;45,WeightSDS!M$23*$AM178^10+WeightSDS!N$23*$AM178^9+WeightSDS!O$23*$AM178^8+WeightSDS!P$23*$AM178^7+WeightSDS!Q$23*$AM178^6+WeightSDS!R$23*$AM178^5+WeightSDS!S$23*$AM178^4+WeightSDS!T$23*$AM178^3+WeightSDS!U$23*$AM178^2+WeightSDS!V$23*$AM178+WeightSDS!W$23,IF($AM178&lt;153,WeightSDS!M$25*$AM178^10+WeightSDS!N$25*$AM178^9+WeightSDS!O$25*$AM178^8+WeightSDS!P$25*$AM178^7+WeightSDS!Q$25*$AM178^6+WeightSDS!R$25*$AM178^5+WeightSDS!S$25*$AM178^4+WeightSDS!T$25*$AM178^3+WeightSDS!U$25*$AM178^2+WeightSDS!V$25*$AM178+WeightSDS!W$25,WeightSDS!M$27+WeightSDS!N$27/(1+EXP(WeightSDS!O$27+WeightSDS!P$27*$AM178)))),IF($AM178&lt;43.8,WeightSDS!M$29*$AM178^10+WeightSDS!N$29*$AM178^9+WeightSDS!O$29*$AM178^8+WeightSDS!P$29*$AM178^7+WeightSDS!Q$29*$AM178^6+WeightSDS!R$29*$AM178^5+WeightSDS!S$29*$AM178^4+WeightSDS!T$29*$AM178^3+WeightSDS!U$29*$AM178^2+WeightSDS!V$29*$AM178+WeightSDS!W$29-0.010431*(1-$AM178/210),IF($AM178&lt;123,WeightSDS!M$30*$AM178^10+WeightSDS!N$30*$AM178^9+WeightSDS!O$30*$AM178^8+WeightSDS!P$30*$AM178^7+WeightSDS!Q$30*$AM178^6+WeightSDS!R$30*$AM178^5+WeightSDS!S$30*$AM178^4+WeightSDS!T$30*$AM178^3+WeightSDS!U$30*$AM178^2+WeightSDS!V$30*$AM178+WeightSDS!W$30-0.010431*(1-1/$AM178),WeightSDS!M$32+WeightSDS!N$32/(1+EXP(WeightSDS!O$32+WeightSDS!P$32*$AM178))-0.010431*(1-$AM178/210))))</f>
        <v>2.9500001032655536</v>
      </c>
      <c r="AQ178" s="4">
        <f>IF(D178="M",IF($AM178&lt;162,WeightSDS!P$12*$AM178^7+WeightSDS!Q$12*$AM178^6+WeightSDS!R$12*$AM178^5+WeightSDS!S$12*$AM178^4+WeightSDS!T$12*$AM178^3+WeightSDS!U$12*$AM178^2+WeightSDS!V$12*$AM178+WeightSDS!W$12,WeightSDS!P$14*$AM178^7+WeightSDS!Q$14*$AM178^6+WeightSDS!R$14*$AM178^5+WeightSDS!S$14*$AM178^4+WeightSDS!T$14*$AM178^3+WeightSDS!U$14*$AM178^2+WeightSDS!V$14*$AM178+WeightSDS!W$14),IF($AM178&lt;156,WeightSDS!O$17*$AM178^8+WeightSDS!P$17*$AM178^7+WeightSDS!Q$17*$AM178^6+WeightSDS!R$17*$AM178^5+WeightSDS!S$17*$AM178^4+WeightSDS!T$17*$AM178^3+WeightSDS!U$17*$AM178^2+WeightSDS!V$17*$AM178+WeightSDS!W$17,IF($AM178&lt;186,WeightSDS!$U$18+(WeightSDS!$V$18-WeightSDS!$U$18)/24*($AM178-186)+WeightSDS!$W$18*(-$AM178+186)^2-0.005,WeightSDS!$U$18+(WeightSDS!$V$18-WeightSDS!$U$18)/24*($AM178-186)-0.005)))</f>
        <v>0.14604529399999999</v>
      </c>
      <c r="AT178" s="4">
        <f t="shared" si="49"/>
        <v>0.56299999999999994</v>
      </c>
      <c r="AU178" s="4">
        <f t="shared" si="50"/>
        <v>69</v>
      </c>
      <c r="AV178" s="4">
        <f t="shared" si="51"/>
        <v>0.51</v>
      </c>
    </row>
    <row r="179" spans="1:48" x14ac:dyDescent="0.15">
      <c r="A179" s="4"/>
      <c r="B179" s="21"/>
      <c r="C179" s="21"/>
      <c r="D179" s="21"/>
      <c r="E179" s="22"/>
      <c r="F179" s="22"/>
      <c r="G179" s="23"/>
      <c r="H179" s="23"/>
      <c r="I179" s="181"/>
      <c r="J179" s="8" t="str">
        <f t="shared" si="43"/>
        <v/>
      </c>
      <c r="K179" s="2" t="str">
        <f t="shared" si="52"/>
        <v/>
      </c>
      <c r="L179" s="2" t="str">
        <f t="shared" si="44"/>
        <v/>
      </c>
      <c r="M179" s="2" t="str">
        <f t="shared" si="53"/>
        <v/>
      </c>
      <c r="N179" s="2" t="str">
        <f t="shared" si="61"/>
        <v/>
      </c>
      <c r="O179" s="2" t="str">
        <f t="shared" si="54"/>
        <v/>
      </c>
      <c r="P179" s="8" t="str">
        <f t="shared" si="55"/>
        <v/>
      </c>
      <c r="Q179" s="8" t="str">
        <f t="shared" si="56"/>
        <v/>
      </c>
      <c r="R179" s="111" t="str">
        <f t="shared" si="57"/>
        <v/>
      </c>
      <c r="S179" s="44" t="str">
        <f t="shared" si="58"/>
        <v/>
      </c>
      <c r="T179" s="37" t="str">
        <f t="shared" si="59"/>
        <v/>
      </c>
      <c r="U179" s="44" t="str">
        <f t="shared" si="60"/>
        <v/>
      </c>
      <c r="V179" s="26"/>
      <c r="W179" s="26"/>
      <c r="X179" s="26"/>
      <c r="Y179" s="26"/>
      <c r="Z179" s="24"/>
      <c r="AA179" s="169">
        <f t="shared" si="45"/>
        <v>0</v>
      </c>
      <c r="AB179" s="4">
        <f t="shared" si="46"/>
        <v>0</v>
      </c>
      <c r="AC179" s="170">
        <f t="shared" si="63"/>
        <v>0</v>
      </c>
      <c r="AD179" s="58"/>
      <c r="AE179" s="58"/>
      <c r="AF179" s="58"/>
      <c r="AG179" s="59">
        <f t="shared" si="47"/>
        <v>9.0359999999999996</v>
      </c>
      <c r="AH179" s="59">
        <f t="shared" si="48"/>
        <v>-184.49199999999999</v>
      </c>
      <c r="AJ179" s="4">
        <f>IF(D179="M",IF(AM179&lt;78,BMILMS!$D$5*AM179^3+BMILMS!$E$5*AM179^2+BMILMS!$F$5*AM179+BMILMS!$G$5,IF(AM179&lt;150,BMILMS!$D$6*AM179^3+BMILMS!$E$6*AM179^2+BMILMS!$F$6*AM179+BMILMS!$G$6,BMILMS!$D$7*AM179^3+BMILMS!$E$7*AM179^2+BMILMS!$F$7*AM179+BMILMS!$G$7)),IF(AM179&lt;69,BMILMS!$D$9*AM179^3+BMILMS!$E$9*AM179^2+BMILMS!$F$9*AM179+BMILMS!$G$9,IF(AM179&lt;150,BMILMS!$D$10*AM179^3+BMILMS!$E$10*AM179^2+BMILMS!$F$10*AM179+BMILMS!$G$10,BMILMS!$D$11*AM179^3+BMILMS!$E$11*AM179^2+BMILMS!$F$11*AM179+BMILMS!$G$11)))</f>
        <v>0.79584630099999998</v>
      </c>
      <c r="AK179" s="4">
        <f>IF(D179="M",(IF(AM179&lt;2.5,BMILMS!$D$21*AM179^3+BMILMS!$E$21*AM179^2+BMILMS!$F$21*AM179+BMILMS!$G$21,IF(AM179&lt;9.5,BMILMS!$D$22*AM179^3+BMILMS!$E$22*AM179^2+BMILMS!$F$22*AM179+BMILMS!$G$22,IF(AM179&lt;26.75,BMILMS!$D$23*AM179^3+BMILMS!$E$23*AM179^2+BMILMS!$F$23*AM179+BMILMS!$G$23,IF(AM179&lt;90,BMILMS!$D$24*AM179^3+BMILMS!$E$24*AM179^2+BMILMS!$F$24*AM179+BMILMS!$G$24,BMILMS!$D$25*AM179^3+BMILMS!$E$25*AM179^2+BMILMS!$F$25*AM179+BMILMS!$G$25))))),(IF(AM179&lt;2.5,BMILMS!$D$27*AM179^3+BMILMS!$E$27*AM179^2+BMILMS!$F$27*AM179+BMILMS!$G$27,IF(AM179&lt;9.5,BMILMS!$D$28*AM179^3+BMILMS!$E$28*AM179^2+BMILMS!$F$28*AM179+BMILMS!$G$28,IF(AM179&lt;26.75,BMILMS!$D$29*AM179^3+BMILMS!$E$29*AM179^2+BMILMS!$F$29*AM179+BMILMS!$G$29,IF(AM179&lt;90,BMILMS!$D$30*AM179^3+BMILMS!$E$30*AM179^2+BMILMS!$F$30*AM179+BMILMS!$G$30,IF(AM179&lt;150,BMILMS!$D$31*AM179^3+BMILMS!$E$31*AM179^2+BMILMS!$F$31*AM179+BMILMS!$G$31,BMILMS!$D$32*AM179^3+BMILMS!$E$32*AM179^2+BMILMS!$F$32*AM179+BMILMS!$G$32)))))))</f>
        <v>12.568967990000001</v>
      </c>
      <c r="AL179" s="4">
        <f>IF(D179="M",(IF(AM179&lt;90,BMILMS!$D$14*AM179^3+BMILMS!$E$14*AM179^2+BMILMS!$F$14*AM179+BMILMS!$G$14,BMILMS!$D$15*AM179^3+BMILMS!$E$15*AM179^2+BMILMS!$F$15*AM179+BMILMS!$G$15)),(IF(AM179&lt;90,BMILMS!$D$17*AM179^3+BMILMS!$E$17*AM179^2+BMILMS!$F$17*AM179+BMILMS!$G$17,BMILMS!$D$18*AM179^3+BMILMS!$E$18*AM179^2+BMILMS!$F$18*AM179+BMILMS!$G$18)))</f>
        <v>8.8969350000000003E-2</v>
      </c>
      <c r="AM179" s="4">
        <f t="shared" si="62"/>
        <v>0</v>
      </c>
      <c r="AO179" s="56">
        <f>IF(D179="M",WeightSDS!P$5*$AM179^7+WeightSDS!Q$5*$AM179^6+WeightSDS!R$5*$AM179^5+WeightSDS!S$5*$AM179^4+WeightSDS!T$5*$AM179^3+WeightSDS!U$5*$AM179^2+WeightSDS!V$5*$AM179+WeightSDS!W$5,IF($AM179&lt;186,WeightSDS!P$8*$AM179^7+WeightSDS!Q$8*$AM179^6+WeightSDS!R$8*$AM179^5+WeightSDS!S$8*$AM179^4+WeightSDS!T$8*$AM179^3+WeightSDS!U$8*$AM179^2+WeightSDS!V$8*$AM179+WeightSDS!W$8,WeightSDS!$U$9+WeightSDS!$V$9*($AM179-WeightSDS!$W$9)))</f>
        <v>0.75407122999999998</v>
      </c>
      <c r="AP179" s="4">
        <f>IF(D179="M",IF($AM179&lt;45,WeightSDS!M$23*$AM179^10+WeightSDS!N$23*$AM179^9+WeightSDS!O$23*$AM179^8+WeightSDS!P$23*$AM179^7+WeightSDS!Q$23*$AM179^6+WeightSDS!R$23*$AM179^5+WeightSDS!S$23*$AM179^4+WeightSDS!T$23*$AM179^3+WeightSDS!U$23*$AM179^2+WeightSDS!V$23*$AM179+WeightSDS!W$23,IF($AM179&lt;153,WeightSDS!M$25*$AM179^10+WeightSDS!N$25*$AM179^9+WeightSDS!O$25*$AM179^8+WeightSDS!P$25*$AM179^7+WeightSDS!Q$25*$AM179^6+WeightSDS!R$25*$AM179^5+WeightSDS!S$25*$AM179^4+WeightSDS!T$25*$AM179^3+WeightSDS!U$25*$AM179^2+WeightSDS!V$25*$AM179+WeightSDS!W$25,WeightSDS!M$27+WeightSDS!N$27/(1+EXP(WeightSDS!O$27+WeightSDS!P$27*$AM179)))),IF($AM179&lt;43.8,WeightSDS!M$29*$AM179^10+WeightSDS!N$29*$AM179^9+WeightSDS!O$29*$AM179^8+WeightSDS!P$29*$AM179^7+WeightSDS!Q$29*$AM179^6+WeightSDS!R$29*$AM179^5+WeightSDS!S$29*$AM179^4+WeightSDS!T$29*$AM179^3+WeightSDS!U$29*$AM179^2+WeightSDS!V$29*$AM179+WeightSDS!W$29-0.010431*(1-$AM179/210),IF($AM179&lt;123,WeightSDS!M$30*$AM179^10+WeightSDS!N$30*$AM179^9+WeightSDS!O$30*$AM179^8+WeightSDS!P$30*$AM179^7+WeightSDS!Q$30*$AM179^6+WeightSDS!R$30*$AM179^5+WeightSDS!S$30*$AM179^4+WeightSDS!T$30*$AM179^3+WeightSDS!U$30*$AM179^2+WeightSDS!V$30*$AM179+WeightSDS!W$30-0.010431*(1-1/$AM179),WeightSDS!M$32+WeightSDS!N$32/(1+EXP(WeightSDS!O$32+WeightSDS!P$32*$AM179))-0.010431*(1-$AM179/210))))</f>
        <v>2.9500001032655536</v>
      </c>
      <c r="AQ179" s="4">
        <f>IF(D179="M",IF($AM179&lt;162,WeightSDS!P$12*$AM179^7+WeightSDS!Q$12*$AM179^6+WeightSDS!R$12*$AM179^5+WeightSDS!S$12*$AM179^4+WeightSDS!T$12*$AM179^3+WeightSDS!U$12*$AM179^2+WeightSDS!V$12*$AM179+WeightSDS!W$12,WeightSDS!P$14*$AM179^7+WeightSDS!Q$14*$AM179^6+WeightSDS!R$14*$AM179^5+WeightSDS!S$14*$AM179^4+WeightSDS!T$14*$AM179^3+WeightSDS!U$14*$AM179^2+WeightSDS!V$14*$AM179+WeightSDS!W$14),IF($AM179&lt;156,WeightSDS!O$17*$AM179^8+WeightSDS!P$17*$AM179^7+WeightSDS!Q$17*$AM179^6+WeightSDS!R$17*$AM179^5+WeightSDS!S$17*$AM179^4+WeightSDS!T$17*$AM179^3+WeightSDS!U$17*$AM179^2+WeightSDS!V$17*$AM179+WeightSDS!W$17,IF($AM179&lt;186,WeightSDS!$U$18+(WeightSDS!$V$18-WeightSDS!$U$18)/24*($AM179-186)+WeightSDS!$W$18*(-$AM179+186)^2-0.005,WeightSDS!$U$18+(WeightSDS!$V$18-WeightSDS!$U$18)/24*($AM179-186)-0.005)))</f>
        <v>0.14604529399999999</v>
      </c>
      <c r="AT179" s="4">
        <f t="shared" si="49"/>
        <v>0.56299999999999994</v>
      </c>
      <c r="AU179" s="4">
        <f t="shared" si="50"/>
        <v>69</v>
      </c>
      <c r="AV179" s="4">
        <f t="shared" si="51"/>
        <v>0.51</v>
      </c>
    </row>
    <row r="180" spans="1:48" x14ac:dyDescent="0.15">
      <c r="A180" s="4"/>
      <c r="B180" s="21"/>
      <c r="C180" s="21"/>
      <c r="D180" s="21"/>
      <c r="E180" s="22"/>
      <c r="F180" s="22"/>
      <c r="G180" s="23"/>
      <c r="H180" s="23"/>
      <c r="I180" s="181"/>
      <c r="J180" s="8" t="str">
        <f t="shared" si="43"/>
        <v/>
      </c>
      <c r="K180" s="2" t="str">
        <f t="shared" si="52"/>
        <v/>
      </c>
      <c r="L180" s="2" t="str">
        <f t="shared" si="44"/>
        <v/>
      </c>
      <c r="M180" s="2" t="str">
        <f t="shared" si="53"/>
        <v/>
      </c>
      <c r="N180" s="2" t="str">
        <f t="shared" si="61"/>
        <v/>
      </c>
      <c r="O180" s="2" t="str">
        <f t="shared" si="54"/>
        <v/>
      </c>
      <c r="P180" s="8" t="str">
        <f t="shared" si="55"/>
        <v/>
      </c>
      <c r="Q180" s="8" t="str">
        <f t="shared" si="56"/>
        <v/>
      </c>
      <c r="R180" s="111" t="str">
        <f t="shared" si="57"/>
        <v/>
      </c>
      <c r="S180" s="44" t="str">
        <f t="shared" si="58"/>
        <v/>
      </c>
      <c r="T180" s="37" t="str">
        <f t="shared" si="59"/>
        <v/>
      </c>
      <c r="U180" s="44" t="str">
        <f t="shared" si="60"/>
        <v/>
      </c>
      <c r="V180" s="26"/>
      <c r="W180" s="26"/>
      <c r="X180" s="26"/>
      <c r="Y180" s="26"/>
      <c r="Z180" s="24"/>
      <c r="AA180" s="169">
        <f t="shared" si="45"/>
        <v>0</v>
      </c>
      <c r="AB180" s="4">
        <f t="shared" si="46"/>
        <v>0</v>
      </c>
      <c r="AC180" s="170">
        <f t="shared" si="63"/>
        <v>0</v>
      </c>
      <c r="AD180" s="58"/>
      <c r="AE180" s="58"/>
      <c r="AF180" s="58"/>
      <c r="AG180" s="59">
        <f t="shared" si="47"/>
        <v>9.0359999999999996</v>
      </c>
      <c r="AH180" s="59">
        <f t="shared" si="48"/>
        <v>-184.49199999999999</v>
      </c>
      <c r="AJ180" s="4">
        <f>IF(D180="M",IF(AM180&lt;78,BMILMS!$D$5*AM180^3+BMILMS!$E$5*AM180^2+BMILMS!$F$5*AM180+BMILMS!$G$5,IF(AM180&lt;150,BMILMS!$D$6*AM180^3+BMILMS!$E$6*AM180^2+BMILMS!$F$6*AM180+BMILMS!$G$6,BMILMS!$D$7*AM180^3+BMILMS!$E$7*AM180^2+BMILMS!$F$7*AM180+BMILMS!$G$7)),IF(AM180&lt;69,BMILMS!$D$9*AM180^3+BMILMS!$E$9*AM180^2+BMILMS!$F$9*AM180+BMILMS!$G$9,IF(AM180&lt;150,BMILMS!$D$10*AM180^3+BMILMS!$E$10*AM180^2+BMILMS!$F$10*AM180+BMILMS!$G$10,BMILMS!$D$11*AM180^3+BMILMS!$E$11*AM180^2+BMILMS!$F$11*AM180+BMILMS!$G$11)))</f>
        <v>0.79584630099999998</v>
      </c>
      <c r="AK180" s="4">
        <f>IF(D180="M",(IF(AM180&lt;2.5,BMILMS!$D$21*AM180^3+BMILMS!$E$21*AM180^2+BMILMS!$F$21*AM180+BMILMS!$G$21,IF(AM180&lt;9.5,BMILMS!$D$22*AM180^3+BMILMS!$E$22*AM180^2+BMILMS!$F$22*AM180+BMILMS!$G$22,IF(AM180&lt;26.75,BMILMS!$D$23*AM180^3+BMILMS!$E$23*AM180^2+BMILMS!$F$23*AM180+BMILMS!$G$23,IF(AM180&lt;90,BMILMS!$D$24*AM180^3+BMILMS!$E$24*AM180^2+BMILMS!$F$24*AM180+BMILMS!$G$24,BMILMS!$D$25*AM180^3+BMILMS!$E$25*AM180^2+BMILMS!$F$25*AM180+BMILMS!$G$25))))),(IF(AM180&lt;2.5,BMILMS!$D$27*AM180^3+BMILMS!$E$27*AM180^2+BMILMS!$F$27*AM180+BMILMS!$G$27,IF(AM180&lt;9.5,BMILMS!$D$28*AM180^3+BMILMS!$E$28*AM180^2+BMILMS!$F$28*AM180+BMILMS!$G$28,IF(AM180&lt;26.75,BMILMS!$D$29*AM180^3+BMILMS!$E$29*AM180^2+BMILMS!$F$29*AM180+BMILMS!$G$29,IF(AM180&lt;90,BMILMS!$D$30*AM180^3+BMILMS!$E$30*AM180^2+BMILMS!$F$30*AM180+BMILMS!$G$30,IF(AM180&lt;150,BMILMS!$D$31*AM180^3+BMILMS!$E$31*AM180^2+BMILMS!$F$31*AM180+BMILMS!$G$31,BMILMS!$D$32*AM180^3+BMILMS!$E$32*AM180^2+BMILMS!$F$32*AM180+BMILMS!$G$32)))))))</f>
        <v>12.568967990000001</v>
      </c>
      <c r="AL180" s="4">
        <f>IF(D180="M",(IF(AM180&lt;90,BMILMS!$D$14*AM180^3+BMILMS!$E$14*AM180^2+BMILMS!$F$14*AM180+BMILMS!$G$14,BMILMS!$D$15*AM180^3+BMILMS!$E$15*AM180^2+BMILMS!$F$15*AM180+BMILMS!$G$15)),(IF(AM180&lt;90,BMILMS!$D$17*AM180^3+BMILMS!$E$17*AM180^2+BMILMS!$F$17*AM180+BMILMS!$G$17,BMILMS!$D$18*AM180^3+BMILMS!$E$18*AM180^2+BMILMS!$F$18*AM180+BMILMS!$G$18)))</f>
        <v>8.8969350000000003E-2</v>
      </c>
      <c r="AM180" s="4">
        <f t="shared" si="62"/>
        <v>0</v>
      </c>
      <c r="AO180" s="56">
        <f>IF(D180="M",WeightSDS!P$5*$AM180^7+WeightSDS!Q$5*$AM180^6+WeightSDS!R$5*$AM180^5+WeightSDS!S$5*$AM180^4+WeightSDS!T$5*$AM180^3+WeightSDS!U$5*$AM180^2+WeightSDS!V$5*$AM180+WeightSDS!W$5,IF($AM180&lt;186,WeightSDS!P$8*$AM180^7+WeightSDS!Q$8*$AM180^6+WeightSDS!R$8*$AM180^5+WeightSDS!S$8*$AM180^4+WeightSDS!T$8*$AM180^3+WeightSDS!U$8*$AM180^2+WeightSDS!V$8*$AM180+WeightSDS!W$8,WeightSDS!$U$9+WeightSDS!$V$9*($AM180-WeightSDS!$W$9)))</f>
        <v>0.75407122999999998</v>
      </c>
      <c r="AP180" s="4">
        <f>IF(D180="M",IF($AM180&lt;45,WeightSDS!M$23*$AM180^10+WeightSDS!N$23*$AM180^9+WeightSDS!O$23*$AM180^8+WeightSDS!P$23*$AM180^7+WeightSDS!Q$23*$AM180^6+WeightSDS!R$23*$AM180^5+WeightSDS!S$23*$AM180^4+WeightSDS!T$23*$AM180^3+WeightSDS!U$23*$AM180^2+WeightSDS!V$23*$AM180+WeightSDS!W$23,IF($AM180&lt;153,WeightSDS!M$25*$AM180^10+WeightSDS!N$25*$AM180^9+WeightSDS!O$25*$AM180^8+WeightSDS!P$25*$AM180^7+WeightSDS!Q$25*$AM180^6+WeightSDS!R$25*$AM180^5+WeightSDS!S$25*$AM180^4+WeightSDS!T$25*$AM180^3+WeightSDS!U$25*$AM180^2+WeightSDS!V$25*$AM180+WeightSDS!W$25,WeightSDS!M$27+WeightSDS!N$27/(1+EXP(WeightSDS!O$27+WeightSDS!P$27*$AM180)))),IF($AM180&lt;43.8,WeightSDS!M$29*$AM180^10+WeightSDS!N$29*$AM180^9+WeightSDS!O$29*$AM180^8+WeightSDS!P$29*$AM180^7+WeightSDS!Q$29*$AM180^6+WeightSDS!R$29*$AM180^5+WeightSDS!S$29*$AM180^4+WeightSDS!T$29*$AM180^3+WeightSDS!U$29*$AM180^2+WeightSDS!V$29*$AM180+WeightSDS!W$29-0.010431*(1-$AM180/210),IF($AM180&lt;123,WeightSDS!M$30*$AM180^10+WeightSDS!N$30*$AM180^9+WeightSDS!O$30*$AM180^8+WeightSDS!P$30*$AM180^7+WeightSDS!Q$30*$AM180^6+WeightSDS!R$30*$AM180^5+WeightSDS!S$30*$AM180^4+WeightSDS!T$30*$AM180^3+WeightSDS!U$30*$AM180^2+WeightSDS!V$30*$AM180+WeightSDS!W$30-0.010431*(1-1/$AM180),WeightSDS!M$32+WeightSDS!N$32/(1+EXP(WeightSDS!O$32+WeightSDS!P$32*$AM180))-0.010431*(1-$AM180/210))))</f>
        <v>2.9500001032655536</v>
      </c>
      <c r="AQ180" s="4">
        <f>IF(D180="M",IF($AM180&lt;162,WeightSDS!P$12*$AM180^7+WeightSDS!Q$12*$AM180^6+WeightSDS!R$12*$AM180^5+WeightSDS!S$12*$AM180^4+WeightSDS!T$12*$AM180^3+WeightSDS!U$12*$AM180^2+WeightSDS!V$12*$AM180+WeightSDS!W$12,WeightSDS!P$14*$AM180^7+WeightSDS!Q$14*$AM180^6+WeightSDS!R$14*$AM180^5+WeightSDS!S$14*$AM180^4+WeightSDS!T$14*$AM180^3+WeightSDS!U$14*$AM180^2+WeightSDS!V$14*$AM180+WeightSDS!W$14),IF($AM180&lt;156,WeightSDS!O$17*$AM180^8+WeightSDS!P$17*$AM180^7+WeightSDS!Q$17*$AM180^6+WeightSDS!R$17*$AM180^5+WeightSDS!S$17*$AM180^4+WeightSDS!T$17*$AM180^3+WeightSDS!U$17*$AM180^2+WeightSDS!V$17*$AM180+WeightSDS!W$17,IF($AM180&lt;186,WeightSDS!$U$18+(WeightSDS!$V$18-WeightSDS!$U$18)/24*($AM180-186)+WeightSDS!$W$18*(-$AM180+186)^2-0.005,WeightSDS!$U$18+(WeightSDS!$V$18-WeightSDS!$U$18)/24*($AM180-186)-0.005)))</f>
        <v>0.14604529399999999</v>
      </c>
      <c r="AT180" s="4">
        <f t="shared" si="49"/>
        <v>0.56299999999999994</v>
      </c>
      <c r="AU180" s="4">
        <f t="shared" si="50"/>
        <v>69</v>
      </c>
      <c r="AV180" s="4">
        <f t="shared" si="51"/>
        <v>0.51</v>
      </c>
    </row>
    <row r="181" spans="1:48" x14ac:dyDescent="0.15">
      <c r="A181" s="4"/>
      <c r="B181" s="21"/>
      <c r="C181" s="21"/>
      <c r="D181" s="21"/>
      <c r="E181" s="22"/>
      <c r="F181" s="22"/>
      <c r="G181" s="23"/>
      <c r="H181" s="23"/>
      <c r="I181" s="181"/>
      <c r="J181" s="8" t="str">
        <f t="shared" si="43"/>
        <v/>
      </c>
      <c r="K181" s="2" t="str">
        <f t="shared" si="52"/>
        <v/>
      </c>
      <c r="L181" s="2" t="str">
        <f t="shared" si="44"/>
        <v/>
      </c>
      <c r="M181" s="2" t="str">
        <f t="shared" si="53"/>
        <v/>
      </c>
      <c r="N181" s="2" t="str">
        <f t="shared" si="61"/>
        <v/>
      </c>
      <c r="O181" s="2" t="str">
        <f t="shared" si="54"/>
        <v/>
      </c>
      <c r="P181" s="8" t="str">
        <f t="shared" si="55"/>
        <v/>
      </c>
      <c r="Q181" s="8" t="str">
        <f t="shared" si="56"/>
        <v/>
      </c>
      <c r="R181" s="111" t="str">
        <f t="shared" si="57"/>
        <v/>
      </c>
      <c r="S181" s="44" t="str">
        <f t="shared" si="58"/>
        <v/>
      </c>
      <c r="T181" s="37" t="str">
        <f t="shared" si="59"/>
        <v/>
      </c>
      <c r="U181" s="44" t="str">
        <f t="shared" si="60"/>
        <v/>
      </c>
      <c r="V181" s="26"/>
      <c r="W181" s="26"/>
      <c r="X181" s="26"/>
      <c r="Y181" s="26"/>
      <c r="Z181" s="24"/>
      <c r="AA181" s="169">
        <f t="shared" si="45"/>
        <v>0</v>
      </c>
      <c r="AB181" s="4">
        <f t="shared" si="46"/>
        <v>0</v>
      </c>
      <c r="AC181" s="170">
        <f t="shared" si="63"/>
        <v>0</v>
      </c>
      <c r="AD181" s="58"/>
      <c r="AE181" s="58"/>
      <c r="AF181" s="58"/>
      <c r="AG181" s="59">
        <f t="shared" si="47"/>
        <v>9.0359999999999996</v>
      </c>
      <c r="AH181" s="59">
        <f t="shared" si="48"/>
        <v>-184.49199999999999</v>
      </c>
      <c r="AJ181" s="4">
        <f>IF(D181="M",IF(AM181&lt;78,BMILMS!$D$5*AM181^3+BMILMS!$E$5*AM181^2+BMILMS!$F$5*AM181+BMILMS!$G$5,IF(AM181&lt;150,BMILMS!$D$6*AM181^3+BMILMS!$E$6*AM181^2+BMILMS!$F$6*AM181+BMILMS!$G$6,BMILMS!$D$7*AM181^3+BMILMS!$E$7*AM181^2+BMILMS!$F$7*AM181+BMILMS!$G$7)),IF(AM181&lt;69,BMILMS!$D$9*AM181^3+BMILMS!$E$9*AM181^2+BMILMS!$F$9*AM181+BMILMS!$G$9,IF(AM181&lt;150,BMILMS!$D$10*AM181^3+BMILMS!$E$10*AM181^2+BMILMS!$F$10*AM181+BMILMS!$G$10,BMILMS!$D$11*AM181^3+BMILMS!$E$11*AM181^2+BMILMS!$F$11*AM181+BMILMS!$G$11)))</f>
        <v>0.79584630099999998</v>
      </c>
      <c r="AK181" s="4">
        <f>IF(D181="M",(IF(AM181&lt;2.5,BMILMS!$D$21*AM181^3+BMILMS!$E$21*AM181^2+BMILMS!$F$21*AM181+BMILMS!$G$21,IF(AM181&lt;9.5,BMILMS!$D$22*AM181^3+BMILMS!$E$22*AM181^2+BMILMS!$F$22*AM181+BMILMS!$G$22,IF(AM181&lt;26.75,BMILMS!$D$23*AM181^3+BMILMS!$E$23*AM181^2+BMILMS!$F$23*AM181+BMILMS!$G$23,IF(AM181&lt;90,BMILMS!$D$24*AM181^3+BMILMS!$E$24*AM181^2+BMILMS!$F$24*AM181+BMILMS!$G$24,BMILMS!$D$25*AM181^3+BMILMS!$E$25*AM181^2+BMILMS!$F$25*AM181+BMILMS!$G$25))))),(IF(AM181&lt;2.5,BMILMS!$D$27*AM181^3+BMILMS!$E$27*AM181^2+BMILMS!$F$27*AM181+BMILMS!$G$27,IF(AM181&lt;9.5,BMILMS!$D$28*AM181^3+BMILMS!$E$28*AM181^2+BMILMS!$F$28*AM181+BMILMS!$G$28,IF(AM181&lt;26.75,BMILMS!$D$29*AM181^3+BMILMS!$E$29*AM181^2+BMILMS!$F$29*AM181+BMILMS!$G$29,IF(AM181&lt;90,BMILMS!$D$30*AM181^3+BMILMS!$E$30*AM181^2+BMILMS!$F$30*AM181+BMILMS!$G$30,IF(AM181&lt;150,BMILMS!$D$31*AM181^3+BMILMS!$E$31*AM181^2+BMILMS!$F$31*AM181+BMILMS!$G$31,BMILMS!$D$32*AM181^3+BMILMS!$E$32*AM181^2+BMILMS!$F$32*AM181+BMILMS!$G$32)))))))</f>
        <v>12.568967990000001</v>
      </c>
      <c r="AL181" s="4">
        <f>IF(D181="M",(IF(AM181&lt;90,BMILMS!$D$14*AM181^3+BMILMS!$E$14*AM181^2+BMILMS!$F$14*AM181+BMILMS!$G$14,BMILMS!$D$15*AM181^3+BMILMS!$E$15*AM181^2+BMILMS!$F$15*AM181+BMILMS!$G$15)),(IF(AM181&lt;90,BMILMS!$D$17*AM181^3+BMILMS!$E$17*AM181^2+BMILMS!$F$17*AM181+BMILMS!$G$17,BMILMS!$D$18*AM181^3+BMILMS!$E$18*AM181^2+BMILMS!$F$18*AM181+BMILMS!$G$18)))</f>
        <v>8.8969350000000003E-2</v>
      </c>
      <c r="AM181" s="4">
        <f t="shared" si="62"/>
        <v>0</v>
      </c>
      <c r="AO181" s="56">
        <f>IF(D181="M",WeightSDS!P$5*$AM181^7+WeightSDS!Q$5*$AM181^6+WeightSDS!R$5*$AM181^5+WeightSDS!S$5*$AM181^4+WeightSDS!T$5*$AM181^3+WeightSDS!U$5*$AM181^2+WeightSDS!V$5*$AM181+WeightSDS!W$5,IF($AM181&lt;186,WeightSDS!P$8*$AM181^7+WeightSDS!Q$8*$AM181^6+WeightSDS!R$8*$AM181^5+WeightSDS!S$8*$AM181^4+WeightSDS!T$8*$AM181^3+WeightSDS!U$8*$AM181^2+WeightSDS!V$8*$AM181+WeightSDS!W$8,WeightSDS!$U$9+WeightSDS!$V$9*($AM181-WeightSDS!$W$9)))</f>
        <v>0.75407122999999998</v>
      </c>
      <c r="AP181" s="4">
        <f>IF(D181="M",IF($AM181&lt;45,WeightSDS!M$23*$AM181^10+WeightSDS!N$23*$AM181^9+WeightSDS!O$23*$AM181^8+WeightSDS!P$23*$AM181^7+WeightSDS!Q$23*$AM181^6+WeightSDS!R$23*$AM181^5+WeightSDS!S$23*$AM181^4+WeightSDS!T$23*$AM181^3+WeightSDS!U$23*$AM181^2+WeightSDS!V$23*$AM181+WeightSDS!W$23,IF($AM181&lt;153,WeightSDS!M$25*$AM181^10+WeightSDS!N$25*$AM181^9+WeightSDS!O$25*$AM181^8+WeightSDS!P$25*$AM181^7+WeightSDS!Q$25*$AM181^6+WeightSDS!R$25*$AM181^5+WeightSDS!S$25*$AM181^4+WeightSDS!T$25*$AM181^3+WeightSDS!U$25*$AM181^2+WeightSDS!V$25*$AM181+WeightSDS!W$25,WeightSDS!M$27+WeightSDS!N$27/(1+EXP(WeightSDS!O$27+WeightSDS!P$27*$AM181)))),IF($AM181&lt;43.8,WeightSDS!M$29*$AM181^10+WeightSDS!N$29*$AM181^9+WeightSDS!O$29*$AM181^8+WeightSDS!P$29*$AM181^7+WeightSDS!Q$29*$AM181^6+WeightSDS!R$29*$AM181^5+WeightSDS!S$29*$AM181^4+WeightSDS!T$29*$AM181^3+WeightSDS!U$29*$AM181^2+WeightSDS!V$29*$AM181+WeightSDS!W$29-0.010431*(1-$AM181/210),IF($AM181&lt;123,WeightSDS!M$30*$AM181^10+WeightSDS!N$30*$AM181^9+WeightSDS!O$30*$AM181^8+WeightSDS!P$30*$AM181^7+WeightSDS!Q$30*$AM181^6+WeightSDS!R$30*$AM181^5+WeightSDS!S$30*$AM181^4+WeightSDS!T$30*$AM181^3+WeightSDS!U$30*$AM181^2+WeightSDS!V$30*$AM181+WeightSDS!W$30-0.010431*(1-1/$AM181),WeightSDS!M$32+WeightSDS!N$32/(1+EXP(WeightSDS!O$32+WeightSDS!P$32*$AM181))-0.010431*(1-$AM181/210))))</f>
        <v>2.9500001032655536</v>
      </c>
      <c r="AQ181" s="4">
        <f>IF(D181="M",IF($AM181&lt;162,WeightSDS!P$12*$AM181^7+WeightSDS!Q$12*$AM181^6+WeightSDS!R$12*$AM181^5+WeightSDS!S$12*$AM181^4+WeightSDS!T$12*$AM181^3+WeightSDS!U$12*$AM181^2+WeightSDS!V$12*$AM181+WeightSDS!W$12,WeightSDS!P$14*$AM181^7+WeightSDS!Q$14*$AM181^6+WeightSDS!R$14*$AM181^5+WeightSDS!S$14*$AM181^4+WeightSDS!T$14*$AM181^3+WeightSDS!U$14*$AM181^2+WeightSDS!V$14*$AM181+WeightSDS!W$14),IF($AM181&lt;156,WeightSDS!O$17*$AM181^8+WeightSDS!P$17*$AM181^7+WeightSDS!Q$17*$AM181^6+WeightSDS!R$17*$AM181^5+WeightSDS!S$17*$AM181^4+WeightSDS!T$17*$AM181^3+WeightSDS!U$17*$AM181^2+WeightSDS!V$17*$AM181+WeightSDS!W$17,IF($AM181&lt;186,WeightSDS!$U$18+(WeightSDS!$V$18-WeightSDS!$U$18)/24*($AM181-186)+WeightSDS!$W$18*(-$AM181+186)^2-0.005,WeightSDS!$U$18+(WeightSDS!$V$18-WeightSDS!$U$18)/24*($AM181-186)-0.005)))</f>
        <v>0.14604529399999999</v>
      </c>
      <c r="AT181" s="4">
        <f t="shared" si="49"/>
        <v>0.56299999999999994</v>
      </c>
      <c r="AU181" s="4">
        <f t="shared" si="50"/>
        <v>69</v>
      </c>
      <c r="AV181" s="4">
        <f t="shared" si="51"/>
        <v>0.51</v>
      </c>
    </row>
    <row r="182" spans="1:48" x14ac:dyDescent="0.15">
      <c r="A182" s="4"/>
      <c r="B182" s="21"/>
      <c r="C182" s="21"/>
      <c r="D182" s="21"/>
      <c r="E182" s="22"/>
      <c r="F182" s="22"/>
      <c r="G182" s="23"/>
      <c r="H182" s="23"/>
      <c r="I182" s="181"/>
      <c r="J182" s="8" t="str">
        <f t="shared" si="43"/>
        <v/>
      </c>
      <c r="K182" s="2" t="str">
        <f t="shared" si="52"/>
        <v/>
      </c>
      <c r="L182" s="2" t="str">
        <f t="shared" si="44"/>
        <v/>
      </c>
      <c r="M182" s="2" t="str">
        <f t="shared" si="53"/>
        <v/>
      </c>
      <c r="N182" s="2" t="str">
        <f t="shared" si="61"/>
        <v/>
      </c>
      <c r="O182" s="2" t="str">
        <f t="shared" si="54"/>
        <v/>
      </c>
      <c r="P182" s="8" t="str">
        <f t="shared" si="55"/>
        <v/>
      </c>
      <c r="Q182" s="8" t="str">
        <f t="shared" si="56"/>
        <v/>
      </c>
      <c r="R182" s="111" t="str">
        <f t="shared" si="57"/>
        <v/>
      </c>
      <c r="S182" s="44" t="str">
        <f t="shared" si="58"/>
        <v/>
      </c>
      <c r="T182" s="37" t="str">
        <f t="shared" si="59"/>
        <v/>
      </c>
      <c r="U182" s="44" t="str">
        <f t="shared" si="60"/>
        <v/>
      </c>
      <c r="V182" s="26"/>
      <c r="W182" s="26"/>
      <c r="X182" s="26"/>
      <c r="Y182" s="26"/>
      <c r="Z182" s="24"/>
      <c r="AA182" s="169">
        <f t="shared" si="45"/>
        <v>0</v>
      </c>
      <c r="AB182" s="4">
        <f t="shared" si="46"/>
        <v>0</v>
      </c>
      <c r="AC182" s="170">
        <f t="shared" si="63"/>
        <v>0</v>
      </c>
      <c r="AD182" s="58"/>
      <c r="AE182" s="58"/>
      <c r="AF182" s="58"/>
      <c r="AG182" s="59">
        <f t="shared" si="47"/>
        <v>9.0359999999999996</v>
      </c>
      <c r="AH182" s="59">
        <f t="shared" si="48"/>
        <v>-184.49199999999999</v>
      </c>
      <c r="AJ182" s="4">
        <f>IF(D182="M",IF(AM182&lt;78,BMILMS!$D$5*AM182^3+BMILMS!$E$5*AM182^2+BMILMS!$F$5*AM182+BMILMS!$G$5,IF(AM182&lt;150,BMILMS!$D$6*AM182^3+BMILMS!$E$6*AM182^2+BMILMS!$F$6*AM182+BMILMS!$G$6,BMILMS!$D$7*AM182^3+BMILMS!$E$7*AM182^2+BMILMS!$F$7*AM182+BMILMS!$G$7)),IF(AM182&lt;69,BMILMS!$D$9*AM182^3+BMILMS!$E$9*AM182^2+BMILMS!$F$9*AM182+BMILMS!$G$9,IF(AM182&lt;150,BMILMS!$D$10*AM182^3+BMILMS!$E$10*AM182^2+BMILMS!$F$10*AM182+BMILMS!$G$10,BMILMS!$D$11*AM182^3+BMILMS!$E$11*AM182^2+BMILMS!$F$11*AM182+BMILMS!$G$11)))</f>
        <v>0.79584630099999998</v>
      </c>
      <c r="AK182" s="4">
        <f>IF(D182="M",(IF(AM182&lt;2.5,BMILMS!$D$21*AM182^3+BMILMS!$E$21*AM182^2+BMILMS!$F$21*AM182+BMILMS!$G$21,IF(AM182&lt;9.5,BMILMS!$D$22*AM182^3+BMILMS!$E$22*AM182^2+BMILMS!$F$22*AM182+BMILMS!$G$22,IF(AM182&lt;26.75,BMILMS!$D$23*AM182^3+BMILMS!$E$23*AM182^2+BMILMS!$F$23*AM182+BMILMS!$G$23,IF(AM182&lt;90,BMILMS!$D$24*AM182^3+BMILMS!$E$24*AM182^2+BMILMS!$F$24*AM182+BMILMS!$G$24,BMILMS!$D$25*AM182^3+BMILMS!$E$25*AM182^2+BMILMS!$F$25*AM182+BMILMS!$G$25))))),(IF(AM182&lt;2.5,BMILMS!$D$27*AM182^3+BMILMS!$E$27*AM182^2+BMILMS!$F$27*AM182+BMILMS!$G$27,IF(AM182&lt;9.5,BMILMS!$D$28*AM182^3+BMILMS!$E$28*AM182^2+BMILMS!$F$28*AM182+BMILMS!$G$28,IF(AM182&lt;26.75,BMILMS!$D$29*AM182^3+BMILMS!$E$29*AM182^2+BMILMS!$F$29*AM182+BMILMS!$G$29,IF(AM182&lt;90,BMILMS!$D$30*AM182^3+BMILMS!$E$30*AM182^2+BMILMS!$F$30*AM182+BMILMS!$G$30,IF(AM182&lt;150,BMILMS!$D$31*AM182^3+BMILMS!$E$31*AM182^2+BMILMS!$F$31*AM182+BMILMS!$G$31,BMILMS!$D$32*AM182^3+BMILMS!$E$32*AM182^2+BMILMS!$F$32*AM182+BMILMS!$G$32)))))))</f>
        <v>12.568967990000001</v>
      </c>
      <c r="AL182" s="4">
        <f>IF(D182="M",(IF(AM182&lt;90,BMILMS!$D$14*AM182^3+BMILMS!$E$14*AM182^2+BMILMS!$F$14*AM182+BMILMS!$G$14,BMILMS!$D$15*AM182^3+BMILMS!$E$15*AM182^2+BMILMS!$F$15*AM182+BMILMS!$G$15)),(IF(AM182&lt;90,BMILMS!$D$17*AM182^3+BMILMS!$E$17*AM182^2+BMILMS!$F$17*AM182+BMILMS!$G$17,BMILMS!$D$18*AM182^3+BMILMS!$E$18*AM182^2+BMILMS!$F$18*AM182+BMILMS!$G$18)))</f>
        <v>8.8969350000000003E-2</v>
      </c>
      <c r="AM182" s="4">
        <f t="shared" si="62"/>
        <v>0</v>
      </c>
      <c r="AO182" s="56">
        <f>IF(D182="M",WeightSDS!P$5*$AM182^7+WeightSDS!Q$5*$AM182^6+WeightSDS!R$5*$AM182^5+WeightSDS!S$5*$AM182^4+WeightSDS!T$5*$AM182^3+WeightSDS!U$5*$AM182^2+WeightSDS!V$5*$AM182+WeightSDS!W$5,IF($AM182&lt;186,WeightSDS!P$8*$AM182^7+WeightSDS!Q$8*$AM182^6+WeightSDS!R$8*$AM182^5+WeightSDS!S$8*$AM182^4+WeightSDS!T$8*$AM182^3+WeightSDS!U$8*$AM182^2+WeightSDS!V$8*$AM182+WeightSDS!W$8,WeightSDS!$U$9+WeightSDS!$V$9*($AM182-WeightSDS!$W$9)))</f>
        <v>0.75407122999999998</v>
      </c>
      <c r="AP182" s="4">
        <f>IF(D182="M",IF($AM182&lt;45,WeightSDS!M$23*$AM182^10+WeightSDS!N$23*$AM182^9+WeightSDS!O$23*$AM182^8+WeightSDS!P$23*$AM182^7+WeightSDS!Q$23*$AM182^6+WeightSDS!R$23*$AM182^5+WeightSDS!S$23*$AM182^4+WeightSDS!T$23*$AM182^3+WeightSDS!U$23*$AM182^2+WeightSDS!V$23*$AM182+WeightSDS!W$23,IF($AM182&lt;153,WeightSDS!M$25*$AM182^10+WeightSDS!N$25*$AM182^9+WeightSDS!O$25*$AM182^8+WeightSDS!P$25*$AM182^7+WeightSDS!Q$25*$AM182^6+WeightSDS!R$25*$AM182^5+WeightSDS!S$25*$AM182^4+WeightSDS!T$25*$AM182^3+WeightSDS!U$25*$AM182^2+WeightSDS!V$25*$AM182+WeightSDS!W$25,WeightSDS!M$27+WeightSDS!N$27/(1+EXP(WeightSDS!O$27+WeightSDS!P$27*$AM182)))),IF($AM182&lt;43.8,WeightSDS!M$29*$AM182^10+WeightSDS!N$29*$AM182^9+WeightSDS!O$29*$AM182^8+WeightSDS!P$29*$AM182^7+WeightSDS!Q$29*$AM182^6+WeightSDS!R$29*$AM182^5+WeightSDS!S$29*$AM182^4+WeightSDS!T$29*$AM182^3+WeightSDS!U$29*$AM182^2+WeightSDS!V$29*$AM182+WeightSDS!W$29-0.010431*(1-$AM182/210),IF($AM182&lt;123,WeightSDS!M$30*$AM182^10+WeightSDS!N$30*$AM182^9+WeightSDS!O$30*$AM182^8+WeightSDS!P$30*$AM182^7+WeightSDS!Q$30*$AM182^6+WeightSDS!R$30*$AM182^5+WeightSDS!S$30*$AM182^4+WeightSDS!T$30*$AM182^3+WeightSDS!U$30*$AM182^2+WeightSDS!V$30*$AM182+WeightSDS!W$30-0.010431*(1-1/$AM182),WeightSDS!M$32+WeightSDS!N$32/(1+EXP(WeightSDS!O$32+WeightSDS!P$32*$AM182))-0.010431*(1-$AM182/210))))</f>
        <v>2.9500001032655536</v>
      </c>
      <c r="AQ182" s="4">
        <f>IF(D182="M",IF($AM182&lt;162,WeightSDS!P$12*$AM182^7+WeightSDS!Q$12*$AM182^6+WeightSDS!R$12*$AM182^5+WeightSDS!S$12*$AM182^4+WeightSDS!T$12*$AM182^3+WeightSDS!U$12*$AM182^2+WeightSDS!V$12*$AM182+WeightSDS!W$12,WeightSDS!P$14*$AM182^7+WeightSDS!Q$14*$AM182^6+WeightSDS!R$14*$AM182^5+WeightSDS!S$14*$AM182^4+WeightSDS!T$14*$AM182^3+WeightSDS!U$14*$AM182^2+WeightSDS!V$14*$AM182+WeightSDS!W$14),IF($AM182&lt;156,WeightSDS!O$17*$AM182^8+WeightSDS!P$17*$AM182^7+WeightSDS!Q$17*$AM182^6+WeightSDS!R$17*$AM182^5+WeightSDS!S$17*$AM182^4+WeightSDS!T$17*$AM182^3+WeightSDS!U$17*$AM182^2+WeightSDS!V$17*$AM182+WeightSDS!W$17,IF($AM182&lt;186,WeightSDS!$U$18+(WeightSDS!$V$18-WeightSDS!$U$18)/24*($AM182-186)+WeightSDS!$W$18*(-$AM182+186)^2-0.005,WeightSDS!$U$18+(WeightSDS!$V$18-WeightSDS!$U$18)/24*($AM182-186)-0.005)))</f>
        <v>0.14604529399999999</v>
      </c>
      <c r="AT182" s="4">
        <f t="shared" si="49"/>
        <v>0.56299999999999994</v>
      </c>
      <c r="AU182" s="4">
        <f t="shared" si="50"/>
        <v>69</v>
      </c>
      <c r="AV182" s="4">
        <f t="shared" si="51"/>
        <v>0.51</v>
      </c>
    </row>
    <row r="183" spans="1:48" x14ac:dyDescent="0.15">
      <c r="A183" s="4"/>
      <c r="B183" s="21"/>
      <c r="C183" s="21"/>
      <c r="D183" s="21"/>
      <c r="E183" s="22"/>
      <c r="F183" s="22"/>
      <c r="G183" s="23"/>
      <c r="H183" s="23"/>
      <c r="I183" s="181"/>
      <c r="J183" s="8" t="str">
        <f t="shared" si="43"/>
        <v/>
      </c>
      <c r="K183" s="2" t="str">
        <f t="shared" si="52"/>
        <v/>
      </c>
      <c r="L183" s="2" t="str">
        <f t="shared" si="44"/>
        <v/>
      </c>
      <c r="M183" s="2" t="str">
        <f t="shared" si="53"/>
        <v/>
      </c>
      <c r="N183" s="2" t="str">
        <f t="shared" si="61"/>
        <v/>
      </c>
      <c r="O183" s="2" t="str">
        <f t="shared" si="54"/>
        <v/>
      </c>
      <c r="P183" s="8" t="str">
        <f t="shared" si="55"/>
        <v/>
      </c>
      <c r="Q183" s="8" t="str">
        <f t="shared" si="56"/>
        <v/>
      </c>
      <c r="R183" s="111" t="str">
        <f t="shared" si="57"/>
        <v/>
      </c>
      <c r="S183" s="44" t="str">
        <f t="shared" si="58"/>
        <v/>
      </c>
      <c r="T183" s="37" t="str">
        <f t="shared" si="59"/>
        <v/>
      </c>
      <c r="U183" s="44" t="str">
        <f t="shared" si="60"/>
        <v/>
      </c>
      <c r="V183" s="26"/>
      <c r="W183" s="26"/>
      <c r="X183" s="26"/>
      <c r="Y183" s="26"/>
      <c r="Z183" s="24"/>
      <c r="AA183" s="169">
        <f t="shared" si="45"/>
        <v>0</v>
      </c>
      <c r="AB183" s="4">
        <f t="shared" si="46"/>
        <v>0</v>
      </c>
      <c r="AC183" s="170">
        <f t="shared" si="63"/>
        <v>0</v>
      </c>
      <c r="AD183" s="58"/>
      <c r="AE183" s="58"/>
      <c r="AF183" s="58"/>
      <c r="AG183" s="59">
        <f t="shared" si="47"/>
        <v>9.0359999999999996</v>
      </c>
      <c r="AH183" s="59">
        <f t="shared" si="48"/>
        <v>-184.49199999999999</v>
      </c>
      <c r="AJ183" s="4">
        <f>IF(D183="M",IF(AM183&lt;78,BMILMS!$D$5*AM183^3+BMILMS!$E$5*AM183^2+BMILMS!$F$5*AM183+BMILMS!$G$5,IF(AM183&lt;150,BMILMS!$D$6*AM183^3+BMILMS!$E$6*AM183^2+BMILMS!$F$6*AM183+BMILMS!$G$6,BMILMS!$D$7*AM183^3+BMILMS!$E$7*AM183^2+BMILMS!$F$7*AM183+BMILMS!$G$7)),IF(AM183&lt;69,BMILMS!$D$9*AM183^3+BMILMS!$E$9*AM183^2+BMILMS!$F$9*AM183+BMILMS!$G$9,IF(AM183&lt;150,BMILMS!$D$10*AM183^3+BMILMS!$E$10*AM183^2+BMILMS!$F$10*AM183+BMILMS!$G$10,BMILMS!$D$11*AM183^3+BMILMS!$E$11*AM183^2+BMILMS!$F$11*AM183+BMILMS!$G$11)))</f>
        <v>0.79584630099999998</v>
      </c>
      <c r="AK183" s="4">
        <f>IF(D183="M",(IF(AM183&lt;2.5,BMILMS!$D$21*AM183^3+BMILMS!$E$21*AM183^2+BMILMS!$F$21*AM183+BMILMS!$G$21,IF(AM183&lt;9.5,BMILMS!$D$22*AM183^3+BMILMS!$E$22*AM183^2+BMILMS!$F$22*AM183+BMILMS!$G$22,IF(AM183&lt;26.75,BMILMS!$D$23*AM183^3+BMILMS!$E$23*AM183^2+BMILMS!$F$23*AM183+BMILMS!$G$23,IF(AM183&lt;90,BMILMS!$D$24*AM183^3+BMILMS!$E$24*AM183^2+BMILMS!$F$24*AM183+BMILMS!$G$24,BMILMS!$D$25*AM183^3+BMILMS!$E$25*AM183^2+BMILMS!$F$25*AM183+BMILMS!$G$25))))),(IF(AM183&lt;2.5,BMILMS!$D$27*AM183^3+BMILMS!$E$27*AM183^2+BMILMS!$F$27*AM183+BMILMS!$G$27,IF(AM183&lt;9.5,BMILMS!$D$28*AM183^3+BMILMS!$E$28*AM183^2+BMILMS!$F$28*AM183+BMILMS!$G$28,IF(AM183&lt;26.75,BMILMS!$D$29*AM183^3+BMILMS!$E$29*AM183^2+BMILMS!$F$29*AM183+BMILMS!$G$29,IF(AM183&lt;90,BMILMS!$D$30*AM183^3+BMILMS!$E$30*AM183^2+BMILMS!$F$30*AM183+BMILMS!$G$30,IF(AM183&lt;150,BMILMS!$D$31*AM183^3+BMILMS!$E$31*AM183^2+BMILMS!$F$31*AM183+BMILMS!$G$31,BMILMS!$D$32*AM183^3+BMILMS!$E$32*AM183^2+BMILMS!$F$32*AM183+BMILMS!$G$32)))))))</f>
        <v>12.568967990000001</v>
      </c>
      <c r="AL183" s="4">
        <f>IF(D183="M",(IF(AM183&lt;90,BMILMS!$D$14*AM183^3+BMILMS!$E$14*AM183^2+BMILMS!$F$14*AM183+BMILMS!$G$14,BMILMS!$D$15*AM183^3+BMILMS!$E$15*AM183^2+BMILMS!$F$15*AM183+BMILMS!$G$15)),(IF(AM183&lt;90,BMILMS!$D$17*AM183^3+BMILMS!$E$17*AM183^2+BMILMS!$F$17*AM183+BMILMS!$G$17,BMILMS!$D$18*AM183^3+BMILMS!$E$18*AM183^2+BMILMS!$F$18*AM183+BMILMS!$G$18)))</f>
        <v>8.8969350000000003E-2</v>
      </c>
      <c r="AM183" s="4">
        <f t="shared" si="62"/>
        <v>0</v>
      </c>
      <c r="AO183" s="56">
        <f>IF(D183="M",WeightSDS!P$5*$AM183^7+WeightSDS!Q$5*$AM183^6+WeightSDS!R$5*$AM183^5+WeightSDS!S$5*$AM183^4+WeightSDS!T$5*$AM183^3+WeightSDS!U$5*$AM183^2+WeightSDS!V$5*$AM183+WeightSDS!W$5,IF($AM183&lt;186,WeightSDS!P$8*$AM183^7+WeightSDS!Q$8*$AM183^6+WeightSDS!R$8*$AM183^5+WeightSDS!S$8*$AM183^4+WeightSDS!T$8*$AM183^3+WeightSDS!U$8*$AM183^2+WeightSDS!V$8*$AM183+WeightSDS!W$8,WeightSDS!$U$9+WeightSDS!$V$9*($AM183-WeightSDS!$W$9)))</f>
        <v>0.75407122999999998</v>
      </c>
      <c r="AP183" s="4">
        <f>IF(D183="M",IF($AM183&lt;45,WeightSDS!M$23*$AM183^10+WeightSDS!N$23*$AM183^9+WeightSDS!O$23*$AM183^8+WeightSDS!P$23*$AM183^7+WeightSDS!Q$23*$AM183^6+WeightSDS!R$23*$AM183^5+WeightSDS!S$23*$AM183^4+WeightSDS!T$23*$AM183^3+WeightSDS!U$23*$AM183^2+WeightSDS!V$23*$AM183+WeightSDS!W$23,IF($AM183&lt;153,WeightSDS!M$25*$AM183^10+WeightSDS!N$25*$AM183^9+WeightSDS!O$25*$AM183^8+WeightSDS!P$25*$AM183^7+WeightSDS!Q$25*$AM183^6+WeightSDS!R$25*$AM183^5+WeightSDS!S$25*$AM183^4+WeightSDS!T$25*$AM183^3+WeightSDS!U$25*$AM183^2+WeightSDS!V$25*$AM183+WeightSDS!W$25,WeightSDS!M$27+WeightSDS!N$27/(1+EXP(WeightSDS!O$27+WeightSDS!P$27*$AM183)))),IF($AM183&lt;43.8,WeightSDS!M$29*$AM183^10+WeightSDS!N$29*$AM183^9+WeightSDS!O$29*$AM183^8+WeightSDS!P$29*$AM183^7+WeightSDS!Q$29*$AM183^6+WeightSDS!R$29*$AM183^5+WeightSDS!S$29*$AM183^4+WeightSDS!T$29*$AM183^3+WeightSDS!U$29*$AM183^2+WeightSDS!V$29*$AM183+WeightSDS!W$29-0.010431*(1-$AM183/210),IF($AM183&lt;123,WeightSDS!M$30*$AM183^10+WeightSDS!N$30*$AM183^9+WeightSDS!O$30*$AM183^8+WeightSDS!P$30*$AM183^7+WeightSDS!Q$30*$AM183^6+WeightSDS!R$30*$AM183^5+WeightSDS!S$30*$AM183^4+WeightSDS!T$30*$AM183^3+WeightSDS!U$30*$AM183^2+WeightSDS!V$30*$AM183+WeightSDS!W$30-0.010431*(1-1/$AM183),WeightSDS!M$32+WeightSDS!N$32/(1+EXP(WeightSDS!O$32+WeightSDS!P$32*$AM183))-0.010431*(1-$AM183/210))))</f>
        <v>2.9500001032655536</v>
      </c>
      <c r="AQ183" s="4">
        <f>IF(D183="M",IF($AM183&lt;162,WeightSDS!P$12*$AM183^7+WeightSDS!Q$12*$AM183^6+WeightSDS!R$12*$AM183^5+WeightSDS!S$12*$AM183^4+WeightSDS!T$12*$AM183^3+WeightSDS!U$12*$AM183^2+WeightSDS!V$12*$AM183+WeightSDS!W$12,WeightSDS!P$14*$AM183^7+WeightSDS!Q$14*$AM183^6+WeightSDS!R$14*$AM183^5+WeightSDS!S$14*$AM183^4+WeightSDS!T$14*$AM183^3+WeightSDS!U$14*$AM183^2+WeightSDS!V$14*$AM183+WeightSDS!W$14),IF($AM183&lt;156,WeightSDS!O$17*$AM183^8+WeightSDS!P$17*$AM183^7+WeightSDS!Q$17*$AM183^6+WeightSDS!R$17*$AM183^5+WeightSDS!S$17*$AM183^4+WeightSDS!T$17*$AM183^3+WeightSDS!U$17*$AM183^2+WeightSDS!V$17*$AM183+WeightSDS!W$17,IF($AM183&lt;186,WeightSDS!$U$18+(WeightSDS!$V$18-WeightSDS!$U$18)/24*($AM183-186)+WeightSDS!$W$18*(-$AM183+186)^2-0.005,WeightSDS!$U$18+(WeightSDS!$V$18-WeightSDS!$U$18)/24*($AM183-186)-0.005)))</f>
        <v>0.14604529399999999</v>
      </c>
      <c r="AT183" s="4">
        <f t="shared" si="49"/>
        <v>0.56299999999999994</v>
      </c>
      <c r="AU183" s="4">
        <f t="shared" si="50"/>
        <v>69</v>
      </c>
      <c r="AV183" s="4">
        <f t="shared" si="51"/>
        <v>0.51</v>
      </c>
    </row>
    <row r="184" spans="1:48" x14ac:dyDescent="0.15">
      <c r="A184" s="4"/>
      <c r="B184" s="21"/>
      <c r="C184" s="21"/>
      <c r="D184" s="21"/>
      <c r="E184" s="22"/>
      <c r="F184" s="22"/>
      <c r="G184" s="23"/>
      <c r="H184" s="23"/>
      <c r="I184" s="181"/>
      <c r="J184" s="8" t="str">
        <f t="shared" si="43"/>
        <v/>
      </c>
      <c r="K184" s="2" t="str">
        <f t="shared" si="52"/>
        <v/>
      </c>
      <c r="L184" s="2" t="str">
        <f t="shared" si="44"/>
        <v/>
      </c>
      <c r="M184" s="2" t="str">
        <f t="shared" si="53"/>
        <v/>
      </c>
      <c r="N184" s="2" t="str">
        <f t="shared" si="61"/>
        <v/>
      </c>
      <c r="O184" s="2" t="str">
        <f t="shared" si="54"/>
        <v/>
      </c>
      <c r="P184" s="8" t="str">
        <f t="shared" si="55"/>
        <v/>
      </c>
      <c r="Q184" s="8" t="str">
        <f t="shared" si="56"/>
        <v/>
      </c>
      <c r="R184" s="111" t="str">
        <f t="shared" si="57"/>
        <v/>
      </c>
      <c r="S184" s="44" t="str">
        <f t="shared" si="58"/>
        <v/>
      </c>
      <c r="T184" s="37" t="str">
        <f t="shared" si="59"/>
        <v/>
      </c>
      <c r="U184" s="44" t="str">
        <f t="shared" si="60"/>
        <v/>
      </c>
      <c r="V184" s="26"/>
      <c r="W184" s="26"/>
      <c r="X184" s="26"/>
      <c r="Y184" s="26"/>
      <c r="Z184" s="24"/>
      <c r="AA184" s="169">
        <f t="shared" si="45"/>
        <v>0</v>
      </c>
      <c r="AB184" s="4">
        <f t="shared" si="46"/>
        <v>0</v>
      </c>
      <c r="AC184" s="170">
        <f t="shared" si="63"/>
        <v>0</v>
      </c>
      <c r="AD184" s="58"/>
      <c r="AE184" s="58"/>
      <c r="AF184" s="58"/>
      <c r="AG184" s="59">
        <f t="shared" si="47"/>
        <v>9.0359999999999996</v>
      </c>
      <c r="AH184" s="59">
        <f t="shared" si="48"/>
        <v>-184.49199999999999</v>
      </c>
      <c r="AJ184" s="4">
        <f>IF(D184="M",IF(AM184&lt;78,BMILMS!$D$5*AM184^3+BMILMS!$E$5*AM184^2+BMILMS!$F$5*AM184+BMILMS!$G$5,IF(AM184&lt;150,BMILMS!$D$6*AM184^3+BMILMS!$E$6*AM184^2+BMILMS!$F$6*AM184+BMILMS!$G$6,BMILMS!$D$7*AM184^3+BMILMS!$E$7*AM184^2+BMILMS!$F$7*AM184+BMILMS!$G$7)),IF(AM184&lt;69,BMILMS!$D$9*AM184^3+BMILMS!$E$9*AM184^2+BMILMS!$F$9*AM184+BMILMS!$G$9,IF(AM184&lt;150,BMILMS!$D$10*AM184^3+BMILMS!$E$10*AM184^2+BMILMS!$F$10*AM184+BMILMS!$G$10,BMILMS!$D$11*AM184^3+BMILMS!$E$11*AM184^2+BMILMS!$F$11*AM184+BMILMS!$G$11)))</f>
        <v>0.79584630099999998</v>
      </c>
      <c r="AK184" s="4">
        <f>IF(D184="M",(IF(AM184&lt;2.5,BMILMS!$D$21*AM184^3+BMILMS!$E$21*AM184^2+BMILMS!$F$21*AM184+BMILMS!$G$21,IF(AM184&lt;9.5,BMILMS!$D$22*AM184^3+BMILMS!$E$22*AM184^2+BMILMS!$F$22*AM184+BMILMS!$G$22,IF(AM184&lt;26.75,BMILMS!$D$23*AM184^3+BMILMS!$E$23*AM184^2+BMILMS!$F$23*AM184+BMILMS!$G$23,IF(AM184&lt;90,BMILMS!$D$24*AM184^3+BMILMS!$E$24*AM184^2+BMILMS!$F$24*AM184+BMILMS!$G$24,BMILMS!$D$25*AM184^3+BMILMS!$E$25*AM184^2+BMILMS!$F$25*AM184+BMILMS!$G$25))))),(IF(AM184&lt;2.5,BMILMS!$D$27*AM184^3+BMILMS!$E$27*AM184^2+BMILMS!$F$27*AM184+BMILMS!$G$27,IF(AM184&lt;9.5,BMILMS!$D$28*AM184^3+BMILMS!$E$28*AM184^2+BMILMS!$F$28*AM184+BMILMS!$G$28,IF(AM184&lt;26.75,BMILMS!$D$29*AM184^3+BMILMS!$E$29*AM184^2+BMILMS!$F$29*AM184+BMILMS!$G$29,IF(AM184&lt;90,BMILMS!$D$30*AM184^3+BMILMS!$E$30*AM184^2+BMILMS!$F$30*AM184+BMILMS!$G$30,IF(AM184&lt;150,BMILMS!$D$31*AM184^3+BMILMS!$E$31*AM184^2+BMILMS!$F$31*AM184+BMILMS!$G$31,BMILMS!$D$32*AM184^3+BMILMS!$E$32*AM184^2+BMILMS!$F$32*AM184+BMILMS!$G$32)))))))</f>
        <v>12.568967990000001</v>
      </c>
      <c r="AL184" s="4">
        <f>IF(D184="M",(IF(AM184&lt;90,BMILMS!$D$14*AM184^3+BMILMS!$E$14*AM184^2+BMILMS!$F$14*AM184+BMILMS!$G$14,BMILMS!$D$15*AM184^3+BMILMS!$E$15*AM184^2+BMILMS!$F$15*AM184+BMILMS!$G$15)),(IF(AM184&lt;90,BMILMS!$D$17*AM184^3+BMILMS!$E$17*AM184^2+BMILMS!$F$17*AM184+BMILMS!$G$17,BMILMS!$D$18*AM184^3+BMILMS!$E$18*AM184^2+BMILMS!$F$18*AM184+BMILMS!$G$18)))</f>
        <v>8.8969350000000003E-2</v>
      </c>
      <c r="AM184" s="4">
        <f t="shared" si="62"/>
        <v>0</v>
      </c>
      <c r="AO184" s="56">
        <f>IF(D184="M",WeightSDS!P$5*$AM184^7+WeightSDS!Q$5*$AM184^6+WeightSDS!R$5*$AM184^5+WeightSDS!S$5*$AM184^4+WeightSDS!T$5*$AM184^3+WeightSDS!U$5*$AM184^2+WeightSDS!V$5*$AM184+WeightSDS!W$5,IF($AM184&lt;186,WeightSDS!P$8*$AM184^7+WeightSDS!Q$8*$AM184^6+WeightSDS!R$8*$AM184^5+WeightSDS!S$8*$AM184^4+WeightSDS!T$8*$AM184^3+WeightSDS!U$8*$AM184^2+WeightSDS!V$8*$AM184+WeightSDS!W$8,WeightSDS!$U$9+WeightSDS!$V$9*($AM184-WeightSDS!$W$9)))</f>
        <v>0.75407122999999998</v>
      </c>
      <c r="AP184" s="4">
        <f>IF(D184="M",IF($AM184&lt;45,WeightSDS!M$23*$AM184^10+WeightSDS!N$23*$AM184^9+WeightSDS!O$23*$AM184^8+WeightSDS!P$23*$AM184^7+WeightSDS!Q$23*$AM184^6+WeightSDS!R$23*$AM184^5+WeightSDS!S$23*$AM184^4+WeightSDS!T$23*$AM184^3+WeightSDS!U$23*$AM184^2+WeightSDS!V$23*$AM184+WeightSDS!W$23,IF($AM184&lt;153,WeightSDS!M$25*$AM184^10+WeightSDS!N$25*$AM184^9+WeightSDS!O$25*$AM184^8+WeightSDS!P$25*$AM184^7+WeightSDS!Q$25*$AM184^6+WeightSDS!R$25*$AM184^5+WeightSDS!S$25*$AM184^4+WeightSDS!T$25*$AM184^3+WeightSDS!U$25*$AM184^2+WeightSDS!V$25*$AM184+WeightSDS!W$25,WeightSDS!M$27+WeightSDS!N$27/(1+EXP(WeightSDS!O$27+WeightSDS!P$27*$AM184)))),IF($AM184&lt;43.8,WeightSDS!M$29*$AM184^10+WeightSDS!N$29*$AM184^9+WeightSDS!O$29*$AM184^8+WeightSDS!P$29*$AM184^7+WeightSDS!Q$29*$AM184^6+WeightSDS!R$29*$AM184^5+WeightSDS!S$29*$AM184^4+WeightSDS!T$29*$AM184^3+WeightSDS!U$29*$AM184^2+WeightSDS!V$29*$AM184+WeightSDS!W$29-0.010431*(1-$AM184/210),IF($AM184&lt;123,WeightSDS!M$30*$AM184^10+WeightSDS!N$30*$AM184^9+WeightSDS!O$30*$AM184^8+WeightSDS!P$30*$AM184^7+WeightSDS!Q$30*$AM184^6+WeightSDS!R$30*$AM184^5+WeightSDS!S$30*$AM184^4+WeightSDS!T$30*$AM184^3+WeightSDS!U$30*$AM184^2+WeightSDS!V$30*$AM184+WeightSDS!W$30-0.010431*(1-1/$AM184),WeightSDS!M$32+WeightSDS!N$32/(1+EXP(WeightSDS!O$32+WeightSDS!P$32*$AM184))-0.010431*(1-$AM184/210))))</f>
        <v>2.9500001032655536</v>
      </c>
      <c r="AQ184" s="4">
        <f>IF(D184="M",IF($AM184&lt;162,WeightSDS!P$12*$AM184^7+WeightSDS!Q$12*$AM184^6+WeightSDS!R$12*$AM184^5+WeightSDS!S$12*$AM184^4+WeightSDS!T$12*$AM184^3+WeightSDS!U$12*$AM184^2+WeightSDS!V$12*$AM184+WeightSDS!W$12,WeightSDS!P$14*$AM184^7+WeightSDS!Q$14*$AM184^6+WeightSDS!R$14*$AM184^5+WeightSDS!S$14*$AM184^4+WeightSDS!T$14*$AM184^3+WeightSDS!U$14*$AM184^2+WeightSDS!V$14*$AM184+WeightSDS!W$14),IF($AM184&lt;156,WeightSDS!O$17*$AM184^8+WeightSDS!P$17*$AM184^7+WeightSDS!Q$17*$AM184^6+WeightSDS!R$17*$AM184^5+WeightSDS!S$17*$AM184^4+WeightSDS!T$17*$AM184^3+WeightSDS!U$17*$AM184^2+WeightSDS!V$17*$AM184+WeightSDS!W$17,IF($AM184&lt;186,WeightSDS!$U$18+(WeightSDS!$V$18-WeightSDS!$U$18)/24*($AM184-186)+WeightSDS!$W$18*(-$AM184+186)^2-0.005,WeightSDS!$U$18+(WeightSDS!$V$18-WeightSDS!$U$18)/24*($AM184-186)-0.005)))</f>
        <v>0.14604529399999999</v>
      </c>
      <c r="AT184" s="4">
        <f t="shared" si="49"/>
        <v>0.56299999999999994</v>
      </c>
      <c r="AU184" s="4">
        <f t="shared" si="50"/>
        <v>69</v>
      </c>
      <c r="AV184" s="4">
        <f t="shared" si="51"/>
        <v>0.51</v>
      </c>
    </row>
    <row r="185" spans="1:48" x14ac:dyDescent="0.15">
      <c r="A185" s="4"/>
      <c r="B185" s="21"/>
      <c r="C185" s="21"/>
      <c r="D185" s="21"/>
      <c r="E185" s="22"/>
      <c r="F185" s="22"/>
      <c r="G185" s="23"/>
      <c r="H185" s="23"/>
      <c r="I185" s="181"/>
      <c r="J185" s="8" t="str">
        <f t="shared" si="43"/>
        <v/>
      </c>
      <c r="K185" s="2" t="str">
        <f t="shared" si="52"/>
        <v/>
      </c>
      <c r="L185" s="2" t="str">
        <f t="shared" si="44"/>
        <v/>
      </c>
      <c r="M185" s="2" t="str">
        <f t="shared" si="53"/>
        <v/>
      </c>
      <c r="N185" s="2" t="str">
        <f t="shared" si="61"/>
        <v/>
      </c>
      <c r="O185" s="2" t="str">
        <f t="shared" si="54"/>
        <v/>
      </c>
      <c r="P185" s="8" t="str">
        <f t="shared" si="55"/>
        <v/>
      </c>
      <c r="Q185" s="8" t="str">
        <f t="shared" si="56"/>
        <v/>
      </c>
      <c r="R185" s="111" t="str">
        <f t="shared" si="57"/>
        <v/>
      </c>
      <c r="S185" s="44" t="str">
        <f t="shared" si="58"/>
        <v/>
      </c>
      <c r="T185" s="37" t="str">
        <f t="shared" si="59"/>
        <v/>
      </c>
      <c r="U185" s="44" t="str">
        <f t="shared" si="60"/>
        <v/>
      </c>
      <c r="V185" s="26"/>
      <c r="W185" s="26"/>
      <c r="X185" s="26"/>
      <c r="Y185" s="26"/>
      <c r="Z185" s="24"/>
      <c r="AA185" s="169">
        <f t="shared" si="45"/>
        <v>0</v>
      </c>
      <c r="AB185" s="4">
        <f t="shared" si="46"/>
        <v>0</v>
      </c>
      <c r="AC185" s="170">
        <f t="shared" si="63"/>
        <v>0</v>
      </c>
      <c r="AD185" s="58"/>
      <c r="AE185" s="58"/>
      <c r="AF185" s="58"/>
      <c r="AG185" s="59">
        <f t="shared" si="47"/>
        <v>9.0359999999999996</v>
      </c>
      <c r="AH185" s="59">
        <f t="shared" si="48"/>
        <v>-184.49199999999999</v>
      </c>
      <c r="AJ185" s="4">
        <f>IF(D185="M",IF(AM185&lt;78,BMILMS!$D$5*AM185^3+BMILMS!$E$5*AM185^2+BMILMS!$F$5*AM185+BMILMS!$G$5,IF(AM185&lt;150,BMILMS!$D$6*AM185^3+BMILMS!$E$6*AM185^2+BMILMS!$F$6*AM185+BMILMS!$G$6,BMILMS!$D$7*AM185^3+BMILMS!$E$7*AM185^2+BMILMS!$F$7*AM185+BMILMS!$G$7)),IF(AM185&lt;69,BMILMS!$D$9*AM185^3+BMILMS!$E$9*AM185^2+BMILMS!$F$9*AM185+BMILMS!$G$9,IF(AM185&lt;150,BMILMS!$D$10*AM185^3+BMILMS!$E$10*AM185^2+BMILMS!$F$10*AM185+BMILMS!$G$10,BMILMS!$D$11*AM185^3+BMILMS!$E$11*AM185^2+BMILMS!$F$11*AM185+BMILMS!$G$11)))</f>
        <v>0.79584630099999998</v>
      </c>
      <c r="AK185" s="4">
        <f>IF(D185="M",(IF(AM185&lt;2.5,BMILMS!$D$21*AM185^3+BMILMS!$E$21*AM185^2+BMILMS!$F$21*AM185+BMILMS!$G$21,IF(AM185&lt;9.5,BMILMS!$D$22*AM185^3+BMILMS!$E$22*AM185^2+BMILMS!$F$22*AM185+BMILMS!$G$22,IF(AM185&lt;26.75,BMILMS!$D$23*AM185^3+BMILMS!$E$23*AM185^2+BMILMS!$F$23*AM185+BMILMS!$G$23,IF(AM185&lt;90,BMILMS!$D$24*AM185^3+BMILMS!$E$24*AM185^2+BMILMS!$F$24*AM185+BMILMS!$G$24,BMILMS!$D$25*AM185^3+BMILMS!$E$25*AM185^2+BMILMS!$F$25*AM185+BMILMS!$G$25))))),(IF(AM185&lt;2.5,BMILMS!$D$27*AM185^3+BMILMS!$E$27*AM185^2+BMILMS!$F$27*AM185+BMILMS!$G$27,IF(AM185&lt;9.5,BMILMS!$D$28*AM185^3+BMILMS!$E$28*AM185^2+BMILMS!$F$28*AM185+BMILMS!$G$28,IF(AM185&lt;26.75,BMILMS!$D$29*AM185^3+BMILMS!$E$29*AM185^2+BMILMS!$F$29*AM185+BMILMS!$G$29,IF(AM185&lt;90,BMILMS!$D$30*AM185^3+BMILMS!$E$30*AM185^2+BMILMS!$F$30*AM185+BMILMS!$G$30,IF(AM185&lt;150,BMILMS!$D$31*AM185^3+BMILMS!$E$31*AM185^2+BMILMS!$F$31*AM185+BMILMS!$G$31,BMILMS!$D$32*AM185^3+BMILMS!$E$32*AM185^2+BMILMS!$F$32*AM185+BMILMS!$G$32)))))))</f>
        <v>12.568967990000001</v>
      </c>
      <c r="AL185" s="4">
        <f>IF(D185="M",(IF(AM185&lt;90,BMILMS!$D$14*AM185^3+BMILMS!$E$14*AM185^2+BMILMS!$F$14*AM185+BMILMS!$G$14,BMILMS!$D$15*AM185^3+BMILMS!$E$15*AM185^2+BMILMS!$F$15*AM185+BMILMS!$G$15)),(IF(AM185&lt;90,BMILMS!$D$17*AM185^3+BMILMS!$E$17*AM185^2+BMILMS!$F$17*AM185+BMILMS!$G$17,BMILMS!$D$18*AM185^3+BMILMS!$E$18*AM185^2+BMILMS!$F$18*AM185+BMILMS!$G$18)))</f>
        <v>8.8969350000000003E-2</v>
      </c>
      <c r="AM185" s="4">
        <f t="shared" si="62"/>
        <v>0</v>
      </c>
      <c r="AO185" s="56">
        <f>IF(D185="M",WeightSDS!P$5*$AM185^7+WeightSDS!Q$5*$AM185^6+WeightSDS!R$5*$AM185^5+WeightSDS!S$5*$AM185^4+WeightSDS!T$5*$AM185^3+WeightSDS!U$5*$AM185^2+WeightSDS!V$5*$AM185+WeightSDS!W$5,IF($AM185&lt;186,WeightSDS!P$8*$AM185^7+WeightSDS!Q$8*$AM185^6+WeightSDS!R$8*$AM185^5+WeightSDS!S$8*$AM185^4+WeightSDS!T$8*$AM185^3+WeightSDS!U$8*$AM185^2+WeightSDS!V$8*$AM185+WeightSDS!W$8,WeightSDS!$U$9+WeightSDS!$V$9*($AM185-WeightSDS!$W$9)))</f>
        <v>0.75407122999999998</v>
      </c>
      <c r="AP185" s="4">
        <f>IF(D185="M",IF($AM185&lt;45,WeightSDS!M$23*$AM185^10+WeightSDS!N$23*$AM185^9+WeightSDS!O$23*$AM185^8+WeightSDS!P$23*$AM185^7+WeightSDS!Q$23*$AM185^6+WeightSDS!R$23*$AM185^5+WeightSDS!S$23*$AM185^4+WeightSDS!T$23*$AM185^3+WeightSDS!U$23*$AM185^2+WeightSDS!V$23*$AM185+WeightSDS!W$23,IF($AM185&lt;153,WeightSDS!M$25*$AM185^10+WeightSDS!N$25*$AM185^9+WeightSDS!O$25*$AM185^8+WeightSDS!P$25*$AM185^7+WeightSDS!Q$25*$AM185^6+WeightSDS!R$25*$AM185^5+WeightSDS!S$25*$AM185^4+WeightSDS!T$25*$AM185^3+WeightSDS!U$25*$AM185^2+WeightSDS!V$25*$AM185+WeightSDS!W$25,WeightSDS!M$27+WeightSDS!N$27/(1+EXP(WeightSDS!O$27+WeightSDS!P$27*$AM185)))),IF($AM185&lt;43.8,WeightSDS!M$29*$AM185^10+WeightSDS!N$29*$AM185^9+WeightSDS!O$29*$AM185^8+WeightSDS!P$29*$AM185^7+WeightSDS!Q$29*$AM185^6+WeightSDS!R$29*$AM185^5+WeightSDS!S$29*$AM185^4+WeightSDS!T$29*$AM185^3+WeightSDS!U$29*$AM185^2+WeightSDS!V$29*$AM185+WeightSDS!W$29-0.010431*(1-$AM185/210),IF($AM185&lt;123,WeightSDS!M$30*$AM185^10+WeightSDS!N$30*$AM185^9+WeightSDS!O$30*$AM185^8+WeightSDS!P$30*$AM185^7+WeightSDS!Q$30*$AM185^6+WeightSDS!R$30*$AM185^5+WeightSDS!S$30*$AM185^4+WeightSDS!T$30*$AM185^3+WeightSDS!U$30*$AM185^2+WeightSDS!V$30*$AM185+WeightSDS!W$30-0.010431*(1-1/$AM185),WeightSDS!M$32+WeightSDS!N$32/(1+EXP(WeightSDS!O$32+WeightSDS!P$32*$AM185))-0.010431*(1-$AM185/210))))</f>
        <v>2.9500001032655536</v>
      </c>
      <c r="AQ185" s="4">
        <f>IF(D185="M",IF($AM185&lt;162,WeightSDS!P$12*$AM185^7+WeightSDS!Q$12*$AM185^6+WeightSDS!R$12*$AM185^5+WeightSDS!S$12*$AM185^4+WeightSDS!T$12*$AM185^3+WeightSDS!U$12*$AM185^2+WeightSDS!V$12*$AM185+WeightSDS!W$12,WeightSDS!P$14*$AM185^7+WeightSDS!Q$14*$AM185^6+WeightSDS!R$14*$AM185^5+WeightSDS!S$14*$AM185^4+WeightSDS!T$14*$AM185^3+WeightSDS!U$14*$AM185^2+WeightSDS!V$14*$AM185+WeightSDS!W$14),IF($AM185&lt;156,WeightSDS!O$17*$AM185^8+WeightSDS!P$17*$AM185^7+WeightSDS!Q$17*$AM185^6+WeightSDS!R$17*$AM185^5+WeightSDS!S$17*$AM185^4+WeightSDS!T$17*$AM185^3+WeightSDS!U$17*$AM185^2+WeightSDS!V$17*$AM185+WeightSDS!W$17,IF($AM185&lt;186,WeightSDS!$U$18+(WeightSDS!$V$18-WeightSDS!$U$18)/24*($AM185-186)+WeightSDS!$W$18*(-$AM185+186)^2-0.005,WeightSDS!$U$18+(WeightSDS!$V$18-WeightSDS!$U$18)/24*($AM185-186)-0.005)))</f>
        <v>0.14604529399999999</v>
      </c>
      <c r="AT185" s="4">
        <f t="shared" si="49"/>
        <v>0.56299999999999994</v>
      </c>
      <c r="AU185" s="4">
        <f t="shared" si="50"/>
        <v>69</v>
      </c>
      <c r="AV185" s="4">
        <f t="shared" si="51"/>
        <v>0.51</v>
      </c>
    </row>
    <row r="186" spans="1:48" x14ac:dyDescent="0.15">
      <c r="A186" s="4"/>
      <c r="B186" s="21"/>
      <c r="C186" s="21"/>
      <c r="D186" s="21"/>
      <c r="E186" s="22"/>
      <c r="F186" s="22"/>
      <c r="G186" s="23"/>
      <c r="H186" s="23"/>
      <c r="I186" s="181"/>
      <c r="J186" s="8" t="str">
        <f t="shared" si="43"/>
        <v/>
      </c>
      <c r="K186" s="2" t="str">
        <f t="shared" si="52"/>
        <v/>
      </c>
      <c r="L186" s="2" t="str">
        <f t="shared" si="44"/>
        <v/>
      </c>
      <c r="M186" s="2" t="str">
        <f t="shared" si="53"/>
        <v/>
      </c>
      <c r="N186" s="2" t="str">
        <f t="shared" si="61"/>
        <v/>
      </c>
      <c r="O186" s="2" t="str">
        <f t="shared" si="54"/>
        <v/>
      </c>
      <c r="P186" s="8" t="str">
        <f t="shared" si="55"/>
        <v/>
      </c>
      <c r="Q186" s="8" t="str">
        <f t="shared" si="56"/>
        <v/>
      </c>
      <c r="R186" s="111" t="str">
        <f t="shared" si="57"/>
        <v/>
      </c>
      <c r="S186" s="44" t="str">
        <f t="shared" si="58"/>
        <v/>
      </c>
      <c r="T186" s="37" t="str">
        <f t="shared" si="59"/>
        <v/>
      </c>
      <c r="U186" s="44" t="str">
        <f t="shared" si="60"/>
        <v/>
      </c>
      <c r="V186" s="26"/>
      <c r="W186" s="26"/>
      <c r="X186" s="26"/>
      <c r="Y186" s="26"/>
      <c r="Z186" s="24"/>
      <c r="AA186" s="169">
        <f t="shared" si="45"/>
        <v>0</v>
      </c>
      <c r="AB186" s="4">
        <f t="shared" si="46"/>
        <v>0</v>
      </c>
      <c r="AC186" s="170">
        <f t="shared" si="63"/>
        <v>0</v>
      </c>
      <c r="AD186" s="58"/>
      <c r="AE186" s="58"/>
      <c r="AF186" s="58"/>
      <c r="AG186" s="59">
        <f t="shared" si="47"/>
        <v>9.0359999999999996</v>
      </c>
      <c r="AH186" s="59">
        <f t="shared" si="48"/>
        <v>-184.49199999999999</v>
      </c>
      <c r="AJ186" s="4">
        <f>IF(D186="M",IF(AM186&lt;78,BMILMS!$D$5*AM186^3+BMILMS!$E$5*AM186^2+BMILMS!$F$5*AM186+BMILMS!$G$5,IF(AM186&lt;150,BMILMS!$D$6*AM186^3+BMILMS!$E$6*AM186^2+BMILMS!$F$6*AM186+BMILMS!$G$6,BMILMS!$D$7*AM186^3+BMILMS!$E$7*AM186^2+BMILMS!$F$7*AM186+BMILMS!$G$7)),IF(AM186&lt;69,BMILMS!$D$9*AM186^3+BMILMS!$E$9*AM186^2+BMILMS!$F$9*AM186+BMILMS!$G$9,IF(AM186&lt;150,BMILMS!$D$10*AM186^3+BMILMS!$E$10*AM186^2+BMILMS!$F$10*AM186+BMILMS!$G$10,BMILMS!$D$11*AM186^3+BMILMS!$E$11*AM186^2+BMILMS!$F$11*AM186+BMILMS!$G$11)))</f>
        <v>0.79584630099999998</v>
      </c>
      <c r="AK186" s="4">
        <f>IF(D186="M",(IF(AM186&lt;2.5,BMILMS!$D$21*AM186^3+BMILMS!$E$21*AM186^2+BMILMS!$F$21*AM186+BMILMS!$G$21,IF(AM186&lt;9.5,BMILMS!$D$22*AM186^3+BMILMS!$E$22*AM186^2+BMILMS!$F$22*AM186+BMILMS!$G$22,IF(AM186&lt;26.75,BMILMS!$D$23*AM186^3+BMILMS!$E$23*AM186^2+BMILMS!$F$23*AM186+BMILMS!$G$23,IF(AM186&lt;90,BMILMS!$D$24*AM186^3+BMILMS!$E$24*AM186^2+BMILMS!$F$24*AM186+BMILMS!$G$24,BMILMS!$D$25*AM186^3+BMILMS!$E$25*AM186^2+BMILMS!$F$25*AM186+BMILMS!$G$25))))),(IF(AM186&lt;2.5,BMILMS!$D$27*AM186^3+BMILMS!$E$27*AM186^2+BMILMS!$F$27*AM186+BMILMS!$G$27,IF(AM186&lt;9.5,BMILMS!$D$28*AM186^3+BMILMS!$E$28*AM186^2+BMILMS!$F$28*AM186+BMILMS!$G$28,IF(AM186&lt;26.75,BMILMS!$D$29*AM186^3+BMILMS!$E$29*AM186^2+BMILMS!$F$29*AM186+BMILMS!$G$29,IF(AM186&lt;90,BMILMS!$D$30*AM186^3+BMILMS!$E$30*AM186^2+BMILMS!$F$30*AM186+BMILMS!$G$30,IF(AM186&lt;150,BMILMS!$D$31*AM186^3+BMILMS!$E$31*AM186^2+BMILMS!$F$31*AM186+BMILMS!$G$31,BMILMS!$D$32*AM186^3+BMILMS!$E$32*AM186^2+BMILMS!$F$32*AM186+BMILMS!$G$32)))))))</f>
        <v>12.568967990000001</v>
      </c>
      <c r="AL186" s="4">
        <f>IF(D186="M",(IF(AM186&lt;90,BMILMS!$D$14*AM186^3+BMILMS!$E$14*AM186^2+BMILMS!$F$14*AM186+BMILMS!$G$14,BMILMS!$D$15*AM186^3+BMILMS!$E$15*AM186^2+BMILMS!$F$15*AM186+BMILMS!$G$15)),(IF(AM186&lt;90,BMILMS!$D$17*AM186^3+BMILMS!$E$17*AM186^2+BMILMS!$F$17*AM186+BMILMS!$G$17,BMILMS!$D$18*AM186^3+BMILMS!$E$18*AM186^2+BMILMS!$F$18*AM186+BMILMS!$G$18)))</f>
        <v>8.8969350000000003E-2</v>
      </c>
      <c r="AM186" s="4">
        <f t="shared" si="62"/>
        <v>0</v>
      </c>
      <c r="AO186" s="56">
        <f>IF(D186="M",WeightSDS!P$5*$AM186^7+WeightSDS!Q$5*$AM186^6+WeightSDS!R$5*$AM186^5+WeightSDS!S$5*$AM186^4+WeightSDS!T$5*$AM186^3+WeightSDS!U$5*$AM186^2+WeightSDS!V$5*$AM186+WeightSDS!W$5,IF($AM186&lt;186,WeightSDS!P$8*$AM186^7+WeightSDS!Q$8*$AM186^6+WeightSDS!R$8*$AM186^5+WeightSDS!S$8*$AM186^4+WeightSDS!T$8*$AM186^3+WeightSDS!U$8*$AM186^2+WeightSDS!V$8*$AM186+WeightSDS!W$8,WeightSDS!$U$9+WeightSDS!$V$9*($AM186-WeightSDS!$W$9)))</f>
        <v>0.75407122999999998</v>
      </c>
      <c r="AP186" s="4">
        <f>IF(D186="M",IF($AM186&lt;45,WeightSDS!M$23*$AM186^10+WeightSDS!N$23*$AM186^9+WeightSDS!O$23*$AM186^8+WeightSDS!P$23*$AM186^7+WeightSDS!Q$23*$AM186^6+WeightSDS!R$23*$AM186^5+WeightSDS!S$23*$AM186^4+WeightSDS!T$23*$AM186^3+WeightSDS!U$23*$AM186^2+WeightSDS!V$23*$AM186+WeightSDS!W$23,IF($AM186&lt;153,WeightSDS!M$25*$AM186^10+WeightSDS!N$25*$AM186^9+WeightSDS!O$25*$AM186^8+WeightSDS!P$25*$AM186^7+WeightSDS!Q$25*$AM186^6+WeightSDS!R$25*$AM186^5+WeightSDS!S$25*$AM186^4+WeightSDS!T$25*$AM186^3+WeightSDS!U$25*$AM186^2+WeightSDS!V$25*$AM186+WeightSDS!W$25,WeightSDS!M$27+WeightSDS!N$27/(1+EXP(WeightSDS!O$27+WeightSDS!P$27*$AM186)))),IF($AM186&lt;43.8,WeightSDS!M$29*$AM186^10+WeightSDS!N$29*$AM186^9+WeightSDS!O$29*$AM186^8+WeightSDS!P$29*$AM186^7+WeightSDS!Q$29*$AM186^6+WeightSDS!R$29*$AM186^5+WeightSDS!S$29*$AM186^4+WeightSDS!T$29*$AM186^3+WeightSDS!U$29*$AM186^2+WeightSDS!V$29*$AM186+WeightSDS!W$29-0.010431*(1-$AM186/210),IF($AM186&lt;123,WeightSDS!M$30*$AM186^10+WeightSDS!N$30*$AM186^9+WeightSDS!O$30*$AM186^8+WeightSDS!P$30*$AM186^7+WeightSDS!Q$30*$AM186^6+WeightSDS!R$30*$AM186^5+WeightSDS!S$30*$AM186^4+WeightSDS!T$30*$AM186^3+WeightSDS!U$30*$AM186^2+WeightSDS!V$30*$AM186+WeightSDS!W$30-0.010431*(1-1/$AM186),WeightSDS!M$32+WeightSDS!N$32/(1+EXP(WeightSDS!O$32+WeightSDS!P$32*$AM186))-0.010431*(1-$AM186/210))))</f>
        <v>2.9500001032655536</v>
      </c>
      <c r="AQ186" s="4">
        <f>IF(D186="M",IF($AM186&lt;162,WeightSDS!P$12*$AM186^7+WeightSDS!Q$12*$AM186^6+WeightSDS!R$12*$AM186^5+WeightSDS!S$12*$AM186^4+WeightSDS!T$12*$AM186^3+WeightSDS!U$12*$AM186^2+WeightSDS!V$12*$AM186+WeightSDS!W$12,WeightSDS!P$14*$AM186^7+WeightSDS!Q$14*$AM186^6+WeightSDS!R$14*$AM186^5+WeightSDS!S$14*$AM186^4+WeightSDS!T$14*$AM186^3+WeightSDS!U$14*$AM186^2+WeightSDS!V$14*$AM186+WeightSDS!W$14),IF($AM186&lt;156,WeightSDS!O$17*$AM186^8+WeightSDS!P$17*$AM186^7+WeightSDS!Q$17*$AM186^6+WeightSDS!R$17*$AM186^5+WeightSDS!S$17*$AM186^4+WeightSDS!T$17*$AM186^3+WeightSDS!U$17*$AM186^2+WeightSDS!V$17*$AM186+WeightSDS!W$17,IF($AM186&lt;186,WeightSDS!$U$18+(WeightSDS!$V$18-WeightSDS!$U$18)/24*($AM186-186)+WeightSDS!$W$18*(-$AM186+186)^2-0.005,WeightSDS!$U$18+(WeightSDS!$V$18-WeightSDS!$U$18)/24*($AM186-186)-0.005)))</f>
        <v>0.14604529399999999</v>
      </c>
      <c r="AT186" s="4">
        <f t="shared" si="49"/>
        <v>0.56299999999999994</v>
      </c>
      <c r="AU186" s="4">
        <f t="shared" si="50"/>
        <v>69</v>
      </c>
      <c r="AV186" s="4">
        <f t="shared" si="51"/>
        <v>0.51</v>
      </c>
    </row>
    <row r="187" spans="1:48" x14ac:dyDescent="0.15">
      <c r="A187" s="4"/>
      <c r="B187" s="21"/>
      <c r="C187" s="21"/>
      <c r="D187" s="21"/>
      <c r="E187" s="22"/>
      <c r="F187" s="22"/>
      <c r="G187" s="23"/>
      <c r="H187" s="23"/>
      <c r="I187" s="181"/>
      <c r="J187" s="8" t="str">
        <f t="shared" si="43"/>
        <v/>
      </c>
      <c r="K187" s="2" t="str">
        <f t="shared" si="52"/>
        <v/>
      </c>
      <c r="L187" s="2" t="str">
        <f t="shared" si="44"/>
        <v/>
      </c>
      <c r="M187" s="2" t="str">
        <f t="shared" si="53"/>
        <v/>
      </c>
      <c r="N187" s="2" t="str">
        <f t="shared" si="61"/>
        <v/>
      </c>
      <c r="O187" s="2" t="str">
        <f t="shared" si="54"/>
        <v/>
      </c>
      <c r="P187" s="8" t="str">
        <f t="shared" si="55"/>
        <v/>
      </c>
      <c r="Q187" s="8" t="str">
        <f t="shared" si="56"/>
        <v/>
      </c>
      <c r="R187" s="111" t="str">
        <f t="shared" si="57"/>
        <v/>
      </c>
      <c r="S187" s="44" t="str">
        <f t="shared" si="58"/>
        <v/>
      </c>
      <c r="T187" s="37" t="str">
        <f t="shared" si="59"/>
        <v/>
      </c>
      <c r="U187" s="44" t="str">
        <f t="shared" si="60"/>
        <v/>
      </c>
      <c r="V187" s="26"/>
      <c r="W187" s="26"/>
      <c r="X187" s="26"/>
      <c r="Y187" s="26"/>
      <c r="Z187" s="24"/>
      <c r="AA187" s="169">
        <f t="shared" si="45"/>
        <v>0</v>
      </c>
      <c r="AB187" s="4">
        <f t="shared" si="46"/>
        <v>0</v>
      </c>
      <c r="AC187" s="170">
        <f t="shared" si="63"/>
        <v>0</v>
      </c>
      <c r="AD187" s="58"/>
      <c r="AE187" s="58"/>
      <c r="AF187" s="58"/>
      <c r="AG187" s="59">
        <f t="shared" si="47"/>
        <v>9.0359999999999996</v>
      </c>
      <c r="AH187" s="59">
        <f t="shared" si="48"/>
        <v>-184.49199999999999</v>
      </c>
      <c r="AJ187" s="4">
        <f>IF(D187="M",IF(AM187&lt;78,BMILMS!$D$5*AM187^3+BMILMS!$E$5*AM187^2+BMILMS!$F$5*AM187+BMILMS!$G$5,IF(AM187&lt;150,BMILMS!$D$6*AM187^3+BMILMS!$E$6*AM187^2+BMILMS!$F$6*AM187+BMILMS!$G$6,BMILMS!$D$7*AM187^3+BMILMS!$E$7*AM187^2+BMILMS!$F$7*AM187+BMILMS!$G$7)),IF(AM187&lt;69,BMILMS!$D$9*AM187^3+BMILMS!$E$9*AM187^2+BMILMS!$F$9*AM187+BMILMS!$G$9,IF(AM187&lt;150,BMILMS!$D$10*AM187^3+BMILMS!$E$10*AM187^2+BMILMS!$F$10*AM187+BMILMS!$G$10,BMILMS!$D$11*AM187^3+BMILMS!$E$11*AM187^2+BMILMS!$F$11*AM187+BMILMS!$G$11)))</f>
        <v>0.79584630099999998</v>
      </c>
      <c r="AK187" s="4">
        <f>IF(D187="M",(IF(AM187&lt;2.5,BMILMS!$D$21*AM187^3+BMILMS!$E$21*AM187^2+BMILMS!$F$21*AM187+BMILMS!$G$21,IF(AM187&lt;9.5,BMILMS!$D$22*AM187^3+BMILMS!$E$22*AM187^2+BMILMS!$F$22*AM187+BMILMS!$G$22,IF(AM187&lt;26.75,BMILMS!$D$23*AM187^3+BMILMS!$E$23*AM187^2+BMILMS!$F$23*AM187+BMILMS!$G$23,IF(AM187&lt;90,BMILMS!$D$24*AM187^3+BMILMS!$E$24*AM187^2+BMILMS!$F$24*AM187+BMILMS!$G$24,BMILMS!$D$25*AM187^3+BMILMS!$E$25*AM187^2+BMILMS!$F$25*AM187+BMILMS!$G$25))))),(IF(AM187&lt;2.5,BMILMS!$D$27*AM187^3+BMILMS!$E$27*AM187^2+BMILMS!$F$27*AM187+BMILMS!$G$27,IF(AM187&lt;9.5,BMILMS!$D$28*AM187^3+BMILMS!$E$28*AM187^2+BMILMS!$F$28*AM187+BMILMS!$G$28,IF(AM187&lt;26.75,BMILMS!$D$29*AM187^3+BMILMS!$E$29*AM187^2+BMILMS!$F$29*AM187+BMILMS!$G$29,IF(AM187&lt;90,BMILMS!$D$30*AM187^3+BMILMS!$E$30*AM187^2+BMILMS!$F$30*AM187+BMILMS!$G$30,IF(AM187&lt;150,BMILMS!$D$31*AM187^3+BMILMS!$E$31*AM187^2+BMILMS!$F$31*AM187+BMILMS!$G$31,BMILMS!$D$32*AM187^3+BMILMS!$E$32*AM187^2+BMILMS!$F$32*AM187+BMILMS!$G$32)))))))</f>
        <v>12.568967990000001</v>
      </c>
      <c r="AL187" s="4">
        <f>IF(D187="M",(IF(AM187&lt;90,BMILMS!$D$14*AM187^3+BMILMS!$E$14*AM187^2+BMILMS!$F$14*AM187+BMILMS!$G$14,BMILMS!$D$15*AM187^3+BMILMS!$E$15*AM187^2+BMILMS!$F$15*AM187+BMILMS!$G$15)),(IF(AM187&lt;90,BMILMS!$D$17*AM187^3+BMILMS!$E$17*AM187^2+BMILMS!$F$17*AM187+BMILMS!$G$17,BMILMS!$D$18*AM187^3+BMILMS!$E$18*AM187^2+BMILMS!$F$18*AM187+BMILMS!$G$18)))</f>
        <v>8.8969350000000003E-2</v>
      </c>
      <c r="AM187" s="4">
        <f t="shared" si="62"/>
        <v>0</v>
      </c>
      <c r="AO187" s="56">
        <f>IF(D187="M",WeightSDS!P$5*$AM187^7+WeightSDS!Q$5*$AM187^6+WeightSDS!R$5*$AM187^5+WeightSDS!S$5*$AM187^4+WeightSDS!T$5*$AM187^3+WeightSDS!U$5*$AM187^2+WeightSDS!V$5*$AM187+WeightSDS!W$5,IF($AM187&lt;186,WeightSDS!P$8*$AM187^7+WeightSDS!Q$8*$AM187^6+WeightSDS!R$8*$AM187^5+WeightSDS!S$8*$AM187^4+WeightSDS!T$8*$AM187^3+WeightSDS!U$8*$AM187^2+WeightSDS!V$8*$AM187+WeightSDS!W$8,WeightSDS!$U$9+WeightSDS!$V$9*($AM187-WeightSDS!$W$9)))</f>
        <v>0.75407122999999998</v>
      </c>
      <c r="AP187" s="4">
        <f>IF(D187="M",IF($AM187&lt;45,WeightSDS!M$23*$AM187^10+WeightSDS!N$23*$AM187^9+WeightSDS!O$23*$AM187^8+WeightSDS!P$23*$AM187^7+WeightSDS!Q$23*$AM187^6+WeightSDS!R$23*$AM187^5+WeightSDS!S$23*$AM187^4+WeightSDS!T$23*$AM187^3+WeightSDS!U$23*$AM187^2+WeightSDS!V$23*$AM187+WeightSDS!W$23,IF($AM187&lt;153,WeightSDS!M$25*$AM187^10+WeightSDS!N$25*$AM187^9+WeightSDS!O$25*$AM187^8+WeightSDS!P$25*$AM187^7+WeightSDS!Q$25*$AM187^6+WeightSDS!R$25*$AM187^5+WeightSDS!S$25*$AM187^4+WeightSDS!T$25*$AM187^3+WeightSDS!U$25*$AM187^2+WeightSDS!V$25*$AM187+WeightSDS!W$25,WeightSDS!M$27+WeightSDS!N$27/(1+EXP(WeightSDS!O$27+WeightSDS!P$27*$AM187)))),IF($AM187&lt;43.8,WeightSDS!M$29*$AM187^10+WeightSDS!N$29*$AM187^9+WeightSDS!O$29*$AM187^8+WeightSDS!P$29*$AM187^7+WeightSDS!Q$29*$AM187^6+WeightSDS!R$29*$AM187^5+WeightSDS!S$29*$AM187^4+WeightSDS!T$29*$AM187^3+WeightSDS!U$29*$AM187^2+WeightSDS!V$29*$AM187+WeightSDS!W$29-0.010431*(1-$AM187/210),IF($AM187&lt;123,WeightSDS!M$30*$AM187^10+WeightSDS!N$30*$AM187^9+WeightSDS!O$30*$AM187^8+WeightSDS!P$30*$AM187^7+WeightSDS!Q$30*$AM187^6+WeightSDS!R$30*$AM187^5+WeightSDS!S$30*$AM187^4+WeightSDS!T$30*$AM187^3+WeightSDS!U$30*$AM187^2+WeightSDS!V$30*$AM187+WeightSDS!W$30-0.010431*(1-1/$AM187),WeightSDS!M$32+WeightSDS!N$32/(1+EXP(WeightSDS!O$32+WeightSDS!P$32*$AM187))-0.010431*(1-$AM187/210))))</f>
        <v>2.9500001032655536</v>
      </c>
      <c r="AQ187" s="4">
        <f>IF(D187="M",IF($AM187&lt;162,WeightSDS!P$12*$AM187^7+WeightSDS!Q$12*$AM187^6+WeightSDS!R$12*$AM187^5+WeightSDS!S$12*$AM187^4+WeightSDS!T$12*$AM187^3+WeightSDS!U$12*$AM187^2+WeightSDS!V$12*$AM187+WeightSDS!W$12,WeightSDS!P$14*$AM187^7+WeightSDS!Q$14*$AM187^6+WeightSDS!R$14*$AM187^5+WeightSDS!S$14*$AM187^4+WeightSDS!T$14*$AM187^3+WeightSDS!U$14*$AM187^2+WeightSDS!V$14*$AM187+WeightSDS!W$14),IF($AM187&lt;156,WeightSDS!O$17*$AM187^8+WeightSDS!P$17*$AM187^7+WeightSDS!Q$17*$AM187^6+WeightSDS!R$17*$AM187^5+WeightSDS!S$17*$AM187^4+WeightSDS!T$17*$AM187^3+WeightSDS!U$17*$AM187^2+WeightSDS!V$17*$AM187+WeightSDS!W$17,IF($AM187&lt;186,WeightSDS!$U$18+(WeightSDS!$V$18-WeightSDS!$U$18)/24*($AM187-186)+WeightSDS!$W$18*(-$AM187+186)^2-0.005,WeightSDS!$U$18+(WeightSDS!$V$18-WeightSDS!$U$18)/24*($AM187-186)-0.005)))</f>
        <v>0.14604529399999999</v>
      </c>
      <c r="AT187" s="4">
        <f t="shared" si="49"/>
        <v>0.56299999999999994</v>
      </c>
      <c r="AU187" s="4">
        <f t="shared" si="50"/>
        <v>69</v>
      </c>
      <c r="AV187" s="4">
        <f t="shared" si="51"/>
        <v>0.51</v>
      </c>
    </row>
    <row r="188" spans="1:48" x14ac:dyDescent="0.15">
      <c r="A188" s="4"/>
      <c r="B188" s="21"/>
      <c r="C188" s="21"/>
      <c r="D188" s="21"/>
      <c r="E188" s="22"/>
      <c r="F188" s="22"/>
      <c r="G188" s="23"/>
      <c r="H188" s="23"/>
      <c r="I188" s="181"/>
      <c r="J188" s="8" t="str">
        <f t="shared" si="43"/>
        <v/>
      </c>
      <c r="K188" s="2" t="str">
        <f t="shared" si="52"/>
        <v/>
      </c>
      <c r="L188" s="2" t="str">
        <f t="shared" si="44"/>
        <v/>
      </c>
      <c r="M188" s="2" t="str">
        <f t="shared" si="53"/>
        <v/>
      </c>
      <c r="N188" s="2" t="str">
        <f t="shared" si="61"/>
        <v/>
      </c>
      <c r="O188" s="2" t="str">
        <f t="shared" si="54"/>
        <v/>
      </c>
      <c r="P188" s="8" t="str">
        <f t="shared" si="55"/>
        <v/>
      </c>
      <c r="Q188" s="8" t="str">
        <f t="shared" si="56"/>
        <v/>
      </c>
      <c r="R188" s="111" t="str">
        <f t="shared" si="57"/>
        <v/>
      </c>
      <c r="S188" s="44" t="str">
        <f t="shared" si="58"/>
        <v/>
      </c>
      <c r="T188" s="37" t="str">
        <f t="shared" si="59"/>
        <v/>
      </c>
      <c r="U188" s="44" t="str">
        <f t="shared" si="60"/>
        <v/>
      </c>
      <c r="V188" s="26"/>
      <c r="W188" s="26"/>
      <c r="X188" s="26"/>
      <c r="Y188" s="26"/>
      <c r="Z188" s="24"/>
      <c r="AA188" s="169">
        <f t="shared" si="45"/>
        <v>0</v>
      </c>
      <c r="AB188" s="4">
        <f t="shared" si="46"/>
        <v>0</v>
      </c>
      <c r="AC188" s="170">
        <f t="shared" si="63"/>
        <v>0</v>
      </c>
      <c r="AD188" s="58"/>
      <c r="AE188" s="58"/>
      <c r="AF188" s="58"/>
      <c r="AG188" s="59">
        <f t="shared" si="47"/>
        <v>9.0359999999999996</v>
      </c>
      <c r="AH188" s="59">
        <f t="shared" si="48"/>
        <v>-184.49199999999999</v>
      </c>
      <c r="AJ188" s="4">
        <f>IF(D188="M",IF(AM188&lt;78,BMILMS!$D$5*AM188^3+BMILMS!$E$5*AM188^2+BMILMS!$F$5*AM188+BMILMS!$G$5,IF(AM188&lt;150,BMILMS!$D$6*AM188^3+BMILMS!$E$6*AM188^2+BMILMS!$F$6*AM188+BMILMS!$G$6,BMILMS!$D$7*AM188^3+BMILMS!$E$7*AM188^2+BMILMS!$F$7*AM188+BMILMS!$G$7)),IF(AM188&lt;69,BMILMS!$D$9*AM188^3+BMILMS!$E$9*AM188^2+BMILMS!$F$9*AM188+BMILMS!$G$9,IF(AM188&lt;150,BMILMS!$D$10*AM188^3+BMILMS!$E$10*AM188^2+BMILMS!$F$10*AM188+BMILMS!$G$10,BMILMS!$D$11*AM188^3+BMILMS!$E$11*AM188^2+BMILMS!$F$11*AM188+BMILMS!$G$11)))</f>
        <v>0.79584630099999998</v>
      </c>
      <c r="AK188" s="4">
        <f>IF(D188="M",(IF(AM188&lt;2.5,BMILMS!$D$21*AM188^3+BMILMS!$E$21*AM188^2+BMILMS!$F$21*AM188+BMILMS!$G$21,IF(AM188&lt;9.5,BMILMS!$D$22*AM188^3+BMILMS!$E$22*AM188^2+BMILMS!$F$22*AM188+BMILMS!$G$22,IF(AM188&lt;26.75,BMILMS!$D$23*AM188^3+BMILMS!$E$23*AM188^2+BMILMS!$F$23*AM188+BMILMS!$G$23,IF(AM188&lt;90,BMILMS!$D$24*AM188^3+BMILMS!$E$24*AM188^2+BMILMS!$F$24*AM188+BMILMS!$G$24,BMILMS!$D$25*AM188^3+BMILMS!$E$25*AM188^2+BMILMS!$F$25*AM188+BMILMS!$G$25))))),(IF(AM188&lt;2.5,BMILMS!$D$27*AM188^3+BMILMS!$E$27*AM188^2+BMILMS!$F$27*AM188+BMILMS!$G$27,IF(AM188&lt;9.5,BMILMS!$D$28*AM188^3+BMILMS!$E$28*AM188^2+BMILMS!$F$28*AM188+BMILMS!$G$28,IF(AM188&lt;26.75,BMILMS!$D$29*AM188^3+BMILMS!$E$29*AM188^2+BMILMS!$F$29*AM188+BMILMS!$G$29,IF(AM188&lt;90,BMILMS!$D$30*AM188^3+BMILMS!$E$30*AM188^2+BMILMS!$F$30*AM188+BMILMS!$G$30,IF(AM188&lt;150,BMILMS!$D$31*AM188^3+BMILMS!$E$31*AM188^2+BMILMS!$F$31*AM188+BMILMS!$G$31,BMILMS!$D$32*AM188^3+BMILMS!$E$32*AM188^2+BMILMS!$F$32*AM188+BMILMS!$G$32)))))))</f>
        <v>12.568967990000001</v>
      </c>
      <c r="AL188" s="4">
        <f>IF(D188="M",(IF(AM188&lt;90,BMILMS!$D$14*AM188^3+BMILMS!$E$14*AM188^2+BMILMS!$F$14*AM188+BMILMS!$G$14,BMILMS!$D$15*AM188^3+BMILMS!$E$15*AM188^2+BMILMS!$F$15*AM188+BMILMS!$G$15)),(IF(AM188&lt;90,BMILMS!$D$17*AM188^3+BMILMS!$E$17*AM188^2+BMILMS!$F$17*AM188+BMILMS!$G$17,BMILMS!$D$18*AM188^3+BMILMS!$E$18*AM188^2+BMILMS!$F$18*AM188+BMILMS!$G$18)))</f>
        <v>8.8969350000000003E-2</v>
      </c>
      <c r="AM188" s="4">
        <f t="shared" si="62"/>
        <v>0</v>
      </c>
      <c r="AO188" s="56">
        <f>IF(D188="M",WeightSDS!P$5*$AM188^7+WeightSDS!Q$5*$AM188^6+WeightSDS!R$5*$AM188^5+WeightSDS!S$5*$AM188^4+WeightSDS!T$5*$AM188^3+WeightSDS!U$5*$AM188^2+WeightSDS!V$5*$AM188+WeightSDS!W$5,IF($AM188&lt;186,WeightSDS!P$8*$AM188^7+WeightSDS!Q$8*$AM188^6+WeightSDS!R$8*$AM188^5+WeightSDS!S$8*$AM188^4+WeightSDS!T$8*$AM188^3+WeightSDS!U$8*$AM188^2+WeightSDS!V$8*$AM188+WeightSDS!W$8,WeightSDS!$U$9+WeightSDS!$V$9*($AM188-WeightSDS!$W$9)))</f>
        <v>0.75407122999999998</v>
      </c>
      <c r="AP188" s="4">
        <f>IF(D188="M",IF($AM188&lt;45,WeightSDS!M$23*$AM188^10+WeightSDS!N$23*$AM188^9+WeightSDS!O$23*$AM188^8+WeightSDS!P$23*$AM188^7+WeightSDS!Q$23*$AM188^6+WeightSDS!R$23*$AM188^5+WeightSDS!S$23*$AM188^4+WeightSDS!T$23*$AM188^3+WeightSDS!U$23*$AM188^2+WeightSDS!V$23*$AM188+WeightSDS!W$23,IF($AM188&lt;153,WeightSDS!M$25*$AM188^10+WeightSDS!N$25*$AM188^9+WeightSDS!O$25*$AM188^8+WeightSDS!P$25*$AM188^7+WeightSDS!Q$25*$AM188^6+WeightSDS!R$25*$AM188^5+WeightSDS!S$25*$AM188^4+WeightSDS!T$25*$AM188^3+WeightSDS!U$25*$AM188^2+WeightSDS!V$25*$AM188+WeightSDS!W$25,WeightSDS!M$27+WeightSDS!N$27/(1+EXP(WeightSDS!O$27+WeightSDS!P$27*$AM188)))),IF($AM188&lt;43.8,WeightSDS!M$29*$AM188^10+WeightSDS!N$29*$AM188^9+WeightSDS!O$29*$AM188^8+WeightSDS!P$29*$AM188^7+WeightSDS!Q$29*$AM188^6+WeightSDS!R$29*$AM188^5+WeightSDS!S$29*$AM188^4+WeightSDS!T$29*$AM188^3+WeightSDS!U$29*$AM188^2+WeightSDS!V$29*$AM188+WeightSDS!W$29-0.010431*(1-$AM188/210),IF($AM188&lt;123,WeightSDS!M$30*$AM188^10+WeightSDS!N$30*$AM188^9+WeightSDS!O$30*$AM188^8+WeightSDS!P$30*$AM188^7+WeightSDS!Q$30*$AM188^6+WeightSDS!R$30*$AM188^5+WeightSDS!S$30*$AM188^4+WeightSDS!T$30*$AM188^3+WeightSDS!U$30*$AM188^2+WeightSDS!V$30*$AM188+WeightSDS!W$30-0.010431*(1-1/$AM188),WeightSDS!M$32+WeightSDS!N$32/(1+EXP(WeightSDS!O$32+WeightSDS!P$32*$AM188))-0.010431*(1-$AM188/210))))</f>
        <v>2.9500001032655536</v>
      </c>
      <c r="AQ188" s="4">
        <f>IF(D188="M",IF($AM188&lt;162,WeightSDS!P$12*$AM188^7+WeightSDS!Q$12*$AM188^6+WeightSDS!R$12*$AM188^5+WeightSDS!S$12*$AM188^4+WeightSDS!T$12*$AM188^3+WeightSDS!U$12*$AM188^2+WeightSDS!V$12*$AM188+WeightSDS!W$12,WeightSDS!P$14*$AM188^7+WeightSDS!Q$14*$AM188^6+WeightSDS!R$14*$AM188^5+WeightSDS!S$14*$AM188^4+WeightSDS!T$14*$AM188^3+WeightSDS!U$14*$AM188^2+WeightSDS!V$14*$AM188+WeightSDS!W$14),IF($AM188&lt;156,WeightSDS!O$17*$AM188^8+WeightSDS!P$17*$AM188^7+WeightSDS!Q$17*$AM188^6+WeightSDS!R$17*$AM188^5+WeightSDS!S$17*$AM188^4+WeightSDS!T$17*$AM188^3+WeightSDS!U$17*$AM188^2+WeightSDS!V$17*$AM188+WeightSDS!W$17,IF($AM188&lt;186,WeightSDS!$U$18+(WeightSDS!$V$18-WeightSDS!$U$18)/24*($AM188-186)+WeightSDS!$W$18*(-$AM188+186)^2-0.005,WeightSDS!$U$18+(WeightSDS!$V$18-WeightSDS!$U$18)/24*($AM188-186)-0.005)))</f>
        <v>0.14604529399999999</v>
      </c>
      <c r="AT188" s="4">
        <f t="shared" si="49"/>
        <v>0.56299999999999994</v>
      </c>
      <c r="AU188" s="4">
        <f t="shared" si="50"/>
        <v>69</v>
      </c>
      <c r="AV188" s="4">
        <f t="shared" si="51"/>
        <v>0.51</v>
      </c>
    </row>
    <row r="189" spans="1:48" x14ac:dyDescent="0.15">
      <c r="A189" s="4"/>
      <c r="B189" s="21"/>
      <c r="C189" s="21"/>
      <c r="D189" s="21"/>
      <c r="E189" s="22"/>
      <c r="F189" s="22"/>
      <c r="G189" s="23"/>
      <c r="H189" s="23"/>
      <c r="I189" s="181"/>
      <c r="J189" s="8" t="str">
        <f t="shared" si="43"/>
        <v/>
      </c>
      <c r="K189" s="2" t="str">
        <f t="shared" si="52"/>
        <v/>
      </c>
      <c r="L189" s="2" t="str">
        <f t="shared" si="44"/>
        <v/>
      </c>
      <c r="M189" s="2" t="str">
        <f t="shared" si="53"/>
        <v/>
      </c>
      <c r="N189" s="2" t="str">
        <f t="shared" si="61"/>
        <v/>
      </c>
      <c r="O189" s="2" t="str">
        <f t="shared" si="54"/>
        <v/>
      </c>
      <c r="P189" s="8" t="str">
        <f t="shared" si="55"/>
        <v/>
      </c>
      <c r="Q189" s="8" t="str">
        <f t="shared" si="56"/>
        <v/>
      </c>
      <c r="R189" s="111" t="str">
        <f t="shared" si="57"/>
        <v/>
      </c>
      <c r="S189" s="44" t="str">
        <f t="shared" si="58"/>
        <v/>
      </c>
      <c r="T189" s="37" t="str">
        <f t="shared" si="59"/>
        <v/>
      </c>
      <c r="U189" s="44" t="str">
        <f t="shared" si="60"/>
        <v/>
      </c>
      <c r="V189" s="26"/>
      <c r="W189" s="26"/>
      <c r="X189" s="26"/>
      <c r="Y189" s="26"/>
      <c r="Z189" s="24"/>
      <c r="AA189" s="169">
        <f t="shared" si="45"/>
        <v>0</v>
      </c>
      <c r="AB189" s="4">
        <f t="shared" si="46"/>
        <v>0</v>
      </c>
      <c r="AC189" s="170">
        <f t="shared" si="63"/>
        <v>0</v>
      </c>
      <c r="AD189" s="58"/>
      <c r="AE189" s="58"/>
      <c r="AF189" s="58"/>
      <c r="AG189" s="59">
        <f t="shared" si="47"/>
        <v>9.0359999999999996</v>
      </c>
      <c r="AH189" s="59">
        <f t="shared" si="48"/>
        <v>-184.49199999999999</v>
      </c>
      <c r="AJ189" s="4">
        <f>IF(D189="M",IF(AM189&lt;78,BMILMS!$D$5*AM189^3+BMILMS!$E$5*AM189^2+BMILMS!$F$5*AM189+BMILMS!$G$5,IF(AM189&lt;150,BMILMS!$D$6*AM189^3+BMILMS!$E$6*AM189^2+BMILMS!$F$6*AM189+BMILMS!$G$6,BMILMS!$D$7*AM189^3+BMILMS!$E$7*AM189^2+BMILMS!$F$7*AM189+BMILMS!$G$7)),IF(AM189&lt;69,BMILMS!$D$9*AM189^3+BMILMS!$E$9*AM189^2+BMILMS!$F$9*AM189+BMILMS!$G$9,IF(AM189&lt;150,BMILMS!$D$10*AM189^3+BMILMS!$E$10*AM189^2+BMILMS!$F$10*AM189+BMILMS!$G$10,BMILMS!$D$11*AM189^3+BMILMS!$E$11*AM189^2+BMILMS!$F$11*AM189+BMILMS!$G$11)))</f>
        <v>0.79584630099999998</v>
      </c>
      <c r="AK189" s="4">
        <f>IF(D189="M",(IF(AM189&lt;2.5,BMILMS!$D$21*AM189^3+BMILMS!$E$21*AM189^2+BMILMS!$F$21*AM189+BMILMS!$G$21,IF(AM189&lt;9.5,BMILMS!$D$22*AM189^3+BMILMS!$E$22*AM189^2+BMILMS!$F$22*AM189+BMILMS!$G$22,IF(AM189&lt;26.75,BMILMS!$D$23*AM189^3+BMILMS!$E$23*AM189^2+BMILMS!$F$23*AM189+BMILMS!$G$23,IF(AM189&lt;90,BMILMS!$D$24*AM189^3+BMILMS!$E$24*AM189^2+BMILMS!$F$24*AM189+BMILMS!$G$24,BMILMS!$D$25*AM189^3+BMILMS!$E$25*AM189^2+BMILMS!$F$25*AM189+BMILMS!$G$25))))),(IF(AM189&lt;2.5,BMILMS!$D$27*AM189^3+BMILMS!$E$27*AM189^2+BMILMS!$F$27*AM189+BMILMS!$G$27,IF(AM189&lt;9.5,BMILMS!$D$28*AM189^3+BMILMS!$E$28*AM189^2+BMILMS!$F$28*AM189+BMILMS!$G$28,IF(AM189&lt;26.75,BMILMS!$D$29*AM189^3+BMILMS!$E$29*AM189^2+BMILMS!$F$29*AM189+BMILMS!$G$29,IF(AM189&lt;90,BMILMS!$D$30*AM189^3+BMILMS!$E$30*AM189^2+BMILMS!$F$30*AM189+BMILMS!$G$30,IF(AM189&lt;150,BMILMS!$D$31*AM189^3+BMILMS!$E$31*AM189^2+BMILMS!$F$31*AM189+BMILMS!$G$31,BMILMS!$D$32*AM189^3+BMILMS!$E$32*AM189^2+BMILMS!$F$32*AM189+BMILMS!$G$32)))))))</f>
        <v>12.568967990000001</v>
      </c>
      <c r="AL189" s="4">
        <f>IF(D189="M",(IF(AM189&lt;90,BMILMS!$D$14*AM189^3+BMILMS!$E$14*AM189^2+BMILMS!$F$14*AM189+BMILMS!$G$14,BMILMS!$D$15*AM189^3+BMILMS!$E$15*AM189^2+BMILMS!$F$15*AM189+BMILMS!$G$15)),(IF(AM189&lt;90,BMILMS!$D$17*AM189^3+BMILMS!$E$17*AM189^2+BMILMS!$F$17*AM189+BMILMS!$G$17,BMILMS!$D$18*AM189^3+BMILMS!$E$18*AM189^2+BMILMS!$F$18*AM189+BMILMS!$G$18)))</f>
        <v>8.8969350000000003E-2</v>
      </c>
      <c r="AM189" s="4">
        <f t="shared" si="62"/>
        <v>0</v>
      </c>
      <c r="AO189" s="56">
        <f>IF(D189="M",WeightSDS!P$5*$AM189^7+WeightSDS!Q$5*$AM189^6+WeightSDS!R$5*$AM189^5+WeightSDS!S$5*$AM189^4+WeightSDS!T$5*$AM189^3+WeightSDS!U$5*$AM189^2+WeightSDS!V$5*$AM189+WeightSDS!W$5,IF($AM189&lt;186,WeightSDS!P$8*$AM189^7+WeightSDS!Q$8*$AM189^6+WeightSDS!R$8*$AM189^5+WeightSDS!S$8*$AM189^4+WeightSDS!T$8*$AM189^3+WeightSDS!U$8*$AM189^2+WeightSDS!V$8*$AM189+WeightSDS!W$8,WeightSDS!$U$9+WeightSDS!$V$9*($AM189-WeightSDS!$W$9)))</f>
        <v>0.75407122999999998</v>
      </c>
      <c r="AP189" s="4">
        <f>IF(D189="M",IF($AM189&lt;45,WeightSDS!M$23*$AM189^10+WeightSDS!N$23*$AM189^9+WeightSDS!O$23*$AM189^8+WeightSDS!P$23*$AM189^7+WeightSDS!Q$23*$AM189^6+WeightSDS!R$23*$AM189^5+WeightSDS!S$23*$AM189^4+WeightSDS!T$23*$AM189^3+WeightSDS!U$23*$AM189^2+WeightSDS!V$23*$AM189+WeightSDS!W$23,IF($AM189&lt;153,WeightSDS!M$25*$AM189^10+WeightSDS!N$25*$AM189^9+WeightSDS!O$25*$AM189^8+WeightSDS!P$25*$AM189^7+WeightSDS!Q$25*$AM189^6+WeightSDS!R$25*$AM189^5+WeightSDS!S$25*$AM189^4+WeightSDS!T$25*$AM189^3+WeightSDS!U$25*$AM189^2+WeightSDS!V$25*$AM189+WeightSDS!W$25,WeightSDS!M$27+WeightSDS!N$27/(1+EXP(WeightSDS!O$27+WeightSDS!P$27*$AM189)))),IF($AM189&lt;43.8,WeightSDS!M$29*$AM189^10+WeightSDS!N$29*$AM189^9+WeightSDS!O$29*$AM189^8+WeightSDS!P$29*$AM189^7+WeightSDS!Q$29*$AM189^6+WeightSDS!R$29*$AM189^5+WeightSDS!S$29*$AM189^4+WeightSDS!T$29*$AM189^3+WeightSDS!U$29*$AM189^2+WeightSDS!V$29*$AM189+WeightSDS!W$29-0.010431*(1-$AM189/210),IF($AM189&lt;123,WeightSDS!M$30*$AM189^10+WeightSDS!N$30*$AM189^9+WeightSDS!O$30*$AM189^8+WeightSDS!P$30*$AM189^7+WeightSDS!Q$30*$AM189^6+WeightSDS!R$30*$AM189^5+WeightSDS!S$30*$AM189^4+WeightSDS!T$30*$AM189^3+WeightSDS!U$30*$AM189^2+WeightSDS!V$30*$AM189+WeightSDS!W$30-0.010431*(1-1/$AM189),WeightSDS!M$32+WeightSDS!N$32/(1+EXP(WeightSDS!O$32+WeightSDS!P$32*$AM189))-0.010431*(1-$AM189/210))))</f>
        <v>2.9500001032655536</v>
      </c>
      <c r="AQ189" s="4">
        <f>IF(D189="M",IF($AM189&lt;162,WeightSDS!P$12*$AM189^7+WeightSDS!Q$12*$AM189^6+WeightSDS!R$12*$AM189^5+WeightSDS!S$12*$AM189^4+WeightSDS!T$12*$AM189^3+WeightSDS!U$12*$AM189^2+WeightSDS!V$12*$AM189+WeightSDS!W$12,WeightSDS!P$14*$AM189^7+WeightSDS!Q$14*$AM189^6+WeightSDS!R$14*$AM189^5+WeightSDS!S$14*$AM189^4+WeightSDS!T$14*$AM189^3+WeightSDS!U$14*$AM189^2+WeightSDS!V$14*$AM189+WeightSDS!W$14),IF($AM189&lt;156,WeightSDS!O$17*$AM189^8+WeightSDS!P$17*$AM189^7+WeightSDS!Q$17*$AM189^6+WeightSDS!R$17*$AM189^5+WeightSDS!S$17*$AM189^4+WeightSDS!T$17*$AM189^3+WeightSDS!U$17*$AM189^2+WeightSDS!V$17*$AM189+WeightSDS!W$17,IF($AM189&lt;186,WeightSDS!$U$18+(WeightSDS!$V$18-WeightSDS!$U$18)/24*($AM189-186)+WeightSDS!$W$18*(-$AM189+186)^2-0.005,WeightSDS!$U$18+(WeightSDS!$V$18-WeightSDS!$U$18)/24*($AM189-186)-0.005)))</f>
        <v>0.14604529399999999</v>
      </c>
      <c r="AT189" s="4">
        <f t="shared" si="49"/>
        <v>0.56299999999999994</v>
      </c>
      <c r="AU189" s="4">
        <f t="shared" si="50"/>
        <v>69</v>
      </c>
      <c r="AV189" s="4">
        <f t="shared" si="51"/>
        <v>0.51</v>
      </c>
    </row>
    <row r="190" spans="1:48" x14ac:dyDescent="0.15">
      <c r="A190" s="4"/>
      <c r="B190" s="21"/>
      <c r="C190" s="21"/>
      <c r="D190" s="21"/>
      <c r="E190" s="22"/>
      <c r="F190" s="22"/>
      <c r="G190" s="23"/>
      <c r="H190" s="23"/>
      <c r="I190" s="181"/>
      <c r="J190" s="8" t="str">
        <f t="shared" si="43"/>
        <v/>
      </c>
      <c r="K190" s="2" t="str">
        <f t="shared" si="52"/>
        <v/>
      </c>
      <c r="L190" s="2" t="str">
        <f t="shared" si="44"/>
        <v/>
      </c>
      <c r="M190" s="2" t="str">
        <f t="shared" si="53"/>
        <v/>
      </c>
      <c r="N190" s="2" t="str">
        <f t="shared" si="61"/>
        <v/>
      </c>
      <c r="O190" s="2" t="str">
        <f t="shared" si="54"/>
        <v/>
      </c>
      <c r="P190" s="8" t="str">
        <f t="shared" si="55"/>
        <v/>
      </c>
      <c r="Q190" s="8" t="str">
        <f t="shared" si="56"/>
        <v/>
      </c>
      <c r="R190" s="111" t="str">
        <f t="shared" si="57"/>
        <v/>
      </c>
      <c r="S190" s="44" t="str">
        <f t="shared" si="58"/>
        <v/>
      </c>
      <c r="T190" s="37" t="str">
        <f t="shared" si="59"/>
        <v/>
      </c>
      <c r="U190" s="44" t="str">
        <f t="shared" si="60"/>
        <v/>
      </c>
      <c r="V190" s="26"/>
      <c r="W190" s="26"/>
      <c r="X190" s="26"/>
      <c r="Y190" s="26"/>
      <c r="Z190" s="24"/>
      <c r="AA190" s="169">
        <f t="shared" si="45"/>
        <v>0</v>
      </c>
      <c r="AB190" s="4">
        <f t="shared" si="46"/>
        <v>0</v>
      </c>
      <c r="AC190" s="170">
        <f t="shared" si="63"/>
        <v>0</v>
      </c>
      <c r="AD190" s="58"/>
      <c r="AE190" s="58"/>
      <c r="AF190" s="58"/>
      <c r="AG190" s="59">
        <f t="shared" si="47"/>
        <v>9.0359999999999996</v>
      </c>
      <c r="AH190" s="59">
        <f t="shared" si="48"/>
        <v>-184.49199999999999</v>
      </c>
      <c r="AJ190" s="4">
        <f>IF(D190="M",IF(AM190&lt;78,BMILMS!$D$5*AM190^3+BMILMS!$E$5*AM190^2+BMILMS!$F$5*AM190+BMILMS!$G$5,IF(AM190&lt;150,BMILMS!$D$6*AM190^3+BMILMS!$E$6*AM190^2+BMILMS!$F$6*AM190+BMILMS!$G$6,BMILMS!$D$7*AM190^3+BMILMS!$E$7*AM190^2+BMILMS!$F$7*AM190+BMILMS!$G$7)),IF(AM190&lt;69,BMILMS!$D$9*AM190^3+BMILMS!$E$9*AM190^2+BMILMS!$F$9*AM190+BMILMS!$G$9,IF(AM190&lt;150,BMILMS!$D$10*AM190^3+BMILMS!$E$10*AM190^2+BMILMS!$F$10*AM190+BMILMS!$G$10,BMILMS!$D$11*AM190^3+BMILMS!$E$11*AM190^2+BMILMS!$F$11*AM190+BMILMS!$G$11)))</f>
        <v>0.79584630099999998</v>
      </c>
      <c r="AK190" s="4">
        <f>IF(D190="M",(IF(AM190&lt;2.5,BMILMS!$D$21*AM190^3+BMILMS!$E$21*AM190^2+BMILMS!$F$21*AM190+BMILMS!$G$21,IF(AM190&lt;9.5,BMILMS!$D$22*AM190^3+BMILMS!$E$22*AM190^2+BMILMS!$F$22*AM190+BMILMS!$G$22,IF(AM190&lt;26.75,BMILMS!$D$23*AM190^3+BMILMS!$E$23*AM190^2+BMILMS!$F$23*AM190+BMILMS!$G$23,IF(AM190&lt;90,BMILMS!$D$24*AM190^3+BMILMS!$E$24*AM190^2+BMILMS!$F$24*AM190+BMILMS!$G$24,BMILMS!$D$25*AM190^3+BMILMS!$E$25*AM190^2+BMILMS!$F$25*AM190+BMILMS!$G$25))))),(IF(AM190&lt;2.5,BMILMS!$D$27*AM190^3+BMILMS!$E$27*AM190^2+BMILMS!$F$27*AM190+BMILMS!$G$27,IF(AM190&lt;9.5,BMILMS!$D$28*AM190^3+BMILMS!$E$28*AM190^2+BMILMS!$F$28*AM190+BMILMS!$G$28,IF(AM190&lt;26.75,BMILMS!$D$29*AM190^3+BMILMS!$E$29*AM190^2+BMILMS!$F$29*AM190+BMILMS!$G$29,IF(AM190&lt;90,BMILMS!$D$30*AM190^3+BMILMS!$E$30*AM190^2+BMILMS!$F$30*AM190+BMILMS!$G$30,IF(AM190&lt;150,BMILMS!$D$31*AM190^3+BMILMS!$E$31*AM190^2+BMILMS!$F$31*AM190+BMILMS!$G$31,BMILMS!$D$32*AM190^3+BMILMS!$E$32*AM190^2+BMILMS!$F$32*AM190+BMILMS!$G$32)))))))</f>
        <v>12.568967990000001</v>
      </c>
      <c r="AL190" s="4">
        <f>IF(D190="M",(IF(AM190&lt;90,BMILMS!$D$14*AM190^3+BMILMS!$E$14*AM190^2+BMILMS!$F$14*AM190+BMILMS!$G$14,BMILMS!$D$15*AM190^3+BMILMS!$E$15*AM190^2+BMILMS!$F$15*AM190+BMILMS!$G$15)),(IF(AM190&lt;90,BMILMS!$D$17*AM190^3+BMILMS!$E$17*AM190^2+BMILMS!$F$17*AM190+BMILMS!$G$17,BMILMS!$D$18*AM190^3+BMILMS!$E$18*AM190^2+BMILMS!$F$18*AM190+BMILMS!$G$18)))</f>
        <v>8.8969350000000003E-2</v>
      </c>
      <c r="AM190" s="4">
        <f t="shared" si="62"/>
        <v>0</v>
      </c>
      <c r="AO190" s="56">
        <f>IF(D190="M",WeightSDS!P$5*$AM190^7+WeightSDS!Q$5*$AM190^6+WeightSDS!R$5*$AM190^5+WeightSDS!S$5*$AM190^4+WeightSDS!T$5*$AM190^3+WeightSDS!U$5*$AM190^2+WeightSDS!V$5*$AM190+WeightSDS!W$5,IF($AM190&lt;186,WeightSDS!P$8*$AM190^7+WeightSDS!Q$8*$AM190^6+WeightSDS!R$8*$AM190^5+WeightSDS!S$8*$AM190^4+WeightSDS!T$8*$AM190^3+WeightSDS!U$8*$AM190^2+WeightSDS!V$8*$AM190+WeightSDS!W$8,WeightSDS!$U$9+WeightSDS!$V$9*($AM190-WeightSDS!$W$9)))</f>
        <v>0.75407122999999998</v>
      </c>
      <c r="AP190" s="4">
        <f>IF(D190="M",IF($AM190&lt;45,WeightSDS!M$23*$AM190^10+WeightSDS!N$23*$AM190^9+WeightSDS!O$23*$AM190^8+WeightSDS!P$23*$AM190^7+WeightSDS!Q$23*$AM190^6+WeightSDS!R$23*$AM190^5+WeightSDS!S$23*$AM190^4+WeightSDS!T$23*$AM190^3+WeightSDS!U$23*$AM190^2+WeightSDS!V$23*$AM190+WeightSDS!W$23,IF($AM190&lt;153,WeightSDS!M$25*$AM190^10+WeightSDS!N$25*$AM190^9+WeightSDS!O$25*$AM190^8+WeightSDS!P$25*$AM190^7+WeightSDS!Q$25*$AM190^6+WeightSDS!R$25*$AM190^5+WeightSDS!S$25*$AM190^4+WeightSDS!T$25*$AM190^3+WeightSDS!U$25*$AM190^2+WeightSDS!V$25*$AM190+WeightSDS!W$25,WeightSDS!M$27+WeightSDS!N$27/(1+EXP(WeightSDS!O$27+WeightSDS!P$27*$AM190)))),IF($AM190&lt;43.8,WeightSDS!M$29*$AM190^10+WeightSDS!N$29*$AM190^9+WeightSDS!O$29*$AM190^8+WeightSDS!P$29*$AM190^7+WeightSDS!Q$29*$AM190^6+WeightSDS!R$29*$AM190^5+WeightSDS!S$29*$AM190^4+WeightSDS!T$29*$AM190^3+WeightSDS!U$29*$AM190^2+WeightSDS!V$29*$AM190+WeightSDS!W$29-0.010431*(1-$AM190/210),IF($AM190&lt;123,WeightSDS!M$30*$AM190^10+WeightSDS!N$30*$AM190^9+WeightSDS!O$30*$AM190^8+WeightSDS!P$30*$AM190^7+WeightSDS!Q$30*$AM190^6+WeightSDS!R$30*$AM190^5+WeightSDS!S$30*$AM190^4+WeightSDS!T$30*$AM190^3+WeightSDS!U$30*$AM190^2+WeightSDS!V$30*$AM190+WeightSDS!W$30-0.010431*(1-1/$AM190),WeightSDS!M$32+WeightSDS!N$32/(1+EXP(WeightSDS!O$32+WeightSDS!P$32*$AM190))-0.010431*(1-$AM190/210))))</f>
        <v>2.9500001032655536</v>
      </c>
      <c r="AQ190" s="4">
        <f>IF(D190="M",IF($AM190&lt;162,WeightSDS!P$12*$AM190^7+WeightSDS!Q$12*$AM190^6+WeightSDS!R$12*$AM190^5+WeightSDS!S$12*$AM190^4+WeightSDS!T$12*$AM190^3+WeightSDS!U$12*$AM190^2+WeightSDS!V$12*$AM190+WeightSDS!W$12,WeightSDS!P$14*$AM190^7+WeightSDS!Q$14*$AM190^6+WeightSDS!R$14*$AM190^5+WeightSDS!S$14*$AM190^4+WeightSDS!T$14*$AM190^3+WeightSDS!U$14*$AM190^2+WeightSDS!V$14*$AM190+WeightSDS!W$14),IF($AM190&lt;156,WeightSDS!O$17*$AM190^8+WeightSDS!P$17*$AM190^7+WeightSDS!Q$17*$AM190^6+WeightSDS!R$17*$AM190^5+WeightSDS!S$17*$AM190^4+WeightSDS!T$17*$AM190^3+WeightSDS!U$17*$AM190^2+WeightSDS!V$17*$AM190+WeightSDS!W$17,IF($AM190&lt;186,WeightSDS!$U$18+(WeightSDS!$V$18-WeightSDS!$U$18)/24*($AM190-186)+WeightSDS!$W$18*(-$AM190+186)^2-0.005,WeightSDS!$U$18+(WeightSDS!$V$18-WeightSDS!$U$18)/24*($AM190-186)-0.005)))</f>
        <v>0.14604529399999999</v>
      </c>
      <c r="AT190" s="4">
        <f t="shared" si="49"/>
        <v>0.56299999999999994</v>
      </c>
      <c r="AU190" s="4">
        <f t="shared" si="50"/>
        <v>69</v>
      </c>
      <c r="AV190" s="4">
        <f t="shared" si="51"/>
        <v>0.51</v>
      </c>
    </row>
    <row r="191" spans="1:48" x14ac:dyDescent="0.15">
      <c r="A191" s="4"/>
      <c r="B191" s="21"/>
      <c r="C191" s="21"/>
      <c r="D191" s="21"/>
      <c r="E191" s="22"/>
      <c r="F191" s="22"/>
      <c r="G191" s="23"/>
      <c r="H191" s="23"/>
      <c r="I191" s="181"/>
      <c r="J191" s="8" t="str">
        <f t="shared" si="43"/>
        <v/>
      </c>
      <c r="K191" s="2" t="str">
        <f t="shared" si="52"/>
        <v/>
      </c>
      <c r="L191" s="2" t="str">
        <f t="shared" si="44"/>
        <v/>
      </c>
      <c r="M191" s="2" t="str">
        <f t="shared" si="53"/>
        <v/>
      </c>
      <c r="N191" s="2" t="str">
        <f t="shared" si="61"/>
        <v/>
      </c>
      <c r="O191" s="2" t="str">
        <f t="shared" si="54"/>
        <v/>
      </c>
      <c r="P191" s="8" t="str">
        <f t="shared" si="55"/>
        <v/>
      </c>
      <c r="Q191" s="8" t="str">
        <f t="shared" si="56"/>
        <v/>
      </c>
      <c r="R191" s="111" t="str">
        <f t="shared" si="57"/>
        <v/>
      </c>
      <c r="S191" s="44" t="str">
        <f t="shared" si="58"/>
        <v/>
      </c>
      <c r="T191" s="37" t="str">
        <f t="shared" si="59"/>
        <v/>
      </c>
      <c r="U191" s="44" t="str">
        <f t="shared" si="60"/>
        <v/>
      </c>
      <c r="V191" s="26"/>
      <c r="W191" s="26"/>
      <c r="X191" s="26"/>
      <c r="Y191" s="26"/>
      <c r="Z191" s="24"/>
      <c r="AA191" s="169">
        <f t="shared" si="45"/>
        <v>0</v>
      </c>
      <c r="AB191" s="4">
        <f t="shared" si="46"/>
        <v>0</v>
      </c>
      <c r="AC191" s="170">
        <f t="shared" si="63"/>
        <v>0</v>
      </c>
      <c r="AD191" s="58"/>
      <c r="AE191" s="58"/>
      <c r="AF191" s="58"/>
      <c r="AG191" s="59">
        <f t="shared" si="47"/>
        <v>9.0359999999999996</v>
      </c>
      <c r="AH191" s="59">
        <f t="shared" si="48"/>
        <v>-184.49199999999999</v>
      </c>
      <c r="AJ191" s="4">
        <f>IF(D191="M",IF(AM191&lt;78,BMILMS!$D$5*AM191^3+BMILMS!$E$5*AM191^2+BMILMS!$F$5*AM191+BMILMS!$G$5,IF(AM191&lt;150,BMILMS!$D$6*AM191^3+BMILMS!$E$6*AM191^2+BMILMS!$F$6*AM191+BMILMS!$G$6,BMILMS!$D$7*AM191^3+BMILMS!$E$7*AM191^2+BMILMS!$F$7*AM191+BMILMS!$G$7)),IF(AM191&lt;69,BMILMS!$D$9*AM191^3+BMILMS!$E$9*AM191^2+BMILMS!$F$9*AM191+BMILMS!$G$9,IF(AM191&lt;150,BMILMS!$D$10*AM191^3+BMILMS!$E$10*AM191^2+BMILMS!$F$10*AM191+BMILMS!$G$10,BMILMS!$D$11*AM191^3+BMILMS!$E$11*AM191^2+BMILMS!$F$11*AM191+BMILMS!$G$11)))</f>
        <v>0.79584630099999998</v>
      </c>
      <c r="AK191" s="4">
        <f>IF(D191="M",(IF(AM191&lt;2.5,BMILMS!$D$21*AM191^3+BMILMS!$E$21*AM191^2+BMILMS!$F$21*AM191+BMILMS!$G$21,IF(AM191&lt;9.5,BMILMS!$D$22*AM191^3+BMILMS!$E$22*AM191^2+BMILMS!$F$22*AM191+BMILMS!$G$22,IF(AM191&lt;26.75,BMILMS!$D$23*AM191^3+BMILMS!$E$23*AM191^2+BMILMS!$F$23*AM191+BMILMS!$G$23,IF(AM191&lt;90,BMILMS!$D$24*AM191^3+BMILMS!$E$24*AM191^2+BMILMS!$F$24*AM191+BMILMS!$G$24,BMILMS!$D$25*AM191^3+BMILMS!$E$25*AM191^2+BMILMS!$F$25*AM191+BMILMS!$G$25))))),(IF(AM191&lt;2.5,BMILMS!$D$27*AM191^3+BMILMS!$E$27*AM191^2+BMILMS!$F$27*AM191+BMILMS!$G$27,IF(AM191&lt;9.5,BMILMS!$D$28*AM191^3+BMILMS!$E$28*AM191^2+BMILMS!$F$28*AM191+BMILMS!$G$28,IF(AM191&lt;26.75,BMILMS!$D$29*AM191^3+BMILMS!$E$29*AM191^2+BMILMS!$F$29*AM191+BMILMS!$G$29,IF(AM191&lt;90,BMILMS!$D$30*AM191^3+BMILMS!$E$30*AM191^2+BMILMS!$F$30*AM191+BMILMS!$G$30,IF(AM191&lt;150,BMILMS!$D$31*AM191^3+BMILMS!$E$31*AM191^2+BMILMS!$F$31*AM191+BMILMS!$G$31,BMILMS!$D$32*AM191^3+BMILMS!$E$32*AM191^2+BMILMS!$F$32*AM191+BMILMS!$G$32)))))))</f>
        <v>12.568967990000001</v>
      </c>
      <c r="AL191" s="4">
        <f>IF(D191="M",(IF(AM191&lt;90,BMILMS!$D$14*AM191^3+BMILMS!$E$14*AM191^2+BMILMS!$F$14*AM191+BMILMS!$G$14,BMILMS!$D$15*AM191^3+BMILMS!$E$15*AM191^2+BMILMS!$F$15*AM191+BMILMS!$G$15)),(IF(AM191&lt;90,BMILMS!$D$17*AM191^3+BMILMS!$E$17*AM191^2+BMILMS!$F$17*AM191+BMILMS!$G$17,BMILMS!$D$18*AM191^3+BMILMS!$E$18*AM191^2+BMILMS!$F$18*AM191+BMILMS!$G$18)))</f>
        <v>8.8969350000000003E-2</v>
      </c>
      <c r="AM191" s="4">
        <f t="shared" si="62"/>
        <v>0</v>
      </c>
      <c r="AO191" s="56">
        <f>IF(D191="M",WeightSDS!P$5*$AM191^7+WeightSDS!Q$5*$AM191^6+WeightSDS!R$5*$AM191^5+WeightSDS!S$5*$AM191^4+WeightSDS!T$5*$AM191^3+WeightSDS!U$5*$AM191^2+WeightSDS!V$5*$AM191+WeightSDS!W$5,IF($AM191&lt;186,WeightSDS!P$8*$AM191^7+WeightSDS!Q$8*$AM191^6+WeightSDS!R$8*$AM191^5+WeightSDS!S$8*$AM191^4+WeightSDS!T$8*$AM191^3+WeightSDS!U$8*$AM191^2+WeightSDS!V$8*$AM191+WeightSDS!W$8,WeightSDS!$U$9+WeightSDS!$V$9*($AM191-WeightSDS!$W$9)))</f>
        <v>0.75407122999999998</v>
      </c>
      <c r="AP191" s="4">
        <f>IF(D191="M",IF($AM191&lt;45,WeightSDS!M$23*$AM191^10+WeightSDS!N$23*$AM191^9+WeightSDS!O$23*$AM191^8+WeightSDS!P$23*$AM191^7+WeightSDS!Q$23*$AM191^6+WeightSDS!R$23*$AM191^5+WeightSDS!S$23*$AM191^4+WeightSDS!T$23*$AM191^3+WeightSDS!U$23*$AM191^2+WeightSDS!V$23*$AM191+WeightSDS!W$23,IF($AM191&lt;153,WeightSDS!M$25*$AM191^10+WeightSDS!N$25*$AM191^9+WeightSDS!O$25*$AM191^8+WeightSDS!P$25*$AM191^7+WeightSDS!Q$25*$AM191^6+WeightSDS!R$25*$AM191^5+WeightSDS!S$25*$AM191^4+WeightSDS!T$25*$AM191^3+WeightSDS!U$25*$AM191^2+WeightSDS!V$25*$AM191+WeightSDS!W$25,WeightSDS!M$27+WeightSDS!N$27/(1+EXP(WeightSDS!O$27+WeightSDS!P$27*$AM191)))),IF($AM191&lt;43.8,WeightSDS!M$29*$AM191^10+WeightSDS!N$29*$AM191^9+WeightSDS!O$29*$AM191^8+WeightSDS!P$29*$AM191^7+WeightSDS!Q$29*$AM191^6+WeightSDS!R$29*$AM191^5+WeightSDS!S$29*$AM191^4+WeightSDS!T$29*$AM191^3+WeightSDS!U$29*$AM191^2+WeightSDS!V$29*$AM191+WeightSDS!W$29-0.010431*(1-$AM191/210),IF($AM191&lt;123,WeightSDS!M$30*$AM191^10+WeightSDS!N$30*$AM191^9+WeightSDS!O$30*$AM191^8+WeightSDS!P$30*$AM191^7+WeightSDS!Q$30*$AM191^6+WeightSDS!R$30*$AM191^5+WeightSDS!S$30*$AM191^4+WeightSDS!T$30*$AM191^3+WeightSDS!U$30*$AM191^2+WeightSDS!V$30*$AM191+WeightSDS!W$30-0.010431*(1-1/$AM191),WeightSDS!M$32+WeightSDS!N$32/(1+EXP(WeightSDS!O$32+WeightSDS!P$32*$AM191))-0.010431*(1-$AM191/210))))</f>
        <v>2.9500001032655536</v>
      </c>
      <c r="AQ191" s="4">
        <f>IF(D191="M",IF($AM191&lt;162,WeightSDS!P$12*$AM191^7+WeightSDS!Q$12*$AM191^6+WeightSDS!R$12*$AM191^5+WeightSDS!S$12*$AM191^4+WeightSDS!T$12*$AM191^3+WeightSDS!U$12*$AM191^2+WeightSDS!V$12*$AM191+WeightSDS!W$12,WeightSDS!P$14*$AM191^7+WeightSDS!Q$14*$AM191^6+WeightSDS!R$14*$AM191^5+WeightSDS!S$14*$AM191^4+WeightSDS!T$14*$AM191^3+WeightSDS!U$14*$AM191^2+WeightSDS!V$14*$AM191+WeightSDS!W$14),IF($AM191&lt;156,WeightSDS!O$17*$AM191^8+WeightSDS!P$17*$AM191^7+WeightSDS!Q$17*$AM191^6+WeightSDS!R$17*$AM191^5+WeightSDS!S$17*$AM191^4+WeightSDS!T$17*$AM191^3+WeightSDS!U$17*$AM191^2+WeightSDS!V$17*$AM191+WeightSDS!W$17,IF($AM191&lt;186,WeightSDS!$U$18+(WeightSDS!$V$18-WeightSDS!$U$18)/24*($AM191-186)+WeightSDS!$W$18*(-$AM191+186)^2-0.005,WeightSDS!$U$18+(WeightSDS!$V$18-WeightSDS!$U$18)/24*($AM191-186)-0.005)))</f>
        <v>0.14604529399999999</v>
      </c>
      <c r="AT191" s="4">
        <f t="shared" si="49"/>
        <v>0.56299999999999994</v>
      </c>
      <c r="AU191" s="4">
        <f t="shared" si="50"/>
        <v>69</v>
      </c>
      <c r="AV191" s="4">
        <f t="shared" si="51"/>
        <v>0.51</v>
      </c>
    </row>
    <row r="192" spans="1:48" x14ac:dyDescent="0.15">
      <c r="A192" s="4"/>
      <c r="B192" s="21"/>
      <c r="C192" s="21"/>
      <c r="D192" s="21"/>
      <c r="E192" s="22"/>
      <c r="F192" s="22"/>
      <c r="G192" s="23"/>
      <c r="H192" s="23"/>
      <c r="I192" s="181"/>
      <c r="J192" s="8" t="str">
        <f t="shared" si="43"/>
        <v/>
      </c>
      <c r="K192" s="2" t="str">
        <f t="shared" si="52"/>
        <v/>
      </c>
      <c r="L192" s="2" t="str">
        <f t="shared" si="44"/>
        <v/>
      </c>
      <c r="M192" s="2" t="str">
        <f t="shared" si="53"/>
        <v/>
      </c>
      <c r="N192" s="2" t="str">
        <f t="shared" si="61"/>
        <v/>
      </c>
      <c r="O192" s="2" t="str">
        <f t="shared" si="54"/>
        <v/>
      </c>
      <c r="P192" s="8" t="str">
        <f t="shared" si="55"/>
        <v/>
      </c>
      <c r="Q192" s="8" t="str">
        <f t="shared" si="56"/>
        <v/>
      </c>
      <c r="R192" s="111" t="str">
        <f t="shared" si="57"/>
        <v/>
      </c>
      <c r="S192" s="44" t="str">
        <f t="shared" si="58"/>
        <v/>
      </c>
      <c r="T192" s="37" t="str">
        <f t="shared" si="59"/>
        <v/>
      </c>
      <c r="U192" s="44" t="str">
        <f t="shared" si="60"/>
        <v/>
      </c>
      <c r="V192" s="26"/>
      <c r="W192" s="26"/>
      <c r="X192" s="26"/>
      <c r="Y192" s="26"/>
      <c r="Z192" s="24"/>
      <c r="AA192" s="169">
        <f t="shared" si="45"/>
        <v>0</v>
      </c>
      <c r="AB192" s="4">
        <f t="shared" si="46"/>
        <v>0</v>
      </c>
      <c r="AC192" s="170">
        <f t="shared" si="63"/>
        <v>0</v>
      </c>
      <c r="AD192" s="58"/>
      <c r="AE192" s="58"/>
      <c r="AF192" s="58"/>
      <c r="AG192" s="59">
        <f t="shared" si="47"/>
        <v>9.0359999999999996</v>
      </c>
      <c r="AH192" s="59">
        <f t="shared" si="48"/>
        <v>-184.49199999999999</v>
      </c>
      <c r="AJ192" s="4">
        <f>IF(D192="M",IF(AM192&lt;78,BMILMS!$D$5*AM192^3+BMILMS!$E$5*AM192^2+BMILMS!$F$5*AM192+BMILMS!$G$5,IF(AM192&lt;150,BMILMS!$D$6*AM192^3+BMILMS!$E$6*AM192^2+BMILMS!$F$6*AM192+BMILMS!$G$6,BMILMS!$D$7*AM192^3+BMILMS!$E$7*AM192^2+BMILMS!$F$7*AM192+BMILMS!$G$7)),IF(AM192&lt;69,BMILMS!$D$9*AM192^3+BMILMS!$E$9*AM192^2+BMILMS!$F$9*AM192+BMILMS!$G$9,IF(AM192&lt;150,BMILMS!$D$10*AM192^3+BMILMS!$E$10*AM192^2+BMILMS!$F$10*AM192+BMILMS!$G$10,BMILMS!$D$11*AM192^3+BMILMS!$E$11*AM192^2+BMILMS!$F$11*AM192+BMILMS!$G$11)))</f>
        <v>0.79584630099999998</v>
      </c>
      <c r="AK192" s="4">
        <f>IF(D192="M",(IF(AM192&lt;2.5,BMILMS!$D$21*AM192^3+BMILMS!$E$21*AM192^2+BMILMS!$F$21*AM192+BMILMS!$G$21,IF(AM192&lt;9.5,BMILMS!$D$22*AM192^3+BMILMS!$E$22*AM192^2+BMILMS!$F$22*AM192+BMILMS!$G$22,IF(AM192&lt;26.75,BMILMS!$D$23*AM192^3+BMILMS!$E$23*AM192^2+BMILMS!$F$23*AM192+BMILMS!$G$23,IF(AM192&lt;90,BMILMS!$D$24*AM192^3+BMILMS!$E$24*AM192^2+BMILMS!$F$24*AM192+BMILMS!$G$24,BMILMS!$D$25*AM192^3+BMILMS!$E$25*AM192^2+BMILMS!$F$25*AM192+BMILMS!$G$25))))),(IF(AM192&lt;2.5,BMILMS!$D$27*AM192^3+BMILMS!$E$27*AM192^2+BMILMS!$F$27*AM192+BMILMS!$G$27,IF(AM192&lt;9.5,BMILMS!$D$28*AM192^3+BMILMS!$E$28*AM192^2+BMILMS!$F$28*AM192+BMILMS!$G$28,IF(AM192&lt;26.75,BMILMS!$D$29*AM192^3+BMILMS!$E$29*AM192^2+BMILMS!$F$29*AM192+BMILMS!$G$29,IF(AM192&lt;90,BMILMS!$D$30*AM192^3+BMILMS!$E$30*AM192^2+BMILMS!$F$30*AM192+BMILMS!$G$30,IF(AM192&lt;150,BMILMS!$D$31*AM192^3+BMILMS!$E$31*AM192^2+BMILMS!$F$31*AM192+BMILMS!$G$31,BMILMS!$D$32*AM192^3+BMILMS!$E$32*AM192^2+BMILMS!$F$32*AM192+BMILMS!$G$32)))))))</f>
        <v>12.568967990000001</v>
      </c>
      <c r="AL192" s="4">
        <f>IF(D192="M",(IF(AM192&lt;90,BMILMS!$D$14*AM192^3+BMILMS!$E$14*AM192^2+BMILMS!$F$14*AM192+BMILMS!$G$14,BMILMS!$D$15*AM192^3+BMILMS!$E$15*AM192^2+BMILMS!$F$15*AM192+BMILMS!$G$15)),(IF(AM192&lt;90,BMILMS!$D$17*AM192^3+BMILMS!$E$17*AM192^2+BMILMS!$F$17*AM192+BMILMS!$G$17,BMILMS!$D$18*AM192^3+BMILMS!$E$18*AM192^2+BMILMS!$F$18*AM192+BMILMS!$G$18)))</f>
        <v>8.8969350000000003E-2</v>
      </c>
      <c r="AM192" s="4">
        <f t="shared" si="62"/>
        <v>0</v>
      </c>
      <c r="AO192" s="56">
        <f>IF(D192="M",WeightSDS!P$5*$AM192^7+WeightSDS!Q$5*$AM192^6+WeightSDS!R$5*$AM192^5+WeightSDS!S$5*$AM192^4+WeightSDS!T$5*$AM192^3+WeightSDS!U$5*$AM192^2+WeightSDS!V$5*$AM192+WeightSDS!W$5,IF($AM192&lt;186,WeightSDS!P$8*$AM192^7+WeightSDS!Q$8*$AM192^6+WeightSDS!R$8*$AM192^5+WeightSDS!S$8*$AM192^4+WeightSDS!T$8*$AM192^3+WeightSDS!U$8*$AM192^2+WeightSDS!V$8*$AM192+WeightSDS!W$8,WeightSDS!$U$9+WeightSDS!$V$9*($AM192-WeightSDS!$W$9)))</f>
        <v>0.75407122999999998</v>
      </c>
      <c r="AP192" s="4">
        <f>IF(D192="M",IF($AM192&lt;45,WeightSDS!M$23*$AM192^10+WeightSDS!N$23*$AM192^9+WeightSDS!O$23*$AM192^8+WeightSDS!P$23*$AM192^7+WeightSDS!Q$23*$AM192^6+WeightSDS!R$23*$AM192^5+WeightSDS!S$23*$AM192^4+WeightSDS!T$23*$AM192^3+WeightSDS!U$23*$AM192^2+WeightSDS!V$23*$AM192+WeightSDS!W$23,IF($AM192&lt;153,WeightSDS!M$25*$AM192^10+WeightSDS!N$25*$AM192^9+WeightSDS!O$25*$AM192^8+WeightSDS!P$25*$AM192^7+WeightSDS!Q$25*$AM192^6+WeightSDS!R$25*$AM192^5+WeightSDS!S$25*$AM192^4+WeightSDS!T$25*$AM192^3+WeightSDS!U$25*$AM192^2+WeightSDS!V$25*$AM192+WeightSDS!W$25,WeightSDS!M$27+WeightSDS!N$27/(1+EXP(WeightSDS!O$27+WeightSDS!P$27*$AM192)))),IF($AM192&lt;43.8,WeightSDS!M$29*$AM192^10+WeightSDS!N$29*$AM192^9+WeightSDS!O$29*$AM192^8+WeightSDS!P$29*$AM192^7+WeightSDS!Q$29*$AM192^6+WeightSDS!R$29*$AM192^5+WeightSDS!S$29*$AM192^4+WeightSDS!T$29*$AM192^3+WeightSDS!U$29*$AM192^2+WeightSDS!V$29*$AM192+WeightSDS!W$29-0.010431*(1-$AM192/210),IF($AM192&lt;123,WeightSDS!M$30*$AM192^10+WeightSDS!N$30*$AM192^9+WeightSDS!O$30*$AM192^8+WeightSDS!P$30*$AM192^7+WeightSDS!Q$30*$AM192^6+WeightSDS!R$30*$AM192^5+WeightSDS!S$30*$AM192^4+WeightSDS!T$30*$AM192^3+WeightSDS!U$30*$AM192^2+WeightSDS!V$30*$AM192+WeightSDS!W$30-0.010431*(1-1/$AM192),WeightSDS!M$32+WeightSDS!N$32/(1+EXP(WeightSDS!O$32+WeightSDS!P$32*$AM192))-0.010431*(1-$AM192/210))))</f>
        <v>2.9500001032655536</v>
      </c>
      <c r="AQ192" s="4">
        <f>IF(D192="M",IF($AM192&lt;162,WeightSDS!P$12*$AM192^7+WeightSDS!Q$12*$AM192^6+WeightSDS!R$12*$AM192^5+WeightSDS!S$12*$AM192^4+WeightSDS!T$12*$AM192^3+WeightSDS!U$12*$AM192^2+WeightSDS!V$12*$AM192+WeightSDS!W$12,WeightSDS!P$14*$AM192^7+WeightSDS!Q$14*$AM192^6+WeightSDS!R$14*$AM192^5+WeightSDS!S$14*$AM192^4+WeightSDS!T$14*$AM192^3+WeightSDS!U$14*$AM192^2+WeightSDS!V$14*$AM192+WeightSDS!W$14),IF($AM192&lt;156,WeightSDS!O$17*$AM192^8+WeightSDS!P$17*$AM192^7+WeightSDS!Q$17*$AM192^6+WeightSDS!R$17*$AM192^5+WeightSDS!S$17*$AM192^4+WeightSDS!T$17*$AM192^3+WeightSDS!U$17*$AM192^2+WeightSDS!V$17*$AM192+WeightSDS!W$17,IF($AM192&lt;186,WeightSDS!$U$18+(WeightSDS!$V$18-WeightSDS!$U$18)/24*($AM192-186)+WeightSDS!$W$18*(-$AM192+186)^2-0.005,WeightSDS!$U$18+(WeightSDS!$V$18-WeightSDS!$U$18)/24*($AM192-186)-0.005)))</f>
        <v>0.14604529399999999</v>
      </c>
      <c r="AT192" s="4">
        <f t="shared" si="49"/>
        <v>0.56299999999999994</v>
      </c>
      <c r="AU192" s="4">
        <f t="shared" si="50"/>
        <v>69</v>
      </c>
      <c r="AV192" s="4">
        <f t="shared" si="51"/>
        <v>0.51</v>
      </c>
    </row>
    <row r="193" spans="1:48" x14ac:dyDescent="0.15">
      <c r="A193" s="4"/>
      <c r="B193" s="21"/>
      <c r="C193" s="21"/>
      <c r="D193" s="21"/>
      <c r="E193" s="22"/>
      <c r="F193" s="22"/>
      <c r="G193" s="23"/>
      <c r="H193" s="23"/>
      <c r="I193" s="181"/>
      <c r="J193" s="8" t="str">
        <f t="shared" si="43"/>
        <v/>
      </c>
      <c r="K193" s="2" t="str">
        <f t="shared" si="52"/>
        <v/>
      </c>
      <c r="L193" s="2" t="str">
        <f t="shared" si="44"/>
        <v/>
      </c>
      <c r="M193" s="2" t="str">
        <f t="shared" si="53"/>
        <v/>
      </c>
      <c r="N193" s="2" t="str">
        <f t="shared" si="61"/>
        <v/>
      </c>
      <c r="O193" s="2" t="str">
        <f t="shared" si="54"/>
        <v/>
      </c>
      <c r="P193" s="8" t="str">
        <f t="shared" si="55"/>
        <v/>
      </c>
      <c r="Q193" s="8" t="str">
        <f t="shared" si="56"/>
        <v/>
      </c>
      <c r="R193" s="111" t="str">
        <f t="shared" si="57"/>
        <v/>
      </c>
      <c r="S193" s="44" t="str">
        <f t="shared" si="58"/>
        <v/>
      </c>
      <c r="T193" s="37" t="str">
        <f t="shared" si="59"/>
        <v/>
      </c>
      <c r="U193" s="44" t="str">
        <f t="shared" si="60"/>
        <v/>
      </c>
      <c r="V193" s="26"/>
      <c r="W193" s="26"/>
      <c r="X193" s="26"/>
      <c r="Y193" s="26"/>
      <c r="Z193" s="24"/>
      <c r="AA193" s="169">
        <f t="shared" si="45"/>
        <v>0</v>
      </c>
      <c r="AB193" s="4">
        <f t="shared" si="46"/>
        <v>0</v>
      </c>
      <c r="AC193" s="170">
        <f t="shared" si="63"/>
        <v>0</v>
      </c>
      <c r="AD193" s="58"/>
      <c r="AE193" s="58"/>
      <c r="AF193" s="58"/>
      <c r="AG193" s="59">
        <f t="shared" si="47"/>
        <v>9.0359999999999996</v>
      </c>
      <c r="AH193" s="59">
        <f t="shared" si="48"/>
        <v>-184.49199999999999</v>
      </c>
      <c r="AJ193" s="4">
        <f>IF(D193="M",IF(AM193&lt;78,BMILMS!$D$5*AM193^3+BMILMS!$E$5*AM193^2+BMILMS!$F$5*AM193+BMILMS!$G$5,IF(AM193&lt;150,BMILMS!$D$6*AM193^3+BMILMS!$E$6*AM193^2+BMILMS!$F$6*AM193+BMILMS!$G$6,BMILMS!$D$7*AM193^3+BMILMS!$E$7*AM193^2+BMILMS!$F$7*AM193+BMILMS!$G$7)),IF(AM193&lt;69,BMILMS!$D$9*AM193^3+BMILMS!$E$9*AM193^2+BMILMS!$F$9*AM193+BMILMS!$G$9,IF(AM193&lt;150,BMILMS!$D$10*AM193^3+BMILMS!$E$10*AM193^2+BMILMS!$F$10*AM193+BMILMS!$G$10,BMILMS!$D$11*AM193^3+BMILMS!$E$11*AM193^2+BMILMS!$F$11*AM193+BMILMS!$G$11)))</f>
        <v>0.79584630099999998</v>
      </c>
      <c r="AK193" s="4">
        <f>IF(D193="M",(IF(AM193&lt;2.5,BMILMS!$D$21*AM193^3+BMILMS!$E$21*AM193^2+BMILMS!$F$21*AM193+BMILMS!$G$21,IF(AM193&lt;9.5,BMILMS!$D$22*AM193^3+BMILMS!$E$22*AM193^2+BMILMS!$F$22*AM193+BMILMS!$G$22,IF(AM193&lt;26.75,BMILMS!$D$23*AM193^3+BMILMS!$E$23*AM193^2+BMILMS!$F$23*AM193+BMILMS!$G$23,IF(AM193&lt;90,BMILMS!$D$24*AM193^3+BMILMS!$E$24*AM193^2+BMILMS!$F$24*AM193+BMILMS!$G$24,BMILMS!$D$25*AM193^3+BMILMS!$E$25*AM193^2+BMILMS!$F$25*AM193+BMILMS!$G$25))))),(IF(AM193&lt;2.5,BMILMS!$D$27*AM193^3+BMILMS!$E$27*AM193^2+BMILMS!$F$27*AM193+BMILMS!$G$27,IF(AM193&lt;9.5,BMILMS!$D$28*AM193^3+BMILMS!$E$28*AM193^2+BMILMS!$F$28*AM193+BMILMS!$G$28,IF(AM193&lt;26.75,BMILMS!$D$29*AM193^3+BMILMS!$E$29*AM193^2+BMILMS!$F$29*AM193+BMILMS!$G$29,IF(AM193&lt;90,BMILMS!$D$30*AM193^3+BMILMS!$E$30*AM193^2+BMILMS!$F$30*AM193+BMILMS!$G$30,IF(AM193&lt;150,BMILMS!$D$31*AM193^3+BMILMS!$E$31*AM193^2+BMILMS!$F$31*AM193+BMILMS!$G$31,BMILMS!$D$32*AM193^3+BMILMS!$E$32*AM193^2+BMILMS!$F$32*AM193+BMILMS!$G$32)))))))</f>
        <v>12.568967990000001</v>
      </c>
      <c r="AL193" s="4">
        <f>IF(D193="M",(IF(AM193&lt;90,BMILMS!$D$14*AM193^3+BMILMS!$E$14*AM193^2+BMILMS!$F$14*AM193+BMILMS!$G$14,BMILMS!$D$15*AM193^3+BMILMS!$E$15*AM193^2+BMILMS!$F$15*AM193+BMILMS!$G$15)),(IF(AM193&lt;90,BMILMS!$D$17*AM193^3+BMILMS!$E$17*AM193^2+BMILMS!$F$17*AM193+BMILMS!$G$17,BMILMS!$D$18*AM193^3+BMILMS!$E$18*AM193^2+BMILMS!$F$18*AM193+BMILMS!$G$18)))</f>
        <v>8.8969350000000003E-2</v>
      </c>
      <c r="AM193" s="4">
        <f t="shared" si="62"/>
        <v>0</v>
      </c>
      <c r="AO193" s="56">
        <f>IF(D193="M",WeightSDS!P$5*$AM193^7+WeightSDS!Q$5*$AM193^6+WeightSDS!R$5*$AM193^5+WeightSDS!S$5*$AM193^4+WeightSDS!T$5*$AM193^3+WeightSDS!U$5*$AM193^2+WeightSDS!V$5*$AM193+WeightSDS!W$5,IF($AM193&lt;186,WeightSDS!P$8*$AM193^7+WeightSDS!Q$8*$AM193^6+WeightSDS!R$8*$AM193^5+WeightSDS!S$8*$AM193^4+WeightSDS!T$8*$AM193^3+WeightSDS!U$8*$AM193^2+WeightSDS!V$8*$AM193+WeightSDS!W$8,WeightSDS!$U$9+WeightSDS!$V$9*($AM193-WeightSDS!$W$9)))</f>
        <v>0.75407122999999998</v>
      </c>
      <c r="AP193" s="4">
        <f>IF(D193="M",IF($AM193&lt;45,WeightSDS!M$23*$AM193^10+WeightSDS!N$23*$AM193^9+WeightSDS!O$23*$AM193^8+WeightSDS!P$23*$AM193^7+WeightSDS!Q$23*$AM193^6+WeightSDS!R$23*$AM193^5+WeightSDS!S$23*$AM193^4+WeightSDS!T$23*$AM193^3+WeightSDS!U$23*$AM193^2+WeightSDS!V$23*$AM193+WeightSDS!W$23,IF($AM193&lt;153,WeightSDS!M$25*$AM193^10+WeightSDS!N$25*$AM193^9+WeightSDS!O$25*$AM193^8+WeightSDS!P$25*$AM193^7+WeightSDS!Q$25*$AM193^6+WeightSDS!R$25*$AM193^5+WeightSDS!S$25*$AM193^4+WeightSDS!T$25*$AM193^3+WeightSDS!U$25*$AM193^2+WeightSDS!V$25*$AM193+WeightSDS!W$25,WeightSDS!M$27+WeightSDS!N$27/(1+EXP(WeightSDS!O$27+WeightSDS!P$27*$AM193)))),IF($AM193&lt;43.8,WeightSDS!M$29*$AM193^10+WeightSDS!N$29*$AM193^9+WeightSDS!O$29*$AM193^8+WeightSDS!P$29*$AM193^7+WeightSDS!Q$29*$AM193^6+WeightSDS!R$29*$AM193^5+WeightSDS!S$29*$AM193^4+WeightSDS!T$29*$AM193^3+WeightSDS!U$29*$AM193^2+WeightSDS!V$29*$AM193+WeightSDS!W$29-0.010431*(1-$AM193/210),IF($AM193&lt;123,WeightSDS!M$30*$AM193^10+WeightSDS!N$30*$AM193^9+WeightSDS!O$30*$AM193^8+WeightSDS!P$30*$AM193^7+WeightSDS!Q$30*$AM193^6+WeightSDS!R$30*$AM193^5+WeightSDS!S$30*$AM193^4+WeightSDS!T$30*$AM193^3+WeightSDS!U$30*$AM193^2+WeightSDS!V$30*$AM193+WeightSDS!W$30-0.010431*(1-1/$AM193),WeightSDS!M$32+WeightSDS!N$32/(1+EXP(WeightSDS!O$32+WeightSDS!P$32*$AM193))-0.010431*(1-$AM193/210))))</f>
        <v>2.9500001032655536</v>
      </c>
      <c r="AQ193" s="4">
        <f>IF(D193="M",IF($AM193&lt;162,WeightSDS!P$12*$AM193^7+WeightSDS!Q$12*$AM193^6+WeightSDS!R$12*$AM193^5+WeightSDS!S$12*$AM193^4+WeightSDS!T$12*$AM193^3+WeightSDS!U$12*$AM193^2+WeightSDS!V$12*$AM193+WeightSDS!W$12,WeightSDS!P$14*$AM193^7+WeightSDS!Q$14*$AM193^6+WeightSDS!R$14*$AM193^5+WeightSDS!S$14*$AM193^4+WeightSDS!T$14*$AM193^3+WeightSDS!U$14*$AM193^2+WeightSDS!V$14*$AM193+WeightSDS!W$14),IF($AM193&lt;156,WeightSDS!O$17*$AM193^8+WeightSDS!P$17*$AM193^7+WeightSDS!Q$17*$AM193^6+WeightSDS!R$17*$AM193^5+WeightSDS!S$17*$AM193^4+WeightSDS!T$17*$AM193^3+WeightSDS!U$17*$AM193^2+WeightSDS!V$17*$AM193+WeightSDS!W$17,IF($AM193&lt;186,WeightSDS!$U$18+(WeightSDS!$V$18-WeightSDS!$U$18)/24*($AM193-186)+WeightSDS!$W$18*(-$AM193+186)^2-0.005,WeightSDS!$U$18+(WeightSDS!$V$18-WeightSDS!$U$18)/24*($AM193-186)-0.005)))</f>
        <v>0.14604529399999999</v>
      </c>
      <c r="AT193" s="4">
        <f t="shared" si="49"/>
        <v>0.56299999999999994</v>
      </c>
      <c r="AU193" s="4">
        <f t="shared" si="50"/>
        <v>69</v>
      </c>
      <c r="AV193" s="4">
        <f t="shared" si="51"/>
        <v>0.51</v>
      </c>
    </row>
    <row r="194" spans="1:48" x14ac:dyDescent="0.15">
      <c r="A194" s="4"/>
      <c r="B194" s="21"/>
      <c r="C194" s="21"/>
      <c r="D194" s="21"/>
      <c r="E194" s="22"/>
      <c r="F194" s="22"/>
      <c r="G194" s="23"/>
      <c r="H194" s="23"/>
      <c r="I194" s="181"/>
      <c r="J194" s="8" t="str">
        <f t="shared" si="43"/>
        <v/>
      </c>
      <c r="K194" s="2" t="str">
        <f t="shared" si="52"/>
        <v/>
      </c>
      <c r="L194" s="2" t="str">
        <f t="shared" si="44"/>
        <v/>
      </c>
      <c r="M194" s="2" t="str">
        <f t="shared" si="53"/>
        <v/>
      </c>
      <c r="N194" s="2" t="str">
        <f t="shared" si="61"/>
        <v/>
      </c>
      <c r="O194" s="2" t="str">
        <f t="shared" si="54"/>
        <v/>
      </c>
      <c r="P194" s="8" t="str">
        <f t="shared" si="55"/>
        <v/>
      </c>
      <c r="Q194" s="8" t="str">
        <f t="shared" si="56"/>
        <v/>
      </c>
      <c r="R194" s="111" t="str">
        <f t="shared" si="57"/>
        <v/>
      </c>
      <c r="S194" s="44" t="str">
        <f t="shared" si="58"/>
        <v/>
      </c>
      <c r="T194" s="37" t="str">
        <f t="shared" si="59"/>
        <v/>
      </c>
      <c r="U194" s="44" t="str">
        <f t="shared" si="60"/>
        <v/>
      </c>
      <c r="V194" s="26"/>
      <c r="W194" s="26"/>
      <c r="X194" s="26"/>
      <c r="Y194" s="26"/>
      <c r="Z194" s="24"/>
      <c r="AA194" s="169">
        <f t="shared" si="45"/>
        <v>0</v>
      </c>
      <c r="AB194" s="4">
        <f t="shared" si="46"/>
        <v>0</v>
      </c>
      <c r="AC194" s="170">
        <f t="shared" si="63"/>
        <v>0</v>
      </c>
      <c r="AD194" s="58"/>
      <c r="AE194" s="58"/>
      <c r="AF194" s="58"/>
      <c r="AG194" s="59">
        <f t="shared" si="47"/>
        <v>9.0359999999999996</v>
      </c>
      <c r="AH194" s="59">
        <f t="shared" si="48"/>
        <v>-184.49199999999999</v>
      </c>
      <c r="AJ194" s="4">
        <f>IF(D194="M",IF(AM194&lt;78,BMILMS!$D$5*AM194^3+BMILMS!$E$5*AM194^2+BMILMS!$F$5*AM194+BMILMS!$G$5,IF(AM194&lt;150,BMILMS!$D$6*AM194^3+BMILMS!$E$6*AM194^2+BMILMS!$F$6*AM194+BMILMS!$G$6,BMILMS!$D$7*AM194^3+BMILMS!$E$7*AM194^2+BMILMS!$F$7*AM194+BMILMS!$G$7)),IF(AM194&lt;69,BMILMS!$D$9*AM194^3+BMILMS!$E$9*AM194^2+BMILMS!$F$9*AM194+BMILMS!$G$9,IF(AM194&lt;150,BMILMS!$D$10*AM194^3+BMILMS!$E$10*AM194^2+BMILMS!$F$10*AM194+BMILMS!$G$10,BMILMS!$D$11*AM194^3+BMILMS!$E$11*AM194^2+BMILMS!$F$11*AM194+BMILMS!$G$11)))</f>
        <v>0.79584630099999998</v>
      </c>
      <c r="AK194" s="4">
        <f>IF(D194="M",(IF(AM194&lt;2.5,BMILMS!$D$21*AM194^3+BMILMS!$E$21*AM194^2+BMILMS!$F$21*AM194+BMILMS!$G$21,IF(AM194&lt;9.5,BMILMS!$D$22*AM194^3+BMILMS!$E$22*AM194^2+BMILMS!$F$22*AM194+BMILMS!$G$22,IF(AM194&lt;26.75,BMILMS!$D$23*AM194^3+BMILMS!$E$23*AM194^2+BMILMS!$F$23*AM194+BMILMS!$G$23,IF(AM194&lt;90,BMILMS!$D$24*AM194^3+BMILMS!$E$24*AM194^2+BMILMS!$F$24*AM194+BMILMS!$G$24,BMILMS!$D$25*AM194^3+BMILMS!$E$25*AM194^2+BMILMS!$F$25*AM194+BMILMS!$G$25))))),(IF(AM194&lt;2.5,BMILMS!$D$27*AM194^3+BMILMS!$E$27*AM194^2+BMILMS!$F$27*AM194+BMILMS!$G$27,IF(AM194&lt;9.5,BMILMS!$D$28*AM194^3+BMILMS!$E$28*AM194^2+BMILMS!$F$28*AM194+BMILMS!$G$28,IF(AM194&lt;26.75,BMILMS!$D$29*AM194^3+BMILMS!$E$29*AM194^2+BMILMS!$F$29*AM194+BMILMS!$G$29,IF(AM194&lt;90,BMILMS!$D$30*AM194^3+BMILMS!$E$30*AM194^2+BMILMS!$F$30*AM194+BMILMS!$G$30,IF(AM194&lt;150,BMILMS!$D$31*AM194^3+BMILMS!$E$31*AM194^2+BMILMS!$F$31*AM194+BMILMS!$G$31,BMILMS!$D$32*AM194^3+BMILMS!$E$32*AM194^2+BMILMS!$F$32*AM194+BMILMS!$G$32)))))))</f>
        <v>12.568967990000001</v>
      </c>
      <c r="AL194" s="4">
        <f>IF(D194="M",(IF(AM194&lt;90,BMILMS!$D$14*AM194^3+BMILMS!$E$14*AM194^2+BMILMS!$F$14*AM194+BMILMS!$G$14,BMILMS!$D$15*AM194^3+BMILMS!$E$15*AM194^2+BMILMS!$F$15*AM194+BMILMS!$G$15)),(IF(AM194&lt;90,BMILMS!$D$17*AM194^3+BMILMS!$E$17*AM194^2+BMILMS!$F$17*AM194+BMILMS!$G$17,BMILMS!$D$18*AM194^3+BMILMS!$E$18*AM194^2+BMILMS!$F$18*AM194+BMILMS!$G$18)))</f>
        <v>8.8969350000000003E-2</v>
      </c>
      <c r="AM194" s="4">
        <f t="shared" si="62"/>
        <v>0</v>
      </c>
      <c r="AO194" s="56">
        <f>IF(D194="M",WeightSDS!P$5*$AM194^7+WeightSDS!Q$5*$AM194^6+WeightSDS!R$5*$AM194^5+WeightSDS!S$5*$AM194^4+WeightSDS!T$5*$AM194^3+WeightSDS!U$5*$AM194^2+WeightSDS!V$5*$AM194+WeightSDS!W$5,IF($AM194&lt;186,WeightSDS!P$8*$AM194^7+WeightSDS!Q$8*$AM194^6+WeightSDS!R$8*$AM194^5+WeightSDS!S$8*$AM194^4+WeightSDS!T$8*$AM194^3+WeightSDS!U$8*$AM194^2+WeightSDS!V$8*$AM194+WeightSDS!W$8,WeightSDS!$U$9+WeightSDS!$V$9*($AM194-WeightSDS!$W$9)))</f>
        <v>0.75407122999999998</v>
      </c>
      <c r="AP194" s="4">
        <f>IF(D194="M",IF($AM194&lt;45,WeightSDS!M$23*$AM194^10+WeightSDS!N$23*$AM194^9+WeightSDS!O$23*$AM194^8+WeightSDS!P$23*$AM194^7+WeightSDS!Q$23*$AM194^6+WeightSDS!R$23*$AM194^5+WeightSDS!S$23*$AM194^4+WeightSDS!T$23*$AM194^3+WeightSDS!U$23*$AM194^2+WeightSDS!V$23*$AM194+WeightSDS!W$23,IF($AM194&lt;153,WeightSDS!M$25*$AM194^10+WeightSDS!N$25*$AM194^9+WeightSDS!O$25*$AM194^8+WeightSDS!P$25*$AM194^7+WeightSDS!Q$25*$AM194^6+WeightSDS!R$25*$AM194^5+WeightSDS!S$25*$AM194^4+WeightSDS!T$25*$AM194^3+WeightSDS!U$25*$AM194^2+WeightSDS!V$25*$AM194+WeightSDS!W$25,WeightSDS!M$27+WeightSDS!N$27/(1+EXP(WeightSDS!O$27+WeightSDS!P$27*$AM194)))),IF($AM194&lt;43.8,WeightSDS!M$29*$AM194^10+WeightSDS!N$29*$AM194^9+WeightSDS!O$29*$AM194^8+WeightSDS!P$29*$AM194^7+WeightSDS!Q$29*$AM194^6+WeightSDS!R$29*$AM194^5+WeightSDS!S$29*$AM194^4+WeightSDS!T$29*$AM194^3+WeightSDS!U$29*$AM194^2+WeightSDS!V$29*$AM194+WeightSDS!W$29-0.010431*(1-$AM194/210),IF($AM194&lt;123,WeightSDS!M$30*$AM194^10+WeightSDS!N$30*$AM194^9+WeightSDS!O$30*$AM194^8+WeightSDS!P$30*$AM194^7+WeightSDS!Q$30*$AM194^6+WeightSDS!R$30*$AM194^5+WeightSDS!S$30*$AM194^4+WeightSDS!T$30*$AM194^3+WeightSDS!U$30*$AM194^2+WeightSDS!V$30*$AM194+WeightSDS!W$30-0.010431*(1-1/$AM194),WeightSDS!M$32+WeightSDS!N$32/(1+EXP(WeightSDS!O$32+WeightSDS!P$32*$AM194))-0.010431*(1-$AM194/210))))</f>
        <v>2.9500001032655536</v>
      </c>
      <c r="AQ194" s="4">
        <f>IF(D194="M",IF($AM194&lt;162,WeightSDS!P$12*$AM194^7+WeightSDS!Q$12*$AM194^6+WeightSDS!R$12*$AM194^5+WeightSDS!S$12*$AM194^4+WeightSDS!T$12*$AM194^3+WeightSDS!U$12*$AM194^2+WeightSDS!V$12*$AM194+WeightSDS!W$12,WeightSDS!P$14*$AM194^7+WeightSDS!Q$14*$AM194^6+WeightSDS!R$14*$AM194^5+WeightSDS!S$14*$AM194^4+WeightSDS!T$14*$AM194^3+WeightSDS!U$14*$AM194^2+WeightSDS!V$14*$AM194+WeightSDS!W$14),IF($AM194&lt;156,WeightSDS!O$17*$AM194^8+WeightSDS!P$17*$AM194^7+WeightSDS!Q$17*$AM194^6+WeightSDS!R$17*$AM194^5+WeightSDS!S$17*$AM194^4+WeightSDS!T$17*$AM194^3+WeightSDS!U$17*$AM194^2+WeightSDS!V$17*$AM194+WeightSDS!W$17,IF($AM194&lt;186,WeightSDS!$U$18+(WeightSDS!$V$18-WeightSDS!$U$18)/24*($AM194-186)+WeightSDS!$W$18*(-$AM194+186)^2-0.005,WeightSDS!$U$18+(WeightSDS!$V$18-WeightSDS!$U$18)/24*($AM194-186)-0.005)))</f>
        <v>0.14604529399999999</v>
      </c>
      <c r="AT194" s="4">
        <f t="shared" si="49"/>
        <v>0.56299999999999994</v>
      </c>
      <c r="AU194" s="4">
        <f t="shared" si="50"/>
        <v>69</v>
      </c>
      <c r="AV194" s="4">
        <f t="shared" si="51"/>
        <v>0.51</v>
      </c>
    </row>
    <row r="195" spans="1:48" x14ac:dyDescent="0.15">
      <c r="A195" s="4"/>
      <c r="B195" s="21"/>
      <c r="C195" s="21"/>
      <c r="D195" s="21"/>
      <c r="E195" s="22"/>
      <c r="F195" s="22"/>
      <c r="G195" s="23"/>
      <c r="H195" s="23"/>
      <c r="I195" s="181"/>
      <c r="J195" s="8" t="str">
        <f t="shared" ref="J195:J258" si="64">IF(COUNTA(D195,E195,F195,G195)=4,IF(AA195+AB195/12&gt;17.583,"       *",(G195-(INDEX(IF(D195="F",Hfemalemean,Hmalemean),AB195+1,AA195+1)))/(INDEX(IF(D195="F",Hfemalesd,Hmalesd),AB195+1,AA195+1))),"")</f>
        <v/>
      </c>
      <c r="K195" s="2" t="str">
        <f t="shared" si="52"/>
        <v/>
      </c>
      <c r="L195" s="2" t="str">
        <f t="shared" ref="L195:L258" si="65">IF(COUNTA(D195,E195,F195,G195,H195)&lt;5,"",IF(T195&lt;6,"       *",IF(AA195+AB195/12&gt;=17.583,"       *",(H195-G195*INDEX(IF(D195="F",muratafemale,muratamale),AA195-4,1)-INDEX(IF(D195="F",muratafemale,muratamale),AA195-4,2))/(G195*INDEX(IF(D195="F",muratafemale,muratamale),AA195-4,1)+INDEX(IF(D195="F",muratafemale,muratamale),AA195-4,2))*100)))</f>
        <v/>
      </c>
      <c r="M195" s="2" t="str">
        <f t="shared" si="53"/>
        <v/>
      </c>
      <c r="N195" s="2" t="str">
        <f t="shared" si="61"/>
        <v/>
      </c>
      <c r="O195" s="2" t="str">
        <f t="shared" si="54"/>
        <v/>
      </c>
      <c r="P195" s="8" t="str">
        <f t="shared" si="55"/>
        <v/>
      </c>
      <c r="Q195" s="8" t="str">
        <f t="shared" si="56"/>
        <v/>
      </c>
      <c r="R195" s="111" t="str">
        <f t="shared" si="57"/>
        <v/>
      </c>
      <c r="S195" s="44" t="str">
        <f t="shared" si="58"/>
        <v/>
      </c>
      <c r="T195" s="37" t="str">
        <f t="shared" si="59"/>
        <v/>
      </c>
      <c r="U195" s="44" t="str">
        <f t="shared" si="60"/>
        <v/>
      </c>
      <c r="V195" s="26"/>
      <c r="W195" s="26"/>
      <c r="X195" s="26"/>
      <c r="Y195" s="26"/>
      <c r="Z195" s="24"/>
      <c r="AA195" s="169">
        <f t="shared" ref="AA195:AA258" si="66">DATEDIF(E195,F195,"Y")</f>
        <v>0</v>
      </c>
      <c r="AB195" s="4">
        <f t="shared" ref="AB195:AB258" si="67">DATEDIF(E195,F195,"YM")</f>
        <v>0</v>
      </c>
      <c r="AC195" s="170">
        <f t="shared" si="63"/>
        <v>0</v>
      </c>
      <c r="AD195" s="58"/>
      <c r="AE195" s="58"/>
      <c r="AF195" s="58"/>
      <c r="AG195" s="59">
        <f t="shared" ref="AG195:AG258" si="68">IF(D195="M",2.06*10^-3*G195^2-0.1166*G195+6.5273,2.49*10^-3*G195^2-0.1858*G195+9.036)</f>
        <v>9.0359999999999996</v>
      </c>
      <c r="AH195" s="59">
        <f t="shared" ref="AH195:AH258" si="69">((G195/100)^3*INDEX(itoOI,IF(D195="M",0,3)+IF(G195&lt;140,1,IF(G195&lt;=149,2,3)),1)+(G195/100)^2*INDEX(itoOI,IF(D195="M",0,3)+IF(G195&lt;140,1,IF(G195&lt;=149,2,3)),2)+(G195/100)*INDEX(itoOI,IF(D195="M",0,3)+IF(G195&lt;140,1,IF(G195&lt;=149,2,3)),3)+INDEX(itoOI,IF(D195="M",0,3)+IF(G195&lt;140,1,IF(G195&lt;=149,2,3)),4))</f>
        <v>-184.49199999999999</v>
      </c>
      <c r="AJ195" s="4">
        <f>IF(D195="M",IF(AM195&lt;78,BMILMS!$D$5*AM195^3+BMILMS!$E$5*AM195^2+BMILMS!$F$5*AM195+BMILMS!$G$5,IF(AM195&lt;150,BMILMS!$D$6*AM195^3+BMILMS!$E$6*AM195^2+BMILMS!$F$6*AM195+BMILMS!$G$6,BMILMS!$D$7*AM195^3+BMILMS!$E$7*AM195^2+BMILMS!$F$7*AM195+BMILMS!$G$7)),IF(AM195&lt;69,BMILMS!$D$9*AM195^3+BMILMS!$E$9*AM195^2+BMILMS!$F$9*AM195+BMILMS!$G$9,IF(AM195&lt;150,BMILMS!$D$10*AM195^3+BMILMS!$E$10*AM195^2+BMILMS!$F$10*AM195+BMILMS!$G$10,BMILMS!$D$11*AM195^3+BMILMS!$E$11*AM195^2+BMILMS!$F$11*AM195+BMILMS!$G$11)))</f>
        <v>0.79584630099999998</v>
      </c>
      <c r="AK195" s="4">
        <f>IF(D195="M",(IF(AM195&lt;2.5,BMILMS!$D$21*AM195^3+BMILMS!$E$21*AM195^2+BMILMS!$F$21*AM195+BMILMS!$G$21,IF(AM195&lt;9.5,BMILMS!$D$22*AM195^3+BMILMS!$E$22*AM195^2+BMILMS!$F$22*AM195+BMILMS!$G$22,IF(AM195&lt;26.75,BMILMS!$D$23*AM195^3+BMILMS!$E$23*AM195^2+BMILMS!$F$23*AM195+BMILMS!$G$23,IF(AM195&lt;90,BMILMS!$D$24*AM195^3+BMILMS!$E$24*AM195^2+BMILMS!$F$24*AM195+BMILMS!$G$24,BMILMS!$D$25*AM195^3+BMILMS!$E$25*AM195^2+BMILMS!$F$25*AM195+BMILMS!$G$25))))),(IF(AM195&lt;2.5,BMILMS!$D$27*AM195^3+BMILMS!$E$27*AM195^2+BMILMS!$F$27*AM195+BMILMS!$G$27,IF(AM195&lt;9.5,BMILMS!$D$28*AM195^3+BMILMS!$E$28*AM195^2+BMILMS!$F$28*AM195+BMILMS!$G$28,IF(AM195&lt;26.75,BMILMS!$D$29*AM195^3+BMILMS!$E$29*AM195^2+BMILMS!$F$29*AM195+BMILMS!$G$29,IF(AM195&lt;90,BMILMS!$D$30*AM195^3+BMILMS!$E$30*AM195^2+BMILMS!$F$30*AM195+BMILMS!$G$30,IF(AM195&lt;150,BMILMS!$D$31*AM195^3+BMILMS!$E$31*AM195^2+BMILMS!$F$31*AM195+BMILMS!$G$31,BMILMS!$D$32*AM195^3+BMILMS!$E$32*AM195^2+BMILMS!$F$32*AM195+BMILMS!$G$32)))))))</f>
        <v>12.568967990000001</v>
      </c>
      <c r="AL195" s="4">
        <f>IF(D195="M",(IF(AM195&lt;90,BMILMS!$D$14*AM195^3+BMILMS!$E$14*AM195^2+BMILMS!$F$14*AM195+BMILMS!$G$14,BMILMS!$D$15*AM195^3+BMILMS!$E$15*AM195^2+BMILMS!$F$15*AM195+BMILMS!$G$15)),(IF(AM195&lt;90,BMILMS!$D$17*AM195^3+BMILMS!$E$17*AM195^2+BMILMS!$F$17*AM195+BMILMS!$G$17,BMILMS!$D$18*AM195^3+BMILMS!$E$18*AM195^2+BMILMS!$F$18*AM195+BMILMS!$G$18)))</f>
        <v>8.8969350000000003E-2</v>
      </c>
      <c r="AM195" s="4">
        <f t="shared" si="62"/>
        <v>0</v>
      </c>
      <c r="AO195" s="56">
        <f>IF(D195="M",WeightSDS!P$5*$AM195^7+WeightSDS!Q$5*$AM195^6+WeightSDS!R$5*$AM195^5+WeightSDS!S$5*$AM195^4+WeightSDS!T$5*$AM195^3+WeightSDS!U$5*$AM195^2+WeightSDS!V$5*$AM195+WeightSDS!W$5,IF($AM195&lt;186,WeightSDS!P$8*$AM195^7+WeightSDS!Q$8*$AM195^6+WeightSDS!R$8*$AM195^5+WeightSDS!S$8*$AM195^4+WeightSDS!T$8*$AM195^3+WeightSDS!U$8*$AM195^2+WeightSDS!V$8*$AM195+WeightSDS!W$8,WeightSDS!$U$9+WeightSDS!$V$9*($AM195-WeightSDS!$W$9)))</f>
        <v>0.75407122999999998</v>
      </c>
      <c r="AP195" s="4">
        <f>IF(D195="M",IF($AM195&lt;45,WeightSDS!M$23*$AM195^10+WeightSDS!N$23*$AM195^9+WeightSDS!O$23*$AM195^8+WeightSDS!P$23*$AM195^7+WeightSDS!Q$23*$AM195^6+WeightSDS!R$23*$AM195^5+WeightSDS!S$23*$AM195^4+WeightSDS!T$23*$AM195^3+WeightSDS!U$23*$AM195^2+WeightSDS!V$23*$AM195+WeightSDS!W$23,IF($AM195&lt;153,WeightSDS!M$25*$AM195^10+WeightSDS!N$25*$AM195^9+WeightSDS!O$25*$AM195^8+WeightSDS!P$25*$AM195^7+WeightSDS!Q$25*$AM195^6+WeightSDS!R$25*$AM195^5+WeightSDS!S$25*$AM195^4+WeightSDS!T$25*$AM195^3+WeightSDS!U$25*$AM195^2+WeightSDS!V$25*$AM195+WeightSDS!W$25,WeightSDS!M$27+WeightSDS!N$27/(1+EXP(WeightSDS!O$27+WeightSDS!P$27*$AM195)))),IF($AM195&lt;43.8,WeightSDS!M$29*$AM195^10+WeightSDS!N$29*$AM195^9+WeightSDS!O$29*$AM195^8+WeightSDS!P$29*$AM195^7+WeightSDS!Q$29*$AM195^6+WeightSDS!R$29*$AM195^5+WeightSDS!S$29*$AM195^4+WeightSDS!T$29*$AM195^3+WeightSDS!U$29*$AM195^2+WeightSDS!V$29*$AM195+WeightSDS!W$29-0.010431*(1-$AM195/210),IF($AM195&lt;123,WeightSDS!M$30*$AM195^10+WeightSDS!N$30*$AM195^9+WeightSDS!O$30*$AM195^8+WeightSDS!P$30*$AM195^7+WeightSDS!Q$30*$AM195^6+WeightSDS!R$30*$AM195^5+WeightSDS!S$30*$AM195^4+WeightSDS!T$30*$AM195^3+WeightSDS!U$30*$AM195^2+WeightSDS!V$30*$AM195+WeightSDS!W$30-0.010431*(1-1/$AM195),WeightSDS!M$32+WeightSDS!N$32/(1+EXP(WeightSDS!O$32+WeightSDS!P$32*$AM195))-0.010431*(1-$AM195/210))))</f>
        <v>2.9500001032655536</v>
      </c>
      <c r="AQ195" s="4">
        <f>IF(D195="M",IF($AM195&lt;162,WeightSDS!P$12*$AM195^7+WeightSDS!Q$12*$AM195^6+WeightSDS!R$12*$AM195^5+WeightSDS!S$12*$AM195^4+WeightSDS!T$12*$AM195^3+WeightSDS!U$12*$AM195^2+WeightSDS!V$12*$AM195+WeightSDS!W$12,WeightSDS!P$14*$AM195^7+WeightSDS!Q$14*$AM195^6+WeightSDS!R$14*$AM195^5+WeightSDS!S$14*$AM195^4+WeightSDS!T$14*$AM195^3+WeightSDS!U$14*$AM195^2+WeightSDS!V$14*$AM195+WeightSDS!W$14),IF($AM195&lt;156,WeightSDS!O$17*$AM195^8+WeightSDS!P$17*$AM195^7+WeightSDS!Q$17*$AM195^6+WeightSDS!R$17*$AM195^5+WeightSDS!S$17*$AM195^4+WeightSDS!T$17*$AM195^3+WeightSDS!U$17*$AM195^2+WeightSDS!V$17*$AM195+WeightSDS!W$17,IF($AM195&lt;186,WeightSDS!$U$18+(WeightSDS!$V$18-WeightSDS!$U$18)/24*($AM195-186)+WeightSDS!$W$18*(-$AM195+186)^2-0.005,WeightSDS!$U$18+(WeightSDS!$V$18-WeightSDS!$U$18)/24*($AM195-186)-0.005)))</f>
        <v>0.14604529399999999</v>
      </c>
      <c r="AT195" s="4">
        <f t="shared" ref="AT195:AT258" si="70">INDEX(IF(D195="M",IGFmale, IGFfemale), AA195+1,1)</f>
        <v>0.56299999999999994</v>
      </c>
      <c r="AU195" s="4">
        <f t="shared" ref="AU195:AU258" si="71">INDEX(IF(D195="M",IGFmale, IGFfemale), AA195+1,2)</f>
        <v>69</v>
      </c>
      <c r="AV195" s="4">
        <f t="shared" ref="AV195:AV258" si="72">INDEX(IF(D195="M",IGFmale, IGFfemale), AA195+1,3)</f>
        <v>0.51</v>
      </c>
    </row>
    <row r="196" spans="1:48" x14ac:dyDescent="0.15">
      <c r="A196" s="4"/>
      <c r="B196" s="21"/>
      <c r="C196" s="21"/>
      <c r="D196" s="21"/>
      <c r="E196" s="22"/>
      <c r="F196" s="22"/>
      <c r="G196" s="23"/>
      <c r="H196" s="23"/>
      <c r="I196" s="181"/>
      <c r="J196" s="8" t="str">
        <f t="shared" si="64"/>
        <v/>
      </c>
      <c r="K196" s="2" t="str">
        <f t="shared" ref="K196:K259" si="73">IF(COUNTA(D196,E196,F196,G196,H196)=5,IF(T196&lt;1,"       *",IF(T196&gt;=6,"       *",IF(G196&gt;=120,"       *",IF(G196&lt;70,"       *",(H196-AG196)/AG196*100)))),"")</f>
        <v/>
      </c>
      <c r="L196" s="2" t="str">
        <f t="shared" si="65"/>
        <v/>
      </c>
      <c r="M196" s="2" t="str">
        <f t="shared" ref="M196:M259" si="74">IF(COUNTA(D196,E196,F196,G196,H196)=5,IF(G196&gt;=IF(D196="M",181,174),"*",IF(G196&lt;101,"       *",IF(T196&lt;6,"       *",IF(AA196+AB196/12&gt;=17.583,"*",(H196-AH196)/AH196*100)))),"")</f>
        <v/>
      </c>
      <c r="N196" s="2" t="str">
        <f t="shared" si="61"/>
        <v/>
      </c>
      <c r="O196" s="2" t="str">
        <f t="shared" ref="O196:O259" si="75">IF(COUNTA(D196,E196,F196,G196,H196)=5,IF(AA196+AB196/12&gt;17.583,"   *",NORMSDIST(((N196/AK196)^(AJ196)-1)/AJ196/AL196)*100),"")</f>
        <v/>
      </c>
      <c r="P196" s="8" t="str">
        <f t="shared" ref="P196:P259" si="76">IF(COUNTA(D196,E196,F196,G196,H196)=5,IF(AA196+AB196/12&gt;17.583,"   *",((N196/AK196)^(AJ196)-1)/AJ196/AL196),"")</f>
        <v/>
      </c>
      <c r="Q196" s="8" t="str">
        <f t="shared" ref="Q196:Q259" si="77">IF(COUNTA(D196,E196,F196,H196)=4,IF(AA196+AB196/12&gt;17.583,"   *",((H196/AP196)^(AO196)-1)/AO196/AQ196),"")</f>
        <v/>
      </c>
      <c r="R196" s="111" t="str">
        <f t="shared" ref="R196:R259" si="78">IF(COUNTA(D196,E196,F196,I196)=4,IF(AC196&gt;77,"*",NORMSDIST(((I196/AU196)^(AT196)-1)/AT196/AV196)*100),"")</f>
        <v/>
      </c>
      <c r="S196" s="44" t="str">
        <f t="shared" ref="S196:S259" si="79">IF(COUNTA(D196,E196,F196,I196)=4,IF(AC196&gt;77,"*",((I196/AU196)^(AT196)-1)/AT196/AV196),"")</f>
        <v/>
      </c>
      <c r="T196" s="37" t="str">
        <f t="shared" ref="T196:T259" si="80">IF(COUNTA(E196,F196)=2,AC196,"")</f>
        <v/>
      </c>
      <c r="U196" s="44" t="str">
        <f t="shared" ref="U196:U259" si="81">IF(COUNTA(E196,F196)=2,AA196&amp;"歳"&amp;AB196&amp;"か月","")</f>
        <v/>
      </c>
      <c r="V196" s="26"/>
      <c r="W196" s="26"/>
      <c r="X196" s="26"/>
      <c r="Y196" s="26"/>
      <c r="Z196" s="24"/>
      <c r="AA196" s="169">
        <f t="shared" si="66"/>
        <v>0</v>
      </c>
      <c r="AB196" s="4">
        <f t="shared" si="67"/>
        <v>0</v>
      </c>
      <c r="AC196" s="170">
        <f t="shared" si="63"/>
        <v>0</v>
      </c>
      <c r="AD196" s="58"/>
      <c r="AE196" s="58"/>
      <c r="AF196" s="58"/>
      <c r="AG196" s="59">
        <f t="shared" si="68"/>
        <v>9.0359999999999996</v>
      </c>
      <c r="AH196" s="59">
        <f t="shared" si="69"/>
        <v>-184.49199999999999</v>
      </c>
      <c r="AJ196" s="4">
        <f>IF(D196="M",IF(AM196&lt;78,BMILMS!$D$5*AM196^3+BMILMS!$E$5*AM196^2+BMILMS!$F$5*AM196+BMILMS!$G$5,IF(AM196&lt;150,BMILMS!$D$6*AM196^3+BMILMS!$E$6*AM196^2+BMILMS!$F$6*AM196+BMILMS!$G$6,BMILMS!$D$7*AM196^3+BMILMS!$E$7*AM196^2+BMILMS!$F$7*AM196+BMILMS!$G$7)),IF(AM196&lt;69,BMILMS!$D$9*AM196^3+BMILMS!$E$9*AM196^2+BMILMS!$F$9*AM196+BMILMS!$G$9,IF(AM196&lt;150,BMILMS!$D$10*AM196^3+BMILMS!$E$10*AM196^2+BMILMS!$F$10*AM196+BMILMS!$G$10,BMILMS!$D$11*AM196^3+BMILMS!$E$11*AM196^2+BMILMS!$F$11*AM196+BMILMS!$G$11)))</f>
        <v>0.79584630099999998</v>
      </c>
      <c r="AK196" s="4">
        <f>IF(D196="M",(IF(AM196&lt;2.5,BMILMS!$D$21*AM196^3+BMILMS!$E$21*AM196^2+BMILMS!$F$21*AM196+BMILMS!$G$21,IF(AM196&lt;9.5,BMILMS!$D$22*AM196^3+BMILMS!$E$22*AM196^2+BMILMS!$F$22*AM196+BMILMS!$G$22,IF(AM196&lt;26.75,BMILMS!$D$23*AM196^3+BMILMS!$E$23*AM196^2+BMILMS!$F$23*AM196+BMILMS!$G$23,IF(AM196&lt;90,BMILMS!$D$24*AM196^3+BMILMS!$E$24*AM196^2+BMILMS!$F$24*AM196+BMILMS!$G$24,BMILMS!$D$25*AM196^3+BMILMS!$E$25*AM196^2+BMILMS!$F$25*AM196+BMILMS!$G$25))))),(IF(AM196&lt;2.5,BMILMS!$D$27*AM196^3+BMILMS!$E$27*AM196^2+BMILMS!$F$27*AM196+BMILMS!$G$27,IF(AM196&lt;9.5,BMILMS!$D$28*AM196^3+BMILMS!$E$28*AM196^2+BMILMS!$F$28*AM196+BMILMS!$G$28,IF(AM196&lt;26.75,BMILMS!$D$29*AM196^3+BMILMS!$E$29*AM196^2+BMILMS!$F$29*AM196+BMILMS!$G$29,IF(AM196&lt;90,BMILMS!$D$30*AM196^3+BMILMS!$E$30*AM196^2+BMILMS!$F$30*AM196+BMILMS!$G$30,IF(AM196&lt;150,BMILMS!$D$31*AM196^3+BMILMS!$E$31*AM196^2+BMILMS!$F$31*AM196+BMILMS!$G$31,BMILMS!$D$32*AM196^3+BMILMS!$E$32*AM196^2+BMILMS!$F$32*AM196+BMILMS!$G$32)))))))</f>
        <v>12.568967990000001</v>
      </c>
      <c r="AL196" s="4">
        <f>IF(D196="M",(IF(AM196&lt;90,BMILMS!$D$14*AM196^3+BMILMS!$E$14*AM196^2+BMILMS!$F$14*AM196+BMILMS!$G$14,BMILMS!$D$15*AM196^3+BMILMS!$E$15*AM196^2+BMILMS!$F$15*AM196+BMILMS!$G$15)),(IF(AM196&lt;90,BMILMS!$D$17*AM196^3+BMILMS!$E$17*AM196^2+BMILMS!$F$17*AM196+BMILMS!$G$17,BMILMS!$D$18*AM196^3+BMILMS!$E$18*AM196^2+BMILMS!$F$18*AM196+BMILMS!$G$18)))</f>
        <v>8.8969350000000003E-2</v>
      </c>
      <c r="AM196" s="4">
        <f t="shared" si="62"/>
        <v>0</v>
      </c>
      <c r="AO196" s="56">
        <f>IF(D196="M",WeightSDS!P$5*$AM196^7+WeightSDS!Q$5*$AM196^6+WeightSDS!R$5*$AM196^5+WeightSDS!S$5*$AM196^4+WeightSDS!T$5*$AM196^3+WeightSDS!U$5*$AM196^2+WeightSDS!V$5*$AM196+WeightSDS!W$5,IF($AM196&lt;186,WeightSDS!P$8*$AM196^7+WeightSDS!Q$8*$AM196^6+WeightSDS!R$8*$AM196^5+WeightSDS!S$8*$AM196^4+WeightSDS!T$8*$AM196^3+WeightSDS!U$8*$AM196^2+WeightSDS!V$8*$AM196+WeightSDS!W$8,WeightSDS!$U$9+WeightSDS!$V$9*($AM196-WeightSDS!$W$9)))</f>
        <v>0.75407122999999998</v>
      </c>
      <c r="AP196" s="4">
        <f>IF(D196="M",IF($AM196&lt;45,WeightSDS!M$23*$AM196^10+WeightSDS!N$23*$AM196^9+WeightSDS!O$23*$AM196^8+WeightSDS!P$23*$AM196^7+WeightSDS!Q$23*$AM196^6+WeightSDS!R$23*$AM196^5+WeightSDS!S$23*$AM196^4+WeightSDS!T$23*$AM196^3+WeightSDS!U$23*$AM196^2+WeightSDS!V$23*$AM196+WeightSDS!W$23,IF($AM196&lt;153,WeightSDS!M$25*$AM196^10+WeightSDS!N$25*$AM196^9+WeightSDS!O$25*$AM196^8+WeightSDS!P$25*$AM196^7+WeightSDS!Q$25*$AM196^6+WeightSDS!R$25*$AM196^5+WeightSDS!S$25*$AM196^4+WeightSDS!T$25*$AM196^3+WeightSDS!U$25*$AM196^2+WeightSDS!V$25*$AM196+WeightSDS!W$25,WeightSDS!M$27+WeightSDS!N$27/(1+EXP(WeightSDS!O$27+WeightSDS!P$27*$AM196)))),IF($AM196&lt;43.8,WeightSDS!M$29*$AM196^10+WeightSDS!N$29*$AM196^9+WeightSDS!O$29*$AM196^8+WeightSDS!P$29*$AM196^7+WeightSDS!Q$29*$AM196^6+WeightSDS!R$29*$AM196^5+WeightSDS!S$29*$AM196^4+WeightSDS!T$29*$AM196^3+WeightSDS!U$29*$AM196^2+WeightSDS!V$29*$AM196+WeightSDS!W$29-0.010431*(1-$AM196/210),IF($AM196&lt;123,WeightSDS!M$30*$AM196^10+WeightSDS!N$30*$AM196^9+WeightSDS!O$30*$AM196^8+WeightSDS!P$30*$AM196^7+WeightSDS!Q$30*$AM196^6+WeightSDS!R$30*$AM196^5+WeightSDS!S$30*$AM196^4+WeightSDS!T$30*$AM196^3+WeightSDS!U$30*$AM196^2+WeightSDS!V$30*$AM196+WeightSDS!W$30-0.010431*(1-1/$AM196),WeightSDS!M$32+WeightSDS!N$32/(1+EXP(WeightSDS!O$32+WeightSDS!P$32*$AM196))-0.010431*(1-$AM196/210))))</f>
        <v>2.9500001032655536</v>
      </c>
      <c r="AQ196" s="4">
        <f>IF(D196="M",IF($AM196&lt;162,WeightSDS!P$12*$AM196^7+WeightSDS!Q$12*$AM196^6+WeightSDS!R$12*$AM196^5+WeightSDS!S$12*$AM196^4+WeightSDS!T$12*$AM196^3+WeightSDS!U$12*$AM196^2+WeightSDS!V$12*$AM196+WeightSDS!W$12,WeightSDS!P$14*$AM196^7+WeightSDS!Q$14*$AM196^6+WeightSDS!R$14*$AM196^5+WeightSDS!S$14*$AM196^4+WeightSDS!T$14*$AM196^3+WeightSDS!U$14*$AM196^2+WeightSDS!V$14*$AM196+WeightSDS!W$14),IF($AM196&lt;156,WeightSDS!O$17*$AM196^8+WeightSDS!P$17*$AM196^7+WeightSDS!Q$17*$AM196^6+WeightSDS!R$17*$AM196^5+WeightSDS!S$17*$AM196^4+WeightSDS!T$17*$AM196^3+WeightSDS!U$17*$AM196^2+WeightSDS!V$17*$AM196+WeightSDS!W$17,IF($AM196&lt;186,WeightSDS!$U$18+(WeightSDS!$V$18-WeightSDS!$U$18)/24*($AM196-186)+WeightSDS!$W$18*(-$AM196+186)^2-0.005,WeightSDS!$U$18+(WeightSDS!$V$18-WeightSDS!$U$18)/24*($AM196-186)-0.005)))</f>
        <v>0.14604529399999999</v>
      </c>
      <c r="AT196" s="4">
        <f t="shared" si="70"/>
        <v>0.56299999999999994</v>
      </c>
      <c r="AU196" s="4">
        <f t="shared" si="71"/>
        <v>69</v>
      </c>
      <c r="AV196" s="4">
        <f t="shared" si="72"/>
        <v>0.51</v>
      </c>
    </row>
    <row r="197" spans="1:48" x14ac:dyDescent="0.15">
      <c r="A197" s="4"/>
      <c r="B197" s="21"/>
      <c r="C197" s="21"/>
      <c r="D197" s="21"/>
      <c r="E197" s="22"/>
      <c r="F197" s="22"/>
      <c r="G197" s="23"/>
      <c r="H197" s="23"/>
      <c r="I197" s="181"/>
      <c r="J197" s="8" t="str">
        <f t="shared" si="64"/>
        <v/>
      </c>
      <c r="K197" s="2" t="str">
        <f t="shared" si="73"/>
        <v/>
      </c>
      <c r="L197" s="2" t="str">
        <f t="shared" si="65"/>
        <v/>
      </c>
      <c r="M197" s="2" t="str">
        <f t="shared" si="74"/>
        <v/>
      </c>
      <c r="N197" s="2" t="str">
        <f t="shared" si="61"/>
        <v/>
      </c>
      <c r="O197" s="2" t="str">
        <f t="shared" si="75"/>
        <v/>
      </c>
      <c r="P197" s="8" t="str">
        <f t="shared" si="76"/>
        <v/>
      </c>
      <c r="Q197" s="8" t="str">
        <f t="shared" si="77"/>
        <v/>
      </c>
      <c r="R197" s="111" t="str">
        <f t="shared" si="78"/>
        <v/>
      </c>
      <c r="S197" s="44" t="str">
        <f t="shared" si="79"/>
        <v/>
      </c>
      <c r="T197" s="37" t="str">
        <f t="shared" si="80"/>
        <v/>
      </c>
      <c r="U197" s="44" t="str">
        <f t="shared" si="81"/>
        <v/>
      </c>
      <c r="V197" s="26"/>
      <c r="W197" s="26"/>
      <c r="X197" s="26"/>
      <c r="Y197" s="26"/>
      <c r="Z197" s="24"/>
      <c r="AA197" s="169">
        <f t="shared" si="66"/>
        <v>0</v>
      </c>
      <c r="AB197" s="4">
        <f t="shared" si="67"/>
        <v>0</v>
      </c>
      <c r="AC197" s="170">
        <f t="shared" si="63"/>
        <v>0</v>
      </c>
      <c r="AD197" s="58"/>
      <c r="AE197" s="58"/>
      <c r="AF197" s="58"/>
      <c r="AG197" s="59">
        <f t="shared" si="68"/>
        <v>9.0359999999999996</v>
      </c>
      <c r="AH197" s="59">
        <f t="shared" si="69"/>
        <v>-184.49199999999999</v>
      </c>
      <c r="AJ197" s="4">
        <f>IF(D197="M",IF(AM197&lt;78,BMILMS!$D$5*AM197^3+BMILMS!$E$5*AM197^2+BMILMS!$F$5*AM197+BMILMS!$G$5,IF(AM197&lt;150,BMILMS!$D$6*AM197^3+BMILMS!$E$6*AM197^2+BMILMS!$F$6*AM197+BMILMS!$G$6,BMILMS!$D$7*AM197^3+BMILMS!$E$7*AM197^2+BMILMS!$F$7*AM197+BMILMS!$G$7)),IF(AM197&lt;69,BMILMS!$D$9*AM197^3+BMILMS!$E$9*AM197^2+BMILMS!$F$9*AM197+BMILMS!$G$9,IF(AM197&lt;150,BMILMS!$D$10*AM197^3+BMILMS!$E$10*AM197^2+BMILMS!$F$10*AM197+BMILMS!$G$10,BMILMS!$D$11*AM197^3+BMILMS!$E$11*AM197^2+BMILMS!$F$11*AM197+BMILMS!$G$11)))</f>
        <v>0.79584630099999998</v>
      </c>
      <c r="AK197" s="4">
        <f>IF(D197="M",(IF(AM197&lt;2.5,BMILMS!$D$21*AM197^3+BMILMS!$E$21*AM197^2+BMILMS!$F$21*AM197+BMILMS!$G$21,IF(AM197&lt;9.5,BMILMS!$D$22*AM197^3+BMILMS!$E$22*AM197^2+BMILMS!$F$22*AM197+BMILMS!$G$22,IF(AM197&lt;26.75,BMILMS!$D$23*AM197^3+BMILMS!$E$23*AM197^2+BMILMS!$F$23*AM197+BMILMS!$G$23,IF(AM197&lt;90,BMILMS!$D$24*AM197^3+BMILMS!$E$24*AM197^2+BMILMS!$F$24*AM197+BMILMS!$G$24,BMILMS!$D$25*AM197^3+BMILMS!$E$25*AM197^2+BMILMS!$F$25*AM197+BMILMS!$G$25))))),(IF(AM197&lt;2.5,BMILMS!$D$27*AM197^3+BMILMS!$E$27*AM197^2+BMILMS!$F$27*AM197+BMILMS!$G$27,IF(AM197&lt;9.5,BMILMS!$D$28*AM197^3+BMILMS!$E$28*AM197^2+BMILMS!$F$28*AM197+BMILMS!$G$28,IF(AM197&lt;26.75,BMILMS!$D$29*AM197^3+BMILMS!$E$29*AM197^2+BMILMS!$F$29*AM197+BMILMS!$G$29,IF(AM197&lt;90,BMILMS!$D$30*AM197^3+BMILMS!$E$30*AM197^2+BMILMS!$F$30*AM197+BMILMS!$G$30,IF(AM197&lt;150,BMILMS!$D$31*AM197^3+BMILMS!$E$31*AM197^2+BMILMS!$F$31*AM197+BMILMS!$G$31,BMILMS!$D$32*AM197^3+BMILMS!$E$32*AM197^2+BMILMS!$F$32*AM197+BMILMS!$G$32)))))))</f>
        <v>12.568967990000001</v>
      </c>
      <c r="AL197" s="4">
        <f>IF(D197="M",(IF(AM197&lt;90,BMILMS!$D$14*AM197^3+BMILMS!$E$14*AM197^2+BMILMS!$F$14*AM197+BMILMS!$G$14,BMILMS!$D$15*AM197^3+BMILMS!$E$15*AM197^2+BMILMS!$F$15*AM197+BMILMS!$G$15)),(IF(AM197&lt;90,BMILMS!$D$17*AM197^3+BMILMS!$E$17*AM197^2+BMILMS!$F$17*AM197+BMILMS!$G$17,BMILMS!$D$18*AM197^3+BMILMS!$E$18*AM197^2+BMILMS!$F$18*AM197+BMILMS!$G$18)))</f>
        <v>8.8969350000000003E-2</v>
      </c>
      <c r="AM197" s="4">
        <f t="shared" si="62"/>
        <v>0</v>
      </c>
      <c r="AO197" s="56">
        <f>IF(D197="M",WeightSDS!P$5*$AM197^7+WeightSDS!Q$5*$AM197^6+WeightSDS!R$5*$AM197^5+WeightSDS!S$5*$AM197^4+WeightSDS!T$5*$AM197^3+WeightSDS!U$5*$AM197^2+WeightSDS!V$5*$AM197+WeightSDS!W$5,IF($AM197&lt;186,WeightSDS!P$8*$AM197^7+WeightSDS!Q$8*$AM197^6+WeightSDS!R$8*$AM197^5+WeightSDS!S$8*$AM197^4+WeightSDS!T$8*$AM197^3+WeightSDS!U$8*$AM197^2+WeightSDS!V$8*$AM197+WeightSDS!W$8,WeightSDS!$U$9+WeightSDS!$V$9*($AM197-WeightSDS!$W$9)))</f>
        <v>0.75407122999999998</v>
      </c>
      <c r="AP197" s="4">
        <f>IF(D197="M",IF($AM197&lt;45,WeightSDS!M$23*$AM197^10+WeightSDS!N$23*$AM197^9+WeightSDS!O$23*$AM197^8+WeightSDS!P$23*$AM197^7+WeightSDS!Q$23*$AM197^6+WeightSDS!R$23*$AM197^5+WeightSDS!S$23*$AM197^4+WeightSDS!T$23*$AM197^3+WeightSDS!U$23*$AM197^2+WeightSDS!V$23*$AM197+WeightSDS!W$23,IF($AM197&lt;153,WeightSDS!M$25*$AM197^10+WeightSDS!N$25*$AM197^9+WeightSDS!O$25*$AM197^8+WeightSDS!P$25*$AM197^7+WeightSDS!Q$25*$AM197^6+WeightSDS!R$25*$AM197^5+WeightSDS!S$25*$AM197^4+WeightSDS!T$25*$AM197^3+WeightSDS!U$25*$AM197^2+WeightSDS!V$25*$AM197+WeightSDS!W$25,WeightSDS!M$27+WeightSDS!N$27/(1+EXP(WeightSDS!O$27+WeightSDS!P$27*$AM197)))),IF($AM197&lt;43.8,WeightSDS!M$29*$AM197^10+WeightSDS!N$29*$AM197^9+WeightSDS!O$29*$AM197^8+WeightSDS!P$29*$AM197^7+WeightSDS!Q$29*$AM197^6+WeightSDS!R$29*$AM197^5+WeightSDS!S$29*$AM197^4+WeightSDS!T$29*$AM197^3+WeightSDS!U$29*$AM197^2+WeightSDS!V$29*$AM197+WeightSDS!W$29-0.010431*(1-$AM197/210),IF($AM197&lt;123,WeightSDS!M$30*$AM197^10+WeightSDS!N$30*$AM197^9+WeightSDS!O$30*$AM197^8+WeightSDS!P$30*$AM197^7+WeightSDS!Q$30*$AM197^6+WeightSDS!R$30*$AM197^5+WeightSDS!S$30*$AM197^4+WeightSDS!T$30*$AM197^3+WeightSDS!U$30*$AM197^2+WeightSDS!V$30*$AM197+WeightSDS!W$30-0.010431*(1-1/$AM197),WeightSDS!M$32+WeightSDS!N$32/(1+EXP(WeightSDS!O$32+WeightSDS!P$32*$AM197))-0.010431*(1-$AM197/210))))</f>
        <v>2.9500001032655536</v>
      </c>
      <c r="AQ197" s="4">
        <f>IF(D197="M",IF($AM197&lt;162,WeightSDS!P$12*$AM197^7+WeightSDS!Q$12*$AM197^6+WeightSDS!R$12*$AM197^5+WeightSDS!S$12*$AM197^4+WeightSDS!T$12*$AM197^3+WeightSDS!U$12*$AM197^2+WeightSDS!V$12*$AM197+WeightSDS!W$12,WeightSDS!P$14*$AM197^7+WeightSDS!Q$14*$AM197^6+WeightSDS!R$14*$AM197^5+WeightSDS!S$14*$AM197^4+WeightSDS!T$14*$AM197^3+WeightSDS!U$14*$AM197^2+WeightSDS!V$14*$AM197+WeightSDS!W$14),IF($AM197&lt;156,WeightSDS!O$17*$AM197^8+WeightSDS!P$17*$AM197^7+WeightSDS!Q$17*$AM197^6+WeightSDS!R$17*$AM197^5+WeightSDS!S$17*$AM197^4+WeightSDS!T$17*$AM197^3+WeightSDS!U$17*$AM197^2+WeightSDS!V$17*$AM197+WeightSDS!W$17,IF($AM197&lt;186,WeightSDS!$U$18+(WeightSDS!$V$18-WeightSDS!$U$18)/24*($AM197-186)+WeightSDS!$W$18*(-$AM197+186)^2-0.005,WeightSDS!$U$18+(WeightSDS!$V$18-WeightSDS!$U$18)/24*($AM197-186)-0.005)))</f>
        <v>0.14604529399999999</v>
      </c>
      <c r="AT197" s="4">
        <f t="shared" si="70"/>
        <v>0.56299999999999994</v>
      </c>
      <c r="AU197" s="4">
        <f t="shared" si="71"/>
        <v>69</v>
      </c>
      <c r="AV197" s="4">
        <f t="shared" si="72"/>
        <v>0.51</v>
      </c>
    </row>
    <row r="198" spans="1:48" x14ac:dyDescent="0.15">
      <c r="A198" s="4"/>
      <c r="B198" s="21"/>
      <c r="C198" s="21"/>
      <c r="D198" s="21"/>
      <c r="E198" s="22"/>
      <c r="F198" s="22"/>
      <c r="G198" s="23"/>
      <c r="H198" s="23"/>
      <c r="I198" s="181"/>
      <c r="J198" s="8" t="str">
        <f t="shared" si="64"/>
        <v/>
      </c>
      <c r="K198" s="2" t="str">
        <f t="shared" si="73"/>
        <v/>
      </c>
      <c r="L198" s="2" t="str">
        <f t="shared" si="65"/>
        <v/>
      </c>
      <c r="M198" s="2" t="str">
        <f t="shared" si="74"/>
        <v/>
      </c>
      <c r="N198" s="2" t="str">
        <f t="shared" si="61"/>
        <v/>
      </c>
      <c r="O198" s="2" t="str">
        <f t="shared" si="75"/>
        <v/>
      </c>
      <c r="P198" s="8" t="str">
        <f t="shared" si="76"/>
        <v/>
      </c>
      <c r="Q198" s="8" t="str">
        <f t="shared" si="77"/>
        <v/>
      </c>
      <c r="R198" s="111" t="str">
        <f t="shared" si="78"/>
        <v/>
      </c>
      <c r="S198" s="44" t="str">
        <f t="shared" si="79"/>
        <v/>
      </c>
      <c r="T198" s="37" t="str">
        <f t="shared" si="80"/>
        <v/>
      </c>
      <c r="U198" s="44" t="str">
        <f t="shared" si="81"/>
        <v/>
      </c>
      <c r="V198" s="26"/>
      <c r="W198" s="26"/>
      <c r="X198" s="26"/>
      <c r="Y198" s="26"/>
      <c r="Z198" s="24"/>
      <c r="AA198" s="169">
        <f t="shared" si="66"/>
        <v>0</v>
      </c>
      <c r="AB198" s="4">
        <f t="shared" si="67"/>
        <v>0</v>
      </c>
      <c r="AC198" s="170">
        <f t="shared" si="63"/>
        <v>0</v>
      </c>
      <c r="AD198" s="58"/>
      <c r="AE198" s="58"/>
      <c r="AF198" s="58"/>
      <c r="AG198" s="59">
        <f t="shared" si="68"/>
        <v>9.0359999999999996</v>
      </c>
      <c r="AH198" s="59">
        <f t="shared" si="69"/>
        <v>-184.49199999999999</v>
      </c>
      <c r="AJ198" s="4">
        <f>IF(D198="M",IF(AM198&lt;78,BMILMS!$D$5*AM198^3+BMILMS!$E$5*AM198^2+BMILMS!$F$5*AM198+BMILMS!$G$5,IF(AM198&lt;150,BMILMS!$D$6*AM198^3+BMILMS!$E$6*AM198^2+BMILMS!$F$6*AM198+BMILMS!$G$6,BMILMS!$D$7*AM198^3+BMILMS!$E$7*AM198^2+BMILMS!$F$7*AM198+BMILMS!$G$7)),IF(AM198&lt;69,BMILMS!$D$9*AM198^3+BMILMS!$E$9*AM198^2+BMILMS!$F$9*AM198+BMILMS!$G$9,IF(AM198&lt;150,BMILMS!$D$10*AM198^3+BMILMS!$E$10*AM198^2+BMILMS!$F$10*AM198+BMILMS!$G$10,BMILMS!$D$11*AM198^3+BMILMS!$E$11*AM198^2+BMILMS!$F$11*AM198+BMILMS!$G$11)))</f>
        <v>0.79584630099999998</v>
      </c>
      <c r="AK198" s="4">
        <f>IF(D198="M",(IF(AM198&lt;2.5,BMILMS!$D$21*AM198^3+BMILMS!$E$21*AM198^2+BMILMS!$F$21*AM198+BMILMS!$G$21,IF(AM198&lt;9.5,BMILMS!$D$22*AM198^3+BMILMS!$E$22*AM198^2+BMILMS!$F$22*AM198+BMILMS!$G$22,IF(AM198&lt;26.75,BMILMS!$D$23*AM198^3+BMILMS!$E$23*AM198^2+BMILMS!$F$23*AM198+BMILMS!$G$23,IF(AM198&lt;90,BMILMS!$D$24*AM198^3+BMILMS!$E$24*AM198^2+BMILMS!$F$24*AM198+BMILMS!$G$24,BMILMS!$D$25*AM198^3+BMILMS!$E$25*AM198^2+BMILMS!$F$25*AM198+BMILMS!$G$25))))),(IF(AM198&lt;2.5,BMILMS!$D$27*AM198^3+BMILMS!$E$27*AM198^2+BMILMS!$F$27*AM198+BMILMS!$G$27,IF(AM198&lt;9.5,BMILMS!$D$28*AM198^3+BMILMS!$E$28*AM198^2+BMILMS!$F$28*AM198+BMILMS!$G$28,IF(AM198&lt;26.75,BMILMS!$D$29*AM198^3+BMILMS!$E$29*AM198^2+BMILMS!$F$29*AM198+BMILMS!$G$29,IF(AM198&lt;90,BMILMS!$D$30*AM198^3+BMILMS!$E$30*AM198^2+BMILMS!$F$30*AM198+BMILMS!$G$30,IF(AM198&lt;150,BMILMS!$D$31*AM198^3+BMILMS!$E$31*AM198^2+BMILMS!$F$31*AM198+BMILMS!$G$31,BMILMS!$D$32*AM198^3+BMILMS!$E$32*AM198^2+BMILMS!$F$32*AM198+BMILMS!$G$32)))))))</f>
        <v>12.568967990000001</v>
      </c>
      <c r="AL198" s="4">
        <f>IF(D198="M",(IF(AM198&lt;90,BMILMS!$D$14*AM198^3+BMILMS!$E$14*AM198^2+BMILMS!$F$14*AM198+BMILMS!$G$14,BMILMS!$D$15*AM198^3+BMILMS!$E$15*AM198^2+BMILMS!$F$15*AM198+BMILMS!$G$15)),(IF(AM198&lt;90,BMILMS!$D$17*AM198^3+BMILMS!$E$17*AM198^2+BMILMS!$F$17*AM198+BMILMS!$G$17,BMILMS!$D$18*AM198^3+BMILMS!$E$18*AM198^2+BMILMS!$F$18*AM198+BMILMS!$G$18)))</f>
        <v>8.8969350000000003E-2</v>
      </c>
      <c r="AM198" s="4">
        <f t="shared" si="62"/>
        <v>0</v>
      </c>
      <c r="AO198" s="56">
        <f>IF(D198="M",WeightSDS!P$5*$AM198^7+WeightSDS!Q$5*$AM198^6+WeightSDS!R$5*$AM198^5+WeightSDS!S$5*$AM198^4+WeightSDS!T$5*$AM198^3+WeightSDS!U$5*$AM198^2+WeightSDS!V$5*$AM198+WeightSDS!W$5,IF($AM198&lt;186,WeightSDS!P$8*$AM198^7+WeightSDS!Q$8*$AM198^6+WeightSDS!R$8*$AM198^5+WeightSDS!S$8*$AM198^4+WeightSDS!T$8*$AM198^3+WeightSDS!U$8*$AM198^2+WeightSDS!V$8*$AM198+WeightSDS!W$8,WeightSDS!$U$9+WeightSDS!$V$9*($AM198-WeightSDS!$W$9)))</f>
        <v>0.75407122999999998</v>
      </c>
      <c r="AP198" s="4">
        <f>IF(D198="M",IF($AM198&lt;45,WeightSDS!M$23*$AM198^10+WeightSDS!N$23*$AM198^9+WeightSDS!O$23*$AM198^8+WeightSDS!P$23*$AM198^7+WeightSDS!Q$23*$AM198^6+WeightSDS!R$23*$AM198^5+WeightSDS!S$23*$AM198^4+WeightSDS!T$23*$AM198^3+WeightSDS!U$23*$AM198^2+WeightSDS!V$23*$AM198+WeightSDS!W$23,IF($AM198&lt;153,WeightSDS!M$25*$AM198^10+WeightSDS!N$25*$AM198^9+WeightSDS!O$25*$AM198^8+WeightSDS!P$25*$AM198^7+WeightSDS!Q$25*$AM198^6+WeightSDS!R$25*$AM198^5+WeightSDS!S$25*$AM198^4+WeightSDS!T$25*$AM198^3+WeightSDS!U$25*$AM198^2+WeightSDS!V$25*$AM198+WeightSDS!W$25,WeightSDS!M$27+WeightSDS!N$27/(1+EXP(WeightSDS!O$27+WeightSDS!P$27*$AM198)))),IF($AM198&lt;43.8,WeightSDS!M$29*$AM198^10+WeightSDS!N$29*$AM198^9+WeightSDS!O$29*$AM198^8+WeightSDS!P$29*$AM198^7+WeightSDS!Q$29*$AM198^6+WeightSDS!R$29*$AM198^5+WeightSDS!S$29*$AM198^4+WeightSDS!T$29*$AM198^3+WeightSDS!U$29*$AM198^2+WeightSDS!V$29*$AM198+WeightSDS!W$29-0.010431*(1-$AM198/210),IF($AM198&lt;123,WeightSDS!M$30*$AM198^10+WeightSDS!N$30*$AM198^9+WeightSDS!O$30*$AM198^8+WeightSDS!P$30*$AM198^7+WeightSDS!Q$30*$AM198^6+WeightSDS!R$30*$AM198^5+WeightSDS!S$30*$AM198^4+WeightSDS!T$30*$AM198^3+WeightSDS!U$30*$AM198^2+WeightSDS!V$30*$AM198+WeightSDS!W$30-0.010431*(1-1/$AM198),WeightSDS!M$32+WeightSDS!N$32/(1+EXP(WeightSDS!O$32+WeightSDS!P$32*$AM198))-0.010431*(1-$AM198/210))))</f>
        <v>2.9500001032655536</v>
      </c>
      <c r="AQ198" s="4">
        <f>IF(D198="M",IF($AM198&lt;162,WeightSDS!P$12*$AM198^7+WeightSDS!Q$12*$AM198^6+WeightSDS!R$12*$AM198^5+WeightSDS!S$12*$AM198^4+WeightSDS!T$12*$AM198^3+WeightSDS!U$12*$AM198^2+WeightSDS!V$12*$AM198+WeightSDS!W$12,WeightSDS!P$14*$AM198^7+WeightSDS!Q$14*$AM198^6+WeightSDS!R$14*$AM198^5+WeightSDS!S$14*$AM198^4+WeightSDS!T$14*$AM198^3+WeightSDS!U$14*$AM198^2+WeightSDS!V$14*$AM198+WeightSDS!W$14),IF($AM198&lt;156,WeightSDS!O$17*$AM198^8+WeightSDS!P$17*$AM198^7+WeightSDS!Q$17*$AM198^6+WeightSDS!R$17*$AM198^5+WeightSDS!S$17*$AM198^4+WeightSDS!T$17*$AM198^3+WeightSDS!U$17*$AM198^2+WeightSDS!V$17*$AM198+WeightSDS!W$17,IF($AM198&lt;186,WeightSDS!$U$18+(WeightSDS!$V$18-WeightSDS!$U$18)/24*($AM198-186)+WeightSDS!$W$18*(-$AM198+186)^2-0.005,WeightSDS!$U$18+(WeightSDS!$V$18-WeightSDS!$U$18)/24*($AM198-186)-0.005)))</f>
        <v>0.14604529399999999</v>
      </c>
      <c r="AT198" s="4">
        <f t="shared" si="70"/>
        <v>0.56299999999999994</v>
      </c>
      <c r="AU198" s="4">
        <f t="shared" si="71"/>
        <v>69</v>
      </c>
      <c r="AV198" s="4">
        <f t="shared" si="72"/>
        <v>0.51</v>
      </c>
    </row>
    <row r="199" spans="1:48" x14ac:dyDescent="0.15">
      <c r="A199" s="4"/>
      <c r="B199" s="21"/>
      <c r="C199" s="21"/>
      <c r="D199" s="21"/>
      <c r="E199" s="22"/>
      <c r="F199" s="22"/>
      <c r="G199" s="23"/>
      <c r="H199" s="23"/>
      <c r="I199" s="181"/>
      <c r="J199" s="8" t="str">
        <f t="shared" si="64"/>
        <v/>
      </c>
      <c r="K199" s="2" t="str">
        <f t="shared" si="73"/>
        <v/>
      </c>
      <c r="L199" s="2" t="str">
        <f t="shared" si="65"/>
        <v/>
      </c>
      <c r="M199" s="2" t="str">
        <f t="shared" si="74"/>
        <v/>
      </c>
      <c r="N199" s="2" t="str">
        <f t="shared" si="61"/>
        <v/>
      </c>
      <c r="O199" s="2" t="str">
        <f t="shared" si="75"/>
        <v/>
      </c>
      <c r="P199" s="8" t="str">
        <f t="shared" si="76"/>
        <v/>
      </c>
      <c r="Q199" s="8" t="str">
        <f t="shared" si="77"/>
        <v/>
      </c>
      <c r="R199" s="111" t="str">
        <f t="shared" si="78"/>
        <v/>
      </c>
      <c r="S199" s="44" t="str">
        <f t="shared" si="79"/>
        <v/>
      </c>
      <c r="T199" s="37" t="str">
        <f t="shared" si="80"/>
        <v/>
      </c>
      <c r="U199" s="44" t="str">
        <f t="shared" si="81"/>
        <v/>
      </c>
      <c r="V199" s="26"/>
      <c r="W199" s="26"/>
      <c r="X199" s="26"/>
      <c r="Y199" s="26"/>
      <c r="Z199" s="24"/>
      <c r="AA199" s="169">
        <f t="shared" si="66"/>
        <v>0</v>
      </c>
      <c r="AB199" s="4">
        <f t="shared" si="67"/>
        <v>0</v>
      </c>
      <c r="AC199" s="170">
        <f t="shared" si="63"/>
        <v>0</v>
      </c>
      <c r="AD199" s="58"/>
      <c r="AE199" s="58"/>
      <c r="AF199" s="58"/>
      <c r="AG199" s="59">
        <f t="shared" si="68"/>
        <v>9.0359999999999996</v>
      </c>
      <c r="AH199" s="59">
        <f t="shared" si="69"/>
        <v>-184.49199999999999</v>
      </c>
      <c r="AJ199" s="4">
        <f>IF(D199="M",IF(AM199&lt;78,BMILMS!$D$5*AM199^3+BMILMS!$E$5*AM199^2+BMILMS!$F$5*AM199+BMILMS!$G$5,IF(AM199&lt;150,BMILMS!$D$6*AM199^3+BMILMS!$E$6*AM199^2+BMILMS!$F$6*AM199+BMILMS!$G$6,BMILMS!$D$7*AM199^3+BMILMS!$E$7*AM199^2+BMILMS!$F$7*AM199+BMILMS!$G$7)),IF(AM199&lt;69,BMILMS!$D$9*AM199^3+BMILMS!$E$9*AM199^2+BMILMS!$F$9*AM199+BMILMS!$G$9,IF(AM199&lt;150,BMILMS!$D$10*AM199^3+BMILMS!$E$10*AM199^2+BMILMS!$F$10*AM199+BMILMS!$G$10,BMILMS!$D$11*AM199^3+BMILMS!$E$11*AM199^2+BMILMS!$F$11*AM199+BMILMS!$G$11)))</f>
        <v>0.79584630099999998</v>
      </c>
      <c r="AK199" s="4">
        <f>IF(D199="M",(IF(AM199&lt;2.5,BMILMS!$D$21*AM199^3+BMILMS!$E$21*AM199^2+BMILMS!$F$21*AM199+BMILMS!$G$21,IF(AM199&lt;9.5,BMILMS!$D$22*AM199^3+BMILMS!$E$22*AM199^2+BMILMS!$F$22*AM199+BMILMS!$G$22,IF(AM199&lt;26.75,BMILMS!$D$23*AM199^3+BMILMS!$E$23*AM199^2+BMILMS!$F$23*AM199+BMILMS!$G$23,IF(AM199&lt;90,BMILMS!$D$24*AM199^3+BMILMS!$E$24*AM199^2+BMILMS!$F$24*AM199+BMILMS!$G$24,BMILMS!$D$25*AM199^3+BMILMS!$E$25*AM199^2+BMILMS!$F$25*AM199+BMILMS!$G$25))))),(IF(AM199&lt;2.5,BMILMS!$D$27*AM199^3+BMILMS!$E$27*AM199^2+BMILMS!$F$27*AM199+BMILMS!$G$27,IF(AM199&lt;9.5,BMILMS!$D$28*AM199^3+BMILMS!$E$28*AM199^2+BMILMS!$F$28*AM199+BMILMS!$G$28,IF(AM199&lt;26.75,BMILMS!$D$29*AM199^3+BMILMS!$E$29*AM199^2+BMILMS!$F$29*AM199+BMILMS!$G$29,IF(AM199&lt;90,BMILMS!$D$30*AM199^3+BMILMS!$E$30*AM199^2+BMILMS!$F$30*AM199+BMILMS!$G$30,IF(AM199&lt;150,BMILMS!$D$31*AM199^3+BMILMS!$E$31*AM199^2+BMILMS!$F$31*AM199+BMILMS!$G$31,BMILMS!$D$32*AM199^3+BMILMS!$E$32*AM199^2+BMILMS!$F$32*AM199+BMILMS!$G$32)))))))</f>
        <v>12.568967990000001</v>
      </c>
      <c r="AL199" s="4">
        <f>IF(D199="M",(IF(AM199&lt;90,BMILMS!$D$14*AM199^3+BMILMS!$E$14*AM199^2+BMILMS!$F$14*AM199+BMILMS!$G$14,BMILMS!$D$15*AM199^3+BMILMS!$E$15*AM199^2+BMILMS!$F$15*AM199+BMILMS!$G$15)),(IF(AM199&lt;90,BMILMS!$D$17*AM199^3+BMILMS!$E$17*AM199^2+BMILMS!$F$17*AM199+BMILMS!$G$17,BMILMS!$D$18*AM199^3+BMILMS!$E$18*AM199^2+BMILMS!$F$18*AM199+BMILMS!$G$18)))</f>
        <v>8.8969350000000003E-2</v>
      </c>
      <c r="AM199" s="4">
        <f t="shared" si="62"/>
        <v>0</v>
      </c>
      <c r="AO199" s="56">
        <f>IF(D199="M",WeightSDS!P$5*$AM199^7+WeightSDS!Q$5*$AM199^6+WeightSDS!R$5*$AM199^5+WeightSDS!S$5*$AM199^4+WeightSDS!T$5*$AM199^3+WeightSDS!U$5*$AM199^2+WeightSDS!V$5*$AM199+WeightSDS!W$5,IF($AM199&lt;186,WeightSDS!P$8*$AM199^7+WeightSDS!Q$8*$AM199^6+WeightSDS!R$8*$AM199^5+WeightSDS!S$8*$AM199^4+WeightSDS!T$8*$AM199^3+WeightSDS!U$8*$AM199^2+WeightSDS!V$8*$AM199+WeightSDS!W$8,WeightSDS!$U$9+WeightSDS!$V$9*($AM199-WeightSDS!$W$9)))</f>
        <v>0.75407122999999998</v>
      </c>
      <c r="AP199" s="4">
        <f>IF(D199="M",IF($AM199&lt;45,WeightSDS!M$23*$AM199^10+WeightSDS!N$23*$AM199^9+WeightSDS!O$23*$AM199^8+WeightSDS!P$23*$AM199^7+WeightSDS!Q$23*$AM199^6+WeightSDS!R$23*$AM199^5+WeightSDS!S$23*$AM199^4+WeightSDS!T$23*$AM199^3+WeightSDS!U$23*$AM199^2+WeightSDS!V$23*$AM199+WeightSDS!W$23,IF($AM199&lt;153,WeightSDS!M$25*$AM199^10+WeightSDS!N$25*$AM199^9+WeightSDS!O$25*$AM199^8+WeightSDS!P$25*$AM199^7+WeightSDS!Q$25*$AM199^6+WeightSDS!R$25*$AM199^5+WeightSDS!S$25*$AM199^4+WeightSDS!T$25*$AM199^3+WeightSDS!U$25*$AM199^2+WeightSDS!V$25*$AM199+WeightSDS!W$25,WeightSDS!M$27+WeightSDS!N$27/(1+EXP(WeightSDS!O$27+WeightSDS!P$27*$AM199)))),IF($AM199&lt;43.8,WeightSDS!M$29*$AM199^10+WeightSDS!N$29*$AM199^9+WeightSDS!O$29*$AM199^8+WeightSDS!P$29*$AM199^7+WeightSDS!Q$29*$AM199^6+WeightSDS!R$29*$AM199^5+WeightSDS!S$29*$AM199^4+WeightSDS!T$29*$AM199^3+WeightSDS!U$29*$AM199^2+WeightSDS!V$29*$AM199+WeightSDS!W$29-0.010431*(1-$AM199/210),IF($AM199&lt;123,WeightSDS!M$30*$AM199^10+WeightSDS!N$30*$AM199^9+WeightSDS!O$30*$AM199^8+WeightSDS!P$30*$AM199^7+WeightSDS!Q$30*$AM199^6+WeightSDS!R$30*$AM199^5+WeightSDS!S$30*$AM199^4+WeightSDS!T$30*$AM199^3+WeightSDS!U$30*$AM199^2+WeightSDS!V$30*$AM199+WeightSDS!W$30-0.010431*(1-1/$AM199),WeightSDS!M$32+WeightSDS!N$32/(1+EXP(WeightSDS!O$32+WeightSDS!P$32*$AM199))-0.010431*(1-$AM199/210))))</f>
        <v>2.9500001032655536</v>
      </c>
      <c r="AQ199" s="4">
        <f>IF(D199="M",IF($AM199&lt;162,WeightSDS!P$12*$AM199^7+WeightSDS!Q$12*$AM199^6+WeightSDS!R$12*$AM199^5+WeightSDS!S$12*$AM199^4+WeightSDS!T$12*$AM199^3+WeightSDS!U$12*$AM199^2+WeightSDS!V$12*$AM199+WeightSDS!W$12,WeightSDS!P$14*$AM199^7+WeightSDS!Q$14*$AM199^6+WeightSDS!R$14*$AM199^5+WeightSDS!S$14*$AM199^4+WeightSDS!T$14*$AM199^3+WeightSDS!U$14*$AM199^2+WeightSDS!V$14*$AM199+WeightSDS!W$14),IF($AM199&lt;156,WeightSDS!O$17*$AM199^8+WeightSDS!P$17*$AM199^7+WeightSDS!Q$17*$AM199^6+WeightSDS!R$17*$AM199^5+WeightSDS!S$17*$AM199^4+WeightSDS!T$17*$AM199^3+WeightSDS!U$17*$AM199^2+WeightSDS!V$17*$AM199+WeightSDS!W$17,IF($AM199&lt;186,WeightSDS!$U$18+(WeightSDS!$V$18-WeightSDS!$U$18)/24*($AM199-186)+WeightSDS!$W$18*(-$AM199+186)^2-0.005,WeightSDS!$U$18+(WeightSDS!$V$18-WeightSDS!$U$18)/24*($AM199-186)-0.005)))</f>
        <v>0.14604529399999999</v>
      </c>
      <c r="AT199" s="4">
        <f t="shared" si="70"/>
        <v>0.56299999999999994</v>
      </c>
      <c r="AU199" s="4">
        <f t="shared" si="71"/>
        <v>69</v>
      </c>
      <c r="AV199" s="4">
        <f t="shared" si="72"/>
        <v>0.51</v>
      </c>
    </row>
    <row r="200" spans="1:48" x14ac:dyDescent="0.15">
      <c r="A200" s="4"/>
      <c r="B200" s="21"/>
      <c r="C200" s="21"/>
      <c r="D200" s="21"/>
      <c r="E200" s="22"/>
      <c r="F200" s="22"/>
      <c r="G200" s="23"/>
      <c r="H200" s="23"/>
      <c r="I200" s="181"/>
      <c r="J200" s="8" t="str">
        <f t="shared" si="64"/>
        <v/>
      </c>
      <c r="K200" s="2" t="str">
        <f t="shared" si="73"/>
        <v/>
      </c>
      <c r="L200" s="2" t="str">
        <f t="shared" si="65"/>
        <v/>
      </c>
      <c r="M200" s="2" t="str">
        <f t="shared" si="74"/>
        <v/>
      </c>
      <c r="N200" s="2" t="str">
        <f t="shared" ref="N200:N263" si="82">IF(COUNTA(D200,E200,F200,G200,H200)=5,H200/G200^2*10000,"")</f>
        <v/>
      </c>
      <c r="O200" s="2" t="str">
        <f t="shared" si="75"/>
        <v/>
      </c>
      <c r="P200" s="8" t="str">
        <f t="shared" si="76"/>
        <v/>
      </c>
      <c r="Q200" s="8" t="str">
        <f t="shared" si="77"/>
        <v/>
      </c>
      <c r="R200" s="111" t="str">
        <f t="shared" si="78"/>
        <v/>
      </c>
      <c r="S200" s="44" t="str">
        <f t="shared" si="79"/>
        <v/>
      </c>
      <c r="T200" s="37" t="str">
        <f t="shared" si="80"/>
        <v/>
      </c>
      <c r="U200" s="44" t="str">
        <f t="shared" si="81"/>
        <v/>
      </c>
      <c r="V200" s="26"/>
      <c r="W200" s="26"/>
      <c r="X200" s="26"/>
      <c r="Y200" s="26"/>
      <c r="Z200" s="24"/>
      <c r="AA200" s="169">
        <f t="shared" si="66"/>
        <v>0</v>
      </c>
      <c r="AB200" s="4">
        <f t="shared" si="67"/>
        <v>0</v>
      </c>
      <c r="AC200" s="170">
        <f t="shared" si="63"/>
        <v>0</v>
      </c>
      <c r="AD200" s="58"/>
      <c r="AE200" s="58"/>
      <c r="AF200" s="58"/>
      <c r="AG200" s="59">
        <f t="shared" si="68"/>
        <v>9.0359999999999996</v>
      </c>
      <c r="AH200" s="59">
        <f t="shared" si="69"/>
        <v>-184.49199999999999</v>
      </c>
      <c r="AJ200" s="4">
        <f>IF(D200="M",IF(AM200&lt;78,BMILMS!$D$5*AM200^3+BMILMS!$E$5*AM200^2+BMILMS!$F$5*AM200+BMILMS!$G$5,IF(AM200&lt;150,BMILMS!$D$6*AM200^3+BMILMS!$E$6*AM200^2+BMILMS!$F$6*AM200+BMILMS!$G$6,BMILMS!$D$7*AM200^3+BMILMS!$E$7*AM200^2+BMILMS!$F$7*AM200+BMILMS!$G$7)),IF(AM200&lt;69,BMILMS!$D$9*AM200^3+BMILMS!$E$9*AM200^2+BMILMS!$F$9*AM200+BMILMS!$G$9,IF(AM200&lt;150,BMILMS!$D$10*AM200^3+BMILMS!$E$10*AM200^2+BMILMS!$F$10*AM200+BMILMS!$G$10,BMILMS!$D$11*AM200^3+BMILMS!$E$11*AM200^2+BMILMS!$F$11*AM200+BMILMS!$G$11)))</f>
        <v>0.79584630099999998</v>
      </c>
      <c r="AK200" s="4">
        <f>IF(D200="M",(IF(AM200&lt;2.5,BMILMS!$D$21*AM200^3+BMILMS!$E$21*AM200^2+BMILMS!$F$21*AM200+BMILMS!$G$21,IF(AM200&lt;9.5,BMILMS!$D$22*AM200^3+BMILMS!$E$22*AM200^2+BMILMS!$F$22*AM200+BMILMS!$G$22,IF(AM200&lt;26.75,BMILMS!$D$23*AM200^3+BMILMS!$E$23*AM200^2+BMILMS!$F$23*AM200+BMILMS!$G$23,IF(AM200&lt;90,BMILMS!$D$24*AM200^3+BMILMS!$E$24*AM200^2+BMILMS!$F$24*AM200+BMILMS!$G$24,BMILMS!$D$25*AM200^3+BMILMS!$E$25*AM200^2+BMILMS!$F$25*AM200+BMILMS!$G$25))))),(IF(AM200&lt;2.5,BMILMS!$D$27*AM200^3+BMILMS!$E$27*AM200^2+BMILMS!$F$27*AM200+BMILMS!$G$27,IF(AM200&lt;9.5,BMILMS!$D$28*AM200^3+BMILMS!$E$28*AM200^2+BMILMS!$F$28*AM200+BMILMS!$G$28,IF(AM200&lt;26.75,BMILMS!$D$29*AM200^3+BMILMS!$E$29*AM200^2+BMILMS!$F$29*AM200+BMILMS!$G$29,IF(AM200&lt;90,BMILMS!$D$30*AM200^3+BMILMS!$E$30*AM200^2+BMILMS!$F$30*AM200+BMILMS!$G$30,IF(AM200&lt;150,BMILMS!$D$31*AM200^3+BMILMS!$E$31*AM200^2+BMILMS!$F$31*AM200+BMILMS!$G$31,BMILMS!$D$32*AM200^3+BMILMS!$E$32*AM200^2+BMILMS!$F$32*AM200+BMILMS!$G$32)))))))</f>
        <v>12.568967990000001</v>
      </c>
      <c r="AL200" s="4">
        <f>IF(D200="M",(IF(AM200&lt;90,BMILMS!$D$14*AM200^3+BMILMS!$E$14*AM200^2+BMILMS!$F$14*AM200+BMILMS!$G$14,BMILMS!$D$15*AM200^3+BMILMS!$E$15*AM200^2+BMILMS!$F$15*AM200+BMILMS!$G$15)),(IF(AM200&lt;90,BMILMS!$D$17*AM200^3+BMILMS!$E$17*AM200^2+BMILMS!$F$17*AM200+BMILMS!$G$17,BMILMS!$D$18*AM200^3+BMILMS!$E$18*AM200^2+BMILMS!$F$18*AM200+BMILMS!$G$18)))</f>
        <v>8.8969350000000003E-2</v>
      </c>
      <c r="AM200" s="4">
        <f t="shared" ref="AM200:AM263" si="83">AA200*12+AB200</f>
        <v>0</v>
      </c>
      <c r="AO200" s="56">
        <f>IF(D200="M",WeightSDS!P$5*$AM200^7+WeightSDS!Q$5*$AM200^6+WeightSDS!R$5*$AM200^5+WeightSDS!S$5*$AM200^4+WeightSDS!T$5*$AM200^3+WeightSDS!U$5*$AM200^2+WeightSDS!V$5*$AM200+WeightSDS!W$5,IF($AM200&lt;186,WeightSDS!P$8*$AM200^7+WeightSDS!Q$8*$AM200^6+WeightSDS!R$8*$AM200^5+WeightSDS!S$8*$AM200^4+WeightSDS!T$8*$AM200^3+WeightSDS!U$8*$AM200^2+WeightSDS!V$8*$AM200+WeightSDS!W$8,WeightSDS!$U$9+WeightSDS!$V$9*($AM200-WeightSDS!$W$9)))</f>
        <v>0.75407122999999998</v>
      </c>
      <c r="AP200" s="4">
        <f>IF(D200="M",IF($AM200&lt;45,WeightSDS!M$23*$AM200^10+WeightSDS!N$23*$AM200^9+WeightSDS!O$23*$AM200^8+WeightSDS!P$23*$AM200^7+WeightSDS!Q$23*$AM200^6+WeightSDS!R$23*$AM200^5+WeightSDS!S$23*$AM200^4+WeightSDS!T$23*$AM200^3+WeightSDS!U$23*$AM200^2+WeightSDS!V$23*$AM200+WeightSDS!W$23,IF($AM200&lt;153,WeightSDS!M$25*$AM200^10+WeightSDS!N$25*$AM200^9+WeightSDS!O$25*$AM200^8+WeightSDS!P$25*$AM200^7+WeightSDS!Q$25*$AM200^6+WeightSDS!R$25*$AM200^5+WeightSDS!S$25*$AM200^4+WeightSDS!T$25*$AM200^3+WeightSDS!U$25*$AM200^2+WeightSDS!V$25*$AM200+WeightSDS!W$25,WeightSDS!M$27+WeightSDS!N$27/(1+EXP(WeightSDS!O$27+WeightSDS!P$27*$AM200)))),IF($AM200&lt;43.8,WeightSDS!M$29*$AM200^10+WeightSDS!N$29*$AM200^9+WeightSDS!O$29*$AM200^8+WeightSDS!P$29*$AM200^7+WeightSDS!Q$29*$AM200^6+WeightSDS!R$29*$AM200^5+WeightSDS!S$29*$AM200^4+WeightSDS!T$29*$AM200^3+WeightSDS!U$29*$AM200^2+WeightSDS!V$29*$AM200+WeightSDS!W$29-0.010431*(1-$AM200/210),IF($AM200&lt;123,WeightSDS!M$30*$AM200^10+WeightSDS!N$30*$AM200^9+WeightSDS!O$30*$AM200^8+WeightSDS!P$30*$AM200^7+WeightSDS!Q$30*$AM200^6+WeightSDS!R$30*$AM200^5+WeightSDS!S$30*$AM200^4+WeightSDS!T$30*$AM200^3+WeightSDS!U$30*$AM200^2+WeightSDS!V$30*$AM200+WeightSDS!W$30-0.010431*(1-1/$AM200),WeightSDS!M$32+WeightSDS!N$32/(1+EXP(WeightSDS!O$32+WeightSDS!P$32*$AM200))-0.010431*(1-$AM200/210))))</f>
        <v>2.9500001032655536</v>
      </c>
      <c r="AQ200" s="4">
        <f>IF(D200="M",IF($AM200&lt;162,WeightSDS!P$12*$AM200^7+WeightSDS!Q$12*$AM200^6+WeightSDS!R$12*$AM200^5+WeightSDS!S$12*$AM200^4+WeightSDS!T$12*$AM200^3+WeightSDS!U$12*$AM200^2+WeightSDS!V$12*$AM200+WeightSDS!W$12,WeightSDS!P$14*$AM200^7+WeightSDS!Q$14*$AM200^6+WeightSDS!R$14*$AM200^5+WeightSDS!S$14*$AM200^4+WeightSDS!T$14*$AM200^3+WeightSDS!U$14*$AM200^2+WeightSDS!V$14*$AM200+WeightSDS!W$14),IF($AM200&lt;156,WeightSDS!O$17*$AM200^8+WeightSDS!P$17*$AM200^7+WeightSDS!Q$17*$AM200^6+WeightSDS!R$17*$AM200^5+WeightSDS!S$17*$AM200^4+WeightSDS!T$17*$AM200^3+WeightSDS!U$17*$AM200^2+WeightSDS!V$17*$AM200+WeightSDS!W$17,IF($AM200&lt;186,WeightSDS!$U$18+(WeightSDS!$V$18-WeightSDS!$U$18)/24*($AM200-186)+WeightSDS!$W$18*(-$AM200+186)^2-0.005,WeightSDS!$U$18+(WeightSDS!$V$18-WeightSDS!$U$18)/24*($AM200-186)-0.005)))</f>
        <v>0.14604529399999999</v>
      </c>
      <c r="AT200" s="4">
        <f t="shared" si="70"/>
        <v>0.56299999999999994</v>
      </c>
      <c r="AU200" s="4">
        <f t="shared" si="71"/>
        <v>69</v>
      </c>
      <c r="AV200" s="4">
        <f t="shared" si="72"/>
        <v>0.51</v>
      </c>
    </row>
    <row r="201" spans="1:48" x14ac:dyDescent="0.15">
      <c r="A201" s="4"/>
      <c r="B201" s="21"/>
      <c r="C201" s="21"/>
      <c r="D201" s="21"/>
      <c r="E201" s="22"/>
      <c r="F201" s="22"/>
      <c r="G201" s="23"/>
      <c r="H201" s="23"/>
      <c r="I201" s="181"/>
      <c r="J201" s="8" t="str">
        <f t="shared" si="64"/>
        <v/>
      </c>
      <c r="K201" s="2" t="str">
        <f t="shared" si="73"/>
        <v/>
      </c>
      <c r="L201" s="2" t="str">
        <f t="shared" si="65"/>
        <v/>
      </c>
      <c r="M201" s="2" t="str">
        <f t="shared" si="74"/>
        <v/>
      </c>
      <c r="N201" s="2" t="str">
        <f t="shared" si="82"/>
        <v/>
      </c>
      <c r="O201" s="2" t="str">
        <f t="shared" si="75"/>
        <v/>
      </c>
      <c r="P201" s="8" t="str">
        <f t="shared" si="76"/>
        <v/>
      </c>
      <c r="Q201" s="8" t="str">
        <f t="shared" si="77"/>
        <v/>
      </c>
      <c r="R201" s="111" t="str">
        <f t="shared" si="78"/>
        <v/>
      </c>
      <c r="S201" s="44" t="str">
        <f t="shared" si="79"/>
        <v/>
      </c>
      <c r="T201" s="37" t="str">
        <f t="shared" si="80"/>
        <v/>
      </c>
      <c r="U201" s="44" t="str">
        <f t="shared" si="81"/>
        <v/>
      </c>
      <c r="V201" s="26"/>
      <c r="W201" s="26"/>
      <c r="X201" s="26"/>
      <c r="Y201" s="26"/>
      <c r="Z201" s="24"/>
      <c r="AA201" s="169">
        <f t="shared" si="66"/>
        <v>0</v>
      </c>
      <c r="AB201" s="4">
        <f t="shared" si="67"/>
        <v>0</v>
      </c>
      <c r="AC201" s="170">
        <f t="shared" si="63"/>
        <v>0</v>
      </c>
      <c r="AD201" s="58"/>
      <c r="AE201" s="58"/>
      <c r="AF201" s="58"/>
      <c r="AG201" s="59">
        <f t="shared" si="68"/>
        <v>9.0359999999999996</v>
      </c>
      <c r="AH201" s="59">
        <f t="shared" si="69"/>
        <v>-184.49199999999999</v>
      </c>
      <c r="AJ201" s="4">
        <f>IF(D201="M",IF(AM201&lt;78,BMILMS!$D$5*AM201^3+BMILMS!$E$5*AM201^2+BMILMS!$F$5*AM201+BMILMS!$G$5,IF(AM201&lt;150,BMILMS!$D$6*AM201^3+BMILMS!$E$6*AM201^2+BMILMS!$F$6*AM201+BMILMS!$G$6,BMILMS!$D$7*AM201^3+BMILMS!$E$7*AM201^2+BMILMS!$F$7*AM201+BMILMS!$G$7)),IF(AM201&lt;69,BMILMS!$D$9*AM201^3+BMILMS!$E$9*AM201^2+BMILMS!$F$9*AM201+BMILMS!$G$9,IF(AM201&lt;150,BMILMS!$D$10*AM201^3+BMILMS!$E$10*AM201^2+BMILMS!$F$10*AM201+BMILMS!$G$10,BMILMS!$D$11*AM201^3+BMILMS!$E$11*AM201^2+BMILMS!$F$11*AM201+BMILMS!$G$11)))</f>
        <v>0.79584630099999998</v>
      </c>
      <c r="AK201" s="4">
        <f>IF(D201="M",(IF(AM201&lt;2.5,BMILMS!$D$21*AM201^3+BMILMS!$E$21*AM201^2+BMILMS!$F$21*AM201+BMILMS!$G$21,IF(AM201&lt;9.5,BMILMS!$D$22*AM201^3+BMILMS!$E$22*AM201^2+BMILMS!$F$22*AM201+BMILMS!$G$22,IF(AM201&lt;26.75,BMILMS!$D$23*AM201^3+BMILMS!$E$23*AM201^2+BMILMS!$F$23*AM201+BMILMS!$G$23,IF(AM201&lt;90,BMILMS!$D$24*AM201^3+BMILMS!$E$24*AM201^2+BMILMS!$F$24*AM201+BMILMS!$G$24,BMILMS!$D$25*AM201^3+BMILMS!$E$25*AM201^2+BMILMS!$F$25*AM201+BMILMS!$G$25))))),(IF(AM201&lt;2.5,BMILMS!$D$27*AM201^3+BMILMS!$E$27*AM201^2+BMILMS!$F$27*AM201+BMILMS!$G$27,IF(AM201&lt;9.5,BMILMS!$D$28*AM201^3+BMILMS!$E$28*AM201^2+BMILMS!$F$28*AM201+BMILMS!$G$28,IF(AM201&lt;26.75,BMILMS!$D$29*AM201^3+BMILMS!$E$29*AM201^2+BMILMS!$F$29*AM201+BMILMS!$G$29,IF(AM201&lt;90,BMILMS!$D$30*AM201^3+BMILMS!$E$30*AM201^2+BMILMS!$F$30*AM201+BMILMS!$G$30,IF(AM201&lt;150,BMILMS!$D$31*AM201^3+BMILMS!$E$31*AM201^2+BMILMS!$F$31*AM201+BMILMS!$G$31,BMILMS!$D$32*AM201^3+BMILMS!$E$32*AM201^2+BMILMS!$F$32*AM201+BMILMS!$G$32)))))))</f>
        <v>12.568967990000001</v>
      </c>
      <c r="AL201" s="4">
        <f>IF(D201="M",(IF(AM201&lt;90,BMILMS!$D$14*AM201^3+BMILMS!$E$14*AM201^2+BMILMS!$F$14*AM201+BMILMS!$G$14,BMILMS!$D$15*AM201^3+BMILMS!$E$15*AM201^2+BMILMS!$F$15*AM201+BMILMS!$G$15)),(IF(AM201&lt;90,BMILMS!$D$17*AM201^3+BMILMS!$E$17*AM201^2+BMILMS!$F$17*AM201+BMILMS!$G$17,BMILMS!$D$18*AM201^3+BMILMS!$E$18*AM201^2+BMILMS!$F$18*AM201+BMILMS!$G$18)))</f>
        <v>8.8969350000000003E-2</v>
      </c>
      <c r="AM201" s="4">
        <f t="shared" si="83"/>
        <v>0</v>
      </c>
      <c r="AO201" s="56">
        <f>IF(D201="M",WeightSDS!P$5*$AM201^7+WeightSDS!Q$5*$AM201^6+WeightSDS!R$5*$AM201^5+WeightSDS!S$5*$AM201^4+WeightSDS!T$5*$AM201^3+WeightSDS!U$5*$AM201^2+WeightSDS!V$5*$AM201+WeightSDS!W$5,IF($AM201&lt;186,WeightSDS!P$8*$AM201^7+WeightSDS!Q$8*$AM201^6+WeightSDS!R$8*$AM201^5+WeightSDS!S$8*$AM201^4+WeightSDS!T$8*$AM201^3+WeightSDS!U$8*$AM201^2+WeightSDS!V$8*$AM201+WeightSDS!W$8,WeightSDS!$U$9+WeightSDS!$V$9*($AM201-WeightSDS!$W$9)))</f>
        <v>0.75407122999999998</v>
      </c>
      <c r="AP201" s="4">
        <f>IF(D201="M",IF($AM201&lt;45,WeightSDS!M$23*$AM201^10+WeightSDS!N$23*$AM201^9+WeightSDS!O$23*$AM201^8+WeightSDS!P$23*$AM201^7+WeightSDS!Q$23*$AM201^6+WeightSDS!R$23*$AM201^5+WeightSDS!S$23*$AM201^4+WeightSDS!T$23*$AM201^3+WeightSDS!U$23*$AM201^2+WeightSDS!V$23*$AM201+WeightSDS!W$23,IF($AM201&lt;153,WeightSDS!M$25*$AM201^10+WeightSDS!N$25*$AM201^9+WeightSDS!O$25*$AM201^8+WeightSDS!P$25*$AM201^7+WeightSDS!Q$25*$AM201^6+WeightSDS!R$25*$AM201^5+WeightSDS!S$25*$AM201^4+WeightSDS!T$25*$AM201^3+WeightSDS!U$25*$AM201^2+WeightSDS!V$25*$AM201+WeightSDS!W$25,WeightSDS!M$27+WeightSDS!N$27/(1+EXP(WeightSDS!O$27+WeightSDS!P$27*$AM201)))),IF($AM201&lt;43.8,WeightSDS!M$29*$AM201^10+WeightSDS!N$29*$AM201^9+WeightSDS!O$29*$AM201^8+WeightSDS!P$29*$AM201^7+WeightSDS!Q$29*$AM201^6+WeightSDS!R$29*$AM201^5+WeightSDS!S$29*$AM201^4+WeightSDS!T$29*$AM201^3+WeightSDS!U$29*$AM201^2+WeightSDS!V$29*$AM201+WeightSDS!W$29-0.010431*(1-$AM201/210),IF($AM201&lt;123,WeightSDS!M$30*$AM201^10+WeightSDS!N$30*$AM201^9+WeightSDS!O$30*$AM201^8+WeightSDS!P$30*$AM201^7+WeightSDS!Q$30*$AM201^6+WeightSDS!R$30*$AM201^5+WeightSDS!S$30*$AM201^4+WeightSDS!T$30*$AM201^3+WeightSDS!U$30*$AM201^2+WeightSDS!V$30*$AM201+WeightSDS!W$30-0.010431*(1-1/$AM201),WeightSDS!M$32+WeightSDS!N$32/(1+EXP(WeightSDS!O$32+WeightSDS!P$32*$AM201))-0.010431*(1-$AM201/210))))</f>
        <v>2.9500001032655536</v>
      </c>
      <c r="AQ201" s="4">
        <f>IF(D201="M",IF($AM201&lt;162,WeightSDS!P$12*$AM201^7+WeightSDS!Q$12*$AM201^6+WeightSDS!R$12*$AM201^5+WeightSDS!S$12*$AM201^4+WeightSDS!T$12*$AM201^3+WeightSDS!U$12*$AM201^2+WeightSDS!V$12*$AM201+WeightSDS!W$12,WeightSDS!P$14*$AM201^7+WeightSDS!Q$14*$AM201^6+WeightSDS!R$14*$AM201^5+WeightSDS!S$14*$AM201^4+WeightSDS!T$14*$AM201^3+WeightSDS!U$14*$AM201^2+WeightSDS!V$14*$AM201+WeightSDS!W$14),IF($AM201&lt;156,WeightSDS!O$17*$AM201^8+WeightSDS!P$17*$AM201^7+WeightSDS!Q$17*$AM201^6+WeightSDS!R$17*$AM201^5+WeightSDS!S$17*$AM201^4+WeightSDS!T$17*$AM201^3+WeightSDS!U$17*$AM201^2+WeightSDS!V$17*$AM201+WeightSDS!W$17,IF($AM201&lt;186,WeightSDS!$U$18+(WeightSDS!$V$18-WeightSDS!$U$18)/24*($AM201-186)+WeightSDS!$W$18*(-$AM201+186)^2-0.005,WeightSDS!$U$18+(WeightSDS!$V$18-WeightSDS!$U$18)/24*($AM201-186)-0.005)))</f>
        <v>0.14604529399999999</v>
      </c>
      <c r="AT201" s="4">
        <f t="shared" si="70"/>
        <v>0.56299999999999994</v>
      </c>
      <c r="AU201" s="4">
        <f t="shared" si="71"/>
        <v>69</v>
      </c>
      <c r="AV201" s="4">
        <f t="shared" si="72"/>
        <v>0.51</v>
      </c>
    </row>
    <row r="202" spans="1:48" x14ac:dyDescent="0.15">
      <c r="A202" s="4"/>
      <c r="B202" s="21"/>
      <c r="C202" s="21"/>
      <c r="D202" s="21"/>
      <c r="E202" s="22"/>
      <c r="F202" s="22"/>
      <c r="G202" s="23"/>
      <c r="H202" s="23"/>
      <c r="I202" s="181"/>
      <c r="J202" s="8" t="str">
        <f t="shared" si="64"/>
        <v/>
      </c>
      <c r="K202" s="2" t="str">
        <f t="shared" si="73"/>
        <v/>
      </c>
      <c r="L202" s="2" t="str">
        <f t="shared" si="65"/>
        <v/>
      </c>
      <c r="M202" s="2" t="str">
        <f t="shared" si="74"/>
        <v/>
      </c>
      <c r="N202" s="2" t="str">
        <f t="shared" si="82"/>
        <v/>
      </c>
      <c r="O202" s="2" t="str">
        <f t="shared" si="75"/>
        <v/>
      </c>
      <c r="P202" s="8" t="str">
        <f t="shared" si="76"/>
        <v/>
      </c>
      <c r="Q202" s="8" t="str">
        <f t="shared" si="77"/>
        <v/>
      </c>
      <c r="R202" s="111" t="str">
        <f t="shared" si="78"/>
        <v/>
      </c>
      <c r="S202" s="44" t="str">
        <f t="shared" si="79"/>
        <v/>
      </c>
      <c r="T202" s="37" t="str">
        <f t="shared" si="80"/>
        <v/>
      </c>
      <c r="U202" s="44" t="str">
        <f t="shared" si="81"/>
        <v/>
      </c>
      <c r="V202" s="26"/>
      <c r="W202" s="26"/>
      <c r="X202" s="26"/>
      <c r="Y202" s="26"/>
      <c r="Z202" s="24"/>
      <c r="AA202" s="169">
        <f t="shared" si="66"/>
        <v>0</v>
      </c>
      <c r="AB202" s="4">
        <f t="shared" si="67"/>
        <v>0</v>
      </c>
      <c r="AC202" s="170">
        <f t="shared" si="63"/>
        <v>0</v>
      </c>
      <c r="AD202" s="58"/>
      <c r="AE202" s="58"/>
      <c r="AF202" s="58"/>
      <c r="AG202" s="59">
        <f t="shared" si="68"/>
        <v>9.0359999999999996</v>
      </c>
      <c r="AH202" s="59">
        <f t="shared" si="69"/>
        <v>-184.49199999999999</v>
      </c>
      <c r="AJ202" s="4">
        <f>IF(D202="M",IF(AM202&lt;78,BMILMS!$D$5*AM202^3+BMILMS!$E$5*AM202^2+BMILMS!$F$5*AM202+BMILMS!$G$5,IF(AM202&lt;150,BMILMS!$D$6*AM202^3+BMILMS!$E$6*AM202^2+BMILMS!$F$6*AM202+BMILMS!$G$6,BMILMS!$D$7*AM202^3+BMILMS!$E$7*AM202^2+BMILMS!$F$7*AM202+BMILMS!$G$7)),IF(AM202&lt;69,BMILMS!$D$9*AM202^3+BMILMS!$E$9*AM202^2+BMILMS!$F$9*AM202+BMILMS!$G$9,IF(AM202&lt;150,BMILMS!$D$10*AM202^3+BMILMS!$E$10*AM202^2+BMILMS!$F$10*AM202+BMILMS!$G$10,BMILMS!$D$11*AM202^3+BMILMS!$E$11*AM202^2+BMILMS!$F$11*AM202+BMILMS!$G$11)))</f>
        <v>0.79584630099999998</v>
      </c>
      <c r="AK202" s="4">
        <f>IF(D202="M",(IF(AM202&lt;2.5,BMILMS!$D$21*AM202^3+BMILMS!$E$21*AM202^2+BMILMS!$F$21*AM202+BMILMS!$G$21,IF(AM202&lt;9.5,BMILMS!$D$22*AM202^3+BMILMS!$E$22*AM202^2+BMILMS!$F$22*AM202+BMILMS!$G$22,IF(AM202&lt;26.75,BMILMS!$D$23*AM202^3+BMILMS!$E$23*AM202^2+BMILMS!$F$23*AM202+BMILMS!$G$23,IF(AM202&lt;90,BMILMS!$D$24*AM202^3+BMILMS!$E$24*AM202^2+BMILMS!$F$24*AM202+BMILMS!$G$24,BMILMS!$D$25*AM202^3+BMILMS!$E$25*AM202^2+BMILMS!$F$25*AM202+BMILMS!$G$25))))),(IF(AM202&lt;2.5,BMILMS!$D$27*AM202^3+BMILMS!$E$27*AM202^2+BMILMS!$F$27*AM202+BMILMS!$G$27,IF(AM202&lt;9.5,BMILMS!$D$28*AM202^3+BMILMS!$E$28*AM202^2+BMILMS!$F$28*AM202+BMILMS!$G$28,IF(AM202&lt;26.75,BMILMS!$D$29*AM202^3+BMILMS!$E$29*AM202^2+BMILMS!$F$29*AM202+BMILMS!$G$29,IF(AM202&lt;90,BMILMS!$D$30*AM202^3+BMILMS!$E$30*AM202^2+BMILMS!$F$30*AM202+BMILMS!$G$30,IF(AM202&lt;150,BMILMS!$D$31*AM202^3+BMILMS!$E$31*AM202^2+BMILMS!$F$31*AM202+BMILMS!$G$31,BMILMS!$D$32*AM202^3+BMILMS!$E$32*AM202^2+BMILMS!$F$32*AM202+BMILMS!$G$32)))))))</f>
        <v>12.568967990000001</v>
      </c>
      <c r="AL202" s="4">
        <f>IF(D202="M",(IF(AM202&lt;90,BMILMS!$D$14*AM202^3+BMILMS!$E$14*AM202^2+BMILMS!$F$14*AM202+BMILMS!$G$14,BMILMS!$D$15*AM202^3+BMILMS!$E$15*AM202^2+BMILMS!$F$15*AM202+BMILMS!$G$15)),(IF(AM202&lt;90,BMILMS!$D$17*AM202^3+BMILMS!$E$17*AM202^2+BMILMS!$F$17*AM202+BMILMS!$G$17,BMILMS!$D$18*AM202^3+BMILMS!$E$18*AM202^2+BMILMS!$F$18*AM202+BMILMS!$G$18)))</f>
        <v>8.8969350000000003E-2</v>
      </c>
      <c r="AM202" s="4">
        <f t="shared" si="83"/>
        <v>0</v>
      </c>
      <c r="AO202" s="56">
        <f>IF(D202="M",WeightSDS!P$5*$AM202^7+WeightSDS!Q$5*$AM202^6+WeightSDS!R$5*$AM202^5+WeightSDS!S$5*$AM202^4+WeightSDS!T$5*$AM202^3+WeightSDS!U$5*$AM202^2+WeightSDS!V$5*$AM202+WeightSDS!W$5,IF($AM202&lt;186,WeightSDS!P$8*$AM202^7+WeightSDS!Q$8*$AM202^6+WeightSDS!R$8*$AM202^5+WeightSDS!S$8*$AM202^4+WeightSDS!T$8*$AM202^3+WeightSDS!U$8*$AM202^2+WeightSDS!V$8*$AM202+WeightSDS!W$8,WeightSDS!$U$9+WeightSDS!$V$9*($AM202-WeightSDS!$W$9)))</f>
        <v>0.75407122999999998</v>
      </c>
      <c r="AP202" s="4">
        <f>IF(D202="M",IF($AM202&lt;45,WeightSDS!M$23*$AM202^10+WeightSDS!N$23*$AM202^9+WeightSDS!O$23*$AM202^8+WeightSDS!P$23*$AM202^7+WeightSDS!Q$23*$AM202^6+WeightSDS!R$23*$AM202^5+WeightSDS!S$23*$AM202^4+WeightSDS!T$23*$AM202^3+WeightSDS!U$23*$AM202^2+WeightSDS!V$23*$AM202+WeightSDS!W$23,IF($AM202&lt;153,WeightSDS!M$25*$AM202^10+WeightSDS!N$25*$AM202^9+WeightSDS!O$25*$AM202^8+WeightSDS!P$25*$AM202^7+WeightSDS!Q$25*$AM202^6+WeightSDS!R$25*$AM202^5+WeightSDS!S$25*$AM202^4+WeightSDS!T$25*$AM202^3+WeightSDS!U$25*$AM202^2+WeightSDS!V$25*$AM202+WeightSDS!W$25,WeightSDS!M$27+WeightSDS!N$27/(1+EXP(WeightSDS!O$27+WeightSDS!P$27*$AM202)))),IF($AM202&lt;43.8,WeightSDS!M$29*$AM202^10+WeightSDS!N$29*$AM202^9+WeightSDS!O$29*$AM202^8+WeightSDS!P$29*$AM202^7+WeightSDS!Q$29*$AM202^6+WeightSDS!R$29*$AM202^5+WeightSDS!S$29*$AM202^4+WeightSDS!T$29*$AM202^3+WeightSDS!U$29*$AM202^2+WeightSDS!V$29*$AM202+WeightSDS!W$29-0.010431*(1-$AM202/210),IF($AM202&lt;123,WeightSDS!M$30*$AM202^10+WeightSDS!N$30*$AM202^9+WeightSDS!O$30*$AM202^8+WeightSDS!P$30*$AM202^7+WeightSDS!Q$30*$AM202^6+WeightSDS!R$30*$AM202^5+WeightSDS!S$30*$AM202^4+WeightSDS!T$30*$AM202^3+WeightSDS!U$30*$AM202^2+WeightSDS!V$30*$AM202+WeightSDS!W$30-0.010431*(1-1/$AM202),WeightSDS!M$32+WeightSDS!N$32/(1+EXP(WeightSDS!O$32+WeightSDS!P$32*$AM202))-0.010431*(1-$AM202/210))))</f>
        <v>2.9500001032655536</v>
      </c>
      <c r="AQ202" s="4">
        <f>IF(D202="M",IF($AM202&lt;162,WeightSDS!P$12*$AM202^7+WeightSDS!Q$12*$AM202^6+WeightSDS!R$12*$AM202^5+WeightSDS!S$12*$AM202^4+WeightSDS!T$12*$AM202^3+WeightSDS!U$12*$AM202^2+WeightSDS!V$12*$AM202+WeightSDS!W$12,WeightSDS!P$14*$AM202^7+WeightSDS!Q$14*$AM202^6+WeightSDS!R$14*$AM202^5+WeightSDS!S$14*$AM202^4+WeightSDS!T$14*$AM202^3+WeightSDS!U$14*$AM202^2+WeightSDS!V$14*$AM202+WeightSDS!W$14),IF($AM202&lt;156,WeightSDS!O$17*$AM202^8+WeightSDS!P$17*$AM202^7+WeightSDS!Q$17*$AM202^6+WeightSDS!R$17*$AM202^5+WeightSDS!S$17*$AM202^4+WeightSDS!T$17*$AM202^3+WeightSDS!U$17*$AM202^2+WeightSDS!V$17*$AM202+WeightSDS!W$17,IF($AM202&lt;186,WeightSDS!$U$18+(WeightSDS!$V$18-WeightSDS!$U$18)/24*($AM202-186)+WeightSDS!$W$18*(-$AM202+186)^2-0.005,WeightSDS!$U$18+(WeightSDS!$V$18-WeightSDS!$U$18)/24*($AM202-186)-0.005)))</f>
        <v>0.14604529399999999</v>
      </c>
      <c r="AT202" s="4">
        <f t="shared" si="70"/>
        <v>0.56299999999999994</v>
      </c>
      <c r="AU202" s="4">
        <f t="shared" si="71"/>
        <v>69</v>
      </c>
      <c r="AV202" s="4">
        <f t="shared" si="72"/>
        <v>0.51</v>
      </c>
    </row>
    <row r="203" spans="1:48" x14ac:dyDescent="0.15">
      <c r="A203" s="4"/>
      <c r="B203" s="21"/>
      <c r="C203" s="21"/>
      <c r="D203" s="21"/>
      <c r="E203" s="22"/>
      <c r="F203" s="22"/>
      <c r="G203" s="23"/>
      <c r="H203" s="23"/>
      <c r="I203" s="181"/>
      <c r="J203" s="8" t="str">
        <f t="shared" si="64"/>
        <v/>
      </c>
      <c r="K203" s="2" t="str">
        <f t="shared" si="73"/>
        <v/>
      </c>
      <c r="L203" s="2" t="str">
        <f t="shared" si="65"/>
        <v/>
      </c>
      <c r="M203" s="2" t="str">
        <f t="shared" si="74"/>
        <v/>
      </c>
      <c r="N203" s="2" t="str">
        <f t="shared" si="82"/>
        <v/>
      </c>
      <c r="O203" s="2" t="str">
        <f t="shared" si="75"/>
        <v/>
      </c>
      <c r="P203" s="8" t="str">
        <f t="shared" si="76"/>
        <v/>
      </c>
      <c r="Q203" s="8" t="str">
        <f t="shared" si="77"/>
        <v/>
      </c>
      <c r="R203" s="111" t="str">
        <f t="shared" si="78"/>
        <v/>
      </c>
      <c r="S203" s="44" t="str">
        <f t="shared" si="79"/>
        <v/>
      </c>
      <c r="T203" s="37" t="str">
        <f t="shared" si="80"/>
        <v/>
      </c>
      <c r="U203" s="44" t="str">
        <f t="shared" si="81"/>
        <v/>
      </c>
      <c r="V203" s="26"/>
      <c r="W203" s="26"/>
      <c r="X203" s="26"/>
      <c r="Y203" s="26"/>
      <c r="Z203" s="24"/>
      <c r="AA203" s="169">
        <f t="shared" si="66"/>
        <v>0</v>
      </c>
      <c r="AB203" s="4">
        <f t="shared" si="67"/>
        <v>0</v>
      </c>
      <c r="AC203" s="170">
        <f t="shared" si="63"/>
        <v>0</v>
      </c>
      <c r="AD203" s="58"/>
      <c r="AE203" s="58"/>
      <c r="AF203" s="58"/>
      <c r="AG203" s="59">
        <f t="shared" si="68"/>
        <v>9.0359999999999996</v>
      </c>
      <c r="AH203" s="59">
        <f t="shared" si="69"/>
        <v>-184.49199999999999</v>
      </c>
      <c r="AJ203" s="4">
        <f>IF(D203="M",IF(AM203&lt;78,BMILMS!$D$5*AM203^3+BMILMS!$E$5*AM203^2+BMILMS!$F$5*AM203+BMILMS!$G$5,IF(AM203&lt;150,BMILMS!$D$6*AM203^3+BMILMS!$E$6*AM203^2+BMILMS!$F$6*AM203+BMILMS!$G$6,BMILMS!$D$7*AM203^3+BMILMS!$E$7*AM203^2+BMILMS!$F$7*AM203+BMILMS!$G$7)),IF(AM203&lt;69,BMILMS!$D$9*AM203^3+BMILMS!$E$9*AM203^2+BMILMS!$F$9*AM203+BMILMS!$G$9,IF(AM203&lt;150,BMILMS!$D$10*AM203^3+BMILMS!$E$10*AM203^2+BMILMS!$F$10*AM203+BMILMS!$G$10,BMILMS!$D$11*AM203^3+BMILMS!$E$11*AM203^2+BMILMS!$F$11*AM203+BMILMS!$G$11)))</f>
        <v>0.79584630099999998</v>
      </c>
      <c r="AK203" s="4">
        <f>IF(D203="M",(IF(AM203&lt;2.5,BMILMS!$D$21*AM203^3+BMILMS!$E$21*AM203^2+BMILMS!$F$21*AM203+BMILMS!$G$21,IF(AM203&lt;9.5,BMILMS!$D$22*AM203^3+BMILMS!$E$22*AM203^2+BMILMS!$F$22*AM203+BMILMS!$G$22,IF(AM203&lt;26.75,BMILMS!$D$23*AM203^3+BMILMS!$E$23*AM203^2+BMILMS!$F$23*AM203+BMILMS!$G$23,IF(AM203&lt;90,BMILMS!$D$24*AM203^3+BMILMS!$E$24*AM203^2+BMILMS!$F$24*AM203+BMILMS!$G$24,BMILMS!$D$25*AM203^3+BMILMS!$E$25*AM203^2+BMILMS!$F$25*AM203+BMILMS!$G$25))))),(IF(AM203&lt;2.5,BMILMS!$D$27*AM203^3+BMILMS!$E$27*AM203^2+BMILMS!$F$27*AM203+BMILMS!$G$27,IF(AM203&lt;9.5,BMILMS!$D$28*AM203^3+BMILMS!$E$28*AM203^2+BMILMS!$F$28*AM203+BMILMS!$G$28,IF(AM203&lt;26.75,BMILMS!$D$29*AM203^3+BMILMS!$E$29*AM203^2+BMILMS!$F$29*AM203+BMILMS!$G$29,IF(AM203&lt;90,BMILMS!$D$30*AM203^3+BMILMS!$E$30*AM203^2+BMILMS!$F$30*AM203+BMILMS!$G$30,IF(AM203&lt;150,BMILMS!$D$31*AM203^3+BMILMS!$E$31*AM203^2+BMILMS!$F$31*AM203+BMILMS!$G$31,BMILMS!$D$32*AM203^3+BMILMS!$E$32*AM203^2+BMILMS!$F$32*AM203+BMILMS!$G$32)))))))</f>
        <v>12.568967990000001</v>
      </c>
      <c r="AL203" s="4">
        <f>IF(D203="M",(IF(AM203&lt;90,BMILMS!$D$14*AM203^3+BMILMS!$E$14*AM203^2+BMILMS!$F$14*AM203+BMILMS!$G$14,BMILMS!$D$15*AM203^3+BMILMS!$E$15*AM203^2+BMILMS!$F$15*AM203+BMILMS!$G$15)),(IF(AM203&lt;90,BMILMS!$D$17*AM203^3+BMILMS!$E$17*AM203^2+BMILMS!$F$17*AM203+BMILMS!$G$17,BMILMS!$D$18*AM203^3+BMILMS!$E$18*AM203^2+BMILMS!$F$18*AM203+BMILMS!$G$18)))</f>
        <v>8.8969350000000003E-2</v>
      </c>
      <c r="AM203" s="4">
        <f t="shared" si="83"/>
        <v>0</v>
      </c>
      <c r="AO203" s="56">
        <f>IF(D203="M",WeightSDS!P$5*$AM203^7+WeightSDS!Q$5*$AM203^6+WeightSDS!R$5*$AM203^5+WeightSDS!S$5*$AM203^4+WeightSDS!T$5*$AM203^3+WeightSDS!U$5*$AM203^2+WeightSDS!V$5*$AM203+WeightSDS!W$5,IF($AM203&lt;186,WeightSDS!P$8*$AM203^7+WeightSDS!Q$8*$AM203^6+WeightSDS!R$8*$AM203^5+WeightSDS!S$8*$AM203^4+WeightSDS!T$8*$AM203^3+WeightSDS!U$8*$AM203^2+WeightSDS!V$8*$AM203+WeightSDS!W$8,WeightSDS!$U$9+WeightSDS!$V$9*($AM203-WeightSDS!$W$9)))</f>
        <v>0.75407122999999998</v>
      </c>
      <c r="AP203" s="4">
        <f>IF(D203="M",IF($AM203&lt;45,WeightSDS!M$23*$AM203^10+WeightSDS!N$23*$AM203^9+WeightSDS!O$23*$AM203^8+WeightSDS!P$23*$AM203^7+WeightSDS!Q$23*$AM203^6+WeightSDS!R$23*$AM203^5+WeightSDS!S$23*$AM203^4+WeightSDS!T$23*$AM203^3+WeightSDS!U$23*$AM203^2+WeightSDS!V$23*$AM203+WeightSDS!W$23,IF($AM203&lt;153,WeightSDS!M$25*$AM203^10+WeightSDS!N$25*$AM203^9+WeightSDS!O$25*$AM203^8+WeightSDS!P$25*$AM203^7+WeightSDS!Q$25*$AM203^6+WeightSDS!R$25*$AM203^5+WeightSDS!S$25*$AM203^4+WeightSDS!T$25*$AM203^3+WeightSDS!U$25*$AM203^2+WeightSDS!V$25*$AM203+WeightSDS!W$25,WeightSDS!M$27+WeightSDS!N$27/(1+EXP(WeightSDS!O$27+WeightSDS!P$27*$AM203)))),IF($AM203&lt;43.8,WeightSDS!M$29*$AM203^10+WeightSDS!N$29*$AM203^9+WeightSDS!O$29*$AM203^8+WeightSDS!P$29*$AM203^7+WeightSDS!Q$29*$AM203^6+WeightSDS!R$29*$AM203^5+WeightSDS!S$29*$AM203^4+WeightSDS!T$29*$AM203^3+WeightSDS!U$29*$AM203^2+WeightSDS!V$29*$AM203+WeightSDS!W$29-0.010431*(1-$AM203/210),IF($AM203&lt;123,WeightSDS!M$30*$AM203^10+WeightSDS!N$30*$AM203^9+WeightSDS!O$30*$AM203^8+WeightSDS!P$30*$AM203^7+WeightSDS!Q$30*$AM203^6+WeightSDS!R$30*$AM203^5+WeightSDS!S$30*$AM203^4+WeightSDS!T$30*$AM203^3+WeightSDS!U$30*$AM203^2+WeightSDS!V$30*$AM203+WeightSDS!W$30-0.010431*(1-1/$AM203),WeightSDS!M$32+WeightSDS!N$32/(1+EXP(WeightSDS!O$32+WeightSDS!P$32*$AM203))-0.010431*(1-$AM203/210))))</f>
        <v>2.9500001032655536</v>
      </c>
      <c r="AQ203" s="4">
        <f>IF(D203="M",IF($AM203&lt;162,WeightSDS!P$12*$AM203^7+WeightSDS!Q$12*$AM203^6+WeightSDS!R$12*$AM203^5+WeightSDS!S$12*$AM203^4+WeightSDS!T$12*$AM203^3+WeightSDS!U$12*$AM203^2+WeightSDS!V$12*$AM203+WeightSDS!W$12,WeightSDS!P$14*$AM203^7+WeightSDS!Q$14*$AM203^6+WeightSDS!R$14*$AM203^5+WeightSDS!S$14*$AM203^4+WeightSDS!T$14*$AM203^3+WeightSDS!U$14*$AM203^2+WeightSDS!V$14*$AM203+WeightSDS!W$14),IF($AM203&lt;156,WeightSDS!O$17*$AM203^8+WeightSDS!P$17*$AM203^7+WeightSDS!Q$17*$AM203^6+WeightSDS!R$17*$AM203^5+WeightSDS!S$17*$AM203^4+WeightSDS!T$17*$AM203^3+WeightSDS!U$17*$AM203^2+WeightSDS!V$17*$AM203+WeightSDS!W$17,IF($AM203&lt;186,WeightSDS!$U$18+(WeightSDS!$V$18-WeightSDS!$U$18)/24*($AM203-186)+WeightSDS!$W$18*(-$AM203+186)^2-0.005,WeightSDS!$U$18+(WeightSDS!$V$18-WeightSDS!$U$18)/24*($AM203-186)-0.005)))</f>
        <v>0.14604529399999999</v>
      </c>
      <c r="AT203" s="4">
        <f t="shared" si="70"/>
        <v>0.56299999999999994</v>
      </c>
      <c r="AU203" s="4">
        <f t="shared" si="71"/>
        <v>69</v>
      </c>
      <c r="AV203" s="4">
        <f t="shared" si="72"/>
        <v>0.51</v>
      </c>
    </row>
    <row r="204" spans="1:48" x14ac:dyDescent="0.15">
      <c r="A204" s="4"/>
      <c r="B204" s="21"/>
      <c r="C204" s="21"/>
      <c r="D204" s="21"/>
      <c r="E204" s="22"/>
      <c r="F204" s="22"/>
      <c r="G204" s="23"/>
      <c r="H204" s="23"/>
      <c r="I204" s="181"/>
      <c r="J204" s="8" t="str">
        <f t="shared" si="64"/>
        <v/>
      </c>
      <c r="K204" s="2" t="str">
        <f t="shared" si="73"/>
        <v/>
      </c>
      <c r="L204" s="2" t="str">
        <f t="shared" si="65"/>
        <v/>
      </c>
      <c r="M204" s="2" t="str">
        <f t="shared" si="74"/>
        <v/>
      </c>
      <c r="N204" s="2" t="str">
        <f t="shared" si="82"/>
        <v/>
      </c>
      <c r="O204" s="2" t="str">
        <f t="shared" si="75"/>
        <v/>
      </c>
      <c r="P204" s="8" t="str">
        <f t="shared" si="76"/>
        <v/>
      </c>
      <c r="Q204" s="8" t="str">
        <f t="shared" si="77"/>
        <v/>
      </c>
      <c r="R204" s="111" t="str">
        <f t="shared" si="78"/>
        <v/>
      </c>
      <c r="S204" s="44" t="str">
        <f t="shared" si="79"/>
        <v/>
      </c>
      <c r="T204" s="37" t="str">
        <f t="shared" si="80"/>
        <v/>
      </c>
      <c r="U204" s="44" t="str">
        <f t="shared" si="81"/>
        <v/>
      </c>
      <c r="V204" s="26"/>
      <c r="W204" s="26"/>
      <c r="X204" s="26"/>
      <c r="Y204" s="26"/>
      <c r="Z204" s="24"/>
      <c r="AA204" s="169">
        <f t="shared" si="66"/>
        <v>0</v>
      </c>
      <c r="AB204" s="4">
        <f t="shared" si="67"/>
        <v>0</v>
      </c>
      <c r="AC204" s="170">
        <f t="shared" si="63"/>
        <v>0</v>
      </c>
      <c r="AD204" s="58"/>
      <c r="AE204" s="58"/>
      <c r="AF204" s="58"/>
      <c r="AG204" s="59">
        <f t="shared" si="68"/>
        <v>9.0359999999999996</v>
      </c>
      <c r="AH204" s="59">
        <f t="shared" si="69"/>
        <v>-184.49199999999999</v>
      </c>
      <c r="AJ204" s="4">
        <f>IF(D204="M",IF(AM204&lt;78,BMILMS!$D$5*AM204^3+BMILMS!$E$5*AM204^2+BMILMS!$F$5*AM204+BMILMS!$G$5,IF(AM204&lt;150,BMILMS!$D$6*AM204^3+BMILMS!$E$6*AM204^2+BMILMS!$F$6*AM204+BMILMS!$G$6,BMILMS!$D$7*AM204^3+BMILMS!$E$7*AM204^2+BMILMS!$F$7*AM204+BMILMS!$G$7)),IF(AM204&lt;69,BMILMS!$D$9*AM204^3+BMILMS!$E$9*AM204^2+BMILMS!$F$9*AM204+BMILMS!$G$9,IF(AM204&lt;150,BMILMS!$D$10*AM204^3+BMILMS!$E$10*AM204^2+BMILMS!$F$10*AM204+BMILMS!$G$10,BMILMS!$D$11*AM204^3+BMILMS!$E$11*AM204^2+BMILMS!$F$11*AM204+BMILMS!$G$11)))</f>
        <v>0.79584630099999998</v>
      </c>
      <c r="AK204" s="4">
        <f>IF(D204="M",(IF(AM204&lt;2.5,BMILMS!$D$21*AM204^3+BMILMS!$E$21*AM204^2+BMILMS!$F$21*AM204+BMILMS!$G$21,IF(AM204&lt;9.5,BMILMS!$D$22*AM204^3+BMILMS!$E$22*AM204^2+BMILMS!$F$22*AM204+BMILMS!$G$22,IF(AM204&lt;26.75,BMILMS!$D$23*AM204^3+BMILMS!$E$23*AM204^2+BMILMS!$F$23*AM204+BMILMS!$G$23,IF(AM204&lt;90,BMILMS!$D$24*AM204^3+BMILMS!$E$24*AM204^2+BMILMS!$F$24*AM204+BMILMS!$G$24,BMILMS!$D$25*AM204^3+BMILMS!$E$25*AM204^2+BMILMS!$F$25*AM204+BMILMS!$G$25))))),(IF(AM204&lt;2.5,BMILMS!$D$27*AM204^3+BMILMS!$E$27*AM204^2+BMILMS!$F$27*AM204+BMILMS!$G$27,IF(AM204&lt;9.5,BMILMS!$D$28*AM204^3+BMILMS!$E$28*AM204^2+BMILMS!$F$28*AM204+BMILMS!$G$28,IF(AM204&lt;26.75,BMILMS!$D$29*AM204^3+BMILMS!$E$29*AM204^2+BMILMS!$F$29*AM204+BMILMS!$G$29,IF(AM204&lt;90,BMILMS!$D$30*AM204^3+BMILMS!$E$30*AM204^2+BMILMS!$F$30*AM204+BMILMS!$G$30,IF(AM204&lt;150,BMILMS!$D$31*AM204^3+BMILMS!$E$31*AM204^2+BMILMS!$F$31*AM204+BMILMS!$G$31,BMILMS!$D$32*AM204^3+BMILMS!$E$32*AM204^2+BMILMS!$F$32*AM204+BMILMS!$G$32)))))))</f>
        <v>12.568967990000001</v>
      </c>
      <c r="AL204" s="4">
        <f>IF(D204="M",(IF(AM204&lt;90,BMILMS!$D$14*AM204^3+BMILMS!$E$14*AM204^2+BMILMS!$F$14*AM204+BMILMS!$G$14,BMILMS!$D$15*AM204^3+BMILMS!$E$15*AM204^2+BMILMS!$F$15*AM204+BMILMS!$G$15)),(IF(AM204&lt;90,BMILMS!$D$17*AM204^3+BMILMS!$E$17*AM204^2+BMILMS!$F$17*AM204+BMILMS!$G$17,BMILMS!$D$18*AM204^3+BMILMS!$E$18*AM204^2+BMILMS!$F$18*AM204+BMILMS!$G$18)))</f>
        <v>8.8969350000000003E-2</v>
      </c>
      <c r="AM204" s="4">
        <f t="shared" si="83"/>
        <v>0</v>
      </c>
      <c r="AO204" s="56">
        <f>IF(D204="M",WeightSDS!P$5*$AM204^7+WeightSDS!Q$5*$AM204^6+WeightSDS!R$5*$AM204^5+WeightSDS!S$5*$AM204^4+WeightSDS!T$5*$AM204^3+WeightSDS!U$5*$AM204^2+WeightSDS!V$5*$AM204+WeightSDS!W$5,IF($AM204&lt;186,WeightSDS!P$8*$AM204^7+WeightSDS!Q$8*$AM204^6+WeightSDS!R$8*$AM204^5+WeightSDS!S$8*$AM204^4+WeightSDS!T$8*$AM204^3+WeightSDS!U$8*$AM204^2+WeightSDS!V$8*$AM204+WeightSDS!W$8,WeightSDS!$U$9+WeightSDS!$V$9*($AM204-WeightSDS!$W$9)))</f>
        <v>0.75407122999999998</v>
      </c>
      <c r="AP204" s="4">
        <f>IF(D204="M",IF($AM204&lt;45,WeightSDS!M$23*$AM204^10+WeightSDS!N$23*$AM204^9+WeightSDS!O$23*$AM204^8+WeightSDS!P$23*$AM204^7+WeightSDS!Q$23*$AM204^6+WeightSDS!R$23*$AM204^5+WeightSDS!S$23*$AM204^4+WeightSDS!T$23*$AM204^3+WeightSDS!U$23*$AM204^2+WeightSDS!V$23*$AM204+WeightSDS!W$23,IF($AM204&lt;153,WeightSDS!M$25*$AM204^10+WeightSDS!N$25*$AM204^9+WeightSDS!O$25*$AM204^8+WeightSDS!P$25*$AM204^7+WeightSDS!Q$25*$AM204^6+WeightSDS!R$25*$AM204^5+WeightSDS!S$25*$AM204^4+WeightSDS!T$25*$AM204^3+WeightSDS!U$25*$AM204^2+WeightSDS!V$25*$AM204+WeightSDS!W$25,WeightSDS!M$27+WeightSDS!N$27/(1+EXP(WeightSDS!O$27+WeightSDS!P$27*$AM204)))),IF($AM204&lt;43.8,WeightSDS!M$29*$AM204^10+WeightSDS!N$29*$AM204^9+WeightSDS!O$29*$AM204^8+WeightSDS!P$29*$AM204^7+WeightSDS!Q$29*$AM204^6+WeightSDS!R$29*$AM204^5+WeightSDS!S$29*$AM204^4+WeightSDS!T$29*$AM204^3+WeightSDS!U$29*$AM204^2+WeightSDS!V$29*$AM204+WeightSDS!W$29-0.010431*(1-$AM204/210),IF($AM204&lt;123,WeightSDS!M$30*$AM204^10+WeightSDS!N$30*$AM204^9+WeightSDS!O$30*$AM204^8+WeightSDS!P$30*$AM204^7+WeightSDS!Q$30*$AM204^6+WeightSDS!R$30*$AM204^5+WeightSDS!S$30*$AM204^4+WeightSDS!T$30*$AM204^3+WeightSDS!U$30*$AM204^2+WeightSDS!V$30*$AM204+WeightSDS!W$30-0.010431*(1-1/$AM204),WeightSDS!M$32+WeightSDS!N$32/(1+EXP(WeightSDS!O$32+WeightSDS!P$32*$AM204))-0.010431*(1-$AM204/210))))</f>
        <v>2.9500001032655536</v>
      </c>
      <c r="AQ204" s="4">
        <f>IF(D204="M",IF($AM204&lt;162,WeightSDS!P$12*$AM204^7+WeightSDS!Q$12*$AM204^6+WeightSDS!R$12*$AM204^5+WeightSDS!S$12*$AM204^4+WeightSDS!T$12*$AM204^3+WeightSDS!U$12*$AM204^2+WeightSDS!V$12*$AM204+WeightSDS!W$12,WeightSDS!P$14*$AM204^7+WeightSDS!Q$14*$AM204^6+WeightSDS!R$14*$AM204^5+WeightSDS!S$14*$AM204^4+WeightSDS!T$14*$AM204^3+WeightSDS!U$14*$AM204^2+WeightSDS!V$14*$AM204+WeightSDS!W$14),IF($AM204&lt;156,WeightSDS!O$17*$AM204^8+WeightSDS!P$17*$AM204^7+WeightSDS!Q$17*$AM204^6+WeightSDS!R$17*$AM204^5+WeightSDS!S$17*$AM204^4+WeightSDS!T$17*$AM204^3+WeightSDS!U$17*$AM204^2+WeightSDS!V$17*$AM204+WeightSDS!W$17,IF($AM204&lt;186,WeightSDS!$U$18+(WeightSDS!$V$18-WeightSDS!$U$18)/24*($AM204-186)+WeightSDS!$W$18*(-$AM204+186)^2-0.005,WeightSDS!$U$18+(WeightSDS!$V$18-WeightSDS!$U$18)/24*($AM204-186)-0.005)))</f>
        <v>0.14604529399999999</v>
      </c>
      <c r="AT204" s="4">
        <f t="shared" si="70"/>
        <v>0.56299999999999994</v>
      </c>
      <c r="AU204" s="4">
        <f t="shared" si="71"/>
        <v>69</v>
      </c>
      <c r="AV204" s="4">
        <f t="shared" si="72"/>
        <v>0.51</v>
      </c>
    </row>
    <row r="205" spans="1:48" x14ac:dyDescent="0.15">
      <c r="A205" s="4"/>
      <c r="B205" s="21"/>
      <c r="C205" s="21"/>
      <c r="D205" s="21"/>
      <c r="E205" s="22"/>
      <c r="F205" s="22"/>
      <c r="G205" s="23"/>
      <c r="H205" s="23"/>
      <c r="I205" s="181"/>
      <c r="J205" s="8" t="str">
        <f t="shared" si="64"/>
        <v/>
      </c>
      <c r="K205" s="2" t="str">
        <f t="shared" si="73"/>
        <v/>
      </c>
      <c r="L205" s="2" t="str">
        <f t="shared" si="65"/>
        <v/>
      </c>
      <c r="M205" s="2" t="str">
        <f t="shared" si="74"/>
        <v/>
      </c>
      <c r="N205" s="2" t="str">
        <f t="shared" si="82"/>
        <v/>
      </c>
      <c r="O205" s="2" t="str">
        <f t="shared" si="75"/>
        <v/>
      </c>
      <c r="P205" s="8" t="str">
        <f t="shared" si="76"/>
        <v/>
      </c>
      <c r="Q205" s="8" t="str">
        <f t="shared" si="77"/>
        <v/>
      </c>
      <c r="R205" s="111" t="str">
        <f t="shared" si="78"/>
        <v/>
      </c>
      <c r="S205" s="44" t="str">
        <f t="shared" si="79"/>
        <v/>
      </c>
      <c r="T205" s="37" t="str">
        <f t="shared" si="80"/>
        <v/>
      </c>
      <c r="U205" s="44" t="str">
        <f t="shared" si="81"/>
        <v/>
      </c>
      <c r="V205" s="26"/>
      <c r="W205" s="26"/>
      <c r="X205" s="26"/>
      <c r="Y205" s="26"/>
      <c r="Z205" s="24"/>
      <c r="AA205" s="169">
        <f t="shared" si="66"/>
        <v>0</v>
      </c>
      <c r="AB205" s="4">
        <f t="shared" si="67"/>
        <v>0</v>
      </c>
      <c r="AC205" s="170">
        <f t="shared" si="63"/>
        <v>0</v>
      </c>
      <c r="AD205" s="58"/>
      <c r="AE205" s="58"/>
      <c r="AF205" s="58"/>
      <c r="AG205" s="59">
        <f t="shared" si="68"/>
        <v>9.0359999999999996</v>
      </c>
      <c r="AH205" s="59">
        <f t="shared" si="69"/>
        <v>-184.49199999999999</v>
      </c>
      <c r="AJ205" s="4">
        <f>IF(D205="M",IF(AM205&lt;78,BMILMS!$D$5*AM205^3+BMILMS!$E$5*AM205^2+BMILMS!$F$5*AM205+BMILMS!$G$5,IF(AM205&lt;150,BMILMS!$D$6*AM205^3+BMILMS!$E$6*AM205^2+BMILMS!$F$6*AM205+BMILMS!$G$6,BMILMS!$D$7*AM205^3+BMILMS!$E$7*AM205^2+BMILMS!$F$7*AM205+BMILMS!$G$7)),IF(AM205&lt;69,BMILMS!$D$9*AM205^3+BMILMS!$E$9*AM205^2+BMILMS!$F$9*AM205+BMILMS!$G$9,IF(AM205&lt;150,BMILMS!$D$10*AM205^3+BMILMS!$E$10*AM205^2+BMILMS!$F$10*AM205+BMILMS!$G$10,BMILMS!$D$11*AM205^3+BMILMS!$E$11*AM205^2+BMILMS!$F$11*AM205+BMILMS!$G$11)))</f>
        <v>0.79584630099999998</v>
      </c>
      <c r="AK205" s="4">
        <f>IF(D205="M",(IF(AM205&lt;2.5,BMILMS!$D$21*AM205^3+BMILMS!$E$21*AM205^2+BMILMS!$F$21*AM205+BMILMS!$G$21,IF(AM205&lt;9.5,BMILMS!$D$22*AM205^3+BMILMS!$E$22*AM205^2+BMILMS!$F$22*AM205+BMILMS!$G$22,IF(AM205&lt;26.75,BMILMS!$D$23*AM205^3+BMILMS!$E$23*AM205^2+BMILMS!$F$23*AM205+BMILMS!$G$23,IF(AM205&lt;90,BMILMS!$D$24*AM205^3+BMILMS!$E$24*AM205^2+BMILMS!$F$24*AM205+BMILMS!$G$24,BMILMS!$D$25*AM205^3+BMILMS!$E$25*AM205^2+BMILMS!$F$25*AM205+BMILMS!$G$25))))),(IF(AM205&lt;2.5,BMILMS!$D$27*AM205^3+BMILMS!$E$27*AM205^2+BMILMS!$F$27*AM205+BMILMS!$G$27,IF(AM205&lt;9.5,BMILMS!$D$28*AM205^3+BMILMS!$E$28*AM205^2+BMILMS!$F$28*AM205+BMILMS!$G$28,IF(AM205&lt;26.75,BMILMS!$D$29*AM205^3+BMILMS!$E$29*AM205^2+BMILMS!$F$29*AM205+BMILMS!$G$29,IF(AM205&lt;90,BMILMS!$D$30*AM205^3+BMILMS!$E$30*AM205^2+BMILMS!$F$30*AM205+BMILMS!$G$30,IF(AM205&lt;150,BMILMS!$D$31*AM205^3+BMILMS!$E$31*AM205^2+BMILMS!$F$31*AM205+BMILMS!$G$31,BMILMS!$D$32*AM205^3+BMILMS!$E$32*AM205^2+BMILMS!$F$32*AM205+BMILMS!$G$32)))))))</f>
        <v>12.568967990000001</v>
      </c>
      <c r="AL205" s="4">
        <f>IF(D205="M",(IF(AM205&lt;90,BMILMS!$D$14*AM205^3+BMILMS!$E$14*AM205^2+BMILMS!$F$14*AM205+BMILMS!$G$14,BMILMS!$D$15*AM205^3+BMILMS!$E$15*AM205^2+BMILMS!$F$15*AM205+BMILMS!$G$15)),(IF(AM205&lt;90,BMILMS!$D$17*AM205^3+BMILMS!$E$17*AM205^2+BMILMS!$F$17*AM205+BMILMS!$G$17,BMILMS!$D$18*AM205^3+BMILMS!$E$18*AM205^2+BMILMS!$F$18*AM205+BMILMS!$G$18)))</f>
        <v>8.8969350000000003E-2</v>
      </c>
      <c r="AM205" s="4">
        <f t="shared" si="83"/>
        <v>0</v>
      </c>
      <c r="AO205" s="56">
        <f>IF(D205="M",WeightSDS!P$5*$AM205^7+WeightSDS!Q$5*$AM205^6+WeightSDS!R$5*$AM205^5+WeightSDS!S$5*$AM205^4+WeightSDS!T$5*$AM205^3+WeightSDS!U$5*$AM205^2+WeightSDS!V$5*$AM205+WeightSDS!W$5,IF($AM205&lt;186,WeightSDS!P$8*$AM205^7+WeightSDS!Q$8*$AM205^6+WeightSDS!R$8*$AM205^5+WeightSDS!S$8*$AM205^4+WeightSDS!T$8*$AM205^3+WeightSDS!U$8*$AM205^2+WeightSDS!V$8*$AM205+WeightSDS!W$8,WeightSDS!$U$9+WeightSDS!$V$9*($AM205-WeightSDS!$W$9)))</f>
        <v>0.75407122999999998</v>
      </c>
      <c r="AP205" s="4">
        <f>IF(D205="M",IF($AM205&lt;45,WeightSDS!M$23*$AM205^10+WeightSDS!N$23*$AM205^9+WeightSDS!O$23*$AM205^8+WeightSDS!P$23*$AM205^7+WeightSDS!Q$23*$AM205^6+WeightSDS!R$23*$AM205^5+WeightSDS!S$23*$AM205^4+WeightSDS!T$23*$AM205^3+WeightSDS!U$23*$AM205^2+WeightSDS!V$23*$AM205+WeightSDS!W$23,IF($AM205&lt;153,WeightSDS!M$25*$AM205^10+WeightSDS!N$25*$AM205^9+WeightSDS!O$25*$AM205^8+WeightSDS!P$25*$AM205^7+WeightSDS!Q$25*$AM205^6+WeightSDS!R$25*$AM205^5+WeightSDS!S$25*$AM205^4+WeightSDS!T$25*$AM205^3+WeightSDS!U$25*$AM205^2+WeightSDS!V$25*$AM205+WeightSDS!W$25,WeightSDS!M$27+WeightSDS!N$27/(1+EXP(WeightSDS!O$27+WeightSDS!P$27*$AM205)))),IF($AM205&lt;43.8,WeightSDS!M$29*$AM205^10+WeightSDS!N$29*$AM205^9+WeightSDS!O$29*$AM205^8+WeightSDS!P$29*$AM205^7+WeightSDS!Q$29*$AM205^6+WeightSDS!R$29*$AM205^5+WeightSDS!S$29*$AM205^4+WeightSDS!T$29*$AM205^3+WeightSDS!U$29*$AM205^2+WeightSDS!V$29*$AM205+WeightSDS!W$29-0.010431*(1-$AM205/210),IF($AM205&lt;123,WeightSDS!M$30*$AM205^10+WeightSDS!N$30*$AM205^9+WeightSDS!O$30*$AM205^8+WeightSDS!P$30*$AM205^7+WeightSDS!Q$30*$AM205^6+WeightSDS!R$30*$AM205^5+WeightSDS!S$30*$AM205^4+WeightSDS!T$30*$AM205^3+WeightSDS!U$30*$AM205^2+WeightSDS!V$30*$AM205+WeightSDS!W$30-0.010431*(1-1/$AM205),WeightSDS!M$32+WeightSDS!N$32/(1+EXP(WeightSDS!O$32+WeightSDS!P$32*$AM205))-0.010431*(1-$AM205/210))))</f>
        <v>2.9500001032655536</v>
      </c>
      <c r="AQ205" s="4">
        <f>IF(D205="M",IF($AM205&lt;162,WeightSDS!P$12*$AM205^7+WeightSDS!Q$12*$AM205^6+WeightSDS!R$12*$AM205^5+WeightSDS!S$12*$AM205^4+WeightSDS!T$12*$AM205^3+WeightSDS!U$12*$AM205^2+WeightSDS!V$12*$AM205+WeightSDS!W$12,WeightSDS!P$14*$AM205^7+WeightSDS!Q$14*$AM205^6+WeightSDS!R$14*$AM205^5+WeightSDS!S$14*$AM205^4+WeightSDS!T$14*$AM205^3+WeightSDS!U$14*$AM205^2+WeightSDS!V$14*$AM205+WeightSDS!W$14),IF($AM205&lt;156,WeightSDS!O$17*$AM205^8+WeightSDS!P$17*$AM205^7+WeightSDS!Q$17*$AM205^6+WeightSDS!R$17*$AM205^5+WeightSDS!S$17*$AM205^4+WeightSDS!T$17*$AM205^3+WeightSDS!U$17*$AM205^2+WeightSDS!V$17*$AM205+WeightSDS!W$17,IF($AM205&lt;186,WeightSDS!$U$18+(WeightSDS!$V$18-WeightSDS!$U$18)/24*($AM205-186)+WeightSDS!$W$18*(-$AM205+186)^2-0.005,WeightSDS!$U$18+(WeightSDS!$V$18-WeightSDS!$U$18)/24*($AM205-186)-0.005)))</f>
        <v>0.14604529399999999</v>
      </c>
      <c r="AT205" s="4">
        <f t="shared" si="70"/>
        <v>0.56299999999999994</v>
      </c>
      <c r="AU205" s="4">
        <f t="shared" si="71"/>
        <v>69</v>
      </c>
      <c r="AV205" s="4">
        <f t="shared" si="72"/>
        <v>0.51</v>
      </c>
    </row>
    <row r="206" spans="1:48" x14ac:dyDescent="0.15">
      <c r="A206" s="4"/>
      <c r="B206" s="21"/>
      <c r="C206" s="21"/>
      <c r="D206" s="21"/>
      <c r="E206" s="22"/>
      <c r="F206" s="22"/>
      <c r="G206" s="23"/>
      <c r="H206" s="23"/>
      <c r="I206" s="181"/>
      <c r="J206" s="8" t="str">
        <f t="shared" si="64"/>
        <v/>
      </c>
      <c r="K206" s="2" t="str">
        <f t="shared" si="73"/>
        <v/>
      </c>
      <c r="L206" s="2" t="str">
        <f t="shared" si="65"/>
        <v/>
      </c>
      <c r="M206" s="2" t="str">
        <f t="shared" si="74"/>
        <v/>
      </c>
      <c r="N206" s="2" t="str">
        <f t="shared" si="82"/>
        <v/>
      </c>
      <c r="O206" s="2" t="str">
        <f t="shared" si="75"/>
        <v/>
      </c>
      <c r="P206" s="8" t="str">
        <f t="shared" si="76"/>
        <v/>
      </c>
      <c r="Q206" s="8" t="str">
        <f t="shared" si="77"/>
        <v/>
      </c>
      <c r="R206" s="111" t="str">
        <f t="shared" si="78"/>
        <v/>
      </c>
      <c r="S206" s="44" t="str">
        <f t="shared" si="79"/>
        <v/>
      </c>
      <c r="T206" s="37" t="str">
        <f t="shared" si="80"/>
        <v/>
      </c>
      <c r="U206" s="44" t="str">
        <f t="shared" si="81"/>
        <v/>
      </c>
      <c r="V206" s="26"/>
      <c r="W206" s="26"/>
      <c r="X206" s="26"/>
      <c r="Y206" s="26"/>
      <c r="Z206" s="24"/>
      <c r="AA206" s="169">
        <f t="shared" si="66"/>
        <v>0</v>
      </c>
      <c r="AB206" s="4">
        <f t="shared" si="67"/>
        <v>0</v>
      </c>
      <c r="AC206" s="170">
        <f t="shared" si="63"/>
        <v>0</v>
      </c>
      <c r="AD206" s="58"/>
      <c r="AE206" s="58"/>
      <c r="AF206" s="58"/>
      <c r="AG206" s="59">
        <f t="shared" si="68"/>
        <v>9.0359999999999996</v>
      </c>
      <c r="AH206" s="59">
        <f t="shared" si="69"/>
        <v>-184.49199999999999</v>
      </c>
      <c r="AJ206" s="4">
        <f>IF(D206="M",IF(AM206&lt;78,BMILMS!$D$5*AM206^3+BMILMS!$E$5*AM206^2+BMILMS!$F$5*AM206+BMILMS!$G$5,IF(AM206&lt;150,BMILMS!$D$6*AM206^3+BMILMS!$E$6*AM206^2+BMILMS!$F$6*AM206+BMILMS!$G$6,BMILMS!$D$7*AM206^3+BMILMS!$E$7*AM206^2+BMILMS!$F$7*AM206+BMILMS!$G$7)),IF(AM206&lt;69,BMILMS!$D$9*AM206^3+BMILMS!$E$9*AM206^2+BMILMS!$F$9*AM206+BMILMS!$G$9,IF(AM206&lt;150,BMILMS!$D$10*AM206^3+BMILMS!$E$10*AM206^2+BMILMS!$F$10*AM206+BMILMS!$G$10,BMILMS!$D$11*AM206^3+BMILMS!$E$11*AM206^2+BMILMS!$F$11*AM206+BMILMS!$G$11)))</f>
        <v>0.79584630099999998</v>
      </c>
      <c r="AK206" s="4">
        <f>IF(D206="M",(IF(AM206&lt;2.5,BMILMS!$D$21*AM206^3+BMILMS!$E$21*AM206^2+BMILMS!$F$21*AM206+BMILMS!$G$21,IF(AM206&lt;9.5,BMILMS!$D$22*AM206^3+BMILMS!$E$22*AM206^2+BMILMS!$F$22*AM206+BMILMS!$G$22,IF(AM206&lt;26.75,BMILMS!$D$23*AM206^3+BMILMS!$E$23*AM206^2+BMILMS!$F$23*AM206+BMILMS!$G$23,IF(AM206&lt;90,BMILMS!$D$24*AM206^3+BMILMS!$E$24*AM206^2+BMILMS!$F$24*AM206+BMILMS!$G$24,BMILMS!$D$25*AM206^3+BMILMS!$E$25*AM206^2+BMILMS!$F$25*AM206+BMILMS!$G$25))))),(IF(AM206&lt;2.5,BMILMS!$D$27*AM206^3+BMILMS!$E$27*AM206^2+BMILMS!$F$27*AM206+BMILMS!$G$27,IF(AM206&lt;9.5,BMILMS!$D$28*AM206^3+BMILMS!$E$28*AM206^2+BMILMS!$F$28*AM206+BMILMS!$G$28,IF(AM206&lt;26.75,BMILMS!$D$29*AM206^3+BMILMS!$E$29*AM206^2+BMILMS!$F$29*AM206+BMILMS!$G$29,IF(AM206&lt;90,BMILMS!$D$30*AM206^3+BMILMS!$E$30*AM206^2+BMILMS!$F$30*AM206+BMILMS!$G$30,IF(AM206&lt;150,BMILMS!$D$31*AM206^3+BMILMS!$E$31*AM206^2+BMILMS!$F$31*AM206+BMILMS!$G$31,BMILMS!$D$32*AM206^3+BMILMS!$E$32*AM206^2+BMILMS!$F$32*AM206+BMILMS!$G$32)))))))</f>
        <v>12.568967990000001</v>
      </c>
      <c r="AL206" s="4">
        <f>IF(D206="M",(IF(AM206&lt;90,BMILMS!$D$14*AM206^3+BMILMS!$E$14*AM206^2+BMILMS!$F$14*AM206+BMILMS!$G$14,BMILMS!$D$15*AM206^3+BMILMS!$E$15*AM206^2+BMILMS!$F$15*AM206+BMILMS!$G$15)),(IF(AM206&lt;90,BMILMS!$D$17*AM206^3+BMILMS!$E$17*AM206^2+BMILMS!$F$17*AM206+BMILMS!$G$17,BMILMS!$D$18*AM206^3+BMILMS!$E$18*AM206^2+BMILMS!$F$18*AM206+BMILMS!$G$18)))</f>
        <v>8.8969350000000003E-2</v>
      </c>
      <c r="AM206" s="4">
        <f t="shared" si="83"/>
        <v>0</v>
      </c>
      <c r="AO206" s="56">
        <f>IF(D206="M",WeightSDS!P$5*$AM206^7+WeightSDS!Q$5*$AM206^6+WeightSDS!R$5*$AM206^5+WeightSDS!S$5*$AM206^4+WeightSDS!T$5*$AM206^3+WeightSDS!U$5*$AM206^2+WeightSDS!V$5*$AM206+WeightSDS!W$5,IF($AM206&lt;186,WeightSDS!P$8*$AM206^7+WeightSDS!Q$8*$AM206^6+WeightSDS!R$8*$AM206^5+WeightSDS!S$8*$AM206^4+WeightSDS!T$8*$AM206^3+WeightSDS!U$8*$AM206^2+WeightSDS!V$8*$AM206+WeightSDS!W$8,WeightSDS!$U$9+WeightSDS!$V$9*($AM206-WeightSDS!$W$9)))</f>
        <v>0.75407122999999998</v>
      </c>
      <c r="AP206" s="4">
        <f>IF(D206="M",IF($AM206&lt;45,WeightSDS!M$23*$AM206^10+WeightSDS!N$23*$AM206^9+WeightSDS!O$23*$AM206^8+WeightSDS!P$23*$AM206^7+WeightSDS!Q$23*$AM206^6+WeightSDS!R$23*$AM206^5+WeightSDS!S$23*$AM206^4+WeightSDS!T$23*$AM206^3+WeightSDS!U$23*$AM206^2+WeightSDS!V$23*$AM206+WeightSDS!W$23,IF($AM206&lt;153,WeightSDS!M$25*$AM206^10+WeightSDS!N$25*$AM206^9+WeightSDS!O$25*$AM206^8+WeightSDS!P$25*$AM206^7+WeightSDS!Q$25*$AM206^6+WeightSDS!R$25*$AM206^5+WeightSDS!S$25*$AM206^4+WeightSDS!T$25*$AM206^3+WeightSDS!U$25*$AM206^2+WeightSDS!V$25*$AM206+WeightSDS!W$25,WeightSDS!M$27+WeightSDS!N$27/(1+EXP(WeightSDS!O$27+WeightSDS!P$27*$AM206)))),IF($AM206&lt;43.8,WeightSDS!M$29*$AM206^10+WeightSDS!N$29*$AM206^9+WeightSDS!O$29*$AM206^8+WeightSDS!P$29*$AM206^7+WeightSDS!Q$29*$AM206^6+WeightSDS!R$29*$AM206^5+WeightSDS!S$29*$AM206^4+WeightSDS!T$29*$AM206^3+WeightSDS!U$29*$AM206^2+WeightSDS!V$29*$AM206+WeightSDS!W$29-0.010431*(1-$AM206/210),IF($AM206&lt;123,WeightSDS!M$30*$AM206^10+WeightSDS!N$30*$AM206^9+WeightSDS!O$30*$AM206^8+WeightSDS!P$30*$AM206^7+WeightSDS!Q$30*$AM206^6+WeightSDS!R$30*$AM206^5+WeightSDS!S$30*$AM206^4+WeightSDS!T$30*$AM206^3+WeightSDS!U$30*$AM206^2+WeightSDS!V$30*$AM206+WeightSDS!W$30-0.010431*(1-1/$AM206),WeightSDS!M$32+WeightSDS!N$32/(1+EXP(WeightSDS!O$32+WeightSDS!P$32*$AM206))-0.010431*(1-$AM206/210))))</f>
        <v>2.9500001032655536</v>
      </c>
      <c r="AQ206" s="4">
        <f>IF(D206="M",IF($AM206&lt;162,WeightSDS!P$12*$AM206^7+WeightSDS!Q$12*$AM206^6+WeightSDS!R$12*$AM206^5+WeightSDS!S$12*$AM206^4+WeightSDS!T$12*$AM206^3+WeightSDS!U$12*$AM206^2+WeightSDS!V$12*$AM206+WeightSDS!W$12,WeightSDS!P$14*$AM206^7+WeightSDS!Q$14*$AM206^6+WeightSDS!R$14*$AM206^5+WeightSDS!S$14*$AM206^4+WeightSDS!T$14*$AM206^3+WeightSDS!U$14*$AM206^2+WeightSDS!V$14*$AM206+WeightSDS!W$14),IF($AM206&lt;156,WeightSDS!O$17*$AM206^8+WeightSDS!P$17*$AM206^7+WeightSDS!Q$17*$AM206^6+WeightSDS!R$17*$AM206^5+WeightSDS!S$17*$AM206^4+WeightSDS!T$17*$AM206^3+WeightSDS!U$17*$AM206^2+WeightSDS!V$17*$AM206+WeightSDS!W$17,IF($AM206&lt;186,WeightSDS!$U$18+(WeightSDS!$V$18-WeightSDS!$U$18)/24*($AM206-186)+WeightSDS!$W$18*(-$AM206+186)^2-0.005,WeightSDS!$U$18+(WeightSDS!$V$18-WeightSDS!$U$18)/24*($AM206-186)-0.005)))</f>
        <v>0.14604529399999999</v>
      </c>
      <c r="AT206" s="4">
        <f t="shared" si="70"/>
        <v>0.56299999999999994</v>
      </c>
      <c r="AU206" s="4">
        <f t="shared" si="71"/>
        <v>69</v>
      </c>
      <c r="AV206" s="4">
        <f t="shared" si="72"/>
        <v>0.51</v>
      </c>
    </row>
    <row r="207" spans="1:48" x14ac:dyDescent="0.15">
      <c r="A207" s="4"/>
      <c r="B207" s="21"/>
      <c r="C207" s="21"/>
      <c r="D207" s="21"/>
      <c r="E207" s="22"/>
      <c r="F207" s="22"/>
      <c r="G207" s="23"/>
      <c r="H207" s="23"/>
      <c r="I207" s="181"/>
      <c r="J207" s="8" t="str">
        <f t="shared" si="64"/>
        <v/>
      </c>
      <c r="K207" s="2" t="str">
        <f t="shared" si="73"/>
        <v/>
      </c>
      <c r="L207" s="2" t="str">
        <f t="shared" si="65"/>
        <v/>
      </c>
      <c r="M207" s="2" t="str">
        <f t="shared" si="74"/>
        <v/>
      </c>
      <c r="N207" s="2" t="str">
        <f t="shared" si="82"/>
        <v/>
      </c>
      <c r="O207" s="2" t="str">
        <f t="shared" si="75"/>
        <v/>
      </c>
      <c r="P207" s="8" t="str">
        <f t="shared" si="76"/>
        <v/>
      </c>
      <c r="Q207" s="8" t="str">
        <f t="shared" si="77"/>
        <v/>
      </c>
      <c r="R207" s="111" t="str">
        <f t="shared" si="78"/>
        <v/>
      </c>
      <c r="S207" s="44" t="str">
        <f t="shared" si="79"/>
        <v/>
      </c>
      <c r="T207" s="37" t="str">
        <f t="shared" si="80"/>
        <v/>
      </c>
      <c r="U207" s="44" t="str">
        <f t="shared" si="81"/>
        <v/>
      </c>
      <c r="V207" s="26"/>
      <c r="W207" s="26"/>
      <c r="X207" s="26"/>
      <c r="Y207" s="26"/>
      <c r="Z207" s="24"/>
      <c r="AA207" s="169">
        <f t="shared" si="66"/>
        <v>0</v>
      </c>
      <c r="AB207" s="4">
        <f t="shared" si="67"/>
        <v>0</v>
      </c>
      <c r="AC207" s="170">
        <f t="shared" si="63"/>
        <v>0</v>
      </c>
      <c r="AD207" s="58"/>
      <c r="AE207" s="58"/>
      <c r="AF207" s="58"/>
      <c r="AG207" s="59">
        <f t="shared" si="68"/>
        <v>9.0359999999999996</v>
      </c>
      <c r="AH207" s="59">
        <f t="shared" si="69"/>
        <v>-184.49199999999999</v>
      </c>
      <c r="AJ207" s="4">
        <f>IF(D207="M",IF(AM207&lt;78,BMILMS!$D$5*AM207^3+BMILMS!$E$5*AM207^2+BMILMS!$F$5*AM207+BMILMS!$G$5,IF(AM207&lt;150,BMILMS!$D$6*AM207^3+BMILMS!$E$6*AM207^2+BMILMS!$F$6*AM207+BMILMS!$G$6,BMILMS!$D$7*AM207^3+BMILMS!$E$7*AM207^2+BMILMS!$F$7*AM207+BMILMS!$G$7)),IF(AM207&lt;69,BMILMS!$D$9*AM207^3+BMILMS!$E$9*AM207^2+BMILMS!$F$9*AM207+BMILMS!$G$9,IF(AM207&lt;150,BMILMS!$D$10*AM207^3+BMILMS!$E$10*AM207^2+BMILMS!$F$10*AM207+BMILMS!$G$10,BMILMS!$D$11*AM207^3+BMILMS!$E$11*AM207^2+BMILMS!$F$11*AM207+BMILMS!$G$11)))</f>
        <v>0.79584630099999998</v>
      </c>
      <c r="AK207" s="4">
        <f>IF(D207="M",(IF(AM207&lt;2.5,BMILMS!$D$21*AM207^3+BMILMS!$E$21*AM207^2+BMILMS!$F$21*AM207+BMILMS!$G$21,IF(AM207&lt;9.5,BMILMS!$D$22*AM207^3+BMILMS!$E$22*AM207^2+BMILMS!$F$22*AM207+BMILMS!$G$22,IF(AM207&lt;26.75,BMILMS!$D$23*AM207^3+BMILMS!$E$23*AM207^2+BMILMS!$F$23*AM207+BMILMS!$G$23,IF(AM207&lt;90,BMILMS!$D$24*AM207^3+BMILMS!$E$24*AM207^2+BMILMS!$F$24*AM207+BMILMS!$G$24,BMILMS!$D$25*AM207^3+BMILMS!$E$25*AM207^2+BMILMS!$F$25*AM207+BMILMS!$G$25))))),(IF(AM207&lt;2.5,BMILMS!$D$27*AM207^3+BMILMS!$E$27*AM207^2+BMILMS!$F$27*AM207+BMILMS!$G$27,IF(AM207&lt;9.5,BMILMS!$D$28*AM207^3+BMILMS!$E$28*AM207^2+BMILMS!$F$28*AM207+BMILMS!$G$28,IF(AM207&lt;26.75,BMILMS!$D$29*AM207^3+BMILMS!$E$29*AM207^2+BMILMS!$F$29*AM207+BMILMS!$G$29,IF(AM207&lt;90,BMILMS!$D$30*AM207^3+BMILMS!$E$30*AM207^2+BMILMS!$F$30*AM207+BMILMS!$G$30,IF(AM207&lt;150,BMILMS!$D$31*AM207^3+BMILMS!$E$31*AM207^2+BMILMS!$F$31*AM207+BMILMS!$G$31,BMILMS!$D$32*AM207^3+BMILMS!$E$32*AM207^2+BMILMS!$F$32*AM207+BMILMS!$G$32)))))))</f>
        <v>12.568967990000001</v>
      </c>
      <c r="AL207" s="4">
        <f>IF(D207="M",(IF(AM207&lt;90,BMILMS!$D$14*AM207^3+BMILMS!$E$14*AM207^2+BMILMS!$F$14*AM207+BMILMS!$G$14,BMILMS!$D$15*AM207^3+BMILMS!$E$15*AM207^2+BMILMS!$F$15*AM207+BMILMS!$G$15)),(IF(AM207&lt;90,BMILMS!$D$17*AM207^3+BMILMS!$E$17*AM207^2+BMILMS!$F$17*AM207+BMILMS!$G$17,BMILMS!$D$18*AM207^3+BMILMS!$E$18*AM207^2+BMILMS!$F$18*AM207+BMILMS!$G$18)))</f>
        <v>8.8969350000000003E-2</v>
      </c>
      <c r="AM207" s="4">
        <f t="shared" si="83"/>
        <v>0</v>
      </c>
      <c r="AO207" s="56">
        <f>IF(D207="M",WeightSDS!P$5*$AM207^7+WeightSDS!Q$5*$AM207^6+WeightSDS!R$5*$AM207^5+WeightSDS!S$5*$AM207^4+WeightSDS!T$5*$AM207^3+WeightSDS!U$5*$AM207^2+WeightSDS!V$5*$AM207+WeightSDS!W$5,IF($AM207&lt;186,WeightSDS!P$8*$AM207^7+WeightSDS!Q$8*$AM207^6+WeightSDS!R$8*$AM207^5+WeightSDS!S$8*$AM207^4+WeightSDS!T$8*$AM207^3+WeightSDS!U$8*$AM207^2+WeightSDS!V$8*$AM207+WeightSDS!W$8,WeightSDS!$U$9+WeightSDS!$V$9*($AM207-WeightSDS!$W$9)))</f>
        <v>0.75407122999999998</v>
      </c>
      <c r="AP207" s="4">
        <f>IF(D207="M",IF($AM207&lt;45,WeightSDS!M$23*$AM207^10+WeightSDS!N$23*$AM207^9+WeightSDS!O$23*$AM207^8+WeightSDS!P$23*$AM207^7+WeightSDS!Q$23*$AM207^6+WeightSDS!R$23*$AM207^5+WeightSDS!S$23*$AM207^4+WeightSDS!T$23*$AM207^3+WeightSDS!U$23*$AM207^2+WeightSDS!V$23*$AM207+WeightSDS!W$23,IF($AM207&lt;153,WeightSDS!M$25*$AM207^10+WeightSDS!N$25*$AM207^9+WeightSDS!O$25*$AM207^8+WeightSDS!P$25*$AM207^7+WeightSDS!Q$25*$AM207^6+WeightSDS!R$25*$AM207^5+WeightSDS!S$25*$AM207^4+WeightSDS!T$25*$AM207^3+WeightSDS!U$25*$AM207^2+WeightSDS!V$25*$AM207+WeightSDS!W$25,WeightSDS!M$27+WeightSDS!N$27/(1+EXP(WeightSDS!O$27+WeightSDS!P$27*$AM207)))),IF($AM207&lt;43.8,WeightSDS!M$29*$AM207^10+WeightSDS!N$29*$AM207^9+WeightSDS!O$29*$AM207^8+WeightSDS!P$29*$AM207^7+WeightSDS!Q$29*$AM207^6+WeightSDS!R$29*$AM207^5+WeightSDS!S$29*$AM207^4+WeightSDS!T$29*$AM207^3+WeightSDS!U$29*$AM207^2+WeightSDS!V$29*$AM207+WeightSDS!W$29-0.010431*(1-$AM207/210),IF($AM207&lt;123,WeightSDS!M$30*$AM207^10+WeightSDS!N$30*$AM207^9+WeightSDS!O$30*$AM207^8+WeightSDS!P$30*$AM207^7+WeightSDS!Q$30*$AM207^6+WeightSDS!R$30*$AM207^5+WeightSDS!S$30*$AM207^4+WeightSDS!T$30*$AM207^3+WeightSDS!U$30*$AM207^2+WeightSDS!V$30*$AM207+WeightSDS!W$30-0.010431*(1-1/$AM207),WeightSDS!M$32+WeightSDS!N$32/(1+EXP(WeightSDS!O$32+WeightSDS!P$32*$AM207))-0.010431*(1-$AM207/210))))</f>
        <v>2.9500001032655536</v>
      </c>
      <c r="AQ207" s="4">
        <f>IF(D207="M",IF($AM207&lt;162,WeightSDS!P$12*$AM207^7+WeightSDS!Q$12*$AM207^6+WeightSDS!R$12*$AM207^5+WeightSDS!S$12*$AM207^4+WeightSDS!T$12*$AM207^3+WeightSDS!U$12*$AM207^2+WeightSDS!V$12*$AM207+WeightSDS!W$12,WeightSDS!P$14*$AM207^7+WeightSDS!Q$14*$AM207^6+WeightSDS!R$14*$AM207^5+WeightSDS!S$14*$AM207^4+WeightSDS!T$14*$AM207^3+WeightSDS!U$14*$AM207^2+WeightSDS!V$14*$AM207+WeightSDS!W$14),IF($AM207&lt;156,WeightSDS!O$17*$AM207^8+WeightSDS!P$17*$AM207^7+WeightSDS!Q$17*$AM207^6+WeightSDS!R$17*$AM207^5+WeightSDS!S$17*$AM207^4+WeightSDS!T$17*$AM207^3+WeightSDS!U$17*$AM207^2+WeightSDS!V$17*$AM207+WeightSDS!W$17,IF($AM207&lt;186,WeightSDS!$U$18+(WeightSDS!$V$18-WeightSDS!$U$18)/24*($AM207-186)+WeightSDS!$W$18*(-$AM207+186)^2-0.005,WeightSDS!$U$18+(WeightSDS!$V$18-WeightSDS!$U$18)/24*($AM207-186)-0.005)))</f>
        <v>0.14604529399999999</v>
      </c>
      <c r="AT207" s="4">
        <f t="shared" si="70"/>
        <v>0.56299999999999994</v>
      </c>
      <c r="AU207" s="4">
        <f t="shared" si="71"/>
        <v>69</v>
      </c>
      <c r="AV207" s="4">
        <f t="shared" si="72"/>
        <v>0.51</v>
      </c>
    </row>
    <row r="208" spans="1:48" x14ac:dyDescent="0.15">
      <c r="A208" s="4"/>
      <c r="B208" s="21"/>
      <c r="C208" s="21"/>
      <c r="D208" s="21"/>
      <c r="E208" s="22"/>
      <c r="F208" s="22"/>
      <c r="G208" s="23"/>
      <c r="H208" s="23"/>
      <c r="I208" s="181"/>
      <c r="J208" s="8" t="str">
        <f t="shared" si="64"/>
        <v/>
      </c>
      <c r="K208" s="2" t="str">
        <f t="shared" si="73"/>
        <v/>
      </c>
      <c r="L208" s="2" t="str">
        <f t="shared" si="65"/>
        <v/>
      </c>
      <c r="M208" s="2" t="str">
        <f t="shared" si="74"/>
        <v/>
      </c>
      <c r="N208" s="2" t="str">
        <f t="shared" si="82"/>
        <v/>
      </c>
      <c r="O208" s="2" t="str">
        <f t="shared" si="75"/>
        <v/>
      </c>
      <c r="P208" s="8" t="str">
        <f t="shared" si="76"/>
        <v/>
      </c>
      <c r="Q208" s="8" t="str">
        <f t="shared" si="77"/>
        <v/>
      </c>
      <c r="R208" s="111" t="str">
        <f t="shared" si="78"/>
        <v/>
      </c>
      <c r="S208" s="44" t="str">
        <f t="shared" si="79"/>
        <v/>
      </c>
      <c r="T208" s="37" t="str">
        <f t="shared" si="80"/>
        <v/>
      </c>
      <c r="U208" s="44" t="str">
        <f t="shared" si="81"/>
        <v/>
      </c>
      <c r="V208" s="26"/>
      <c r="W208" s="26"/>
      <c r="X208" s="26"/>
      <c r="Y208" s="26"/>
      <c r="Z208" s="24"/>
      <c r="AA208" s="169">
        <f t="shared" si="66"/>
        <v>0</v>
      </c>
      <c r="AB208" s="4">
        <f t="shared" si="67"/>
        <v>0</v>
      </c>
      <c r="AC208" s="170">
        <f t="shared" si="63"/>
        <v>0</v>
      </c>
      <c r="AD208" s="58"/>
      <c r="AE208" s="58"/>
      <c r="AF208" s="58"/>
      <c r="AG208" s="59">
        <f t="shared" si="68"/>
        <v>9.0359999999999996</v>
      </c>
      <c r="AH208" s="59">
        <f t="shared" si="69"/>
        <v>-184.49199999999999</v>
      </c>
      <c r="AJ208" s="4">
        <f>IF(D208="M",IF(AM208&lt;78,BMILMS!$D$5*AM208^3+BMILMS!$E$5*AM208^2+BMILMS!$F$5*AM208+BMILMS!$G$5,IF(AM208&lt;150,BMILMS!$D$6*AM208^3+BMILMS!$E$6*AM208^2+BMILMS!$F$6*AM208+BMILMS!$G$6,BMILMS!$D$7*AM208^3+BMILMS!$E$7*AM208^2+BMILMS!$F$7*AM208+BMILMS!$G$7)),IF(AM208&lt;69,BMILMS!$D$9*AM208^3+BMILMS!$E$9*AM208^2+BMILMS!$F$9*AM208+BMILMS!$G$9,IF(AM208&lt;150,BMILMS!$D$10*AM208^3+BMILMS!$E$10*AM208^2+BMILMS!$F$10*AM208+BMILMS!$G$10,BMILMS!$D$11*AM208^3+BMILMS!$E$11*AM208^2+BMILMS!$F$11*AM208+BMILMS!$G$11)))</f>
        <v>0.79584630099999998</v>
      </c>
      <c r="AK208" s="4">
        <f>IF(D208="M",(IF(AM208&lt;2.5,BMILMS!$D$21*AM208^3+BMILMS!$E$21*AM208^2+BMILMS!$F$21*AM208+BMILMS!$G$21,IF(AM208&lt;9.5,BMILMS!$D$22*AM208^3+BMILMS!$E$22*AM208^2+BMILMS!$F$22*AM208+BMILMS!$G$22,IF(AM208&lt;26.75,BMILMS!$D$23*AM208^3+BMILMS!$E$23*AM208^2+BMILMS!$F$23*AM208+BMILMS!$G$23,IF(AM208&lt;90,BMILMS!$D$24*AM208^3+BMILMS!$E$24*AM208^2+BMILMS!$F$24*AM208+BMILMS!$G$24,BMILMS!$D$25*AM208^3+BMILMS!$E$25*AM208^2+BMILMS!$F$25*AM208+BMILMS!$G$25))))),(IF(AM208&lt;2.5,BMILMS!$D$27*AM208^3+BMILMS!$E$27*AM208^2+BMILMS!$F$27*AM208+BMILMS!$G$27,IF(AM208&lt;9.5,BMILMS!$D$28*AM208^3+BMILMS!$E$28*AM208^2+BMILMS!$F$28*AM208+BMILMS!$G$28,IF(AM208&lt;26.75,BMILMS!$D$29*AM208^3+BMILMS!$E$29*AM208^2+BMILMS!$F$29*AM208+BMILMS!$G$29,IF(AM208&lt;90,BMILMS!$D$30*AM208^3+BMILMS!$E$30*AM208^2+BMILMS!$F$30*AM208+BMILMS!$G$30,IF(AM208&lt;150,BMILMS!$D$31*AM208^3+BMILMS!$E$31*AM208^2+BMILMS!$F$31*AM208+BMILMS!$G$31,BMILMS!$D$32*AM208^3+BMILMS!$E$32*AM208^2+BMILMS!$F$32*AM208+BMILMS!$G$32)))))))</f>
        <v>12.568967990000001</v>
      </c>
      <c r="AL208" s="4">
        <f>IF(D208="M",(IF(AM208&lt;90,BMILMS!$D$14*AM208^3+BMILMS!$E$14*AM208^2+BMILMS!$F$14*AM208+BMILMS!$G$14,BMILMS!$D$15*AM208^3+BMILMS!$E$15*AM208^2+BMILMS!$F$15*AM208+BMILMS!$G$15)),(IF(AM208&lt;90,BMILMS!$D$17*AM208^3+BMILMS!$E$17*AM208^2+BMILMS!$F$17*AM208+BMILMS!$G$17,BMILMS!$D$18*AM208^3+BMILMS!$E$18*AM208^2+BMILMS!$F$18*AM208+BMILMS!$G$18)))</f>
        <v>8.8969350000000003E-2</v>
      </c>
      <c r="AM208" s="4">
        <f t="shared" si="83"/>
        <v>0</v>
      </c>
      <c r="AO208" s="56">
        <f>IF(D208="M",WeightSDS!P$5*$AM208^7+WeightSDS!Q$5*$AM208^6+WeightSDS!R$5*$AM208^5+WeightSDS!S$5*$AM208^4+WeightSDS!T$5*$AM208^3+WeightSDS!U$5*$AM208^2+WeightSDS!V$5*$AM208+WeightSDS!W$5,IF($AM208&lt;186,WeightSDS!P$8*$AM208^7+WeightSDS!Q$8*$AM208^6+WeightSDS!R$8*$AM208^5+WeightSDS!S$8*$AM208^4+WeightSDS!T$8*$AM208^3+WeightSDS!U$8*$AM208^2+WeightSDS!V$8*$AM208+WeightSDS!W$8,WeightSDS!$U$9+WeightSDS!$V$9*($AM208-WeightSDS!$W$9)))</f>
        <v>0.75407122999999998</v>
      </c>
      <c r="AP208" s="4">
        <f>IF(D208="M",IF($AM208&lt;45,WeightSDS!M$23*$AM208^10+WeightSDS!N$23*$AM208^9+WeightSDS!O$23*$AM208^8+WeightSDS!P$23*$AM208^7+WeightSDS!Q$23*$AM208^6+WeightSDS!R$23*$AM208^5+WeightSDS!S$23*$AM208^4+WeightSDS!T$23*$AM208^3+WeightSDS!U$23*$AM208^2+WeightSDS!V$23*$AM208+WeightSDS!W$23,IF($AM208&lt;153,WeightSDS!M$25*$AM208^10+WeightSDS!N$25*$AM208^9+WeightSDS!O$25*$AM208^8+WeightSDS!P$25*$AM208^7+WeightSDS!Q$25*$AM208^6+WeightSDS!R$25*$AM208^5+WeightSDS!S$25*$AM208^4+WeightSDS!T$25*$AM208^3+WeightSDS!U$25*$AM208^2+WeightSDS!V$25*$AM208+WeightSDS!W$25,WeightSDS!M$27+WeightSDS!N$27/(1+EXP(WeightSDS!O$27+WeightSDS!P$27*$AM208)))),IF($AM208&lt;43.8,WeightSDS!M$29*$AM208^10+WeightSDS!N$29*$AM208^9+WeightSDS!O$29*$AM208^8+WeightSDS!P$29*$AM208^7+WeightSDS!Q$29*$AM208^6+WeightSDS!R$29*$AM208^5+WeightSDS!S$29*$AM208^4+WeightSDS!T$29*$AM208^3+WeightSDS!U$29*$AM208^2+WeightSDS!V$29*$AM208+WeightSDS!W$29-0.010431*(1-$AM208/210),IF($AM208&lt;123,WeightSDS!M$30*$AM208^10+WeightSDS!N$30*$AM208^9+WeightSDS!O$30*$AM208^8+WeightSDS!P$30*$AM208^7+WeightSDS!Q$30*$AM208^6+WeightSDS!R$30*$AM208^5+WeightSDS!S$30*$AM208^4+WeightSDS!T$30*$AM208^3+WeightSDS!U$30*$AM208^2+WeightSDS!V$30*$AM208+WeightSDS!W$30-0.010431*(1-1/$AM208),WeightSDS!M$32+WeightSDS!N$32/(1+EXP(WeightSDS!O$32+WeightSDS!P$32*$AM208))-0.010431*(1-$AM208/210))))</f>
        <v>2.9500001032655536</v>
      </c>
      <c r="AQ208" s="4">
        <f>IF(D208="M",IF($AM208&lt;162,WeightSDS!P$12*$AM208^7+WeightSDS!Q$12*$AM208^6+WeightSDS!R$12*$AM208^5+WeightSDS!S$12*$AM208^4+WeightSDS!T$12*$AM208^3+WeightSDS!U$12*$AM208^2+WeightSDS!V$12*$AM208+WeightSDS!W$12,WeightSDS!P$14*$AM208^7+WeightSDS!Q$14*$AM208^6+WeightSDS!R$14*$AM208^5+WeightSDS!S$14*$AM208^4+WeightSDS!T$14*$AM208^3+WeightSDS!U$14*$AM208^2+WeightSDS!V$14*$AM208+WeightSDS!W$14),IF($AM208&lt;156,WeightSDS!O$17*$AM208^8+WeightSDS!P$17*$AM208^7+WeightSDS!Q$17*$AM208^6+WeightSDS!R$17*$AM208^5+WeightSDS!S$17*$AM208^4+WeightSDS!T$17*$AM208^3+WeightSDS!U$17*$AM208^2+WeightSDS!V$17*$AM208+WeightSDS!W$17,IF($AM208&lt;186,WeightSDS!$U$18+(WeightSDS!$V$18-WeightSDS!$U$18)/24*($AM208-186)+WeightSDS!$W$18*(-$AM208+186)^2-0.005,WeightSDS!$U$18+(WeightSDS!$V$18-WeightSDS!$U$18)/24*($AM208-186)-0.005)))</f>
        <v>0.14604529399999999</v>
      </c>
      <c r="AT208" s="4">
        <f t="shared" si="70"/>
        <v>0.56299999999999994</v>
      </c>
      <c r="AU208" s="4">
        <f t="shared" si="71"/>
        <v>69</v>
      </c>
      <c r="AV208" s="4">
        <f t="shared" si="72"/>
        <v>0.51</v>
      </c>
    </row>
    <row r="209" spans="1:48" x14ac:dyDescent="0.15">
      <c r="A209" s="4"/>
      <c r="B209" s="21"/>
      <c r="C209" s="21"/>
      <c r="D209" s="21"/>
      <c r="E209" s="22"/>
      <c r="F209" s="22"/>
      <c r="G209" s="23"/>
      <c r="H209" s="23"/>
      <c r="I209" s="181"/>
      <c r="J209" s="8" t="str">
        <f t="shared" si="64"/>
        <v/>
      </c>
      <c r="K209" s="2" t="str">
        <f t="shared" si="73"/>
        <v/>
      </c>
      <c r="L209" s="2" t="str">
        <f t="shared" si="65"/>
        <v/>
      </c>
      <c r="M209" s="2" t="str">
        <f t="shared" si="74"/>
        <v/>
      </c>
      <c r="N209" s="2" t="str">
        <f t="shared" si="82"/>
        <v/>
      </c>
      <c r="O209" s="2" t="str">
        <f t="shared" si="75"/>
        <v/>
      </c>
      <c r="P209" s="8" t="str">
        <f t="shared" si="76"/>
        <v/>
      </c>
      <c r="Q209" s="8" t="str">
        <f t="shared" si="77"/>
        <v/>
      </c>
      <c r="R209" s="111" t="str">
        <f t="shared" si="78"/>
        <v/>
      </c>
      <c r="S209" s="44" t="str">
        <f t="shared" si="79"/>
        <v/>
      </c>
      <c r="T209" s="37" t="str">
        <f t="shared" si="80"/>
        <v/>
      </c>
      <c r="U209" s="44" t="str">
        <f t="shared" si="81"/>
        <v/>
      </c>
      <c r="V209" s="26"/>
      <c r="W209" s="26"/>
      <c r="X209" s="26"/>
      <c r="Y209" s="26"/>
      <c r="Z209" s="24"/>
      <c r="AA209" s="169">
        <f t="shared" si="66"/>
        <v>0</v>
      </c>
      <c r="AB209" s="4">
        <f t="shared" si="67"/>
        <v>0</v>
      </c>
      <c r="AC209" s="170">
        <f t="shared" si="63"/>
        <v>0</v>
      </c>
      <c r="AD209" s="58"/>
      <c r="AE209" s="58"/>
      <c r="AF209" s="58"/>
      <c r="AG209" s="59">
        <f t="shared" si="68"/>
        <v>9.0359999999999996</v>
      </c>
      <c r="AH209" s="59">
        <f t="shared" si="69"/>
        <v>-184.49199999999999</v>
      </c>
      <c r="AJ209" s="4">
        <f>IF(D209="M",IF(AM209&lt;78,BMILMS!$D$5*AM209^3+BMILMS!$E$5*AM209^2+BMILMS!$F$5*AM209+BMILMS!$G$5,IF(AM209&lt;150,BMILMS!$D$6*AM209^3+BMILMS!$E$6*AM209^2+BMILMS!$F$6*AM209+BMILMS!$G$6,BMILMS!$D$7*AM209^3+BMILMS!$E$7*AM209^2+BMILMS!$F$7*AM209+BMILMS!$G$7)),IF(AM209&lt;69,BMILMS!$D$9*AM209^3+BMILMS!$E$9*AM209^2+BMILMS!$F$9*AM209+BMILMS!$G$9,IF(AM209&lt;150,BMILMS!$D$10*AM209^3+BMILMS!$E$10*AM209^2+BMILMS!$F$10*AM209+BMILMS!$G$10,BMILMS!$D$11*AM209^3+BMILMS!$E$11*AM209^2+BMILMS!$F$11*AM209+BMILMS!$G$11)))</f>
        <v>0.79584630099999998</v>
      </c>
      <c r="AK209" s="4">
        <f>IF(D209="M",(IF(AM209&lt;2.5,BMILMS!$D$21*AM209^3+BMILMS!$E$21*AM209^2+BMILMS!$F$21*AM209+BMILMS!$G$21,IF(AM209&lt;9.5,BMILMS!$D$22*AM209^3+BMILMS!$E$22*AM209^2+BMILMS!$F$22*AM209+BMILMS!$G$22,IF(AM209&lt;26.75,BMILMS!$D$23*AM209^3+BMILMS!$E$23*AM209^2+BMILMS!$F$23*AM209+BMILMS!$G$23,IF(AM209&lt;90,BMILMS!$D$24*AM209^3+BMILMS!$E$24*AM209^2+BMILMS!$F$24*AM209+BMILMS!$G$24,BMILMS!$D$25*AM209^3+BMILMS!$E$25*AM209^2+BMILMS!$F$25*AM209+BMILMS!$G$25))))),(IF(AM209&lt;2.5,BMILMS!$D$27*AM209^3+BMILMS!$E$27*AM209^2+BMILMS!$F$27*AM209+BMILMS!$G$27,IF(AM209&lt;9.5,BMILMS!$D$28*AM209^3+BMILMS!$E$28*AM209^2+BMILMS!$F$28*AM209+BMILMS!$G$28,IF(AM209&lt;26.75,BMILMS!$D$29*AM209^3+BMILMS!$E$29*AM209^2+BMILMS!$F$29*AM209+BMILMS!$G$29,IF(AM209&lt;90,BMILMS!$D$30*AM209^3+BMILMS!$E$30*AM209^2+BMILMS!$F$30*AM209+BMILMS!$G$30,IF(AM209&lt;150,BMILMS!$D$31*AM209^3+BMILMS!$E$31*AM209^2+BMILMS!$F$31*AM209+BMILMS!$G$31,BMILMS!$D$32*AM209^3+BMILMS!$E$32*AM209^2+BMILMS!$F$32*AM209+BMILMS!$G$32)))))))</f>
        <v>12.568967990000001</v>
      </c>
      <c r="AL209" s="4">
        <f>IF(D209="M",(IF(AM209&lt;90,BMILMS!$D$14*AM209^3+BMILMS!$E$14*AM209^2+BMILMS!$F$14*AM209+BMILMS!$G$14,BMILMS!$D$15*AM209^3+BMILMS!$E$15*AM209^2+BMILMS!$F$15*AM209+BMILMS!$G$15)),(IF(AM209&lt;90,BMILMS!$D$17*AM209^3+BMILMS!$E$17*AM209^2+BMILMS!$F$17*AM209+BMILMS!$G$17,BMILMS!$D$18*AM209^3+BMILMS!$E$18*AM209^2+BMILMS!$F$18*AM209+BMILMS!$G$18)))</f>
        <v>8.8969350000000003E-2</v>
      </c>
      <c r="AM209" s="4">
        <f t="shared" si="83"/>
        <v>0</v>
      </c>
      <c r="AO209" s="56">
        <f>IF(D209="M",WeightSDS!P$5*$AM209^7+WeightSDS!Q$5*$AM209^6+WeightSDS!R$5*$AM209^5+WeightSDS!S$5*$AM209^4+WeightSDS!T$5*$AM209^3+WeightSDS!U$5*$AM209^2+WeightSDS!V$5*$AM209+WeightSDS!W$5,IF($AM209&lt;186,WeightSDS!P$8*$AM209^7+WeightSDS!Q$8*$AM209^6+WeightSDS!R$8*$AM209^5+WeightSDS!S$8*$AM209^4+WeightSDS!T$8*$AM209^3+WeightSDS!U$8*$AM209^2+WeightSDS!V$8*$AM209+WeightSDS!W$8,WeightSDS!$U$9+WeightSDS!$V$9*($AM209-WeightSDS!$W$9)))</f>
        <v>0.75407122999999998</v>
      </c>
      <c r="AP209" s="4">
        <f>IF(D209="M",IF($AM209&lt;45,WeightSDS!M$23*$AM209^10+WeightSDS!N$23*$AM209^9+WeightSDS!O$23*$AM209^8+WeightSDS!P$23*$AM209^7+WeightSDS!Q$23*$AM209^6+WeightSDS!R$23*$AM209^5+WeightSDS!S$23*$AM209^4+WeightSDS!T$23*$AM209^3+WeightSDS!U$23*$AM209^2+WeightSDS!V$23*$AM209+WeightSDS!W$23,IF($AM209&lt;153,WeightSDS!M$25*$AM209^10+WeightSDS!N$25*$AM209^9+WeightSDS!O$25*$AM209^8+WeightSDS!P$25*$AM209^7+WeightSDS!Q$25*$AM209^6+WeightSDS!R$25*$AM209^5+WeightSDS!S$25*$AM209^4+WeightSDS!T$25*$AM209^3+WeightSDS!U$25*$AM209^2+WeightSDS!V$25*$AM209+WeightSDS!W$25,WeightSDS!M$27+WeightSDS!N$27/(1+EXP(WeightSDS!O$27+WeightSDS!P$27*$AM209)))),IF($AM209&lt;43.8,WeightSDS!M$29*$AM209^10+WeightSDS!N$29*$AM209^9+WeightSDS!O$29*$AM209^8+WeightSDS!P$29*$AM209^7+WeightSDS!Q$29*$AM209^6+WeightSDS!R$29*$AM209^5+WeightSDS!S$29*$AM209^4+WeightSDS!T$29*$AM209^3+WeightSDS!U$29*$AM209^2+WeightSDS!V$29*$AM209+WeightSDS!W$29-0.010431*(1-$AM209/210),IF($AM209&lt;123,WeightSDS!M$30*$AM209^10+WeightSDS!N$30*$AM209^9+WeightSDS!O$30*$AM209^8+WeightSDS!P$30*$AM209^7+WeightSDS!Q$30*$AM209^6+WeightSDS!R$30*$AM209^5+WeightSDS!S$30*$AM209^4+WeightSDS!T$30*$AM209^3+WeightSDS!U$30*$AM209^2+WeightSDS!V$30*$AM209+WeightSDS!W$30-0.010431*(1-1/$AM209),WeightSDS!M$32+WeightSDS!N$32/(1+EXP(WeightSDS!O$32+WeightSDS!P$32*$AM209))-0.010431*(1-$AM209/210))))</f>
        <v>2.9500001032655536</v>
      </c>
      <c r="AQ209" s="4">
        <f>IF(D209="M",IF($AM209&lt;162,WeightSDS!P$12*$AM209^7+WeightSDS!Q$12*$AM209^6+WeightSDS!R$12*$AM209^5+WeightSDS!S$12*$AM209^4+WeightSDS!T$12*$AM209^3+WeightSDS!U$12*$AM209^2+WeightSDS!V$12*$AM209+WeightSDS!W$12,WeightSDS!P$14*$AM209^7+WeightSDS!Q$14*$AM209^6+WeightSDS!R$14*$AM209^5+WeightSDS!S$14*$AM209^4+WeightSDS!T$14*$AM209^3+WeightSDS!U$14*$AM209^2+WeightSDS!V$14*$AM209+WeightSDS!W$14),IF($AM209&lt;156,WeightSDS!O$17*$AM209^8+WeightSDS!P$17*$AM209^7+WeightSDS!Q$17*$AM209^6+WeightSDS!R$17*$AM209^5+WeightSDS!S$17*$AM209^4+WeightSDS!T$17*$AM209^3+WeightSDS!U$17*$AM209^2+WeightSDS!V$17*$AM209+WeightSDS!W$17,IF($AM209&lt;186,WeightSDS!$U$18+(WeightSDS!$V$18-WeightSDS!$U$18)/24*($AM209-186)+WeightSDS!$W$18*(-$AM209+186)^2-0.005,WeightSDS!$U$18+(WeightSDS!$V$18-WeightSDS!$U$18)/24*($AM209-186)-0.005)))</f>
        <v>0.14604529399999999</v>
      </c>
      <c r="AT209" s="4">
        <f t="shared" si="70"/>
        <v>0.56299999999999994</v>
      </c>
      <c r="AU209" s="4">
        <f t="shared" si="71"/>
        <v>69</v>
      </c>
      <c r="AV209" s="4">
        <f t="shared" si="72"/>
        <v>0.51</v>
      </c>
    </row>
    <row r="210" spans="1:48" x14ac:dyDescent="0.15">
      <c r="A210" s="4"/>
      <c r="B210" s="21"/>
      <c r="C210" s="21"/>
      <c r="D210" s="21"/>
      <c r="E210" s="22"/>
      <c r="F210" s="22"/>
      <c r="G210" s="23"/>
      <c r="H210" s="23"/>
      <c r="I210" s="181"/>
      <c r="J210" s="8" t="str">
        <f t="shared" si="64"/>
        <v/>
      </c>
      <c r="K210" s="2" t="str">
        <f t="shared" si="73"/>
        <v/>
      </c>
      <c r="L210" s="2" t="str">
        <f t="shared" si="65"/>
        <v/>
      </c>
      <c r="M210" s="2" t="str">
        <f t="shared" si="74"/>
        <v/>
      </c>
      <c r="N210" s="2" t="str">
        <f t="shared" si="82"/>
        <v/>
      </c>
      <c r="O210" s="2" t="str">
        <f t="shared" si="75"/>
        <v/>
      </c>
      <c r="P210" s="8" t="str">
        <f t="shared" si="76"/>
        <v/>
      </c>
      <c r="Q210" s="8" t="str">
        <f t="shared" si="77"/>
        <v/>
      </c>
      <c r="R210" s="111" t="str">
        <f t="shared" si="78"/>
        <v/>
      </c>
      <c r="S210" s="44" t="str">
        <f t="shared" si="79"/>
        <v/>
      </c>
      <c r="T210" s="37" t="str">
        <f t="shared" si="80"/>
        <v/>
      </c>
      <c r="U210" s="44" t="str">
        <f t="shared" si="81"/>
        <v/>
      </c>
      <c r="V210" s="26"/>
      <c r="W210" s="26"/>
      <c r="X210" s="26"/>
      <c r="Y210" s="26"/>
      <c r="Z210" s="24"/>
      <c r="AA210" s="169">
        <f t="shared" si="66"/>
        <v>0</v>
      </c>
      <c r="AB210" s="4">
        <f t="shared" si="67"/>
        <v>0</v>
      </c>
      <c r="AC210" s="170">
        <f t="shared" si="63"/>
        <v>0</v>
      </c>
      <c r="AD210" s="58"/>
      <c r="AE210" s="58"/>
      <c r="AF210" s="58"/>
      <c r="AG210" s="59">
        <f t="shared" si="68"/>
        <v>9.0359999999999996</v>
      </c>
      <c r="AH210" s="59">
        <f t="shared" si="69"/>
        <v>-184.49199999999999</v>
      </c>
      <c r="AJ210" s="4">
        <f>IF(D210="M",IF(AM210&lt;78,BMILMS!$D$5*AM210^3+BMILMS!$E$5*AM210^2+BMILMS!$F$5*AM210+BMILMS!$G$5,IF(AM210&lt;150,BMILMS!$D$6*AM210^3+BMILMS!$E$6*AM210^2+BMILMS!$F$6*AM210+BMILMS!$G$6,BMILMS!$D$7*AM210^3+BMILMS!$E$7*AM210^2+BMILMS!$F$7*AM210+BMILMS!$G$7)),IF(AM210&lt;69,BMILMS!$D$9*AM210^3+BMILMS!$E$9*AM210^2+BMILMS!$F$9*AM210+BMILMS!$G$9,IF(AM210&lt;150,BMILMS!$D$10*AM210^3+BMILMS!$E$10*AM210^2+BMILMS!$F$10*AM210+BMILMS!$G$10,BMILMS!$D$11*AM210^3+BMILMS!$E$11*AM210^2+BMILMS!$F$11*AM210+BMILMS!$G$11)))</f>
        <v>0.79584630099999998</v>
      </c>
      <c r="AK210" s="4">
        <f>IF(D210="M",(IF(AM210&lt;2.5,BMILMS!$D$21*AM210^3+BMILMS!$E$21*AM210^2+BMILMS!$F$21*AM210+BMILMS!$G$21,IF(AM210&lt;9.5,BMILMS!$D$22*AM210^3+BMILMS!$E$22*AM210^2+BMILMS!$F$22*AM210+BMILMS!$G$22,IF(AM210&lt;26.75,BMILMS!$D$23*AM210^3+BMILMS!$E$23*AM210^2+BMILMS!$F$23*AM210+BMILMS!$G$23,IF(AM210&lt;90,BMILMS!$D$24*AM210^3+BMILMS!$E$24*AM210^2+BMILMS!$F$24*AM210+BMILMS!$G$24,BMILMS!$D$25*AM210^3+BMILMS!$E$25*AM210^2+BMILMS!$F$25*AM210+BMILMS!$G$25))))),(IF(AM210&lt;2.5,BMILMS!$D$27*AM210^3+BMILMS!$E$27*AM210^2+BMILMS!$F$27*AM210+BMILMS!$G$27,IF(AM210&lt;9.5,BMILMS!$D$28*AM210^3+BMILMS!$E$28*AM210^2+BMILMS!$F$28*AM210+BMILMS!$G$28,IF(AM210&lt;26.75,BMILMS!$D$29*AM210^3+BMILMS!$E$29*AM210^2+BMILMS!$F$29*AM210+BMILMS!$G$29,IF(AM210&lt;90,BMILMS!$D$30*AM210^3+BMILMS!$E$30*AM210^2+BMILMS!$F$30*AM210+BMILMS!$G$30,IF(AM210&lt;150,BMILMS!$D$31*AM210^3+BMILMS!$E$31*AM210^2+BMILMS!$F$31*AM210+BMILMS!$G$31,BMILMS!$D$32*AM210^3+BMILMS!$E$32*AM210^2+BMILMS!$F$32*AM210+BMILMS!$G$32)))))))</f>
        <v>12.568967990000001</v>
      </c>
      <c r="AL210" s="4">
        <f>IF(D210="M",(IF(AM210&lt;90,BMILMS!$D$14*AM210^3+BMILMS!$E$14*AM210^2+BMILMS!$F$14*AM210+BMILMS!$G$14,BMILMS!$D$15*AM210^3+BMILMS!$E$15*AM210^2+BMILMS!$F$15*AM210+BMILMS!$G$15)),(IF(AM210&lt;90,BMILMS!$D$17*AM210^3+BMILMS!$E$17*AM210^2+BMILMS!$F$17*AM210+BMILMS!$G$17,BMILMS!$D$18*AM210^3+BMILMS!$E$18*AM210^2+BMILMS!$F$18*AM210+BMILMS!$G$18)))</f>
        <v>8.8969350000000003E-2</v>
      </c>
      <c r="AM210" s="4">
        <f t="shared" si="83"/>
        <v>0</v>
      </c>
      <c r="AO210" s="56">
        <f>IF(D210="M",WeightSDS!P$5*$AM210^7+WeightSDS!Q$5*$AM210^6+WeightSDS!R$5*$AM210^5+WeightSDS!S$5*$AM210^4+WeightSDS!T$5*$AM210^3+WeightSDS!U$5*$AM210^2+WeightSDS!V$5*$AM210+WeightSDS!W$5,IF($AM210&lt;186,WeightSDS!P$8*$AM210^7+WeightSDS!Q$8*$AM210^6+WeightSDS!R$8*$AM210^5+WeightSDS!S$8*$AM210^4+WeightSDS!T$8*$AM210^3+WeightSDS!U$8*$AM210^2+WeightSDS!V$8*$AM210+WeightSDS!W$8,WeightSDS!$U$9+WeightSDS!$V$9*($AM210-WeightSDS!$W$9)))</f>
        <v>0.75407122999999998</v>
      </c>
      <c r="AP210" s="4">
        <f>IF(D210="M",IF($AM210&lt;45,WeightSDS!M$23*$AM210^10+WeightSDS!N$23*$AM210^9+WeightSDS!O$23*$AM210^8+WeightSDS!P$23*$AM210^7+WeightSDS!Q$23*$AM210^6+WeightSDS!R$23*$AM210^5+WeightSDS!S$23*$AM210^4+WeightSDS!T$23*$AM210^3+WeightSDS!U$23*$AM210^2+WeightSDS!V$23*$AM210+WeightSDS!W$23,IF($AM210&lt;153,WeightSDS!M$25*$AM210^10+WeightSDS!N$25*$AM210^9+WeightSDS!O$25*$AM210^8+WeightSDS!P$25*$AM210^7+WeightSDS!Q$25*$AM210^6+WeightSDS!R$25*$AM210^5+WeightSDS!S$25*$AM210^4+WeightSDS!T$25*$AM210^3+WeightSDS!U$25*$AM210^2+WeightSDS!V$25*$AM210+WeightSDS!W$25,WeightSDS!M$27+WeightSDS!N$27/(1+EXP(WeightSDS!O$27+WeightSDS!P$27*$AM210)))),IF($AM210&lt;43.8,WeightSDS!M$29*$AM210^10+WeightSDS!N$29*$AM210^9+WeightSDS!O$29*$AM210^8+WeightSDS!P$29*$AM210^7+WeightSDS!Q$29*$AM210^6+WeightSDS!R$29*$AM210^5+WeightSDS!S$29*$AM210^4+WeightSDS!T$29*$AM210^3+WeightSDS!U$29*$AM210^2+WeightSDS!V$29*$AM210+WeightSDS!W$29-0.010431*(1-$AM210/210),IF($AM210&lt;123,WeightSDS!M$30*$AM210^10+WeightSDS!N$30*$AM210^9+WeightSDS!O$30*$AM210^8+WeightSDS!P$30*$AM210^7+WeightSDS!Q$30*$AM210^6+WeightSDS!R$30*$AM210^5+WeightSDS!S$30*$AM210^4+WeightSDS!T$30*$AM210^3+WeightSDS!U$30*$AM210^2+WeightSDS!V$30*$AM210+WeightSDS!W$30-0.010431*(1-1/$AM210),WeightSDS!M$32+WeightSDS!N$32/(1+EXP(WeightSDS!O$32+WeightSDS!P$32*$AM210))-0.010431*(1-$AM210/210))))</f>
        <v>2.9500001032655536</v>
      </c>
      <c r="AQ210" s="4">
        <f>IF(D210="M",IF($AM210&lt;162,WeightSDS!P$12*$AM210^7+WeightSDS!Q$12*$AM210^6+WeightSDS!R$12*$AM210^5+WeightSDS!S$12*$AM210^4+WeightSDS!T$12*$AM210^3+WeightSDS!U$12*$AM210^2+WeightSDS!V$12*$AM210+WeightSDS!W$12,WeightSDS!P$14*$AM210^7+WeightSDS!Q$14*$AM210^6+WeightSDS!R$14*$AM210^5+WeightSDS!S$14*$AM210^4+WeightSDS!T$14*$AM210^3+WeightSDS!U$14*$AM210^2+WeightSDS!V$14*$AM210+WeightSDS!W$14),IF($AM210&lt;156,WeightSDS!O$17*$AM210^8+WeightSDS!P$17*$AM210^7+WeightSDS!Q$17*$AM210^6+WeightSDS!R$17*$AM210^5+WeightSDS!S$17*$AM210^4+WeightSDS!T$17*$AM210^3+WeightSDS!U$17*$AM210^2+WeightSDS!V$17*$AM210+WeightSDS!W$17,IF($AM210&lt;186,WeightSDS!$U$18+(WeightSDS!$V$18-WeightSDS!$U$18)/24*($AM210-186)+WeightSDS!$W$18*(-$AM210+186)^2-0.005,WeightSDS!$U$18+(WeightSDS!$V$18-WeightSDS!$U$18)/24*($AM210-186)-0.005)))</f>
        <v>0.14604529399999999</v>
      </c>
      <c r="AT210" s="4">
        <f t="shared" si="70"/>
        <v>0.56299999999999994</v>
      </c>
      <c r="AU210" s="4">
        <f t="shared" si="71"/>
        <v>69</v>
      </c>
      <c r="AV210" s="4">
        <f t="shared" si="72"/>
        <v>0.51</v>
      </c>
    </row>
    <row r="211" spans="1:48" x14ac:dyDescent="0.15">
      <c r="A211" s="4"/>
      <c r="B211" s="21"/>
      <c r="C211" s="21"/>
      <c r="D211" s="21"/>
      <c r="E211" s="22"/>
      <c r="F211" s="22"/>
      <c r="G211" s="23"/>
      <c r="H211" s="23"/>
      <c r="I211" s="181"/>
      <c r="J211" s="8" t="str">
        <f t="shared" si="64"/>
        <v/>
      </c>
      <c r="K211" s="2" t="str">
        <f t="shared" si="73"/>
        <v/>
      </c>
      <c r="L211" s="2" t="str">
        <f t="shared" si="65"/>
        <v/>
      </c>
      <c r="M211" s="2" t="str">
        <f t="shared" si="74"/>
        <v/>
      </c>
      <c r="N211" s="2" t="str">
        <f t="shared" si="82"/>
        <v/>
      </c>
      <c r="O211" s="2" t="str">
        <f t="shared" si="75"/>
        <v/>
      </c>
      <c r="P211" s="8" t="str">
        <f t="shared" si="76"/>
        <v/>
      </c>
      <c r="Q211" s="8" t="str">
        <f t="shared" si="77"/>
        <v/>
      </c>
      <c r="R211" s="111" t="str">
        <f t="shared" si="78"/>
        <v/>
      </c>
      <c r="S211" s="44" t="str">
        <f t="shared" si="79"/>
        <v/>
      </c>
      <c r="T211" s="37" t="str">
        <f t="shared" si="80"/>
        <v/>
      </c>
      <c r="U211" s="44" t="str">
        <f t="shared" si="81"/>
        <v/>
      </c>
      <c r="V211" s="26"/>
      <c r="W211" s="26"/>
      <c r="X211" s="26"/>
      <c r="Y211" s="26"/>
      <c r="Z211" s="24"/>
      <c r="AA211" s="169">
        <f t="shared" si="66"/>
        <v>0</v>
      </c>
      <c r="AB211" s="4">
        <f t="shared" si="67"/>
        <v>0</v>
      </c>
      <c r="AC211" s="170">
        <f t="shared" si="63"/>
        <v>0</v>
      </c>
      <c r="AD211" s="58"/>
      <c r="AE211" s="58"/>
      <c r="AF211" s="58"/>
      <c r="AG211" s="59">
        <f t="shared" si="68"/>
        <v>9.0359999999999996</v>
      </c>
      <c r="AH211" s="59">
        <f t="shared" si="69"/>
        <v>-184.49199999999999</v>
      </c>
      <c r="AJ211" s="4">
        <f>IF(D211="M",IF(AM211&lt;78,BMILMS!$D$5*AM211^3+BMILMS!$E$5*AM211^2+BMILMS!$F$5*AM211+BMILMS!$G$5,IF(AM211&lt;150,BMILMS!$D$6*AM211^3+BMILMS!$E$6*AM211^2+BMILMS!$F$6*AM211+BMILMS!$G$6,BMILMS!$D$7*AM211^3+BMILMS!$E$7*AM211^2+BMILMS!$F$7*AM211+BMILMS!$G$7)),IF(AM211&lt;69,BMILMS!$D$9*AM211^3+BMILMS!$E$9*AM211^2+BMILMS!$F$9*AM211+BMILMS!$G$9,IF(AM211&lt;150,BMILMS!$D$10*AM211^3+BMILMS!$E$10*AM211^2+BMILMS!$F$10*AM211+BMILMS!$G$10,BMILMS!$D$11*AM211^3+BMILMS!$E$11*AM211^2+BMILMS!$F$11*AM211+BMILMS!$G$11)))</f>
        <v>0.79584630099999998</v>
      </c>
      <c r="AK211" s="4">
        <f>IF(D211="M",(IF(AM211&lt;2.5,BMILMS!$D$21*AM211^3+BMILMS!$E$21*AM211^2+BMILMS!$F$21*AM211+BMILMS!$G$21,IF(AM211&lt;9.5,BMILMS!$D$22*AM211^3+BMILMS!$E$22*AM211^2+BMILMS!$F$22*AM211+BMILMS!$G$22,IF(AM211&lt;26.75,BMILMS!$D$23*AM211^3+BMILMS!$E$23*AM211^2+BMILMS!$F$23*AM211+BMILMS!$G$23,IF(AM211&lt;90,BMILMS!$D$24*AM211^3+BMILMS!$E$24*AM211^2+BMILMS!$F$24*AM211+BMILMS!$G$24,BMILMS!$D$25*AM211^3+BMILMS!$E$25*AM211^2+BMILMS!$F$25*AM211+BMILMS!$G$25))))),(IF(AM211&lt;2.5,BMILMS!$D$27*AM211^3+BMILMS!$E$27*AM211^2+BMILMS!$F$27*AM211+BMILMS!$G$27,IF(AM211&lt;9.5,BMILMS!$D$28*AM211^3+BMILMS!$E$28*AM211^2+BMILMS!$F$28*AM211+BMILMS!$G$28,IF(AM211&lt;26.75,BMILMS!$D$29*AM211^3+BMILMS!$E$29*AM211^2+BMILMS!$F$29*AM211+BMILMS!$G$29,IF(AM211&lt;90,BMILMS!$D$30*AM211^3+BMILMS!$E$30*AM211^2+BMILMS!$F$30*AM211+BMILMS!$G$30,IF(AM211&lt;150,BMILMS!$D$31*AM211^3+BMILMS!$E$31*AM211^2+BMILMS!$F$31*AM211+BMILMS!$G$31,BMILMS!$D$32*AM211^3+BMILMS!$E$32*AM211^2+BMILMS!$F$32*AM211+BMILMS!$G$32)))))))</f>
        <v>12.568967990000001</v>
      </c>
      <c r="AL211" s="4">
        <f>IF(D211="M",(IF(AM211&lt;90,BMILMS!$D$14*AM211^3+BMILMS!$E$14*AM211^2+BMILMS!$F$14*AM211+BMILMS!$G$14,BMILMS!$D$15*AM211^3+BMILMS!$E$15*AM211^2+BMILMS!$F$15*AM211+BMILMS!$G$15)),(IF(AM211&lt;90,BMILMS!$D$17*AM211^3+BMILMS!$E$17*AM211^2+BMILMS!$F$17*AM211+BMILMS!$G$17,BMILMS!$D$18*AM211^3+BMILMS!$E$18*AM211^2+BMILMS!$F$18*AM211+BMILMS!$G$18)))</f>
        <v>8.8969350000000003E-2</v>
      </c>
      <c r="AM211" s="4">
        <f t="shared" si="83"/>
        <v>0</v>
      </c>
      <c r="AO211" s="56">
        <f>IF(D211="M",WeightSDS!P$5*$AM211^7+WeightSDS!Q$5*$AM211^6+WeightSDS!R$5*$AM211^5+WeightSDS!S$5*$AM211^4+WeightSDS!T$5*$AM211^3+WeightSDS!U$5*$AM211^2+WeightSDS!V$5*$AM211+WeightSDS!W$5,IF($AM211&lt;186,WeightSDS!P$8*$AM211^7+WeightSDS!Q$8*$AM211^6+WeightSDS!R$8*$AM211^5+WeightSDS!S$8*$AM211^4+WeightSDS!T$8*$AM211^3+WeightSDS!U$8*$AM211^2+WeightSDS!V$8*$AM211+WeightSDS!W$8,WeightSDS!$U$9+WeightSDS!$V$9*($AM211-WeightSDS!$W$9)))</f>
        <v>0.75407122999999998</v>
      </c>
      <c r="AP211" s="4">
        <f>IF(D211="M",IF($AM211&lt;45,WeightSDS!M$23*$AM211^10+WeightSDS!N$23*$AM211^9+WeightSDS!O$23*$AM211^8+WeightSDS!P$23*$AM211^7+WeightSDS!Q$23*$AM211^6+WeightSDS!R$23*$AM211^5+WeightSDS!S$23*$AM211^4+WeightSDS!T$23*$AM211^3+WeightSDS!U$23*$AM211^2+WeightSDS!V$23*$AM211+WeightSDS!W$23,IF($AM211&lt;153,WeightSDS!M$25*$AM211^10+WeightSDS!N$25*$AM211^9+WeightSDS!O$25*$AM211^8+WeightSDS!P$25*$AM211^7+WeightSDS!Q$25*$AM211^6+WeightSDS!R$25*$AM211^5+WeightSDS!S$25*$AM211^4+WeightSDS!T$25*$AM211^3+WeightSDS!U$25*$AM211^2+WeightSDS!V$25*$AM211+WeightSDS!W$25,WeightSDS!M$27+WeightSDS!N$27/(1+EXP(WeightSDS!O$27+WeightSDS!P$27*$AM211)))),IF($AM211&lt;43.8,WeightSDS!M$29*$AM211^10+WeightSDS!N$29*$AM211^9+WeightSDS!O$29*$AM211^8+WeightSDS!P$29*$AM211^7+WeightSDS!Q$29*$AM211^6+WeightSDS!R$29*$AM211^5+WeightSDS!S$29*$AM211^4+WeightSDS!T$29*$AM211^3+WeightSDS!U$29*$AM211^2+WeightSDS!V$29*$AM211+WeightSDS!W$29-0.010431*(1-$AM211/210),IF($AM211&lt;123,WeightSDS!M$30*$AM211^10+WeightSDS!N$30*$AM211^9+WeightSDS!O$30*$AM211^8+WeightSDS!P$30*$AM211^7+WeightSDS!Q$30*$AM211^6+WeightSDS!R$30*$AM211^5+WeightSDS!S$30*$AM211^4+WeightSDS!T$30*$AM211^3+WeightSDS!U$30*$AM211^2+WeightSDS!V$30*$AM211+WeightSDS!W$30-0.010431*(1-1/$AM211),WeightSDS!M$32+WeightSDS!N$32/(1+EXP(WeightSDS!O$32+WeightSDS!P$32*$AM211))-0.010431*(1-$AM211/210))))</f>
        <v>2.9500001032655536</v>
      </c>
      <c r="AQ211" s="4">
        <f>IF(D211="M",IF($AM211&lt;162,WeightSDS!P$12*$AM211^7+WeightSDS!Q$12*$AM211^6+WeightSDS!R$12*$AM211^5+WeightSDS!S$12*$AM211^4+WeightSDS!T$12*$AM211^3+WeightSDS!U$12*$AM211^2+WeightSDS!V$12*$AM211+WeightSDS!W$12,WeightSDS!P$14*$AM211^7+WeightSDS!Q$14*$AM211^6+WeightSDS!R$14*$AM211^5+WeightSDS!S$14*$AM211^4+WeightSDS!T$14*$AM211^3+WeightSDS!U$14*$AM211^2+WeightSDS!V$14*$AM211+WeightSDS!W$14),IF($AM211&lt;156,WeightSDS!O$17*$AM211^8+WeightSDS!P$17*$AM211^7+WeightSDS!Q$17*$AM211^6+WeightSDS!R$17*$AM211^5+WeightSDS!S$17*$AM211^4+WeightSDS!T$17*$AM211^3+WeightSDS!U$17*$AM211^2+WeightSDS!V$17*$AM211+WeightSDS!W$17,IF($AM211&lt;186,WeightSDS!$U$18+(WeightSDS!$V$18-WeightSDS!$U$18)/24*($AM211-186)+WeightSDS!$W$18*(-$AM211+186)^2-0.005,WeightSDS!$U$18+(WeightSDS!$V$18-WeightSDS!$U$18)/24*($AM211-186)-0.005)))</f>
        <v>0.14604529399999999</v>
      </c>
      <c r="AT211" s="4">
        <f t="shared" si="70"/>
        <v>0.56299999999999994</v>
      </c>
      <c r="AU211" s="4">
        <f t="shared" si="71"/>
        <v>69</v>
      </c>
      <c r="AV211" s="4">
        <f t="shared" si="72"/>
        <v>0.51</v>
      </c>
    </row>
    <row r="212" spans="1:48" x14ac:dyDescent="0.15">
      <c r="A212" s="4"/>
      <c r="B212" s="21"/>
      <c r="C212" s="21"/>
      <c r="D212" s="21"/>
      <c r="E212" s="22"/>
      <c r="F212" s="22"/>
      <c r="G212" s="23"/>
      <c r="H212" s="23"/>
      <c r="I212" s="181"/>
      <c r="J212" s="8" t="str">
        <f t="shared" si="64"/>
        <v/>
      </c>
      <c r="K212" s="2" t="str">
        <f t="shared" si="73"/>
        <v/>
      </c>
      <c r="L212" s="2" t="str">
        <f t="shared" si="65"/>
        <v/>
      </c>
      <c r="M212" s="2" t="str">
        <f t="shared" si="74"/>
        <v/>
      </c>
      <c r="N212" s="2" t="str">
        <f t="shared" si="82"/>
        <v/>
      </c>
      <c r="O212" s="2" t="str">
        <f t="shared" si="75"/>
        <v/>
      </c>
      <c r="P212" s="8" t="str">
        <f t="shared" si="76"/>
        <v/>
      </c>
      <c r="Q212" s="8" t="str">
        <f t="shared" si="77"/>
        <v/>
      </c>
      <c r="R212" s="111" t="str">
        <f t="shared" si="78"/>
        <v/>
      </c>
      <c r="S212" s="44" t="str">
        <f t="shared" si="79"/>
        <v/>
      </c>
      <c r="T212" s="37" t="str">
        <f t="shared" si="80"/>
        <v/>
      </c>
      <c r="U212" s="44" t="str">
        <f t="shared" si="81"/>
        <v/>
      </c>
      <c r="V212" s="26"/>
      <c r="W212" s="26"/>
      <c r="X212" s="26"/>
      <c r="Y212" s="26"/>
      <c r="Z212" s="24"/>
      <c r="AA212" s="169">
        <f t="shared" si="66"/>
        <v>0</v>
      </c>
      <c r="AB212" s="4">
        <f t="shared" si="67"/>
        <v>0</v>
      </c>
      <c r="AC212" s="170">
        <f t="shared" si="63"/>
        <v>0</v>
      </c>
      <c r="AD212" s="58"/>
      <c r="AE212" s="58"/>
      <c r="AF212" s="58"/>
      <c r="AG212" s="59">
        <f t="shared" si="68"/>
        <v>9.0359999999999996</v>
      </c>
      <c r="AH212" s="59">
        <f t="shared" si="69"/>
        <v>-184.49199999999999</v>
      </c>
      <c r="AJ212" s="4">
        <f>IF(D212="M",IF(AM212&lt;78,BMILMS!$D$5*AM212^3+BMILMS!$E$5*AM212^2+BMILMS!$F$5*AM212+BMILMS!$G$5,IF(AM212&lt;150,BMILMS!$D$6*AM212^3+BMILMS!$E$6*AM212^2+BMILMS!$F$6*AM212+BMILMS!$G$6,BMILMS!$D$7*AM212^3+BMILMS!$E$7*AM212^2+BMILMS!$F$7*AM212+BMILMS!$G$7)),IF(AM212&lt;69,BMILMS!$D$9*AM212^3+BMILMS!$E$9*AM212^2+BMILMS!$F$9*AM212+BMILMS!$G$9,IF(AM212&lt;150,BMILMS!$D$10*AM212^3+BMILMS!$E$10*AM212^2+BMILMS!$F$10*AM212+BMILMS!$G$10,BMILMS!$D$11*AM212^3+BMILMS!$E$11*AM212^2+BMILMS!$F$11*AM212+BMILMS!$G$11)))</f>
        <v>0.79584630099999998</v>
      </c>
      <c r="AK212" s="4">
        <f>IF(D212="M",(IF(AM212&lt;2.5,BMILMS!$D$21*AM212^3+BMILMS!$E$21*AM212^2+BMILMS!$F$21*AM212+BMILMS!$G$21,IF(AM212&lt;9.5,BMILMS!$D$22*AM212^3+BMILMS!$E$22*AM212^2+BMILMS!$F$22*AM212+BMILMS!$G$22,IF(AM212&lt;26.75,BMILMS!$D$23*AM212^3+BMILMS!$E$23*AM212^2+BMILMS!$F$23*AM212+BMILMS!$G$23,IF(AM212&lt;90,BMILMS!$D$24*AM212^3+BMILMS!$E$24*AM212^2+BMILMS!$F$24*AM212+BMILMS!$G$24,BMILMS!$D$25*AM212^3+BMILMS!$E$25*AM212^2+BMILMS!$F$25*AM212+BMILMS!$G$25))))),(IF(AM212&lt;2.5,BMILMS!$D$27*AM212^3+BMILMS!$E$27*AM212^2+BMILMS!$F$27*AM212+BMILMS!$G$27,IF(AM212&lt;9.5,BMILMS!$D$28*AM212^3+BMILMS!$E$28*AM212^2+BMILMS!$F$28*AM212+BMILMS!$G$28,IF(AM212&lt;26.75,BMILMS!$D$29*AM212^3+BMILMS!$E$29*AM212^2+BMILMS!$F$29*AM212+BMILMS!$G$29,IF(AM212&lt;90,BMILMS!$D$30*AM212^3+BMILMS!$E$30*AM212^2+BMILMS!$F$30*AM212+BMILMS!$G$30,IF(AM212&lt;150,BMILMS!$D$31*AM212^3+BMILMS!$E$31*AM212^2+BMILMS!$F$31*AM212+BMILMS!$G$31,BMILMS!$D$32*AM212^3+BMILMS!$E$32*AM212^2+BMILMS!$F$32*AM212+BMILMS!$G$32)))))))</f>
        <v>12.568967990000001</v>
      </c>
      <c r="AL212" s="4">
        <f>IF(D212="M",(IF(AM212&lt;90,BMILMS!$D$14*AM212^3+BMILMS!$E$14*AM212^2+BMILMS!$F$14*AM212+BMILMS!$G$14,BMILMS!$D$15*AM212^3+BMILMS!$E$15*AM212^2+BMILMS!$F$15*AM212+BMILMS!$G$15)),(IF(AM212&lt;90,BMILMS!$D$17*AM212^3+BMILMS!$E$17*AM212^2+BMILMS!$F$17*AM212+BMILMS!$G$17,BMILMS!$D$18*AM212^3+BMILMS!$E$18*AM212^2+BMILMS!$F$18*AM212+BMILMS!$G$18)))</f>
        <v>8.8969350000000003E-2</v>
      </c>
      <c r="AM212" s="4">
        <f t="shared" si="83"/>
        <v>0</v>
      </c>
      <c r="AO212" s="56">
        <f>IF(D212="M",WeightSDS!P$5*$AM212^7+WeightSDS!Q$5*$AM212^6+WeightSDS!R$5*$AM212^5+WeightSDS!S$5*$AM212^4+WeightSDS!T$5*$AM212^3+WeightSDS!U$5*$AM212^2+WeightSDS!V$5*$AM212+WeightSDS!W$5,IF($AM212&lt;186,WeightSDS!P$8*$AM212^7+WeightSDS!Q$8*$AM212^6+WeightSDS!R$8*$AM212^5+WeightSDS!S$8*$AM212^4+WeightSDS!T$8*$AM212^3+WeightSDS!U$8*$AM212^2+WeightSDS!V$8*$AM212+WeightSDS!W$8,WeightSDS!$U$9+WeightSDS!$V$9*($AM212-WeightSDS!$W$9)))</f>
        <v>0.75407122999999998</v>
      </c>
      <c r="AP212" s="4">
        <f>IF(D212="M",IF($AM212&lt;45,WeightSDS!M$23*$AM212^10+WeightSDS!N$23*$AM212^9+WeightSDS!O$23*$AM212^8+WeightSDS!P$23*$AM212^7+WeightSDS!Q$23*$AM212^6+WeightSDS!R$23*$AM212^5+WeightSDS!S$23*$AM212^4+WeightSDS!T$23*$AM212^3+WeightSDS!U$23*$AM212^2+WeightSDS!V$23*$AM212+WeightSDS!W$23,IF($AM212&lt;153,WeightSDS!M$25*$AM212^10+WeightSDS!N$25*$AM212^9+WeightSDS!O$25*$AM212^8+WeightSDS!P$25*$AM212^7+WeightSDS!Q$25*$AM212^6+WeightSDS!R$25*$AM212^5+WeightSDS!S$25*$AM212^4+WeightSDS!T$25*$AM212^3+WeightSDS!U$25*$AM212^2+WeightSDS!V$25*$AM212+WeightSDS!W$25,WeightSDS!M$27+WeightSDS!N$27/(1+EXP(WeightSDS!O$27+WeightSDS!P$27*$AM212)))),IF($AM212&lt;43.8,WeightSDS!M$29*$AM212^10+WeightSDS!N$29*$AM212^9+WeightSDS!O$29*$AM212^8+WeightSDS!P$29*$AM212^7+WeightSDS!Q$29*$AM212^6+WeightSDS!R$29*$AM212^5+WeightSDS!S$29*$AM212^4+WeightSDS!T$29*$AM212^3+WeightSDS!U$29*$AM212^2+WeightSDS!V$29*$AM212+WeightSDS!W$29-0.010431*(1-$AM212/210),IF($AM212&lt;123,WeightSDS!M$30*$AM212^10+WeightSDS!N$30*$AM212^9+WeightSDS!O$30*$AM212^8+WeightSDS!P$30*$AM212^7+WeightSDS!Q$30*$AM212^6+WeightSDS!R$30*$AM212^5+WeightSDS!S$30*$AM212^4+WeightSDS!T$30*$AM212^3+WeightSDS!U$30*$AM212^2+WeightSDS!V$30*$AM212+WeightSDS!W$30-0.010431*(1-1/$AM212),WeightSDS!M$32+WeightSDS!N$32/(1+EXP(WeightSDS!O$32+WeightSDS!P$32*$AM212))-0.010431*(1-$AM212/210))))</f>
        <v>2.9500001032655536</v>
      </c>
      <c r="AQ212" s="4">
        <f>IF(D212="M",IF($AM212&lt;162,WeightSDS!P$12*$AM212^7+WeightSDS!Q$12*$AM212^6+WeightSDS!R$12*$AM212^5+WeightSDS!S$12*$AM212^4+WeightSDS!T$12*$AM212^3+WeightSDS!U$12*$AM212^2+WeightSDS!V$12*$AM212+WeightSDS!W$12,WeightSDS!P$14*$AM212^7+WeightSDS!Q$14*$AM212^6+WeightSDS!R$14*$AM212^5+WeightSDS!S$14*$AM212^4+WeightSDS!T$14*$AM212^3+WeightSDS!U$14*$AM212^2+WeightSDS!V$14*$AM212+WeightSDS!W$14),IF($AM212&lt;156,WeightSDS!O$17*$AM212^8+WeightSDS!P$17*$AM212^7+WeightSDS!Q$17*$AM212^6+WeightSDS!R$17*$AM212^5+WeightSDS!S$17*$AM212^4+WeightSDS!T$17*$AM212^3+WeightSDS!U$17*$AM212^2+WeightSDS!V$17*$AM212+WeightSDS!W$17,IF($AM212&lt;186,WeightSDS!$U$18+(WeightSDS!$V$18-WeightSDS!$U$18)/24*($AM212-186)+WeightSDS!$W$18*(-$AM212+186)^2-0.005,WeightSDS!$U$18+(WeightSDS!$V$18-WeightSDS!$U$18)/24*($AM212-186)-0.005)))</f>
        <v>0.14604529399999999</v>
      </c>
      <c r="AT212" s="4">
        <f t="shared" si="70"/>
        <v>0.56299999999999994</v>
      </c>
      <c r="AU212" s="4">
        <f t="shared" si="71"/>
        <v>69</v>
      </c>
      <c r="AV212" s="4">
        <f t="shared" si="72"/>
        <v>0.51</v>
      </c>
    </row>
    <row r="213" spans="1:48" x14ac:dyDescent="0.15">
      <c r="A213" s="4"/>
      <c r="B213" s="21"/>
      <c r="C213" s="21"/>
      <c r="D213" s="21"/>
      <c r="E213" s="22"/>
      <c r="F213" s="22"/>
      <c r="G213" s="23"/>
      <c r="H213" s="23"/>
      <c r="I213" s="181"/>
      <c r="J213" s="8" t="str">
        <f t="shared" si="64"/>
        <v/>
      </c>
      <c r="K213" s="2" t="str">
        <f t="shared" si="73"/>
        <v/>
      </c>
      <c r="L213" s="2" t="str">
        <f t="shared" si="65"/>
        <v/>
      </c>
      <c r="M213" s="2" t="str">
        <f t="shared" si="74"/>
        <v/>
      </c>
      <c r="N213" s="2" t="str">
        <f t="shared" si="82"/>
        <v/>
      </c>
      <c r="O213" s="2" t="str">
        <f t="shared" si="75"/>
        <v/>
      </c>
      <c r="P213" s="8" t="str">
        <f t="shared" si="76"/>
        <v/>
      </c>
      <c r="Q213" s="8" t="str">
        <f t="shared" si="77"/>
        <v/>
      </c>
      <c r="R213" s="111" t="str">
        <f t="shared" si="78"/>
        <v/>
      </c>
      <c r="S213" s="44" t="str">
        <f t="shared" si="79"/>
        <v/>
      </c>
      <c r="T213" s="37" t="str">
        <f t="shared" si="80"/>
        <v/>
      </c>
      <c r="U213" s="44" t="str">
        <f t="shared" si="81"/>
        <v/>
      </c>
      <c r="V213" s="26"/>
      <c r="W213" s="26"/>
      <c r="X213" s="26"/>
      <c r="Y213" s="26"/>
      <c r="Z213" s="24"/>
      <c r="AA213" s="169">
        <f t="shared" si="66"/>
        <v>0</v>
      </c>
      <c r="AB213" s="4">
        <f t="shared" si="67"/>
        <v>0</v>
      </c>
      <c r="AC213" s="170">
        <f t="shared" si="63"/>
        <v>0</v>
      </c>
      <c r="AD213" s="58"/>
      <c r="AE213" s="58"/>
      <c r="AF213" s="58"/>
      <c r="AG213" s="59">
        <f t="shared" si="68"/>
        <v>9.0359999999999996</v>
      </c>
      <c r="AH213" s="59">
        <f t="shared" si="69"/>
        <v>-184.49199999999999</v>
      </c>
      <c r="AJ213" s="4">
        <f>IF(D213="M",IF(AM213&lt;78,BMILMS!$D$5*AM213^3+BMILMS!$E$5*AM213^2+BMILMS!$F$5*AM213+BMILMS!$G$5,IF(AM213&lt;150,BMILMS!$D$6*AM213^3+BMILMS!$E$6*AM213^2+BMILMS!$F$6*AM213+BMILMS!$G$6,BMILMS!$D$7*AM213^3+BMILMS!$E$7*AM213^2+BMILMS!$F$7*AM213+BMILMS!$G$7)),IF(AM213&lt;69,BMILMS!$D$9*AM213^3+BMILMS!$E$9*AM213^2+BMILMS!$F$9*AM213+BMILMS!$G$9,IF(AM213&lt;150,BMILMS!$D$10*AM213^3+BMILMS!$E$10*AM213^2+BMILMS!$F$10*AM213+BMILMS!$G$10,BMILMS!$D$11*AM213^3+BMILMS!$E$11*AM213^2+BMILMS!$F$11*AM213+BMILMS!$G$11)))</f>
        <v>0.79584630099999998</v>
      </c>
      <c r="AK213" s="4">
        <f>IF(D213="M",(IF(AM213&lt;2.5,BMILMS!$D$21*AM213^3+BMILMS!$E$21*AM213^2+BMILMS!$F$21*AM213+BMILMS!$G$21,IF(AM213&lt;9.5,BMILMS!$D$22*AM213^3+BMILMS!$E$22*AM213^2+BMILMS!$F$22*AM213+BMILMS!$G$22,IF(AM213&lt;26.75,BMILMS!$D$23*AM213^3+BMILMS!$E$23*AM213^2+BMILMS!$F$23*AM213+BMILMS!$G$23,IF(AM213&lt;90,BMILMS!$D$24*AM213^3+BMILMS!$E$24*AM213^2+BMILMS!$F$24*AM213+BMILMS!$G$24,BMILMS!$D$25*AM213^3+BMILMS!$E$25*AM213^2+BMILMS!$F$25*AM213+BMILMS!$G$25))))),(IF(AM213&lt;2.5,BMILMS!$D$27*AM213^3+BMILMS!$E$27*AM213^2+BMILMS!$F$27*AM213+BMILMS!$G$27,IF(AM213&lt;9.5,BMILMS!$D$28*AM213^3+BMILMS!$E$28*AM213^2+BMILMS!$F$28*AM213+BMILMS!$G$28,IF(AM213&lt;26.75,BMILMS!$D$29*AM213^3+BMILMS!$E$29*AM213^2+BMILMS!$F$29*AM213+BMILMS!$G$29,IF(AM213&lt;90,BMILMS!$D$30*AM213^3+BMILMS!$E$30*AM213^2+BMILMS!$F$30*AM213+BMILMS!$G$30,IF(AM213&lt;150,BMILMS!$D$31*AM213^3+BMILMS!$E$31*AM213^2+BMILMS!$F$31*AM213+BMILMS!$G$31,BMILMS!$D$32*AM213^3+BMILMS!$E$32*AM213^2+BMILMS!$F$32*AM213+BMILMS!$G$32)))))))</f>
        <v>12.568967990000001</v>
      </c>
      <c r="AL213" s="4">
        <f>IF(D213="M",(IF(AM213&lt;90,BMILMS!$D$14*AM213^3+BMILMS!$E$14*AM213^2+BMILMS!$F$14*AM213+BMILMS!$G$14,BMILMS!$D$15*AM213^3+BMILMS!$E$15*AM213^2+BMILMS!$F$15*AM213+BMILMS!$G$15)),(IF(AM213&lt;90,BMILMS!$D$17*AM213^3+BMILMS!$E$17*AM213^2+BMILMS!$F$17*AM213+BMILMS!$G$17,BMILMS!$D$18*AM213^3+BMILMS!$E$18*AM213^2+BMILMS!$F$18*AM213+BMILMS!$G$18)))</f>
        <v>8.8969350000000003E-2</v>
      </c>
      <c r="AM213" s="4">
        <f t="shared" si="83"/>
        <v>0</v>
      </c>
      <c r="AO213" s="56">
        <f>IF(D213="M",WeightSDS!P$5*$AM213^7+WeightSDS!Q$5*$AM213^6+WeightSDS!R$5*$AM213^5+WeightSDS!S$5*$AM213^4+WeightSDS!T$5*$AM213^3+WeightSDS!U$5*$AM213^2+WeightSDS!V$5*$AM213+WeightSDS!W$5,IF($AM213&lt;186,WeightSDS!P$8*$AM213^7+WeightSDS!Q$8*$AM213^6+WeightSDS!R$8*$AM213^5+WeightSDS!S$8*$AM213^4+WeightSDS!T$8*$AM213^3+WeightSDS!U$8*$AM213^2+WeightSDS!V$8*$AM213+WeightSDS!W$8,WeightSDS!$U$9+WeightSDS!$V$9*($AM213-WeightSDS!$W$9)))</f>
        <v>0.75407122999999998</v>
      </c>
      <c r="AP213" s="4">
        <f>IF(D213="M",IF($AM213&lt;45,WeightSDS!M$23*$AM213^10+WeightSDS!N$23*$AM213^9+WeightSDS!O$23*$AM213^8+WeightSDS!P$23*$AM213^7+WeightSDS!Q$23*$AM213^6+WeightSDS!R$23*$AM213^5+WeightSDS!S$23*$AM213^4+WeightSDS!T$23*$AM213^3+WeightSDS!U$23*$AM213^2+WeightSDS!V$23*$AM213+WeightSDS!W$23,IF($AM213&lt;153,WeightSDS!M$25*$AM213^10+WeightSDS!N$25*$AM213^9+WeightSDS!O$25*$AM213^8+WeightSDS!P$25*$AM213^7+WeightSDS!Q$25*$AM213^6+WeightSDS!R$25*$AM213^5+WeightSDS!S$25*$AM213^4+WeightSDS!T$25*$AM213^3+WeightSDS!U$25*$AM213^2+WeightSDS!V$25*$AM213+WeightSDS!W$25,WeightSDS!M$27+WeightSDS!N$27/(1+EXP(WeightSDS!O$27+WeightSDS!P$27*$AM213)))),IF($AM213&lt;43.8,WeightSDS!M$29*$AM213^10+WeightSDS!N$29*$AM213^9+WeightSDS!O$29*$AM213^8+WeightSDS!P$29*$AM213^7+WeightSDS!Q$29*$AM213^6+WeightSDS!R$29*$AM213^5+WeightSDS!S$29*$AM213^4+WeightSDS!T$29*$AM213^3+WeightSDS!U$29*$AM213^2+WeightSDS!V$29*$AM213+WeightSDS!W$29-0.010431*(1-$AM213/210),IF($AM213&lt;123,WeightSDS!M$30*$AM213^10+WeightSDS!N$30*$AM213^9+WeightSDS!O$30*$AM213^8+WeightSDS!P$30*$AM213^7+WeightSDS!Q$30*$AM213^6+WeightSDS!R$30*$AM213^5+WeightSDS!S$30*$AM213^4+WeightSDS!T$30*$AM213^3+WeightSDS!U$30*$AM213^2+WeightSDS!V$30*$AM213+WeightSDS!W$30-0.010431*(1-1/$AM213),WeightSDS!M$32+WeightSDS!N$32/(1+EXP(WeightSDS!O$32+WeightSDS!P$32*$AM213))-0.010431*(1-$AM213/210))))</f>
        <v>2.9500001032655536</v>
      </c>
      <c r="AQ213" s="4">
        <f>IF(D213="M",IF($AM213&lt;162,WeightSDS!P$12*$AM213^7+WeightSDS!Q$12*$AM213^6+WeightSDS!R$12*$AM213^5+WeightSDS!S$12*$AM213^4+WeightSDS!T$12*$AM213^3+WeightSDS!U$12*$AM213^2+WeightSDS!V$12*$AM213+WeightSDS!W$12,WeightSDS!P$14*$AM213^7+WeightSDS!Q$14*$AM213^6+WeightSDS!R$14*$AM213^5+WeightSDS!S$14*$AM213^4+WeightSDS!T$14*$AM213^3+WeightSDS!U$14*$AM213^2+WeightSDS!V$14*$AM213+WeightSDS!W$14),IF($AM213&lt;156,WeightSDS!O$17*$AM213^8+WeightSDS!P$17*$AM213^7+WeightSDS!Q$17*$AM213^6+WeightSDS!R$17*$AM213^5+WeightSDS!S$17*$AM213^4+WeightSDS!T$17*$AM213^3+WeightSDS!U$17*$AM213^2+WeightSDS!V$17*$AM213+WeightSDS!W$17,IF($AM213&lt;186,WeightSDS!$U$18+(WeightSDS!$V$18-WeightSDS!$U$18)/24*($AM213-186)+WeightSDS!$W$18*(-$AM213+186)^2-0.005,WeightSDS!$U$18+(WeightSDS!$V$18-WeightSDS!$U$18)/24*($AM213-186)-0.005)))</f>
        <v>0.14604529399999999</v>
      </c>
      <c r="AT213" s="4">
        <f t="shared" si="70"/>
        <v>0.56299999999999994</v>
      </c>
      <c r="AU213" s="4">
        <f t="shared" si="71"/>
        <v>69</v>
      </c>
      <c r="AV213" s="4">
        <f t="shared" si="72"/>
        <v>0.51</v>
      </c>
    </row>
    <row r="214" spans="1:48" x14ac:dyDescent="0.15">
      <c r="A214" s="4"/>
      <c r="B214" s="21"/>
      <c r="C214" s="21"/>
      <c r="D214" s="21"/>
      <c r="E214" s="22"/>
      <c r="F214" s="22"/>
      <c r="G214" s="23"/>
      <c r="H214" s="23"/>
      <c r="I214" s="181"/>
      <c r="J214" s="8" t="str">
        <f t="shared" si="64"/>
        <v/>
      </c>
      <c r="K214" s="2" t="str">
        <f t="shared" si="73"/>
        <v/>
      </c>
      <c r="L214" s="2" t="str">
        <f t="shared" si="65"/>
        <v/>
      </c>
      <c r="M214" s="2" t="str">
        <f t="shared" si="74"/>
        <v/>
      </c>
      <c r="N214" s="2" t="str">
        <f t="shared" si="82"/>
        <v/>
      </c>
      <c r="O214" s="2" t="str">
        <f t="shared" si="75"/>
        <v/>
      </c>
      <c r="P214" s="8" t="str">
        <f t="shared" si="76"/>
        <v/>
      </c>
      <c r="Q214" s="8" t="str">
        <f t="shared" si="77"/>
        <v/>
      </c>
      <c r="R214" s="111" t="str">
        <f t="shared" si="78"/>
        <v/>
      </c>
      <c r="S214" s="44" t="str">
        <f t="shared" si="79"/>
        <v/>
      </c>
      <c r="T214" s="37" t="str">
        <f t="shared" si="80"/>
        <v/>
      </c>
      <c r="U214" s="44" t="str">
        <f t="shared" si="81"/>
        <v/>
      </c>
      <c r="V214" s="26"/>
      <c r="W214" s="26"/>
      <c r="X214" s="26"/>
      <c r="Y214" s="26"/>
      <c r="Z214" s="24"/>
      <c r="AA214" s="169">
        <f t="shared" si="66"/>
        <v>0</v>
      </c>
      <c r="AB214" s="4">
        <f t="shared" si="67"/>
        <v>0</v>
      </c>
      <c r="AC214" s="170">
        <f t="shared" si="63"/>
        <v>0</v>
      </c>
      <c r="AD214" s="58"/>
      <c r="AE214" s="58"/>
      <c r="AF214" s="58"/>
      <c r="AG214" s="59">
        <f t="shared" si="68"/>
        <v>9.0359999999999996</v>
      </c>
      <c r="AH214" s="59">
        <f t="shared" si="69"/>
        <v>-184.49199999999999</v>
      </c>
      <c r="AJ214" s="4">
        <f>IF(D214="M",IF(AM214&lt;78,BMILMS!$D$5*AM214^3+BMILMS!$E$5*AM214^2+BMILMS!$F$5*AM214+BMILMS!$G$5,IF(AM214&lt;150,BMILMS!$D$6*AM214^3+BMILMS!$E$6*AM214^2+BMILMS!$F$6*AM214+BMILMS!$G$6,BMILMS!$D$7*AM214^3+BMILMS!$E$7*AM214^2+BMILMS!$F$7*AM214+BMILMS!$G$7)),IF(AM214&lt;69,BMILMS!$D$9*AM214^3+BMILMS!$E$9*AM214^2+BMILMS!$F$9*AM214+BMILMS!$G$9,IF(AM214&lt;150,BMILMS!$D$10*AM214^3+BMILMS!$E$10*AM214^2+BMILMS!$F$10*AM214+BMILMS!$G$10,BMILMS!$D$11*AM214^3+BMILMS!$E$11*AM214^2+BMILMS!$F$11*AM214+BMILMS!$G$11)))</f>
        <v>0.79584630099999998</v>
      </c>
      <c r="AK214" s="4">
        <f>IF(D214="M",(IF(AM214&lt;2.5,BMILMS!$D$21*AM214^3+BMILMS!$E$21*AM214^2+BMILMS!$F$21*AM214+BMILMS!$G$21,IF(AM214&lt;9.5,BMILMS!$D$22*AM214^3+BMILMS!$E$22*AM214^2+BMILMS!$F$22*AM214+BMILMS!$G$22,IF(AM214&lt;26.75,BMILMS!$D$23*AM214^3+BMILMS!$E$23*AM214^2+BMILMS!$F$23*AM214+BMILMS!$G$23,IF(AM214&lt;90,BMILMS!$D$24*AM214^3+BMILMS!$E$24*AM214^2+BMILMS!$F$24*AM214+BMILMS!$G$24,BMILMS!$D$25*AM214^3+BMILMS!$E$25*AM214^2+BMILMS!$F$25*AM214+BMILMS!$G$25))))),(IF(AM214&lt;2.5,BMILMS!$D$27*AM214^3+BMILMS!$E$27*AM214^2+BMILMS!$F$27*AM214+BMILMS!$G$27,IF(AM214&lt;9.5,BMILMS!$D$28*AM214^3+BMILMS!$E$28*AM214^2+BMILMS!$F$28*AM214+BMILMS!$G$28,IF(AM214&lt;26.75,BMILMS!$D$29*AM214^3+BMILMS!$E$29*AM214^2+BMILMS!$F$29*AM214+BMILMS!$G$29,IF(AM214&lt;90,BMILMS!$D$30*AM214^3+BMILMS!$E$30*AM214^2+BMILMS!$F$30*AM214+BMILMS!$G$30,IF(AM214&lt;150,BMILMS!$D$31*AM214^3+BMILMS!$E$31*AM214^2+BMILMS!$F$31*AM214+BMILMS!$G$31,BMILMS!$D$32*AM214^3+BMILMS!$E$32*AM214^2+BMILMS!$F$32*AM214+BMILMS!$G$32)))))))</f>
        <v>12.568967990000001</v>
      </c>
      <c r="AL214" s="4">
        <f>IF(D214="M",(IF(AM214&lt;90,BMILMS!$D$14*AM214^3+BMILMS!$E$14*AM214^2+BMILMS!$F$14*AM214+BMILMS!$G$14,BMILMS!$D$15*AM214^3+BMILMS!$E$15*AM214^2+BMILMS!$F$15*AM214+BMILMS!$G$15)),(IF(AM214&lt;90,BMILMS!$D$17*AM214^3+BMILMS!$E$17*AM214^2+BMILMS!$F$17*AM214+BMILMS!$G$17,BMILMS!$D$18*AM214^3+BMILMS!$E$18*AM214^2+BMILMS!$F$18*AM214+BMILMS!$G$18)))</f>
        <v>8.8969350000000003E-2</v>
      </c>
      <c r="AM214" s="4">
        <f t="shared" si="83"/>
        <v>0</v>
      </c>
      <c r="AO214" s="56">
        <f>IF(D214="M",WeightSDS!P$5*$AM214^7+WeightSDS!Q$5*$AM214^6+WeightSDS!R$5*$AM214^5+WeightSDS!S$5*$AM214^4+WeightSDS!T$5*$AM214^3+WeightSDS!U$5*$AM214^2+WeightSDS!V$5*$AM214+WeightSDS!W$5,IF($AM214&lt;186,WeightSDS!P$8*$AM214^7+WeightSDS!Q$8*$AM214^6+WeightSDS!R$8*$AM214^5+WeightSDS!S$8*$AM214^4+WeightSDS!T$8*$AM214^3+WeightSDS!U$8*$AM214^2+WeightSDS!V$8*$AM214+WeightSDS!W$8,WeightSDS!$U$9+WeightSDS!$V$9*($AM214-WeightSDS!$W$9)))</f>
        <v>0.75407122999999998</v>
      </c>
      <c r="AP214" s="4">
        <f>IF(D214="M",IF($AM214&lt;45,WeightSDS!M$23*$AM214^10+WeightSDS!N$23*$AM214^9+WeightSDS!O$23*$AM214^8+WeightSDS!P$23*$AM214^7+WeightSDS!Q$23*$AM214^6+WeightSDS!R$23*$AM214^5+WeightSDS!S$23*$AM214^4+WeightSDS!T$23*$AM214^3+WeightSDS!U$23*$AM214^2+WeightSDS!V$23*$AM214+WeightSDS!W$23,IF($AM214&lt;153,WeightSDS!M$25*$AM214^10+WeightSDS!N$25*$AM214^9+WeightSDS!O$25*$AM214^8+WeightSDS!P$25*$AM214^7+WeightSDS!Q$25*$AM214^6+WeightSDS!R$25*$AM214^5+WeightSDS!S$25*$AM214^4+WeightSDS!T$25*$AM214^3+WeightSDS!U$25*$AM214^2+WeightSDS!V$25*$AM214+WeightSDS!W$25,WeightSDS!M$27+WeightSDS!N$27/(1+EXP(WeightSDS!O$27+WeightSDS!P$27*$AM214)))),IF($AM214&lt;43.8,WeightSDS!M$29*$AM214^10+WeightSDS!N$29*$AM214^9+WeightSDS!O$29*$AM214^8+WeightSDS!P$29*$AM214^7+WeightSDS!Q$29*$AM214^6+WeightSDS!R$29*$AM214^5+WeightSDS!S$29*$AM214^4+WeightSDS!T$29*$AM214^3+WeightSDS!U$29*$AM214^2+WeightSDS!V$29*$AM214+WeightSDS!W$29-0.010431*(1-$AM214/210),IF($AM214&lt;123,WeightSDS!M$30*$AM214^10+WeightSDS!N$30*$AM214^9+WeightSDS!O$30*$AM214^8+WeightSDS!P$30*$AM214^7+WeightSDS!Q$30*$AM214^6+WeightSDS!R$30*$AM214^5+WeightSDS!S$30*$AM214^4+WeightSDS!T$30*$AM214^3+WeightSDS!U$30*$AM214^2+WeightSDS!V$30*$AM214+WeightSDS!W$30-0.010431*(1-1/$AM214),WeightSDS!M$32+WeightSDS!N$32/(1+EXP(WeightSDS!O$32+WeightSDS!P$32*$AM214))-0.010431*(1-$AM214/210))))</f>
        <v>2.9500001032655536</v>
      </c>
      <c r="AQ214" s="4">
        <f>IF(D214="M",IF($AM214&lt;162,WeightSDS!P$12*$AM214^7+WeightSDS!Q$12*$AM214^6+WeightSDS!R$12*$AM214^5+WeightSDS!S$12*$AM214^4+WeightSDS!T$12*$AM214^3+WeightSDS!U$12*$AM214^2+WeightSDS!V$12*$AM214+WeightSDS!W$12,WeightSDS!P$14*$AM214^7+WeightSDS!Q$14*$AM214^6+WeightSDS!R$14*$AM214^5+WeightSDS!S$14*$AM214^4+WeightSDS!T$14*$AM214^3+WeightSDS!U$14*$AM214^2+WeightSDS!V$14*$AM214+WeightSDS!W$14),IF($AM214&lt;156,WeightSDS!O$17*$AM214^8+WeightSDS!P$17*$AM214^7+WeightSDS!Q$17*$AM214^6+WeightSDS!R$17*$AM214^5+WeightSDS!S$17*$AM214^4+WeightSDS!T$17*$AM214^3+WeightSDS!U$17*$AM214^2+WeightSDS!V$17*$AM214+WeightSDS!W$17,IF($AM214&lt;186,WeightSDS!$U$18+(WeightSDS!$V$18-WeightSDS!$U$18)/24*($AM214-186)+WeightSDS!$W$18*(-$AM214+186)^2-0.005,WeightSDS!$U$18+(WeightSDS!$V$18-WeightSDS!$U$18)/24*($AM214-186)-0.005)))</f>
        <v>0.14604529399999999</v>
      </c>
      <c r="AT214" s="4">
        <f t="shared" si="70"/>
        <v>0.56299999999999994</v>
      </c>
      <c r="AU214" s="4">
        <f t="shared" si="71"/>
        <v>69</v>
      </c>
      <c r="AV214" s="4">
        <f t="shared" si="72"/>
        <v>0.51</v>
      </c>
    </row>
    <row r="215" spans="1:48" x14ac:dyDescent="0.15">
      <c r="A215" s="4"/>
      <c r="B215" s="21"/>
      <c r="C215" s="21"/>
      <c r="D215" s="21"/>
      <c r="E215" s="22"/>
      <c r="F215" s="22"/>
      <c r="G215" s="23"/>
      <c r="H215" s="23"/>
      <c r="I215" s="181"/>
      <c r="J215" s="8" t="str">
        <f t="shared" si="64"/>
        <v/>
      </c>
      <c r="K215" s="2" t="str">
        <f t="shared" si="73"/>
        <v/>
      </c>
      <c r="L215" s="2" t="str">
        <f t="shared" si="65"/>
        <v/>
      </c>
      <c r="M215" s="2" t="str">
        <f t="shared" si="74"/>
        <v/>
      </c>
      <c r="N215" s="2" t="str">
        <f t="shared" si="82"/>
        <v/>
      </c>
      <c r="O215" s="2" t="str">
        <f t="shared" si="75"/>
        <v/>
      </c>
      <c r="P215" s="8" t="str">
        <f t="shared" si="76"/>
        <v/>
      </c>
      <c r="Q215" s="8" t="str">
        <f t="shared" si="77"/>
        <v/>
      </c>
      <c r="R215" s="111" t="str">
        <f t="shared" si="78"/>
        <v/>
      </c>
      <c r="S215" s="44" t="str">
        <f t="shared" si="79"/>
        <v/>
      </c>
      <c r="T215" s="37" t="str">
        <f t="shared" si="80"/>
        <v/>
      </c>
      <c r="U215" s="44" t="str">
        <f t="shared" si="81"/>
        <v/>
      </c>
      <c r="V215" s="26"/>
      <c r="W215" s="26"/>
      <c r="X215" s="26"/>
      <c r="Y215" s="26"/>
      <c r="Z215" s="24"/>
      <c r="AA215" s="169">
        <f t="shared" si="66"/>
        <v>0</v>
      </c>
      <c r="AB215" s="4">
        <f t="shared" si="67"/>
        <v>0</v>
      </c>
      <c r="AC215" s="170">
        <f t="shared" si="63"/>
        <v>0</v>
      </c>
      <c r="AD215" s="58"/>
      <c r="AE215" s="58"/>
      <c r="AF215" s="58"/>
      <c r="AG215" s="59">
        <f t="shared" si="68"/>
        <v>9.0359999999999996</v>
      </c>
      <c r="AH215" s="59">
        <f t="shared" si="69"/>
        <v>-184.49199999999999</v>
      </c>
      <c r="AJ215" s="4">
        <f>IF(D215="M",IF(AM215&lt;78,BMILMS!$D$5*AM215^3+BMILMS!$E$5*AM215^2+BMILMS!$F$5*AM215+BMILMS!$G$5,IF(AM215&lt;150,BMILMS!$D$6*AM215^3+BMILMS!$E$6*AM215^2+BMILMS!$F$6*AM215+BMILMS!$G$6,BMILMS!$D$7*AM215^3+BMILMS!$E$7*AM215^2+BMILMS!$F$7*AM215+BMILMS!$G$7)),IF(AM215&lt;69,BMILMS!$D$9*AM215^3+BMILMS!$E$9*AM215^2+BMILMS!$F$9*AM215+BMILMS!$G$9,IF(AM215&lt;150,BMILMS!$D$10*AM215^3+BMILMS!$E$10*AM215^2+BMILMS!$F$10*AM215+BMILMS!$G$10,BMILMS!$D$11*AM215^3+BMILMS!$E$11*AM215^2+BMILMS!$F$11*AM215+BMILMS!$G$11)))</f>
        <v>0.79584630099999998</v>
      </c>
      <c r="AK215" s="4">
        <f>IF(D215="M",(IF(AM215&lt;2.5,BMILMS!$D$21*AM215^3+BMILMS!$E$21*AM215^2+BMILMS!$F$21*AM215+BMILMS!$G$21,IF(AM215&lt;9.5,BMILMS!$D$22*AM215^3+BMILMS!$E$22*AM215^2+BMILMS!$F$22*AM215+BMILMS!$G$22,IF(AM215&lt;26.75,BMILMS!$D$23*AM215^3+BMILMS!$E$23*AM215^2+BMILMS!$F$23*AM215+BMILMS!$G$23,IF(AM215&lt;90,BMILMS!$D$24*AM215^3+BMILMS!$E$24*AM215^2+BMILMS!$F$24*AM215+BMILMS!$G$24,BMILMS!$D$25*AM215^3+BMILMS!$E$25*AM215^2+BMILMS!$F$25*AM215+BMILMS!$G$25))))),(IF(AM215&lt;2.5,BMILMS!$D$27*AM215^3+BMILMS!$E$27*AM215^2+BMILMS!$F$27*AM215+BMILMS!$G$27,IF(AM215&lt;9.5,BMILMS!$D$28*AM215^3+BMILMS!$E$28*AM215^2+BMILMS!$F$28*AM215+BMILMS!$G$28,IF(AM215&lt;26.75,BMILMS!$D$29*AM215^3+BMILMS!$E$29*AM215^2+BMILMS!$F$29*AM215+BMILMS!$G$29,IF(AM215&lt;90,BMILMS!$D$30*AM215^3+BMILMS!$E$30*AM215^2+BMILMS!$F$30*AM215+BMILMS!$G$30,IF(AM215&lt;150,BMILMS!$D$31*AM215^3+BMILMS!$E$31*AM215^2+BMILMS!$F$31*AM215+BMILMS!$G$31,BMILMS!$D$32*AM215^3+BMILMS!$E$32*AM215^2+BMILMS!$F$32*AM215+BMILMS!$G$32)))))))</f>
        <v>12.568967990000001</v>
      </c>
      <c r="AL215" s="4">
        <f>IF(D215="M",(IF(AM215&lt;90,BMILMS!$D$14*AM215^3+BMILMS!$E$14*AM215^2+BMILMS!$F$14*AM215+BMILMS!$G$14,BMILMS!$D$15*AM215^3+BMILMS!$E$15*AM215^2+BMILMS!$F$15*AM215+BMILMS!$G$15)),(IF(AM215&lt;90,BMILMS!$D$17*AM215^3+BMILMS!$E$17*AM215^2+BMILMS!$F$17*AM215+BMILMS!$G$17,BMILMS!$D$18*AM215^3+BMILMS!$E$18*AM215^2+BMILMS!$F$18*AM215+BMILMS!$G$18)))</f>
        <v>8.8969350000000003E-2</v>
      </c>
      <c r="AM215" s="4">
        <f t="shared" si="83"/>
        <v>0</v>
      </c>
      <c r="AO215" s="56">
        <f>IF(D215="M",WeightSDS!P$5*$AM215^7+WeightSDS!Q$5*$AM215^6+WeightSDS!R$5*$AM215^5+WeightSDS!S$5*$AM215^4+WeightSDS!T$5*$AM215^3+WeightSDS!U$5*$AM215^2+WeightSDS!V$5*$AM215+WeightSDS!W$5,IF($AM215&lt;186,WeightSDS!P$8*$AM215^7+WeightSDS!Q$8*$AM215^6+WeightSDS!R$8*$AM215^5+WeightSDS!S$8*$AM215^4+WeightSDS!T$8*$AM215^3+WeightSDS!U$8*$AM215^2+WeightSDS!V$8*$AM215+WeightSDS!W$8,WeightSDS!$U$9+WeightSDS!$V$9*($AM215-WeightSDS!$W$9)))</f>
        <v>0.75407122999999998</v>
      </c>
      <c r="AP215" s="4">
        <f>IF(D215="M",IF($AM215&lt;45,WeightSDS!M$23*$AM215^10+WeightSDS!N$23*$AM215^9+WeightSDS!O$23*$AM215^8+WeightSDS!P$23*$AM215^7+WeightSDS!Q$23*$AM215^6+WeightSDS!R$23*$AM215^5+WeightSDS!S$23*$AM215^4+WeightSDS!T$23*$AM215^3+WeightSDS!U$23*$AM215^2+WeightSDS!V$23*$AM215+WeightSDS!W$23,IF($AM215&lt;153,WeightSDS!M$25*$AM215^10+WeightSDS!N$25*$AM215^9+WeightSDS!O$25*$AM215^8+WeightSDS!P$25*$AM215^7+WeightSDS!Q$25*$AM215^6+WeightSDS!R$25*$AM215^5+WeightSDS!S$25*$AM215^4+WeightSDS!T$25*$AM215^3+WeightSDS!U$25*$AM215^2+WeightSDS!V$25*$AM215+WeightSDS!W$25,WeightSDS!M$27+WeightSDS!N$27/(1+EXP(WeightSDS!O$27+WeightSDS!P$27*$AM215)))),IF($AM215&lt;43.8,WeightSDS!M$29*$AM215^10+WeightSDS!N$29*$AM215^9+WeightSDS!O$29*$AM215^8+WeightSDS!P$29*$AM215^7+WeightSDS!Q$29*$AM215^6+WeightSDS!R$29*$AM215^5+WeightSDS!S$29*$AM215^4+WeightSDS!T$29*$AM215^3+WeightSDS!U$29*$AM215^2+WeightSDS!V$29*$AM215+WeightSDS!W$29-0.010431*(1-$AM215/210),IF($AM215&lt;123,WeightSDS!M$30*$AM215^10+WeightSDS!N$30*$AM215^9+WeightSDS!O$30*$AM215^8+WeightSDS!P$30*$AM215^7+WeightSDS!Q$30*$AM215^6+WeightSDS!R$30*$AM215^5+WeightSDS!S$30*$AM215^4+WeightSDS!T$30*$AM215^3+WeightSDS!U$30*$AM215^2+WeightSDS!V$30*$AM215+WeightSDS!W$30-0.010431*(1-1/$AM215),WeightSDS!M$32+WeightSDS!N$32/(1+EXP(WeightSDS!O$32+WeightSDS!P$32*$AM215))-0.010431*(1-$AM215/210))))</f>
        <v>2.9500001032655536</v>
      </c>
      <c r="AQ215" s="4">
        <f>IF(D215="M",IF($AM215&lt;162,WeightSDS!P$12*$AM215^7+WeightSDS!Q$12*$AM215^6+WeightSDS!R$12*$AM215^5+WeightSDS!S$12*$AM215^4+WeightSDS!T$12*$AM215^3+WeightSDS!U$12*$AM215^2+WeightSDS!V$12*$AM215+WeightSDS!W$12,WeightSDS!P$14*$AM215^7+WeightSDS!Q$14*$AM215^6+WeightSDS!R$14*$AM215^5+WeightSDS!S$14*$AM215^4+WeightSDS!T$14*$AM215^3+WeightSDS!U$14*$AM215^2+WeightSDS!V$14*$AM215+WeightSDS!W$14),IF($AM215&lt;156,WeightSDS!O$17*$AM215^8+WeightSDS!P$17*$AM215^7+WeightSDS!Q$17*$AM215^6+WeightSDS!R$17*$AM215^5+WeightSDS!S$17*$AM215^4+WeightSDS!T$17*$AM215^3+WeightSDS!U$17*$AM215^2+WeightSDS!V$17*$AM215+WeightSDS!W$17,IF($AM215&lt;186,WeightSDS!$U$18+(WeightSDS!$V$18-WeightSDS!$U$18)/24*($AM215-186)+WeightSDS!$W$18*(-$AM215+186)^2-0.005,WeightSDS!$U$18+(WeightSDS!$V$18-WeightSDS!$U$18)/24*($AM215-186)-0.005)))</f>
        <v>0.14604529399999999</v>
      </c>
      <c r="AT215" s="4">
        <f t="shared" si="70"/>
        <v>0.56299999999999994</v>
      </c>
      <c r="AU215" s="4">
        <f t="shared" si="71"/>
        <v>69</v>
      </c>
      <c r="AV215" s="4">
        <f t="shared" si="72"/>
        <v>0.51</v>
      </c>
    </row>
    <row r="216" spans="1:48" x14ac:dyDescent="0.15">
      <c r="A216" s="4"/>
      <c r="B216" s="21"/>
      <c r="C216" s="21"/>
      <c r="D216" s="21"/>
      <c r="E216" s="22"/>
      <c r="F216" s="22"/>
      <c r="G216" s="23"/>
      <c r="H216" s="23"/>
      <c r="I216" s="181"/>
      <c r="J216" s="8" t="str">
        <f t="shared" si="64"/>
        <v/>
      </c>
      <c r="K216" s="2" t="str">
        <f t="shared" si="73"/>
        <v/>
      </c>
      <c r="L216" s="2" t="str">
        <f t="shared" si="65"/>
        <v/>
      </c>
      <c r="M216" s="2" t="str">
        <f t="shared" si="74"/>
        <v/>
      </c>
      <c r="N216" s="2" t="str">
        <f t="shared" si="82"/>
        <v/>
      </c>
      <c r="O216" s="2" t="str">
        <f t="shared" si="75"/>
        <v/>
      </c>
      <c r="P216" s="8" t="str">
        <f t="shared" si="76"/>
        <v/>
      </c>
      <c r="Q216" s="8" t="str">
        <f t="shared" si="77"/>
        <v/>
      </c>
      <c r="R216" s="111" t="str">
        <f t="shared" si="78"/>
        <v/>
      </c>
      <c r="S216" s="44" t="str">
        <f t="shared" si="79"/>
        <v/>
      </c>
      <c r="T216" s="37" t="str">
        <f t="shared" si="80"/>
        <v/>
      </c>
      <c r="U216" s="44" t="str">
        <f t="shared" si="81"/>
        <v/>
      </c>
      <c r="V216" s="26"/>
      <c r="W216" s="26"/>
      <c r="X216" s="26"/>
      <c r="Y216" s="26"/>
      <c r="Z216" s="24"/>
      <c r="AA216" s="169">
        <f t="shared" si="66"/>
        <v>0</v>
      </c>
      <c r="AB216" s="4">
        <f t="shared" si="67"/>
        <v>0</v>
      </c>
      <c r="AC216" s="170">
        <f t="shared" si="63"/>
        <v>0</v>
      </c>
      <c r="AD216" s="58"/>
      <c r="AE216" s="58"/>
      <c r="AF216" s="58"/>
      <c r="AG216" s="59">
        <f t="shared" si="68"/>
        <v>9.0359999999999996</v>
      </c>
      <c r="AH216" s="59">
        <f t="shared" si="69"/>
        <v>-184.49199999999999</v>
      </c>
      <c r="AJ216" s="4">
        <f>IF(D216="M",IF(AM216&lt;78,BMILMS!$D$5*AM216^3+BMILMS!$E$5*AM216^2+BMILMS!$F$5*AM216+BMILMS!$G$5,IF(AM216&lt;150,BMILMS!$D$6*AM216^3+BMILMS!$E$6*AM216^2+BMILMS!$F$6*AM216+BMILMS!$G$6,BMILMS!$D$7*AM216^3+BMILMS!$E$7*AM216^2+BMILMS!$F$7*AM216+BMILMS!$G$7)),IF(AM216&lt;69,BMILMS!$D$9*AM216^3+BMILMS!$E$9*AM216^2+BMILMS!$F$9*AM216+BMILMS!$G$9,IF(AM216&lt;150,BMILMS!$D$10*AM216^3+BMILMS!$E$10*AM216^2+BMILMS!$F$10*AM216+BMILMS!$G$10,BMILMS!$D$11*AM216^3+BMILMS!$E$11*AM216^2+BMILMS!$F$11*AM216+BMILMS!$G$11)))</f>
        <v>0.79584630099999998</v>
      </c>
      <c r="AK216" s="4">
        <f>IF(D216="M",(IF(AM216&lt;2.5,BMILMS!$D$21*AM216^3+BMILMS!$E$21*AM216^2+BMILMS!$F$21*AM216+BMILMS!$G$21,IF(AM216&lt;9.5,BMILMS!$D$22*AM216^3+BMILMS!$E$22*AM216^2+BMILMS!$F$22*AM216+BMILMS!$G$22,IF(AM216&lt;26.75,BMILMS!$D$23*AM216^3+BMILMS!$E$23*AM216^2+BMILMS!$F$23*AM216+BMILMS!$G$23,IF(AM216&lt;90,BMILMS!$D$24*AM216^3+BMILMS!$E$24*AM216^2+BMILMS!$F$24*AM216+BMILMS!$G$24,BMILMS!$D$25*AM216^3+BMILMS!$E$25*AM216^2+BMILMS!$F$25*AM216+BMILMS!$G$25))))),(IF(AM216&lt;2.5,BMILMS!$D$27*AM216^3+BMILMS!$E$27*AM216^2+BMILMS!$F$27*AM216+BMILMS!$G$27,IF(AM216&lt;9.5,BMILMS!$D$28*AM216^3+BMILMS!$E$28*AM216^2+BMILMS!$F$28*AM216+BMILMS!$G$28,IF(AM216&lt;26.75,BMILMS!$D$29*AM216^3+BMILMS!$E$29*AM216^2+BMILMS!$F$29*AM216+BMILMS!$G$29,IF(AM216&lt;90,BMILMS!$D$30*AM216^3+BMILMS!$E$30*AM216^2+BMILMS!$F$30*AM216+BMILMS!$G$30,IF(AM216&lt;150,BMILMS!$D$31*AM216^3+BMILMS!$E$31*AM216^2+BMILMS!$F$31*AM216+BMILMS!$G$31,BMILMS!$D$32*AM216^3+BMILMS!$E$32*AM216^2+BMILMS!$F$32*AM216+BMILMS!$G$32)))))))</f>
        <v>12.568967990000001</v>
      </c>
      <c r="AL216" s="4">
        <f>IF(D216="M",(IF(AM216&lt;90,BMILMS!$D$14*AM216^3+BMILMS!$E$14*AM216^2+BMILMS!$F$14*AM216+BMILMS!$G$14,BMILMS!$D$15*AM216^3+BMILMS!$E$15*AM216^2+BMILMS!$F$15*AM216+BMILMS!$G$15)),(IF(AM216&lt;90,BMILMS!$D$17*AM216^3+BMILMS!$E$17*AM216^2+BMILMS!$F$17*AM216+BMILMS!$G$17,BMILMS!$D$18*AM216^3+BMILMS!$E$18*AM216^2+BMILMS!$F$18*AM216+BMILMS!$G$18)))</f>
        <v>8.8969350000000003E-2</v>
      </c>
      <c r="AM216" s="4">
        <f t="shared" si="83"/>
        <v>0</v>
      </c>
      <c r="AO216" s="56">
        <f>IF(D216="M",WeightSDS!P$5*$AM216^7+WeightSDS!Q$5*$AM216^6+WeightSDS!R$5*$AM216^5+WeightSDS!S$5*$AM216^4+WeightSDS!T$5*$AM216^3+WeightSDS!U$5*$AM216^2+WeightSDS!V$5*$AM216+WeightSDS!W$5,IF($AM216&lt;186,WeightSDS!P$8*$AM216^7+WeightSDS!Q$8*$AM216^6+WeightSDS!R$8*$AM216^5+WeightSDS!S$8*$AM216^4+WeightSDS!T$8*$AM216^3+WeightSDS!U$8*$AM216^2+WeightSDS!V$8*$AM216+WeightSDS!W$8,WeightSDS!$U$9+WeightSDS!$V$9*($AM216-WeightSDS!$W$9)))</f>
        <v>0.75407122999999998</v>
      </c>
      <c r="AP216" s="4">
        <f>IF(D216="M",IF($AM216&lt;45,WeightSDS!M$23*$AM216^10+WeightSDS!N$23*$AM216^9+WeightSDS!O$23*$AM216^8+WeightSDS!P$23*$AM216^7+WeightSDS!Q$23*$AM216^6+WeightSDS!R$23*$AM216^5+WeightSDS!S$23*$AM216^4+WeightSDS!T$23*$AM216^3+WeightSDS!U$23*$AM216^2+WeightSDS!V$23*$AM216+WeightSDS!W$23,IF($AM216&lt;153,WeightSDS!M$25*$AM216^10+WeightSDS!N$25*$AM216^9+WeightSDS!O$25*$AM216^8+WeightSDS!P$25*$AM216^7+WeightSDS!Q$25*$AM216^6+WeightSDS!R$25*$AM216^5+WeightSDS!S$25*$AM216^4+WeightSDS!T$25*$AM216^3+WeightSDS!U$25*$AM216^2+WeightSDS!V$25*$AM216+WeightSDS!W$25,WeightSDS!M$27+WeightSDS!N$27/(1+EXP(WeightSDS!O$27+WeightSDS!P$27*$AM216)))),IF($AM216&lt;43.8,WeightSDS!M$29*$AM216^10+WeightSDS!N$29*$AM216^9+WeightSDS!O$29*$AM216^8+WeightSDS!P$29*$AM216^7+WeightSDS!Q$29*$AM216^6+WeightSDS!R$29*$AM216^5+WeightSDS!S$29*$AM216^4+WeightSDS!T$29*$AM216^3+WeightSDS!U$29*$AM216^2+WeightSDS!V$29*$AM216+WeightSDS!W$29-0.010431*(1-$AM216/210),IF($AM216&lt;123,WeightSDS!M$30*$AM216^10+WeightSDS!N$30*$AM216^9+WeightSDS!O$30*$AM216^8+WeightSDS!P$30*$AM216^7+WeightSDS!Q$30*$AM216^6+WeightSDS!R$30*$AM216^5+WeightSDS!S$30*$AM216^4+WeightSDS!T$30*$AM216^3+WeightSDS!U$30*$AM216^2+WeightSDS!V$30*$AM216+WeightSDS!W$30-0.010431*(1-1/$AM216),WeightSDS!M$32+WeightSDS!N$32/(1+EXP(WeightSDS!O$32+WeightSDS!P$32*$AM216))-0.010431*(1-$AM216/210))))</f>
        <v>2.9500001032655536</v>
      </c>
      <c r="AQ216" s="4">
        <f>IF(D216="M",IF($AM216&lt;162,WeightSDS!P$12*$AM216^7+WeightSDS!Q$12*$AM216^6+WeightSDS!R$12*$AM216^5+WeightSDS!S$12*$AM216^4+WeightSDS!T$12*$AM216^3+WeightSDS!U$12*$AM216^2+WeightSDS!V$12*$AM216+WeightSDS!W$12,WeightSDS!P$14*$AM216^7+WeightSDS!Q$14*$AM216^6+WeightSDS!R$14*$AM216^5+WeightSDS!S$14*$AM216^4+WeightSDS!T$14*$AM216^3+WeightSDS!U$14*$AM216^2+WeightSDS!V$14*$AM216+WeightSDS!W$14),IF($AM216&lt;156,WeightSDS!O$17*$AM216^8+WeightSDS!P$17*$AM216^7+WeightSDS!Q$17*$AM216^6+WeightSDS!R$17*$AM216^5+WeightSDS!S$17*$AM216^4+WeightSDS!T$17*$AM216^3+WeightSDS!U$17*$AM216^2+WeightSDS!V$17*$AM216+WeightSDS!W$17,IF($AM216&lt;186,WeightSDS!$U$18+(WeightSDS!$V$18-WeightSDS!$U$18)/24*($AM216-186)+WeightSDS!$W$18*(-$AM216+186)^2-0.005,WeightSDS!$U$18+(WeightSDS!$V$18-WeightSDS!$U$18)/24*($AM216-186)-0.005)))</f>
        <v>0.14604529399999999</v>
      </c>
      <c r="AT216" s="4">
        <f t="shared" si="70"/>
        <v>0.56299999999999994</v>
      </c>
      <c r="AU216" s="4">
        <f t="shared" si="71"/>
        <v>69</v>
      </c>
      <c r="AV216" s="4">
        <f t="shared" si="72"/>
        <v>0.51</v>
      </c>
    </row>
    <row r="217" spans="1:48" x14ac:dyDescent="0.15">
      <c r="A217" s="4"/>
      <c r="B217" s="21"/>
      <c r="C217" s="21"/>
      <c r="D217" s="21"/>
      <c r="E217" s="22"/>
      <c r="F217" s="22"/>
      <c r="G217" s="23"/>
      <c r="H217" s="23"/>
      <c r="I217" s="181"/>
      <c r="J217" s="8" t="str">
        <f t="shared" si="64"/>
        <v/>
      </c>
      <c r="K217" s="2" t="str">
        <f t="shared" si="73"/>
        <v/>
      </c>
      <c r="L217" s="2" t="str">
        <f t="shared" si="65"/>
        <v/>
      </c>
      <c r="M217" s="2" t="str">
        <f t="shared" si="74"/>
        <v/>
      </c>
      <c r="N217" s="2" t="str">
        <f t="shared" si="82"/>
        <v/>
      </c>
      <c r="O217" s="2" t="str">
        <f t="shared" si="75"/>
        <v/>
      </c>
      <c r="P217" s="8" t="str">
        <f t="shared" si="76"/>
        <v/>
      </c>
      <c r="Q217" s="8" t="str">
        <f t="shared" si="77"/>
        <v/>
      </c>
      <c r="R217" s="111" t="str">
        <f t="shared" si="78"/>
        <v/>
      </c>
      <c r="S217" s="44" t="str">
        <f t="shared" si="79"/>
        <v/>
      </c>
      <c r="T217" s="37" t="str">
        <f t="shared" si="80"/>
        <v/>
      </c>
      <c r="U217" s="44" t="str">
        <f t="shared" si="81"/>
        <v/>
      </c>
      <c r="V217" s="26"/>
      <c r="W217" s="26"/>
      <c r="X217" s="26"/>
      <c r="Y217" s="26"/>
      <c r="Z217" s="24"/>
      <c r="AA217" s="169">
        <f t="shared" si="66"/>
        <v>0</v>
      </c>
      <c r="AB217" s="4">
        <f t="shared" si="67"/>
        <v>0</v>
      </c>
      <c r="AC217" s="170">
        <f t="shared" si="63"/>
        <v>0</v>
      </c>
      <c r="AD217" s="58"/>
      <c r="AE217" s="58"/>
      <c r="AF217" s="58"/>
      <c r="AG217" s="59">
        <f t="shared" si="68"/>
        <v>9.0359999999999996</v>
      </c>
      <c r="AH217" s="59">
        <f t="shared" si="69"/>
        <v>-184.49199999999999</v>
      </c>
      <c r="AJ217" s="4">
        <f>IF(D217="M",IF(AM217&lt;78,BMILMS!$D$5*AM217^3+BMILMS!$E$5*AM217^2+BMILMS!$F$5*AM217+BMILMS!$G$5,IF(AM217&lt;150,BMILMS!$D$6*AM217^3+BMILMS!$E$6*AM217^2+BMILMS!$F$6*AM217+BMILMS!$G$6,BMILMS!$D$7*AM217^3+BMILMS!$E$7*AM217^2+BMILMS!$F$7*AM217+BMILMS!$G$7)),IF(AM217&lt;69,BMILMS!$D$9*AM217^3+BMILMS!$E$9*AM217^2+BMILMS!$F$9*AM217+BMILMS!$G$9,IF(AM217&lt;150,BMILMS!$D$10*AM217^3+BMILMS!$E$10*AM217^2+BMILMS!$F$10*AM217+BMILMS!$G$10,BMILMS!$D$11*AM217^3+BMILMS!$E$11*AM217^2+BMILMS!$F$11*AM217+BMILMS!$G$11)))</f>
        <v>0.79584630099999998</v>
      </c>
      <c r="AK217" s="4">
        <f>IF(D217="M",(IF(AM217&lt;2.5,BMILMS!$D$21*AM217^3+BMILMS!$E$21*AM217^2+BMILMS!$F$21*AM217+BMILMS!$G$21,IF(AM217&lt;9.5,BMILMS!$D$22*AM217^3+BMILMS!$E$22*AM217^2+BMILMS!$F$22*AM217+BMILMS!$G$22,IF(AM217&lt;26.75,BMILMS!$D$23*AM217^3+BMILMS!$E$23*AM217^2+BMILMS!$F$23*AM217+BMILMS!$G$23,IF(AM217&lt;90,BMILMS!$D$24*AM217^3+BMILMS!$E$24*AM217^2+BMILMS!$F$24*AM217+BMILMS!$G$24,BMILMS!$D$25*AM217^3+BMILMS!$E$25*AM217^2+BMILMS!$F$25*AM217+BMILMS!$G$25))))),(IF(AM217&lt;2.5,BMILMS!$D$27*AM217^3+BMILMS!$E$27*AM217^2+BMILMS!$F$27*AM217+BMILMS!$G$27,IF(AM217&lt;9.5,BMILMS!$D$28*AM217^3+BMILMS!$E$28*AM217^2+BMILMS!$F$28*AM217+BMILMS!$G$28,IF(AM217&lt;26.75,BMILMS!$D$29*AM217^3+BMILMS!$E$29*AM217^2+BMILMS!$F$29*AM217+BMILMS!$G$29,IF(AM217&lt;90,BMILMS!$D$30*AM217^3+BMILMS!$E$30*AM217^2+BMILMS!$F$30*AM217+BMILMS!$G$30,IF(AM217&lt;150,BMILMS!$D$31*AM217^3+BMILMS!$E$31*AM217^2+BMILMS!$F$31*AM217+BMILMS!$G$31,BMILMS!$D$32*AM217^3+BMILMS!$E$32*AM217^2+BMILMS!$F$32*AM217+BMILMS!$G$32)))))))</f>
        <v>12.568967990000001</v>
      </c>
      <c r="AL217" s="4">
        <f>IF(D217="M",(IF(AM217&lt;90,BMILMS!$D$14*AM217^3+BMILMS!$E$14*AM217^2+BMILMS!$F$14*AM217+BMILMS!$G$14,BMILMS!$D$15*AM217^3+BMILMS!$E$15*AM217^2+BMILMS!$F$15*AM217+BMILMS!$G$15)),(IF(AM217&lt;90,BMILMS!$D$17*AM217^3+BMILMS!$E$17*AM217^2+BMILMS!$F$17*AM217+BMILMS!$G$17,BMILMS!$D$18*AM217^3+BMILMS!$E$18*AM217^2+BMILMS!$F$18*AM217+BMILMS!$G$18)))</f>
        <v>8.8969350000000003E-2</v>
      </c>
      <c r="AM217" s="4">
        <f t="shared" si="83"/>
        <v>0</v>
      </c>
      <c r="AO217" s="56">
        <f>IF(D217="M",WeightSDS!P$5*$AM217^7+WeightSDS!Q$5*$AM217^6+WeightSDS!R$5*$AM217^5+WeightSDS!S$5*$AM217^4+WeightSDS!T$5*$AM217^3+WeightSDS!U$5*$AM217^2+WeightSDS!V$5*$AM217+WeightSDS!W$5,IF($AM217&lt;186,WeightSDS!P$8*$AM217^7+WeightSDS!Q$8*$AM217^6+WeightSDS!R$8*$AM217^5+WeightSDS!S$8*$AM217^4+WeightSDS!T$8*$AM217^3+WeightSDS!U$8*$AM217^2+WeightSDS!V$8*$AM217+WeightSDS!W$8,WeightSDS!$U$9+WeightSDS!$V$9*($AM217-WeightSDS!$W$9)))</f>
        <v>0.75407122999999998</v>
      </c>
      <c r="AP217" s="4">
        <f>IF(D217="M",IF($AM217&lt;45,WeightSDS!M$23*$AM217^10+WeightSDS!N$23*$AM217^9+WeightSDS!O$23*$AM217^8+WeightSDS!P$23*$AM217^7+WeightSDS!Q$23*$AM217^6+WeightSDS!R$23*$AM217^5+WeightSDS!S$23*$AM217^4+WeightSDS!T$23*$AM217^3+WeightSDS!U$23*$AM217^2+WeightSDS!V$23*$AM217+WeightSDS!W$23,IF($AM217&lt;153,WeightSDS!M$25*$AM217^10+WeightSDS!N$25*$AM217^9+WeightSDS!O$25*$AM217^8+WeightSDS!P$25*$AM217^7+WeightSDS!Q$25*$AM217^6+WeightSDS!R$25*$AM217^5+WeightSDS!S$25*$AM217^4+WeightSDS!T$25*$AM217^3+WeightSDS!U$25*$AM217^2+WeightSDS!V$25*$AM217+WeightSDS!W$25,WeightSDS!M$27+WeightSDS!N$27/(1+EXP(WeightSDS!O$27+WeightSDS!P$27*$AM217)))),IF($AM217&lt;43.8,WeightSDS!M$29*$AM217^10+WeightSDS!N$29*$AM217^9+WeightSDS!O$29*$AM217^8+WeightSDS!P$29*$AM217^7+WeightSDS!Q$29*$AM217^6+WeightSDS!R$29*$AM217^5+WeightSDS!S$29*$AM217^4+WeightSDS!T$29*$AM217^3+WeightSDS!U$29*$AM217^2+WeightSDS!V$29*$AM217+WeightSDS!W$29-0.010431*(1-$AM217/210),IF($AM217&lt;123,WeightSDS!M$30*$AM217^10+WeightSDS!N$30*$AM217^9+WeightSDS!O$30*$AM217^8+WeightSDS!P$30*$AM217^7+WeightSDS!Q$30*$AM217^6+WeightSDS!R$30*$AM217^5+WeightSDS!S$30*$AM217^4+WeightSDS!T$30*$AM217^3+WeightSDS!U$30*$AM217^2+WeightSDS!V$30*$AM217+WeightSDS!W$30-0.010431*(1-1/$AM217),WeightSDS!M$32+WeightSDS!N$32/(1+EXP(WeightSDS!O$32+WeightSDS!P$32*$AM217))-0.010431*(1-$AM217/210))))</f>
        <v>2.9500001032655536</v>
      </c>
      <c r="AQ217" s="4">
        <f>IF(D217="M",IF($AM217&lt;162,WeightSDS!P$12*$AM217^7+WeightSDS!Q$12*$AM217^6+WeightSDS!R$12*$AM217^5+WeightSDS!S$12*$AM217^4+WeightSDS!T$12*$AM217^3+WeightSDS!U$12*$AM217^2+WeightSDS!V$12*$AM217+WeightSDS!W$12,WeightSDS!P$14*$AM217^7+WeightSDS!Q$14*$AM217^6+WeightSDS!R$14*$AM217^5+WeightSDS!S$14*$AM217^4+WeightSDS!T$14*$AM217^3+WeightSDS!U$14*$AM217^2+WeightSDS!V$14*$AM217+WeightSDS!W$14),IF($AM217&lt;156,WeightSDS!O$17*$AM217^8+WeightSDS!P$17*$AM217^7+WeightSDS!Q$17*$AM217^6+WeightSDS!R$17*$AM217^5+WeightSDS!S$17*$AM217^4+WeightSDS!T$17*$AM217^3+WeightSDS!U$17*$AM217^2+WeightSDS!V$17*$AM217+WeightSDS!W$17,IF($AM217&lt;186,WeightSDS!$U$18+(WeightSDS!$V$18-WeightSDS!$U$18)/24*($AM217-186)+WeightSDS!$W$18*(-$AM217+186)^2-0.005,WeightSDS!$U$18+(WeightSDS!$V$18-WeightSDS!$U$18)/24*($AM217-186)-0.005)))</f>
        <v>0.14604529399999999</v>
      </c>
      <c r="AT217" s="4">
        <f t="shared" si="70"/>
        <v>0.56299999999999994</v>
      </c>
      <c r="AU217" s="4">
        <f t="shared" si="71"/>
        <v>69</v>
      </c>
      <c r="AV217" s="4">
        <f t="shared" si="72"/>
        <v>0.51</v>
      </c>
    </row>
    <row r="218" spans="1:48" x14ac:dyDescent="0.15">
      <c r="A218" s="4"/>
      <c r="B218" s="21"/>
      <c r="C218" s="21"/>
      <c r="D218" s="21"/>
      <c r="E218" s="22"/>
      <c r="F218" s="22"/>
      <c r="G218" s="23"/>
      <c r="H218" s="23"/>
      <c r="I218" s="181"/>
      <c r="J218" s="8" t="str">
        <f t="shared" si="64"/>
        <v/>
      </c>
      <c r="K218" s="2" t="str">
        <f t="shared" si="73"/>
        <v/>
      </c>
      <c r="L218" s="2" t="str">
        <f t="shared" si="65"/>
        <v/>
      </c>
      <c r="M218" s="2" t="str">
        <f t="shared" si="74"/>
        <v/>
      </c>
      <c r="N218" s="2" t="str">
        <f t="shared" si="82"/>
        <v/>
      </c>
      <c r="O218" s="2" t="str">
        <f t="shared" si="75"/>
        <v/>
      </c>
      <c r="P218" s="8" t="str">
        <f t="shared" si="76"/>
        <v/>
      </c>
      <c r="Q218" s="8" t="str">
        <f t="shared" si="77"/>
        <v/>
      </c>
      <c r="R218" s="111" t="str">
        <f t="shared" si="78"/>
        <v/>
      </c>
      <c r="S218" s="44" t="str">
        <f t="shared" si="79"/>
        <v/>
      </c>
      <c r="T218" s="37" t="str">
        <f t="shared" si="80"/>
        <v/>
      </c>
      <c r="U218" s="44" t="str">
        <f t="shared" si="81"/>
        <v/>
      </c>
      <c r="V218" s="26"/>
      <c r="W218" s="26"/>
      <c r="X218" s="26"/>
      <c r="Y218" s="26"/>
      <c r="Z218" s="173"/>
      <c r="AA218" s="169">
        <f t="shared" si="66"/>
        <v>0</v>
      </c>
      <c r="AB218" s="4">
        <f t="shared" si="67"/>
        <v>0</v>
      </c>
      <c r="AC218" s="170">
        <f t="shared" si="63"/>
        <v>0</v>
      </c>
      <c r="AD218" s="58"/>
      <c r="AE218" s="58"/>
      <c r="AF218" s="58"/>
      <c r="AG218" s="59">
        <f t="shared" si="68"/>
        <v>9.0359999999999996</v>
      </c>
      <c r="AH218" s="59">
        <f t="shared" si="69"/>
        <v>-184.49199999999999</v>
      </c>
      <c r="AJ218" s="4">
        <f>IF(D218="M",IF(AM218&lt;78,BMILMS!$D$5*AM218^3+BMILMS!$E$5*AM218^2+BMILMS!$F$5*AM218+BMILMS!$G$5,IF(AM218&lt;150,BMILMS!$D$6*AM218^3+BMILMS!$E$6*AM218^2+BMILMS!$F$6*AM218+BMILMS!$G$6,BMILMS!$D$7*AM218^3+BMILMS!$E$7*AM218^2+BMILMS!$F$7*AM218+BMILMS!$G$7)),IF(AM218&lt;69,BMILMS!$D$9*AM218^3+BMILMS!$E$9*AM218^2+BMILMS!$F$9*AM218+BMILMS!$G$9,IF(AM218&lt;150,BMILMS!$D$10*AM218^3+BMILMS!$E$10*AM218^2+BMILMS!$F$10*AM218+BMILMS!$G$10,BMILMS!$D$11*AM218^3+BMILMS!$E$11*AM218^2+BMILMS!$F$11*AM218+BMILMS!$G$11)))</f>
        <v>0.79584630099999998</v>
      </c>
      <c r="AK218" s="4">
        <f>IF(D218="M",(IF(AM218&lt;2.5,BMILMS!$D$21*AM218^3+BMILMS!$E$21*AM218^2+BMILMS!$F$21*AM218+BMILMS!$G$21,IF(AM218&lt;9.5,BMILMS!$D$22*AM218^3+BMILMS!$E$22*AM218^2+BMILMS!$F$22*AM218+BMILMS!$G$22,IF(AM218&lt;26.75,BMILMS!$D$23*AM218^3+BMILMS!$E$23*AM218^2+BMILMS!$F$23*AM218+BMILMS!$G$23,IF(AM218&lt;90,BMILMS!$D$24*AM218^3+BMILMS!$E$24*AM218^2+BMILMS!$F$24*AM218+BMILMS!$G$24,BMILMS!$D$25*AM218^3+BMILMS!$E$25*AM218^2+BMILMS!$F$25*AM218+BMILMS!$G$25))))),(IF(AM218&lt;2.5,BMILMS!$D$27*AM218^3+BMILMS!$E$27*AM218^2+BMILMS!$F$27*AM218+BMILMS!$G$27,IF(AM218&lt;9.5,BMILMS!$D$28*AM218^3+BMILMS!$E$28*AM218^2+BMILMS!$F$28*AM218+BMILMS!$G$28,IF(AM218&lt;26.75,BMILMS!$D$29*AM218^3+BMILMS!$E$29*AM218^2+BMILMS!$F$29*AM218+BMILMS!$G$29,IF(AM218&lt;90,BMILMS!$D$30*AM218^3+BMILMS!$E$30*AM218^2+BMILMS!$F$30*AM218+BMILMS!$G$30,IF(AM218&lt;150,BMILMS!$D$31*AM218^3+BMILMS!$E$31*AM218^2+BMILMS!$F$31*AM218+BMILMS!$G$31,BMILMS!$D$32*AM218^3+BMILMS!$E$32*AM218^2+BMILMS!$F$32*AM218+BMILMS!$G$32)))))))</f>
        <v>12.568967990000001</v>
      </c>
      <c r="AL218" s="4">
        <f>IF(D218="M",(IF(AM218&lt;90,BMILMS!$D$14*AM218^3+BMILMS!$E$14*AM218^2+BMILMS!$F$14*AM218+BMILMS!$G$14,BMILMS!$D$15*AM218^3+BMILMS!$E$15*AM218^2+BMILMS!$F$15*AM218+BMILMS!$G$15)),(IF(AM218&lt;90,BMILMS!$D$17*AM218^3+BMILMS!$E$17*AM218^2+BMILMS!$F$17*AM218+BMILMS!$G$17,BMILMS!$D$18*AM218^3+BMILMS!$E$18*AM218^2+BMILMS!$F$18*AM218+BMILMS!$G$18)))</f>
        <v>8.8969350000000003E-2</v>
      </c>
      <c r="AM218" s="4">
        <f t="shared" si="83"/>
        <v>0</v>
      </c>
      <c r="AO218" s="56">
        <f>IF(D218="M",WeightSDS!P$5*$AM218^7+WeightSDS!Q$5*$AM218^6+WeightSDS!R$5*$AM218^5+WeightSDS!S$5*$AM218^4+WeightSDS!T$5*$AM218^3+WeightSDS!U$5*$AM218^2+WeightSDS!V$5*$AM218+WeightSDS!W$5,IF($AM218&lt;186,WeightSDS!P$8*$AM218^7+WeightSDS!Q$8*$AM218^6+WeightSDS!R$8*$AM218^5+WeightSDS!S$8*$AM218^4+WeightSDS!T$8*$AM218^3+WeightSDS!U$8*$AM218^2+WeightSDS!V$8*$AM218+WeightSDS!W$8,WeightSDS!$U$9+WeightSDS!$V$9*($AM218-WeightSDS!$W$9)))</f>
        <v>0.75407122999999998</v>
      </c>
      <c r="AP218" s="4">
        <f>IF(D218="M",IF($AM218&lt;45,WeightSDS!M$23*$AM218^10+WeightSDS!N$23*$AM218^9+WeightSDS!O$23*$AM218^8+WeightSDS!P$23*$AM218^7+WeightSDS!Q$23*$AM218^6+WeightSDS!R$23*$AM218^5+WeightSDS!S$23*$AM218^4+WeightSDS!T$23*$AM218^3+WeightSDS!U$23*$AM218^2+WeightSDS!V$23*$AM218+WeightSDS!W$23,IF($AM218&lt;153,WeightSDS!M$25*$AM218^10+WeightSDS!N$25*$AM218^9+WeightSDS!O$25*$AM218^8+WeightSDS!P$25*$AM218^7+WeightSDS!Q$25*$AM218^6+WeightSDS!R$25*$AM218^5+WeightSDS!S$25*$AM218^4+WeightSDS!T$25*$AM218^3+WeightSDS!U$25*$AM218^2+WeightSDS!V$25*$AM218+WeightSDS!W$25,WeightSDS!M$27+WeightSDS!N$27/(1+EXP(WeightSDS!O$27+WeightSDS!P$27*$AM218)))),IF($AM218&lt;43.8,WeightSDS!M$29*$AM218^10+WeightSDS!N$29*$AM218^9+WeightSDS!O$29*$AM218^8+WeightSDS!P$29*$AM218^7+WeightSDS!Q$29*$AM218^6+WeightSDS!R$29*$AM218^5+WeightSDS!S$29*$AM218^4+WeightSDS!T$29*$AM218^3+WeightSDS!U$29*$AM218^2+WeightSDS!V$29*$AM218+WeightSDS!W$29-0.010431*(1-$AM218/210),IF($AM218&lt;123,WeightSDS!M$30*$AM218^10+WeightSDS!N$30*$AM218^9+WeightSDS!O$30*$AM218^8+WeightSDS!P$30*$AM218^7+WeightSDS!Q$30*$AM218^6+WeightSDS!R$30*$AM218^5+WeightSDS!S$30*$AM218^4+WeightSDS!T$30*$AM218^3+WeightSDS!U$30*$AM218^2+WeightSDS!V$30*$AM218+WeightSDS!W$30-0.010431*(1-1/$AM218),WeightSDS!M$32+WeightSDS!N$32/(1+EXP(WeightSDS!O$32+WeightSDS!P$32*$AM218))-0.010431*(1-$AM218/210))))</f>
        <v>2.9500001032655536</v>
      </c>
      <c r="AQ218" s="4">
        <f>IF(D218="M",IF($AM218&lt;162,WeightSDS!P$12*$AM218^7+WeightSDS!Q$12*$AM218^6+WeightSDS!R$12*$AM218^5+WeightSDS!S$12*$AM218^4+WeightSDS!T$12*$AM218^3+WeightSDS!U$12*$AM218^2+WeightSDS!V$12*$AM218+WeightSDS!W$12,WeightSDS!P$14*$AM218^7+WeightSDS!Q$14*$AM218^6+WeightSDS!R$14*$AM218^5+WeightSDS!S$14*$AM218^4+WeightSDS!T$14*$AM218^3+WeightSDS!U$14*$AM218^2+WeightSDS!V$14*$AM218+WeightSDS!W$14),IF($AM218&lt;156,WeightSDS!O$17*$AM218^8+WeightSDS!P$17*$AM218^7+WeightSDS!Q$17*$AM218^6+WeightSDS!R$17*$AM218^5+WeightSDS!S$17*$AM218^4+WeightSDS!T$17*$AM218^3+WeightSDS!U$17*$AM218^2+WeightSDS!V$17*$AM218+WeightSDS!W$17,IF($AM218&lt;186,WeightSDS!$U$18+(WeightSDS!$V$18-WeightSDS!$U$18)/24*($AM218-186)+WeightSDS!$W$18*(-$AM218+186)^2-0.005,WeightSDS!$U$18+(WeightSDS!$V$18-WeightSDS!$U$18)/24*($AM218-186)-0.005)))</f>
        <v>0.14604529399999999</v>
      </c>
      <c r="AT218" s="4">
        <f t="shared" si="70"/>
        <v>0.56299999999999994</v>
      </c>
      <c r="AU218" s="4">
        <f t="shared" si="71"/>
        <v>69</v>
      </c>
      <c r="AV218" s="4">
        <f t="shared" si="72"/>
        <v>0.51</v>
      </c>
    </row>
    <row r="219" spans="1:48" x14ac:dyDescent="0.15">
      <c r="A219" s="4"/>
      <c r="B219" s="21"/>
      <c r="C219" s="21"/>
      <c r="D219" s="21"/>
      <c r="E219" s="22"/>
      <c r="F219" s="22"/>
      <c r="G219" s="23"/>
      <c r="H219" s="23"/>
      <c r="I219" s="181"/>
      <c r="J219" s="8" t="str">
        <f t="shared" si="64"/>
        <v/>
      </c>
      <c r="K219" s="2" t="str">
        <f t="shared" si="73"/>
        <v/>
      </c>
      <c r="L219" s="2" t="str">
        <f t="shared" si="65"/>
        <v/>
      </c>
      <c r="M219" s="2" t="str">
        <f t="shared" si="74"/>
        <v/>
      </c>
      <c r="N219" s="2" t="str">
        <f t="shared" si="82"/>
        <v/>
      </c>
      <c r="O219" s="2" t="str">
        <f t="shared" si="75"/>
        <v/>
      </c>
      <c r="P219" s="8" t="str">
        <f t="shared" si="76"/>
        <v/>
      </c>
      <c r="Q219" s="8" t="str">
        <f t="shared" si="77"/>
        <v/>
      </c>
      <c r="R219" s="111" t="str">
        <f t="shared" si="78"/>
        <v/>
      </c>
      <c r="S219" s="44" t="str">
        <f t="shared" si="79"/>
        <v/>
      </c>
      <c r="T219" s="37" t="str">
        <f t="shared" si="80"/>
        <v/>
      </c>
      <c r="U219" s="44" t="str">
        <f t="shared" si="81"/>
        <v/>
      </c>
      <c r="V219" s="26"/>
      <c r="W219" s="26"/>
      <c r="X219" s="26"/>
      <c r="Y219" s="26"/>
      <c r="Z219" s="24"/>
      <c r="AA219" s="169">
        <f t="shared" si="66"/>
        <v>0</v>
      </c>
      <c r="AB219" s="4">
        <f t="shared" si="67"/>
        <v>0</v>
      </c>
      <c r="AC219" s="170">
        <f t="shared" si="63"/>
        <v>0</v>
      </c>
      <c r="AD219" s="58"/>
      <c r="AE219" s="58"/>
      <c r="AF219" s="58"/>
      <c r="AG219" s="59">
        <f t="shared" si="68"/>
        <v>9.0359999999999996</v>
      </c>
      <c r="AH219" s="59">
        <f t="shared" si="69"/>
        <v>-184.49199999999999</v>
      </c>
      <c r="AJ219" s="4">
        <f>IF(D219="M",IF(AM219&lt;78,BMILMS!$D$5*AM219^3+BMILMS!$E$5*AM219^2+BMILMS!$F$5*AM219+BMILMS!$G$5,IF(AM219&lt;150,BMILMS!$D$6*AM219^3+BMILMS!$E$6*AM219^2+BMILMS!$F$6*AM219+BMILMS!$G$6,BMILMS!$D$7*AM219^3+BMILMS!$E$7*AM219^2+BMILMS!$F$7*AM219+BMILMS!$G$7)),IF(AM219&lt;69,BMILMS!$D$9*AM219^3+BMILMS!$E$9*AM219^2+BMILMS!$F$9*AM219+BMILMS!$G$9,IF(AM219&lt;150,BMILMS!$D$10*AM219^3+BMILMS!$E$10*AM219^2+BMILMS!$F$10*AM219+BMILMS!$G$10,BMILMS!$D$11*AM219^3+BMILMS!$E$11*AM219^2+BMILMS!$F$11*AM219+BMILMS!$G$11)))</f>
        <v>0.79584630099999998</v>
      </c>
      <c r="AK219" s="4">
        <f>IF(D219="M",(IF(AM219&lt;2.5,BMILMS!$D$21*AM219^3+BMILMS!$E$21*AM219^2+BMILMS!$F$21*AM219+BMILMS!$G$21,IF(AM219&lt;9.5,BMILMS!$D$22*AM219^3+BMILMS!$E$22*AM219^2+BMILMS!$F$22*AM219+BMILMS!$G$22,IF(AM219&lt;26.75,BMILMS!$D$23*AM219^3+BMILMS!$E$23*AM219^2+BMILMS!$F$23*AM219+BMILMS!$G$23,IF(AM219&lt;90,BMILMS!$D$24*AM219^3+BMILMS!$E$24*AM219^2+BMILMS!$F$24*AM219+BMILMS!$G$24,BMILMS!$D$25*AM219^3+BMILMS!$E$25*AM219^2+BMILMS!$F$25*AM219+BMILMS!$G$25))))),(IF(AM219&lt;2.5,BMILMS!$D$27*AM219^3+BMILMS!$E$27*AM219^2+BMILMS!$F$27*AM219+BMILMS!$G$27,IF(AM219&lt;9.5,BMILMS!$D$28*AM219^3+BMILMS!$E$28*AM219^2+BMILMS!$F$28*AM219+BMILMS!$G$28,IF(AM219&lt;26.75,BMILMS!$D$29*AM219^3+BMILMS!$E$29*AM219^2+BMILMS!$F$29*AM219+BMILMS!$G$29,IF(AM219&lt;90,BMILMS!$D$30*AM219^3+BMILMS!$E$30*AM219^2+BMILMS!$F$30*AM219+BMILMS!$G$30,IF(AM219&lt;150,BMILMS!$D$31*AM219^3+BMILMS!$E$31*AM219^2+BMILMS!$F$31*AM219+BMILMS!$G$31,BMILMS!$D$32*AM219^3+BMILMS!$E$32*AM219^2+BMILMS!$F$32*AM219+BMILMS!$G$32)))))))</f>
        <v>12.568967990000001</v>
      </c>
      <c r="AL219" s="4">
        <f>IF(D219="M",(IF(AM219&lt;90,BMILMS!$D$14*AM219^3+BMILMS!$E$14*AM219^2+BMILMS!$F$14*AM219+BMILMS!$G$14,BMILMS!$D$15*AM219^3+BMILMS!$E$15*AM219^2+BMILMS!$F$15*AM219+BMILMS!$G$15)),(IF(AM219&lt;90,BMILMS!$D$17*AM219^3+BMILMS!$E$17*AM219^2+BMILMS!$F$17*AM219+BMILMS!$G$17,BMILMS!$D$18*AM219^3+BMILMS!$E$18*AM219^2+BMILMS!$F$18*AM219+BMILMS!$G$18)))</f>
        <v>8.8969350000000003E-2</v>
      </c>
      <c r="AM219" s="4">
        <f t="shared" si="83"/>
        <v>0</v>
      </c>
      <c r="AO219" s="56">
        <f>IF(D219="M",WeightSDS!P$5*$AM219^7+WeightSDS!Q$5*$AM219^6+WeightSDS!R$5*$AM219^5+WeightSDS!S$5*$AM219^4+WeightSDS!T$5*$AM219^3+WeightSDS!U$5*$AM219^2+WeightSDS!V$5*$AM219+WeightSDS!W$5,IF($AM219&lt;186,WeightSDS!P$8*$AM219^7+WeightSDS!Q$8*$AM219^6+WeightSDS!R$8*$AM219^5+WeightSDS!S$8*$AM219^4+WeightSDS!T$8*$AM219^3+WeightSDS!U$8*$AM219^2+WeightSDS!V$8*$AM219+WeightSDS!W$8,WeightSDS!$U$9+WeightSDS!$V$9*($AM219-WeightSDS!$W$9)))</f>
        <v>0.75407122999999998</v>
      </c>
      <c r="AP219" s="4">
        <f>IF(D219="M",IF($AM219&lt;45,WeightSDS!M$23*$AM219^10+WeightSDS!N$23*$AM219^9+WeightSDS!O$23*$AM219^8+WeightSDS!P$23*$AM219^7+WeightSDS!Q$23*$AM219^6+WeightSDS!R$23*$AM219^5+WeightSDS!S$23*$AM219^4+WeightSDS!T$23*$AM219^3+WeightSDS!U$23*$AM219^2+WeightSDS!V$23*$AM219+WeightSDS!W$23,IF($AM219&lt;153,WeightSDS!M$25*$AM219^10+WeightSDS!N$25*$AM219^9+WeightSDS!O$25*$AM219^8+WeightSDS!P$25*$AM219^7+WeightSDS!Q$25*$AM219^6+WeightSDS!R$25*$AM219^5+WeightSDS!S$25*$AM219^4+WeightSDS!T$25*$AM219^3+WeightSDS!U$25*$AM219^2+WeightSDS!V$25*$AM219+WeightSDS!W$25,WeightSDS!M$27+WeightSDS!N$27/(1+EXP(WeightSDS!O$27+WeightSDS!P$27*$AM219)))),IF($AM219&lt;43.8,WeightSDS!M$29*$AM219^10+WeightSDS!N$29*$AM219^9+WeightSDS!O$29*$AM219^8+WeightSDS!P$29*$AM219^7+WeightSDS!Q$29*$AM219^6+WeightSDS!R$29*$AM219^5+WeightSDS!S$29*$AM219^4+WeightSDS!T$29*$AM219^3+WeightSDS!U$29*$AM219^2+WeightSDS!V$29*$AM219+WeightSDS!W$29-0.010431*(1-$AM219/210),IF($AM219&lt;123,WeightSDS!M$30*$AM219^10+WeightSDS!N$30*$AM219^9+WeightSDS!O$30*$AM219^8+WeightSDS!P$30*$AM219^7+WeightSDS!Q$30*$AM219^6+WeightSDS!R$30*$AM219^5+WeightSDS!S$30*$AM219^4+WeightSDS!T$30*$AM219^3+WeightSDS!U$30*$AM219^2+WeightSDS!V$30*$AM219+WeightSDS!W$30-0.010431*(1-1/$AM219),WeightSDS!M$32+WeightSDS!N$32/(1+EXP(WeightSDS!O$32+WeightSDS!P$32*$AM219))-0.010431*(1-$AM219/210))))</f>
        <v>2.9500001032655536</v>
      </c>
      <c r="AQ219" s="4">
        <f>IF(D219="M",IF($AM219&lt;162,WeightSDS!P$12*$AM219^7+WeightSDS!Q$12*$AM219^6+WeightSDS!R$12*$AM219^5+WeightSDS!S$12*$AM219^4+WeightSDS!T$12*$AM219^3+WeightSDS!U$12*$AM219^2+WeightSDS!V$12*$AM219+WeightSDS!W$12,WeightSDS!P$14*$AM219^7+WeightSDS!Q$14*$AM219^6+WeightSDS!R$14*$AM219^5+WeightSDS!S$14*$AM219^4+WeightSDS!T$14*$AM219^3+WeightSDS!U$14*$AM219^2+WeightSDS!V$14*$AM219+WeightSDS!W$14),IF($AM219&lt;156,WeightSDS!O$17*$AM219^8+WeightSDS!P$17*$AM219^7+WeightSDS!Q$17*$AM219^6+WeightSDS!R$17*$AM219^5+WeightSDS!S$17*$AM219^4+WeightSDS!T$17*$AM219^3+WeightSDS!U$17*$AM219^2+WeightSDS!V$17*$AM219+WeightSDS!W$17,IF($AM219&lt;186,WeightSDS!$U$18+(WeightSDS!$V$18-WeightSDS!$U$18)/24*($AM219-186)+WeightSDS!$W$18*(-$AM219+186)^2-0.005,WeightSDS!$U$18+(WeightSDS!$V$18-WeightSDS!$U$18)/24*($AM219-186)-0.005)))</f>
        <v>0.14604529399999999</v>
      </c>
      <c r="AT219" s="4">
        <f t="shared" si="70"/>
        <v>0.56299999999999994</v>
      </c>
      <c r="AU219" s="4">
        <f t="shared" si="71"/>
        <v>69</v>
      </c>
      <c r="AV219" s="4">
        <f t="shared" si="72"/>
        <v>0.51</v>
      </c>
    </row>
    <row r="220" spans="1:48" x14ac:dyDescent="0.15">
      <c r="A220" s="4"/>
      <c r="B220" s="21"/>
      <c r="C220" s="21"/>
      <c r="D220" s="21"/>
      <c r="E220" s="22"/>
      <c r="F220" s="22"/>
      <c r="G220" s="23"/>
      <c r="H220" s="23"/>
      <c r="I220" s="181"/>
      <c r="J220" s="8" t="str">
        <f t="shared" si="64"/>
        <v/>
      </c>
      <c r="K220" s="2" t="str">
        <f t="shared" si="73"/>
        <v/>
      </c>
      <c r="L220" s="2" t="str">
        <f t="shared" si="65"/>
        <v/>
      </c>
      <c r="M220" s="2" t="str">
        <f t="shared" si="74"/>
        <v/>
      </c>
      <c r="N220" s="2" t="str">
        <f t="shared" si="82"/>
        <v/>
      </c>
      <c r="O220" s="2" t="str">
        <f t="shared" si="75"/>
        <v/>
      </c>
      <c r="P220" s="8" t="str">
        <f t="shared" si="76"/>
        <v/>
      </c>
      <c r="Q220" s="8" t="str">
        <f t="shared" si="77"/>
        <v/>
      </c>
      <c r="R220" s="111" t="str">
        <f t="shared" si="78"/>
        <v/>
      </c>
      <c r="S220" s="44" t="str">
        <f t="shared" si="79"/>
        <v/>
      </c>
      <c r="T220" s="37" t="str">
        <f t="shared" si="80"/>
        <v/>
      </c>
      <c r="U220" s="44" t="str">
        <f t="shared" si="81"/>
        <v/>
      </c>
      <c r="V220" s="26"/>
      <c r="W220" s="26"/>
      <c r="X220" s="26"/>
      <c r="Y220" s="26"/>
      <c r="Z220" s="24"/>
      <c r="AA220" s="169">
        <f t="shared" si="66"/>
        <v>0</v>
      </c>
      <c r="AB220" s="4">
        <f t="shared" si="67"/>
        <v>0</v>
      </c>
      <c r="AC220" s="170">
        <f t="shared" si="63"/>
        <v>0</v>
      </c>
      <c r="AD220" s="58"/>
      <c r="AE220" s="58"/>
      <c r="AF220" s="58"/>
      <c r="AG220" s="59">
        <f t="shared" si="68"/>
        <v>9.0359999999999996</v>
      </c>
      <c r="AH220" s="59">
        <f t="shared" si="69"/>
        <v>-184.49199999999999</v>
      </c>
      <c r="AJ220" s="4">
        <f>IF(D220="M",IF(AM220&lt;78,BMILMS!$D$5*AM220^3+BMILMS!$E$5*AM220^2+BMILMS!$F$5*AM220+BMILMS!$G$5,IF(AM220&lt;150,BMILMS!$D$6*AM220^3+BMILMS!$E$6*AM220^2+BMILMS!$F$6*AM220+BMILMS!$G$6,BMILMS!$D$7*AM220^3+BMILMS!$E$7*AM220^2+BMILMS!$F$7*AM220+BMILMS!$G$7)),IF(AM220&lt;69,BMILMS!$D$9*AM220^3+BMILMS!$E$9*AM220^2+BMILMS!$F$9*AM220+BMILMS!$G$9,IF(AM220&lt;150,BMILMS!$D$10*AM220^3+BMILMS!$E$10*AM220^2+BMILMS!$F$10*AM220+BMILMS!$G$10,BMILMS!$D$11*AM220^3+BMILMS!$E$11*AM220^2+BMILMS!$F$11*AM220+BMILMS!$G$11)))</f>
        <v>0.79584630099999998</v>
      </c>
      <c r="AK220" s="4">
        <f>IF(D220="M",(IF(AM220&lt;2.5,BMILMS!$D$21*AM220^3+BMILMS!$E$21*AM220^2+BMILMS!$F$21*AM220+BMILMS!$G$21,IF(AM220&lt;9.5,BMILMS!$D$22*AM220^3+BMILMS!$E$22*AM220^2+BMILMS!$F$22*AM220+BMILMS!$G$22,IF(AM220&lt;26.75,BMILMS!$D$23*AM220^3+BMILMS!$E$23*AM220^2+BMILMS!$F$23*AM220+BMILMS!$G$23,IF(AM220&lt;90,BMILMS!$D$24*AM220^3+BMILMS!$E$24*AM220^2+BMILMS!$F$24*AM220+BMILMS!$G$24,BMILMS!$D$25*AM220^3+BMILMS!$E$25*AM220^2+BMILMS!$F$25*AM220+BMILMS!$G$25))))),(IF(AM220&lt;2.5,BMILMS!$D$27*AM220^3+BMILMS!$E$27*AM220^2+BMILMS!$F$27*AM220+BMILMS!$G$27,IF(AM220&lt;9.5,BMILMS!$D$28*AM220^3+BMILMS!$E$28*AM220^2+BMILMS!$F$28*AM220+BMILMS!$G$28,IF(AM220&lt;26.75,BMILMS!$D$29*AM220^3+BMILMS!$E$29*AM220^2+BMILMS!$F$29*AM220+BMILMS!$G$29,IF(AM220&lt;90,BMILMS!$D$30*AM220^3+BMILMS!$E$30*AM220^2+BMILMS!$F$30*AM220+BMILMS!$G$30,IF(AM220&lt;150,BMILMS!$D$31*AM220^3+BMILMS!$E$31*AM220^2+BMILMS!$F$31*AM220+BMILMS!$G$31,BMILMS!$D$32*AM220^3+BMILMS!$E$32*AM220^2+BMILMS!$F$32*AM220+BMILMS!$G$32)))))))</f>
        <v>12.568967990000001</v>
      </c>
      <c r="AL220" s="4">
        <f>IF(D220="M",(IF(AM220&lt;90,BMILMS!$D$14*AM220^3+BMILMS!$E$14*AM220^2+BMILMS!$F$14*AM220+BMILMS!$G$14,BMILMS!$D$15*AM220^3+BMILMS!$E$15*AM220^2+BMILMS!$F$15*AM220+BMILMS!$G$15)),(IF(AM220&lt;90,BMILMS!$D$17*AM220^3+BMILMS!$E$17*AM220^2+BMILMS!$F$17*AM220+BMILMS!$G$17,BMILMS!$D$18*AM220^3+BMILMS!$E$18*AM220^2+BMILMS!$F$18*AM220+BMILMS!$G$18)))</f>
        <v>8.8969350000000003E-2</v>
      </c>
      <c r="AM220" s="4">
        <f t="shared" si="83"/>
        <v>0</v>
      </c>
      <c r="AO220" s="56">
        <f>IF(D220="M",WeightSDS!P$5*$AM220^7+WeightSDS!Q$5*$AM220^6+WeightSDS!R$5*$AM220^5+WeightSDS!S$5*$AM220^4+WeightSDS!T$5*$AM220^3+WeightSDS!U$5*$AM220^2+WeightSDS!V$5*$AM220+WeightSDS!W$5,IF($AM220&lt;186,WeightSDS!P$8*$AM220^7+WeightSDS!Q$8*$AM220^6+WeightSDS!R$8*$AM220^5+WeightSDS!S$8*$AM220^4+WeightSDS!T$8*$AM220^3+WeightSDS!U$8*$AM220^2+WeightSDS!V$8*$AM220+WeightSDS!W$8,WeightSDS!$U$9+WeightSDS!$V$9*($AM220-WeightSDS!$W$9)))</f>
        <v>0.75407122999999998</v>
      </c>
      <c r="AP220" s="4">
        <f>IF(D220="M",IF($AM220&lt;45,WeightSDS!M$23*$AM220^10+WeightSDS!N$23*$AM220^9+WeightSDS!O$23*$AM220^8+WeightSDS!P$23*$AM220^7+WeightSDS!Q$23*$AM220^6+WeightSDS!R$23*$AM220^5+WeightSDS!S$23*$AM220^4+WeightSDS!T$23*$AM220^3+WeightSDS!U$23*$AM220^2+WeightSDS!V$23*$AM220+WeightSDS!W$23,IF($AM220&lt;153,WeightSDS!M$25*$AM220^10+WeightSDS!N$25*$AM220^9+WeightSDS!O$25*$AM220^8+WeightSDS!P$25*$AM220^7+WeightSDS!Q$25*$AM220^6+WeightSDS!R$25*$AM220^5+WeightSDS!S$25*$AM220^4+WeightSDS!T$25*$AM220^3+WeightSDS!U$25*$AM220^2+WeightSDS!V$25*$AM220+WeightSDS!W$25,WeightSDS!M$27+WeightSDS!N$27/(1+EXP(WeightSDS!O$27+WeightSDS!P$27*$AM220)))),IF($AM220&lt;43.8,WeightSDS!M$29*$AM220^10+WeightSDS!N$29*$AM220^9+WeightSDS!O$29*$AM220^8+WeightSDS!P$29*$AM220^7+WeightSDS!Q$29*$AM220^6+WeightSDS!R$29*$AM220^5+WeightSDS!S$29*$AM220^4+WeightSDS!T$29*$AM220^3+WeightSDS!U$29*$AM220^2+WeightSDS!V$29*$AM220+WeightSDS!W$29-0.010431*(1-$AM220/210),IF($AM220&lt;123,WeightSDS!M$30*$AM220^10+WeightSDS!N$30*$AM220^9+WeightSDS!O$30*$AM220^8+WeightSDS!P$30*$AM220^7+WeightSDS!Q$30*$AM220^6+WeightSDS!R$30*$AM220^5+WeightSDS!S$30*$AM220^4+WeightSDS!T$30*$AM220^3+WeightSDS!U$30*$AM220^2+WeightSDS!V$30*$AM220+WeightSDS!W$30-0.010431*(1-1/$AM220),WeightSDS!M$32+WeightSDS!N$32/(1+EXP(WeightSDS!O$32+WeightSDS!P$32*$AM220))-0.010431*(1-$AM220/210))))</f>
        <v>2.9500001032655536</v>
      </c>
      <c r="AQ220" s="4">
        <f>IF(D220="M",IF($AM220&lt;162,WeightSDS!P$12*$AM220^7+WeightSDS!Q$12*$AM220^6+WeightSDS!R$12*$AM220^5+WeightSDS!S$12*$AM220^4+WeightSDS!T$12*$AM220^3+WeightSDS!U$12*$AM220^2+WeightSDS!V$12*$AM220+WeightSDS!W$12,WeightSDS!P$14*$AM220^7+WeightSDS!Q$14*$AM220^6+WeightSDS!R$14*$AM220^5+WeightSDS!S$14*$AM220^4+WeightSDS!T$14*$AM220^3+WeightSDS!U$14*$AM220^2+WeightSDS!V$14*$AM220+WeightSDS!W$14),IF($AM220&lt;156,WeightSDS!O$17*$AM220^8+WeightSDS!P$17*$AM220^7+WeightSDS!Q$17*$AM220^6+WeightSDS!R$17*$AM220^5+WeightSDS!S$17*$AM220^4+WeightSDS!T$17*$AM220^3+WeightSDS!U$17*$AM220^2+WeightSDS!V$17*$AM220+WeightSDS!W$17,IF($AM220&lt;186,WeightSDS!$U$18+(WeightSDS!$V$18-WeightSDS!$U$18)/24*($AM220-186)+WeightSDS!$W$18*(-$AM220+186)^2-0.005,WeightSDS!$U$18+(WeightSDS!$V$18-WeightSDS!$U$18)/24*($AM220-186)-0.005)))</f>
        <v>0.14604529399999999</v>
      </c>
      <c r="AT220" s="4">
        <f t="shared" si="70"/>
        <v>0.56299999999999994</v>
      </c>
      <c r="AU220" s="4">
        <f t="shared" si="71"/>
        <v>69</v>
      </c>
      <c r="AV220" s="4">
        <f t="shared" si="72"/>
        <v>0.51</v>
      </c>
    </row>
    <row r="221" spans="1:48" x14ac:dyDescent="0.15">
      <c r="A221" s="4"/>
      <c r="B221" s="21"/>
      <c r="C221" s="21"/>
      <c r="D221" s="21"/>
      <c r="E221" s="22"/>
      <c r="F221" s="22"/>
      <c r="G221" s="23"/>
      <c r="H221" s="23"/>
      <c r="I221" s="181"/>
      <c r="J221" s="8" t="str">
        <f t="shared" si="64"/>
        <v/>
      </c>
      <c r="K221" s="2" t="str">
        <f t="shared" si="73"/>
        <v/>
      </c>
      <c r="L221" s="2" t="str">
        <f t="shared" si="65"/>
        <v/>
      </c>
      <c r="M221" s="2" t="str">
        <f t="shared" si="74"/>
        <v/>
      </c>
      <c r="N221" s="2" t="str">
        <f t="shared" si="82"/>
        <v/>
      </c>
      <c r="O221" s="2" t="str">
        <f t="shared" si="75"/>
        <v/>
      </c>
      <c r="P221" s="8" t="str">
        <f t="shared" si="76"/>
        <v/>
      </c>
      <c r="Q221" s="8" t="str">
        <f t="shared" si="77"/>
        <v/>
      </c>
      <c r="R221" s="111" t="str">
        <f t="shared" si="78"/>
        <v/>
      </c>
      <c r="S221" s="44" t="str">
        <f t="shared" si="79"/>
        <v/>
      </c>
      <c r="T221" s="37" t="str">
        <f t="shared" si="80"/>
        <v/>
      </c>
      <c r="U221" s="44" t="str">
        <f t="shared" si="81"/>
        <v/>
      </c>
      <c r="V221" s="26"/>
      <c r="W221" s="26"/>
      <c r="X221" s="26"/>
      <c r="Y221" s="26"/>
      <c r="Z221" s="24"/>
      <c r="AA221" s="169">
        <f t="shared" si="66"/>
        <v>0</v>
      </c>
      <c r="AB221" s="4">
        <f t="shared" si="67"/>
        <v>0</v>
      </c>
      <c r="AC221" s="170">
        <f t="shared" si="63"/>
        <v>0</v>
      </c>
      <c r="AD221" s="58"/>
      <c r="AE221" s="58"/>
      <c r="AF221" s="58"/>
      <c r="AG221" s="59">
        <f t="shared" si="68"/>
        <v>9.0359999999999996</v>
      </c>
      <c r="AH221" s="59">
        <f t="shared" si="69"/>
        <v>-184.49199999999999</v>
      </c>
      <c r="AJ221" s="4">
        <f>IF(D221="M",IF(AM221&lt;78,BMILMS!$D$5*AM221^3+BMILMS!$E$5*AM221^2+BMILMS!$F$5*AM221+BMILMS!$G$5,IF(AM221&lt;150,BMILMS!$D$6*AM221^3+BMILMS!$E$6*AM221^2+BMILMS!$F$6*AM221+BMILMS!$G$6,BMILMS!$D$7*AM221^3+BMILMS!$E$7*AM221^2+BMILMS!$F$7*AM221+BMILMS!$G$7)),IF(AM221&lt;69,BMILMS!$D$9*AM221^3+BMILMS!$E$9*AM221^2+BMILMS!$F$9*AM221+BMILMS!$G$9,IF(AM221&lt;150,BMILMS!$D$10*AM221^3+BMILMS!$E$10*AM221^2+BMILMS!$F$10*AM221+BMILMS!$G$10,BMILMS!$D$11*AM221^3+BMILMS!$E$11*AM221^2+BMILMS!$F$11*AM221+BMILMS!$G$11)))</f>
        <v>0.79584630099999998</v>
      </c>
      <c r="AK221" s="4">
        <f>IF(D221="M",(IF(AM221&lt;2.5,BMILMS!$D$21*AM221^3+BMILMS!$E$21*AM221^2+BMILMS!$F$21*AM221+BMILMS!$G$21,IF(AM221&lt;9.5,BMILMS!$D$22*AM221^3+BMILMS!$E$22*AM221^2+BMILMS!$F$22*AM221+BMILMS!$G$22,IF(AM221&lt;26.75,BMILMS!$D$23*AM221^3+BMILMS!$E$23*AM221^2+BMILMS!$F$23*AM221+BMILMS!$G$23,IF(AM221&lt;90,BMILMS!$D$24*AM221^3+BMILMS!$E$24*AM221^2+BMILMS!$F$24*AM221+BMILMS!$G$24,BMILMS!$D$25*AM221^3+BMILMS!$E$25*AM221^2+BMILMS!$F$25*AM221+BMILMS!$G$25))))),(IF(AM221&lt;2.5,BMILMS!$D$27*AM221^3+BMILMS!$E$27*AM221^2+BMILMS!$F$27*AM221+BMILMS!$G$27,IF(AM221&lt;9.5,BMILMS!$D$28*AM221^3+BMILMS!$E$28*AM221^2+BMILMS!$F$28*AM221+BMILMS!$G$28,IF(AM221&lt;26.75,BMILMS!$D$29*AM221^3+BMILMS!$E$29*AM221^2+BMILMS!$F$29*AM221+BMILMS!$G$29,IF(AM221&lt;90,BMILMS!$D$30*AM221^3+BMILMS!$E$30*AM221^2+BMILMS!$F$30*AM221+BMILMS!$G$30,IF(AM221&lt;150,BMILMS!$D$31*AM221^3+BMILMS!$E$31*AM221^2+BMILMS!$F$31*AM221+BMILMS!$G$31,BMILMS!$D$32*AM221^3+BMILMS!$E$32*AM221^2+BMILMS!$F$32*AM221+BMILMS!$G$32)))))))</f>
        <v>12.568967990000001</v>
      </c>
      <c r="AL221" s="4">
        <f>IF(D221="M",(IF(AM221&lt;90,BMILMS!$D$14*AM221^3+BMILMS!$E$14*AM221^2+BMILMS!$F$14*AM221+BMILMS!$G$14,BMILMS!$D$15*AM221^3+BMILMS!$E$15*AM221^2+BMILMS!$F$15*AM221+BMILMS!$G$15)),(IF(AM221&lt;90,BMILMS!$D$17*AM221^3+BMILMS!$E$17*AM221^2+BMILMS!$F$17*AM221+BMILMS!$G$17,BMILMS!$D$18*AM221^3+BMILMS!$E$18*AM221^2+BMILMS!$F$18*AM221+BMILMS!$G$18)))</f>
        <v>8.8969350000000003E-2</v>
      </c>
      <c r="AM221" s="4">
        <f t="shared" si="83"/>
        <v>0</v>
      </c>
      <c r="AO221" s="56">
        <f>IF(D221="M",WeightSDS!P$5*$AM221^7+WeightSDS!Q$5*$AM221^6+WeightSDS!R$5*$AM221^5+WeightSDS!S$5*$AM221^4+WeightSDS!T$5*$AM221^3+WeightSDS!U$5*$AM221^2+WeightSDS!V$5*$AM221+WeightSDS!W$5,IF($AM221&lt;186,WeightSDS!P$8*$AM221^7+WeightSDS!Q$8*$AM221^6+WeightSDS!R$8*$AM221^5+WeightSDS!S$8*$AM221^4+WeightSDS!T$8*$AM221^3+WeightSDS!U$8*$AM221^2+WeightSDS!V$8*$AM221+WeightSDS!W$8,WeightSDS!$U$9+WeightSDS!$V$9*($AM221-WeightSDS!$W$9)))</f>
        <v>0.75407122999999998</v>
      </c>
      <c r="AP221" s="4">
        <f>IF(D221="M",IF($AM221&lt;45,WeightSDS!M$23*$AM221^10+WeightSDS!N$23*$AM221^9+WeightSDS!O$23*$AM221^8+WeightSDS!P$23*$AM221^7+WeightSDS!Q$23*$AM221^6+WeightSDS!R$23*$AM221^5+WeightSDS!S$23*$AM221^4+WeightSDS!T$23*$AM221^3+WeightSDS!U$23*$AM221^2+WeightSDS!V$23*$AM221+WeightSDS!W$23,IF($AM221&lt;153,WeightSDS!M$25*$AM221^10+WeightSDS!N$25*$AM221^9+WeightSDS!O$25*$AM221^8+WeightSDS!P$25*$AM221^7+WeightSDS!Q$25*$AM221^6+WeightSDS!R$25*$AM221^5+WeightSDS!S$25*$AM221^4+WeightSDS!T$25*$AM221^3+WeightSDS!U$25*$AM221^2+WeightSDS!V$25*$AM221+WeightSDS!W$25,WeightSDS!M$27+WeightSDS!N$27/(1+EXP(WeightSDS!O$27+WeightSDS!P$27*$AM221)))),IF($AM221&lt;43.8,WeightSDS!M$29*$AM221^10+WeightSDS!N$29*$AM221^9+WeightSDS!O$29*$AM221^8+WeightSDS!P$29*$AM221^7+WeightSDS!Q$29*$AM221^6+WeightSDS!R$29*$AM221^5+WeightSDS!S$29*$AM221^4+WeightSDS!T$29*$AM221^3+WeightSDS!U$29*$AM221^2+WeightSDS!V$29*$AM221+WeightSDS!W$29-0.010431*(1-$AM221/210),IF($AM221&lt;123,WeightSDS!M$30*$AM221^10+WeightSDS!N$30*$AM221^9+WeightSDS!O$30*$AM221^8+WeightSDS!P$30*$AM221^7+WeightSDS!Q$30*$AM221^6+WeightSDS!R$30*$AM221^5+WeightSDS!S$30*$AM221^4+WeightSDS!T$30*$AM221^3+WeightSDS!U$30*$AM221^2+WeightSDS!V$30*$AM221+WeightSDS!W$30-0.010431*(1-1/$AM221),WeightSDS!M$32+WeightSDS!N$32/(1+EXP(WeightSDS!O$32+WeightSDS!P$32*$AM221))-0.010431*(1-$AM221/210))))</f>
        <v>2.9500001032655536</v>
      </c>
      <c r="AQ221" s="4">
        <f>IF(D221="M",IF($AM221&lt;162,WeightSDS!P$12*$AM221^7+WeightSDS!Q$12*$AM221^6+WeightSDS!R$12*$AM221^5+WeightSDS!S$12*$AM221^4+WeightSDS!T$12*$AM221^3+WeightSDS!U$12*$AM221^2+WeightSDS!V$12*$AM221+WeightSDS!W$12,WeightSDS!P$14*$AM221^7+WeightSDS!Q$14*$AM221^6+WeightSDS!R$14*$AM221^5+WeightSDS!S$14*$AM221^4+WeightSDS!T$14*$AM221^3+WeightSDS!U$14*$AM221^2+WeightSDS!V$14*$AM221+WeightSDS!W$14),IF($AM221&lt;156,WeightSDS!O$17*$AM221^8+WeightSDS!P$17*$AM221^7+WeightSDS!Q$17*$AM221^6+WeightSDS!R$17*$AM221^5+WeightSDS!S$17*$AM221^4+WeightSDS!T$17*$AM221^3+WeightSDS!U$17*$AM221^2+WeightSDS!V$17*$AM221+WeightSDS!W$17,IF($AM221&lt;186,WeightSDS!$U$18+(WeightSDS!$V$18-WeightSDS!$U$18)/24*($AM221-186)+WeightSDS!$W$18*(-$AM221+186)^2-0.005,WeightSDS!$U$18+(WeightSDS!$V$18-WeightSDS!$U$18)/24*($AM221-186)-0.005)))</f>
        <v>0.14604529399999999</v>
      </c>
      <c r="AT221" s="4">
        <f t="shared" si="70"/>
        <v>0.56299999999999994</v>
      </c>
      <c r="AU221" s="4">
        <f t="shared" si="71"/>
        <v>69</v>
      </c>
      <c r="AV221" s="4">
        <f t="shared" si="72"/>
        <v>0.51</v>
      </c>
    </row>
    <row r="222" spans="1:48" x14ac:dyDescent="0.15">
      <c r="A222" s="4"/>
      <c r="B222" s="21"/>
      <c r="C222" s="21"/>
      <c r="D222" s="21"/>
      <c r="E222" s="22"/>
      <c r="F222" s="22"/>
      <c r="G222" s="23"/>
      <c r="H222" s="23"/>
      <c r="I222" s="181"/>
      <c r="J222" s="8" t="str">
        <f t="shared" si="64"/>
        <v/>
      </c>
      <c r="K222" s="2" t="str">
        <f t="shared" si="73"/>
        <v/>
      </c>
      <c r="L222" s="2" t="str">
        <f t="shared" si="65"/>
        <v/>
      </c>
      <c r="M222" s="2" t="str">
        <f t="shared" si="74"/>
        <v/>
      </c>
      <c r="N222" s="2" t="str">
        <f t="shared" si="82"/>
        <v/>
      </c>
      <c r="O222" s="2" t="str">
        <f t="shared" si="75"/>
        <v/>
      </c>
      <c r="P222" s="8" t="str">
        <f t="shared" si="76"/>
        <v/>
      </c>
      <c r="Q222" s="8" t="str">
        <f t="shared" si="77"/>
        <v/>
      </c>
      <c r="R222" s="111" t="str">
        <f t="shared" si="78"/>
        <v/>
      </c>
      <c r="S222" s="44" t="str">
        <f t="shared" si="79"/>
        <v/>
      </c>
      <c r="T222" s="37" t="str">
        <f t="shared" si="80"/>
        <v/>
      </c>
      <c r="U222" s="44" t="str">
        <f t="shared" si="81"/>
        <v/>
      </c>
      <c r="V222" s="26"/>
      <c r="W222" s="26"/>
      <c r="X222" s="26"/>
      <c r="Y222" s="26"/>
      <c r="Z222" s="24"/>
      <c r="AA222" s="169">
        <f t="shared" si="66"/>
        <v>0</v>
      </c>
      <c r="AB222" s="4">
        <f t="shared" si="67"/>
        <v>0</v>
      </c>
      <c r="AC222" s="170">
        <f t="shared" ref="AC222:AC285" si="84">DATEDIF(E222,F222,"Y")+(F222-(DATE(YEAR(E222)+DATEDIF(E222,F222,"Y"),MONTH(E222),DAY(E222))))/(365+IF(MOD(YEAR((DATE(YEAR(F222)-1,MONTH(E222),DAY(E222)))),4)=0,IF((DATE(YEAR(F222)-1,MONTH(E222),DAY(E222)))&gt;DATE(YEAR((DATE(YEAR(F222)-1,MONTH(E222),DAY(E222)))),2,29),0,1),0)+IF(MOD(YEAR(F222),4)=0,IF(F222&gt;DATE(YEAR(F222),2,29),1,0),0))</f>
        <v>0</v>
      </c>
      <c r="AD222" s="58"/>
      <c r="AE222" s="58"/>
      <c r="AF222" s="58"/>
      <c r="AG222" s="59">
        <f t="shared" si="68"/>
        <v>9.0359999999999996</v>
      </c>
      <c r="AH222" s="59">
        <f t="shared" si="69"/>
        <v>-184.49199999999999</v>
      </c>
      <c r="AJ222" s="4">
        <f>IF(D222="M",IF(AM222&lt;78,BMILMS!$D$5*AM222^3+BMILMS!$E$5*AM222^2+BMILMS!$F$5*AM222+BMILMS!$G$5,IF(AM222&lt;150,BMILMS!$D$6*AM222^3+BMILMS!$E$6*AM222^2+BMILMS!$F$6*AM222+BMILMS!$G$6,BMILMS!$D$7*AM222^3+BMILMS!$E$7*AM222^2+BMILMS!$F$7*AM222+BMILMS!$G$7)),IF(AM222&lt;69,BMILMS!$D$9*AM222^3+BMILMS!$E$9*AM222^2+BMILMS!$F$9*AM222+BMILMS!$G$9,IF(AM222&lt;150,BMILMS!$D$10*AM222^3+BMILMS!$E$10*AM222^2+BMILMS!$F$10*AM222+BMILMS!$G$10,BMILMS!$D$11*AM222^3+BMILMS!$E$11*AM222^2+BMILMS!$F$11*AM222+BMILMS!$G$11)))</f>
        <v>0.79584630099999998</v>
      </c>
      <c r="AK222" s="4">
        <f>IF(D222="M",(IF(AM222&lt;2.5,BMILMS!$D$21*AM222^3+BMILMS!$E$21*AM222^2+BMILMS!$F$21*AM222+BMILMS!$G$21,IF(AM222&lt;9.5,BMILMS!$D$22*AM222^3+BMILMS!$E$22*AM222^2+BMILMS!$F$22*AM222+BMILMS!$G$22,IF(AM222&lt;26.75,BMILMS!$D$23*AM222^3+BMILMS!$E$23*AM222^2+BMILMS!$F$23*AM222+BMILMS!$G$23,IF(AM222&lt;90,BMILMS!$D$24*AM222^3+BMILMS!$E$24*AM222^2+BMILMS!$F$24*AM222+BMILMS!$G$24,BMILMS!$D$25*AM222^3+BMILMS!$E$25*AM222^2+BMILMS!$F$25*AM222+BMILMS!$G$25))))),(IF(AM222&lt;2.5,BMILMS!$D$27*AM222^3+BMILMS!$E$27*AM222^2+BMILMS!$F$27*AM222+BMILMS!$G$27,IF(AM222&lt;9.5,BMILMS!$D$28*AM222^3+BMILMS!$E$28*AM222^2+BMILMS!$F$28*AM222+BMILMS!$G$28,IF(AM222&lt;26.75,BMILMS!$D$29*AM222^3+BMILMS!$E$29*AM222^2+BMILMS!$F$29*AM222+BMILMS!$G$29,IF(AM222&lt;90,BMILMS!$D$30*AM222^3+BMILMS!$E$30*AM222^2+BMILMS!$F$30*AM222+BMILMS!$G$30,IF(AM222&lt;150,BMILMS!$D$31*AM222^3+BMILMS!$E$31*AM222^2+BMILMS!$F$31*AM222+BMILMS!$G$31,BMILMS!$D$32*AM222^3+BMILMS!$E$32*AM222^2+BMILMS!$F$32*AM222+BMILMS!$G$32)))))))</f>
        <v>12.568967990000001</v>
      </c>
      <c r="AL222" s="4">
        <f>IF(D222="M",(IF(AM222&lt;90,BMILMS!$D$14*AM222^3+BMILMS!$E$14*AM222^2+BMILMS!$F$14*AM222+BMILMS!$G$14,BMILMS!$D$15*AM222^3+BMILMS!$E$15*AM222^2+BMILMS!$F$15*AM222+BMILMS!$G$15)),(IF(AM222&lt;90,BMILMS!$D$17*AM222^3+BMILMS!$E$17*AM222^2+BMILMS!$F$17*AM222+BMILMS!$G$17,BMILMS!$D$18*AM222^3+BMILMS!$E$18*AM222^2+BMILMS!$F$18*AM222+BMILMS!$G$18)))</f>
        <v>8.8969350000000003E-2</v>
      </c>
      <c r="AM222" s="4">
        <f t="shared" si="83"/>
        <v>0</v>
      </c>
      <c r="AO222" s="56">
        <f>IF(D222="M",WeightSDS!P$5*$AM222^7+WeightSDS!Q$5*$AM222^6+WeightSDS!R$5*$AM222^5+WeightSDS!S$5*$AM222^4+WeightSDS!T$5*$AM222^3+WeightSDS!U$5*$AM222^2+WeightSDS!V$5*$AM222+WeightSDS!W$5,IF($AM222&lt;186,WeightSDS!P$8*$AM222^7+WeightSDS!Q$8*$AM222^6+WeightSDS!R$8*$AM222^5+WeightSDS!S$8*$AM222^4+WeightSDS!T$8*$AM222^3+WeightSDS!U$8*$AM222^2+WeightSDS!V$8*$AM222+WeightSDS!W$8,WeightSDS!$U$9+WeightSDS!$V$9*($AM222-WeightSDS!$W$9)))</f>
        <v>0.75407122999999998</v>
      </c>
      <c r="AP222" s="4">
        <f>IF(D222="M",IF($AM222&lt;45,WeightSDS!M$23*$AM222^10+WeightSDS!N$23*$AM222^9+WeightSDS!O$23*$AM222^8+WeightSDS!P$23*$AM222^7+WeightSDS!Q$23*$AM222^6+WeightSDS!R$23*$AM222^5+WeightSDS!S$23*$AM222^4+WeightSDS!T$23*$AM222^3+WeightSDS!U$23*$AM222^2+WeightSDS!V$23*$AM222+WeightSDS!W$23,IF($AM222&lt;153,WeightSDS!M$25*$AM222^10+WeightSDS!N$25*$AM222^9+WeightSDS!O$25*$AM222^8+WeightSDS!P$25*$AM222^7+WeightSDS!Q$25*$AM222^6+WeightSDS!R$25*$AM222^5+WeightSDS!S$25*$AM222^4+WeightSDS!T$25*$AM222^3+WeightSDS!U$25*$AM222^2+WeightSDS!V$25*$AM222+WeightSDS!W$25,WeightSDS!M$27+WeightSDS!N$27/(1+EXP(WeightSDS!O$27+WeightSDS!P$27*$AM222)))),IF($AM222&lt;43.8,WeightSDS!M$29*$AM222^10+WeightSDS!N$29*$AM222^9+WeightSDS!O$29*$AM222^8+WeightSDS!P$29*$AM222^7+WeightSDS!Q$29*$AM222^6+WeightSDS!R$29*$AM222^5+WeightSDS!S$29*$AM222^4+WeightSDS!T$29*$AM222^3+WeightSDS!U$29*$AM222^2+WeightSDS!V$29*$AM222+WeightSDS!W$29-0.010431*(1-$AM222/210),IF($AM222&lt;123,WeightSDS!M$30*$AM222^10+WeightSDS!N$30*$AM222^9+WeightSDS!O$30*$AM222^8+WeightSDS!P$30*$AM222^7+WeightSDS!Q$30*$AM222^6+WeightSDS!R$30*$AM222^5+WeightSDS!S$30*$AM222^4+WeightSDS!T$30*$AM222^3+WeightSDS!U$30*$AM222^2+WeightSDS!V$30*$AM222+WeightSDS!W$30-0.010431*(1-1/$AM222),WeightSDS!M$32+WeightSDS!N$32/(1+EXP(WeightSDS!O$32+WeightSDS!P$32*$AM222))-0.010431*(1-$AM222/210))))</f>
        <v>2.9500001032655536</v>
      </c>
      <c r="AQ222" s="4">
        <f>IF(D222="M",IF($AM222&lt;162,WeightSDS!P$12*$AM222^7+WeightSDS!Q$12*$AM222^6+WeightSDS!R$12*$AM222^5+WeightSDS!S$12*$AM222^4+WeightSDS!T$12*$AM222^3+WeightSDS!U$12*$AM222^2+WeightSDS!V$12*$AM222+WeightSDS!W$12,WeightSDS!P$14*$AM222^7+WeightSDS!Q$14*$AM222^6+WeightSDS!R$14*$AM222^5+WeightSDS!S$14*$AM222^4+WeightSDS!T$14*$AM222^3+WeightSDS!U$14*$AM222^2+WeightSDS!V$14*$AM222+WeightSDS!W$14),IF($AM222&lt;156,WeightSDS!O$17*$AM222^8+WeightSDS!P$17*$AM222^7+WeightSDS!Q$17*$AM222^6+WeightSDS!R$17*$AM222^5+WeightSDS!S$17*$AM222^4+WeightSDS!T$17*$AM222^3+WeightSDS!U$17*$AM222^2+WeightSDS!V$17*$AM222+WeightSDS!W$17,IF($AM222&lt;186,WeightSDS!$U$18+(WeightSDS!$V$18-WeightSDS!$U$18)/24*($AM222-186)+WeightSDS!$W$18*(-$AM222+186)^2-0.005,WeightSDS!$U$18+(WeightSDS!$V$18-WeightSDS!$U$18)/24*($AM222-186)-0.005)))</f>
        <v>0.14604529399999999</v>
      </c>
      <c r="AT222" s="4">
        <f t="shared" si="70"/>
        <v>0.56299999999999994</v>
      </c>
      <c r="AU222" s="4">
        <f t="shared" si="71"/>
        <v>69</v>
      </c>
      <c r="AV222" s="4">
        <f t="shared" si="72"/>
        <v>0.51</v>
      </c>
    </row>
    <row r="223" spans="1:48" x14ac:dyDescent="0.15">
      <c r="A223" s="4"/>
      <c r="B223" s="21"/>
      <c r="C223" s="21"/>
      <c r="D223" s="21"/>
      <c r="E223" s="22"/>
      <c r="F223" s="22"/>
      <c r="G223" s="23"/>
      <c r="H223" s="23"/>
      <c r="I223" s="181"/>
      <c r="J223" s="8" t="str">
        <f t="shared" si="64"/>
        <v/>
      </c>
      <c r="K223" s="2" t="str">
        <f t="shared" si="73"/>
        <v/>
      </c>
      <c r="L223" s="2" t="str">
        <f t="shared" si="65"/>
        <v/>
      </c>
      <c r="M223" s="2" t="str">
        <f t="shared" si="74"/>
        <v/>
      </c>
      <c r="N223" s="2" t="str">
        <f t="shared" si="82"/>
        <v/>
      </c>
      <c r="O223" s="2" t="str">
        <f t="shared" si="75"/>
        <v/>
      </c>
      <c r="P223" s="8" t="str">
        <f t="shared" si="76"/>
        <v/>
      </c>
      <c r="Q223" s="8" t="str">
        <f t="shared" si="77"/>
        <v/>
      </c>
      <c r="R223" s="111" t="str">
        <f t="shared" si="78"/>
        <v/>
      </c>
      <c r="S223" s="44" t="str">
        <f t="shared" si="79"/>
        <v/>
      </c>
      <c r="T223" s="37" t="str">
        <f t="shared" si="80"/>
        <v/>
      </c>
      <c r="U223" s="44" t="str">
        <f t="shared" si="81"/>
        <v/>
      </c>
      <c r="V223" s="26"/>
      <c r="W223" s="26"/>
      <c r="X223" s="26"/>
      <c r="Y223" s="26"/>
      <c r="Z223" s="24"/>
      <c r="AA223" s="169">
        <f t="shared" si="66"/>
        <v>0</v>
      </c>
      <c r="AB223" s="4">
        <f t="shared" si="67"/>
        <v>0</v>
      </c>
      <c r="AC223" s="170">
        <f t="shared" si="84"/>
        <v>0</v>
      </c>
      <c r="AD223" s="58"/>
      <c r="AE223" s="58"/>
      <c r="AF223" s="58"/>
      <c r="AG223" s="59">
        <f t="shared" si="68"/>
        <v>9.0359999999999996</v>
      </c>
      <c r="AH223" s="59">
        <f t="shared" si="69"/>
        <v>-184.49199999999999</v>
      </c>
      <c r="AJ223" s="4">
        <f>IF(D223="M",IF(AM223&lt;78,BMILMS!$D$5*AM223^3+BMILMS!$E$5*AM223^2+BMILMS!$F$5*AM223+BMILMS!$G$5,IF(AM223&lt;150,BMILMS!$D$6*AM223^3+BMILMS!$E$6*AM223^2+BMILMS!$F$6*AM223+BMILMS!$G$6,BMILMS!$D$7*AM223^3+BMILMS!$E$7*AM223^2+BMILMS!$F$7*AM223+BMILMS!$G$7)),IF(AM223&lt;69,BMILMS!$D$9*AM223^3+BMILMS!$E$9*AM223^2+BMILMS!$F$9*AM223+BMILMS!$G$9,IF(AM223&lt;150,BMILMS!$D$10*AM223^3+BMILMS!$E$10*AM223^2+BMILMS!$F$10*AM223+BMILMS!$G$10,BMILMS!$D$11*AM223^3+BMILMS!$E$11*AM223^2+BMILMS!$F$11*AM223+BMILMS!$G$11)))</f>
        <v>0.79584630099999998</v>
      </c>
      <c r="AK223" s="4">
        <f>IF(D223="M",(IF(AM223&lt;2.5,BMILMS!$D$21*AM223^3+BMILMS!$E$21*AM223^2+BMILMS!$F$21*AM223+BMILMS!$G$21,IF(AM223&lt;9.5,BMILMS!$D$22*AM223^3+BMILMS!$E$22*AM223^2+BMILMS!$F$22*AM223+BMILMS!$G$22,IF(AM223&lt;26.75,BMILMS!$D$23*AM223^3+BMILMS!$E$23*AM223^2+BMILMS!$F$23*AM223+BMILMS!$G$23,IF(AM223&lt;90,BMILMS!$D$24*AM223^3+BMILMS!$E$24*AM223^2+BMILMS!$F$24*AM223+BMILMS!$G$24,BMILMS!$D$25*AM223^3+BMILMS!$E$25*AM223^2+BMILMS!$F$25*AM223+BMILMS!$G$25))))),(IF(AM223&lt;2.5,BMILMS!$D$27*AM223^3+BMILMS!$E$27*AM223^2+BMILMS!$F$27*AM223+BMILMS!$G$27,IF(AM223&lt;9.5,BMILMS!$D$28*AM223^3+BMILMS!$E$28*AM223^2+BMILMS!$F$28*AM223+BMILMS!$G$28,IF(AM223&lt;26.75,BMILMS!$D$29*AM223^3+BMILMS!$E$29*AM223^2+BMILMS!$F$29*AM223+BMILMS!$G$29,IF(AM223&lt;90,BMILMS!$D$30*AM223^3+BMILMS!$E$30*AM223^2+BMILMS!$F$30*AM223+BMILMS!$G$30,IF(AM223&lt;150,BMILMS!$D$31*AM223^3+BMILMS!$E$31*AM223^2+BMILMS!$F$31*AM223+BMILMS!$G$31,BMILMS!$D$32*AM223^3+BMILMS!$E$32*AM223^2+BMILMS!$F$32*AM223+BMILMS!$G$32)))))))</f>
        <v>12.568967990000001</v>
      </c>
      <c r="AL223" s="4">
        <f>IF(D223="M",(IF(AM223&lt;90,BMILMS!$D$14*AM223^3+BMILMS!$E$14*AM223^2+BMILMS!$F$14*AM223+BMILMS!$G$14,BMILMS!$D$15*AM223^3+BMILMS!$E$15*AM223^2+BMILMS!$F$15*AM223+BMILMS!$G$15)),(IF(AM223&lt;90,BMILMS!$D$17*AM223^3+BMILMS!$E$17*AM223^2+BMILMS!$F$17*AM223+BMILMS!$G$17,BMILMS!$D$18*AM223^3+BMILMS!$E$18*AM223^2+BMILMS!$F$18*AM223+BMILMS!$G$18)))</f>
        <v>8.8969350000000003E-2</v>
      </c>
      <c r="AM223" s="4">
        <f t="shared" si="83"/>
        <v>0</v>
      </c>
      <c r="AO223" s="56">
        <f>IF(D223="M",WeightSDS!P$5*$AM223^7+WeightSDS!Q$5*$AM223^6+WeightSDS!R$5*$AM223^5+WeightSDS!S$5*$AM223^4+WeightSDS!T$5*$AM223^3+WeightSDS!U$5*$AM223^2+WeightSDS!V$5*$AM223+WeightSDS!W$5,IF($AM223&lt;186,WeightSDS!P$8*$AM223^7+WeightSDS!Q$8*$AM223^6+WeightSDS!R$8*$AM223^5+WeightSDS!S$8*$AM223^4+WeightSDS!T$8*$AM223^3+WeightSDS!U$8*$AM223^2+WeightSDS!V$8*$AM223+WeightSDS!W$8,WeightSDS!$U$9+WeightSDS!$V$9*($AM223-WeightSDS!$W$9)))</f>
        <v>0.75407122999999998</v>
      </c>
      <c r="AP223" s="4">
        <f>IF(D223="M",IF($AM223&lt;45,WeightSDS!M$23*$AM223^10+WeightSDS!N$23*$AM223^9+WeightSDS!O$23*$AM223^8+WeightSDS!P$23*$AM223^7+WeightSDS!Q$23*$AM223^6+WeightSDS!R$23*$AM223^5+WeightSDS!S$23*$AM223^4+WeightSDS!T$23*$AM223^3+WeightSDS!U$23*$AM223^2+WeightSDS!V$23*$AM223+WeightSDS!W$23,IF($AM223&lt;153,WeightSDS!M$25*$AM223^10+WeightSDS!N$25*$AM223^9+WeightSDS!O$25*$AM223^8+WeightSDS!P$25*$AM223^7+WeightSDS!Q$25*$AM223^6+WeightSDS!R$25*$AM223^5+WeightSDS!S$25*$AM223^4+WeightSDS!T$25*$AM223^3+WeightSDS!U$25*$AM223^2+WeightSDS!V$25*$AM223+WeightSDS!W$25,WeightSDS!M$27+WeightSDS!N$27/(1+EXP(WeightSDS!O$27+WeightSDS!P$27*$AM223)))),IF($AM223&lt;43.8,WeightSDS!M$29*$AM223^10+WeightSDS!N$29*$AM223^9+WeightSDS!O$29*$AM223^8+WeightSDS!P$29*$AM223^7+WeightSDS!Q$29*$AM223^6+WeightSDS!R$29*$AM223^5+WeightSDS!S$29*$AM223^4+WeightSDS!T$29*$AM223^3+WeightSDS!U$29*$AM223^2+WeightSDS!V$29*$AM223+WeightSDS!W$29-0.010431*(1-$AM223/210),IF($AM223&lt;123,WeightSDS!M$30*$AM223^10+WeightSDS!N$30*$AM223^9+WeightSDS!O$30*$AM223^8+WeightSDS!P$30*$AM223^7+WeightSDS!Q$30*$AM223^6+WeightSDS!R$30*$AM223^5+WeightSDS!S$30*$AM223^4+WeightSDS!T$30*$AM223^3+WeightSDS!U$30*$AM223^2+WeightSDS!V$30*$AM223+WeightSDS!W$30-0.010431*(1-1/$AM223),WeightSDS!M$32+WeightSDS!N$32/(1+EXP(WeightSDS!O$32+WeightSDS!P$32*$AM223))-0.010431*(1-$AM223/210))))</f>
        <v>2.9500001032655536</v>
      </c>
      <c r="AQ223" s="4">
        <f>IF(D223="M",IF($AM223&lt;162,WeightSDS!P$12*$AM223^7+WeightSDS!Q$12*$AM223^6+WeightSDS!R$12*$AM223^5+WeightSDS!S$12*$AM223^4+WeightSDS!T$12*$AM223^3+WeightSDS!U$12*$AM223^2+WeightSDS!V$12*$AM223+WeightSDS!W$12,WeightSDS!P$14*$AM223^7+WeightSDS!Q$14*$AM223^6+WeightSDS!R$14*$AM223^5+WeightSDS!S$14*$AM223^4+WeightSDS!T$14*$AM223^3+WeightSDS!U$14*$AM223^2+WeightSDS!V$14*$AM223+WeightSDS!W$14),IF($AM223&lt;156,WeightSDS!O$17*$AM223^8+WeightSDS!P$17*$AM223^7+WeightSDS!Q$17*$AM223^6+WeightSDS!R$17*$AM223^5+WeightSDS!S$17*$AM223^4+WeightSDS!T$17*$AM223^3+WeightSDS!U$17*$AM223^2+WeightSDS!V$17*$AM223+WeightSDS!W$17,IF($AM223&lt;186,WeightSDS!$U$18+(WeightSDS!$V$18-WeightSDS!$U$18)/24*($AM223-186)+WeightSDS!$W$18*(-$AM223+186)^2-0.005,WeightSDS!$U$18+(WeightSDS!$V$18-WeightSDS!$U$18)/24*($AM223-186)-0.005)))</f>
        <v>0.14604529399999999</v>
      </c>
      <c r="AT223" s="4">
        <f t="shared" si="70"/>
        <v>0.56299999999999994</v>
      </c>
      <c r="AU223" s="4">
        <f t="shared" si="71"/>
        <v>69</v>
      </c>
      <c r="AV223" s="4">
        <f t="shared" si="72"/>
        <v>0.51</v>
      </c>
    </row>
    <row r="224" spans="1:48" x14ac:dyDescent="0.15">
      <c r="A224" s="4"/>
      <c r="B224" s="21"/>
      <c r="C224" s="21"/>
      <c r="D224" s="21"/>
      <c r="E224" s="22"/>
      <c r="F224" s="22"/>
      <c r="G224" s="23"/>
      <c r="H224" s="23"/>
      <c r="I224" s="181"/>
      <c r="J224" s="8" t="str">
        <f t="shared" si="64"/>
        <v/>
      </c>
      <c r="K224" s="2" t="str">
        <f t="shared" si="73"/>
        <v/>
      </c>
      <c r="L224" s="2" t="str">
        <f t="shared" si="65"/>
        <v/>
      </c>
      <c r="M224" s="2" t="str">
        <f t="shared" si="74"/>
        <v/>
      </c>
      <c r="N224" s="2" t="str">
        <f t="shared" si="82"/>
        <v/>
      </c>
      <c r="O224" s="2" t="str">
        <f t="shared" si="75"/>
        <v/>
      </c>
      <c r="P224" s="8" t="str">
        <f t="shared" si="76"/>
        <v/>
      </c>
      <c r="Q224" s="8" t="str">
        <f t="shared" si="77"/>
        <v/>
      </c>
      <c r="R224" s="111" t="str">
        <f t="shared" si="78"/>
        <v/>
      </c>
      <c r="S224" s="44" t="str">
        <f t="shared" si="79"/>
        <v/>
      </c>
      <c r="T224" s="37" t="str">
        <f t="shared" si="80"/>
        <v/>
      </c>
      <c r="U224" s="44" t="str">
        <f t="shared" si="81"/>
        <v/>
      </c>
      <c r="V224" s="26"/>
      <c r="W224" s="26"/>
      <c r="X224" s="26"/>
      <c r="Y224" s="26"/>
      <c r="Z224" s="24"/>
      <c r="AA224" s="169">
        <f t="shared" si="66"/>
        <v>0</v>
      </c>
      <c r="AB224" s="4">
        <f t="shared" si="67"/>
        <v>0</v>
      </c>
      <c r="AC224" s="170">
        <f t="shared" si="84"/>
        <v>0</v>
      </c>
      <c r="AD224" s="58"/>
      <c r="AE224" s="58"/>
      <c r="AF224" s="58"/>
      <c r="AG224" s="59">
        <f t="shared" si="68"/>
        <v>9.0359999999999996</v>
      </c>
      <c r="AH224" s="59">
        <f t="shared" si="69"/>
        <v>-184.49199999999999</v>
      </c>
      <c r="AJ224" s="4">
        <f>IF(D224="M",IF(AM224&lt;78,BMILMS!$D$5*AM224^3+BMILMS!$E$5*AM224^2+BMILMS!$F$5*AM224+BMILMS!$G$5,IF(AM224&lt;150,BMILMS!$D$6*AM224^3+BMILMS!$E$6*AM224^2+BMILMS!$F$6*AM224+BMILMS!$G$6,BMILMS!$D$7*AM224^3+BMILMS!$E$7*AM224^2+BMILMS!$F$7*AM224+BMILMS!$G$7)),IF(AM224&lt;69,BMILMS!$D$9*AM224^3+BMILMS!$E$9*AM224^2+BMILMS!$F$9*AM224+BMILMS!$G$9,IF(AM224&lt;150,BMILMS!$D$10*AM224^3+BMILMS!$E$10*AM224^2+BMILMS!$F$10*AM224+BMILMS!$G$10,BMILMS!$D$11*AM224^3+BMILMS!$E$11*AM224^2+BMILMS!$F$11*AM224+BMILMS!$G$11)))</f>
        <v>0.79584630099999998</v>
      </c>
      <c r="AK224" s="4">
        <f>IF(D224="M",(IF(AM224&lt;2.5,BMILMS!$D$21*AM224^3+BMILMS!$E$21*AM224^2+BMILMS!$F$21*AM224+BMILMS!$G$21,IF(AM224&lt;9.5,BMILMS!$D$22*AM224^3+BMILMS!$E$22*AM224^2+BMILMS!$F$22*AM224+BMILMS!$G$22,IF(AM224&lt;26.75,BMILMS!$D$23*AM224^3+BMILMS!$E$23*AM224^2+BMILMS!$F$23*AM224+BMILMS!$G$23,IF(AM224&lt;90,BMILMS!$D$24*AM224^3+BMILMS!$E$24*AM224^2+BMILMS!$F$24*AM224+BMILMS!$G$24,BMILMS!$D$25*AM224^3+BMILMS!$E$25*AM224^2+BMILMS!$F$25*AM224+BMILMS!$G$25))))),(IF(AM224&lt;2.5,BMILMS!$D$27*AM224^3+BMILMS!$E$27*AM224^2+BMILMS!$F$27*AM224+BMILMS!$G$27,IF(AM224&lt;9.5,BMILMS!$D$28*AM224^3+BMILMS!$E$28*AM224^2+BMILMS!$F$28*AM224+BMILMS!$G$28,IF(AM224&lt;26.75,BMILMS!$D$29*AM224^3+BMILMS!$E$29*AM224^2+BMILMS!$F$29*AM224+BMILMS!$G$29,IF(AM224&lt;90,BMILMS!$D$30*AM224^3+BMILMS!$E$30*AM224^2+BMILMS!$F$30*AM224+BMILMS!$G$30,IF(AM224&lt;150,BMILMS!$D$31*AM224^3+BMILMS!$E$31*AM224^2+BMILMS!$F$31*AM224+BMILMS!$G$31,BMILMS!$D$32*AM224^3+BMILMS!$E$32*AM224^2+BMILMS!$F$32*AM224+BMILMS!$G$32)))))))</f>
        <v>12.568967990000001</v>
      </c>
      <c r="AL224" s="4">
        <f>IF(D224="M",(IF(AM224&lt;90,BMILMS!$D$14*AM224^3+BMILMS!$E$14*AM224^2+BMILMS!$F$14*AM224+BMILMS!$G$14,BMILMS!$D$15*AM224^3+BMILMS!$E$15*AM224^2+BMILMS!$F$15*AM224+BMILMS!$G$15)),(IF(AM224&lt;90,BMILMS!$D$17*AM224^3+BMILMS!$E$17*AM224^2+BMILMS!$F$17*AM224+BMILMS!$G$17,BMILMS!$D$18*AM224^3+BMILMS!$E$18*AM224^2+BMILMS!$F$18*AM224+BMILMS!$G$18)))</f>
        <v>8.8969350000000003E-2</v>
      </c>
      <c r="AM224" s="4">
        <f t="shared" si="83"/>
        <v>0</v>
      </c>
      <c r="AO224" s="56">
        <f>IF(D224="M",WeightSDS!P$5*$AM224^7+WeightSDS!Q$5*$AM224^6+WeightSDS!R$5*$AM224^5+WeightSDS!S$5*$AM224^4+WeightSDS!T$5*$AM224^3+WeightSDS!U$5*$AM224^2+WeightSDS!V$5*$AM224+WeightSDS!W$5,IF($AM224&lt;186,WeightSDS!P$8*$AM224^7+WeightSDS!Q$8*$AM224^6+WeightSDS!R$8*$AM224^5+WeightSDS!S$8*$AM224^4+WeightSDS!T$8*$AM224^3+WeightSDS!U$8*$AM224^2+WeightSDS!V$8*$AM224+WeightSDS!W$8,WeightSDS!$U$9+WeightSDS!$V$9*($AM224-WeightSDS!$W$9)))</f>
        <v>0.75407122999999998</v>
      </c>
      <c r="AP224" s="4">
        <f>IF(D224="M",IF($AM224&lt;45,WeightSDS!M$23*$AM224^10+WeightSDS!N$23*$AM224^9+WeightSDS!O$23*$AM224^8+WeightSDS!P$23*$AM224^7+WeightSDS!Q$23*$AM224^6+WeightSDS!R$23*$AM224^5+WeightSDS!S$23*$AM224^4+WeightSDS!T$23*$AM224^3+WeightSDS!U$23*$AM224^2+WeightSDS!V$23*$AM224+WeightSDS!W$23,IF($AM224&lt;153,WeightSDS!M$25*$AM224^10+WeightSDS!N$25*$AM224^9+WeightSDS!O$25*$AM224^8+WeightSDS!P$25*$AM224^7+WeightSDS!Q$25*$AM224^6+WeightSDS!R$25*$AM224^5+WeightSDS!S$25*$AM224^4+WeightSDS!T$25*$AM224^3+WeightSDS!U$25*$AM224^2+WeightSDS!V$25*$AM224+WeightSDS!W$25,WeightSDS!M$27+WeightSDS!N$27/(1+EXP(WeightSDS!O$27+WeightSDS!P$27*$AM224)))),IF($AM224&lt;43.8,WeightSDS!M$29*$AM224^10+WeightSDS!N$29*$AM224^9+WeightSDS!O$29*$AM224^8+WeightSDS!P$29*$AM224^7+WeightSDS!Q$29*$AM224^6+WeightSDS!R$29*$AM224^5+WeightSDS!S$29*$AM224^4+WeightSDS!T$29*$AM224^3+WeightSDS!U$29*$AM224^2+WeightSDS!V$29*$AM224+WeightSDS!W$29-0.010431*(1-$AM224/210),IF($AM224&lt;123,WeightSDS!M$30*$AM224^10+WeightSDS!N$30*$AM224^9+WeightSDS!O$30*$AM224^8+WeightSDS!P$30*$AM224^7+WeightSDS!Q$30*$AM224^6+WeightSDS!R$30*$AM224^5+WeightSDS!S$30*$AM224^4+WeightSDS!T$30*$AM224^3+WeightSDS!U$30*$AM224^2+WeightSDS!V$30*$AM224+WeightSDS!W$30-0.010431*(1-1/$AM224),WeightSDS!M$32+WeightSDS!N$32/(1+EXP(WeightSDS!O$32+WeightSDS!P$32*$AM224))-0.010431*(1-$AM224/210))))</f>
        <v>2.9500001032655536</v>
      </c>
      <c r="AQ224" s="4">
        <f>IF(D224="M",IF($AM224&lt;162,WeightSDS!P$12*$AM224^7+WeightSDS!Q$12*$AM224^6+WeightSDS!R$12*$AM224^5+WeightSDS!S$12*$AM224^4+WeightSDS!T$12*$AM224^3+WeightSDS!U$12*$AM224^2+WeightSDS!V$12*$AM224+WeightSDS!W$12,WeightSDS!P$14*$AM224^7+WeightSDS!Q$14*$AM224^6+WeightSDS!R$14*$AM224^5+WeightSDS!S$14*$AM224^4+WeightSDS!T$14*$AM224^3+WeightSDS!U$14*$AM224^2+WeightSDS!V$14*$AM224+WeightSDS!W$14),IF($AM224&lt;156,WeightSDS!O$17*$AM224^8+WeightSDS!P$17*$AM224^7+WeightSDS!Q$17*$AM224^6+WeightSDS!R$17*$AM224^5+WeightSDS!S$17*$AM224^4+WeightSDS!T$17*$AM224^3+WeightSDS!U$17*$AM224^2+WeightSDS!V$17*$AM224+WeightSDS!W$17,IF($AM224&lt;186,WeightSDS!$U$18+(WeightSDS!$V$18-WeightSDS!$U$18)/24*($AM224-186)+WeightSDS!$W$18*(-$AM224+186)^2-0.005,WeightSDS!$U$18+(WeightSDS!$V$18-WeightSDS!$U$18)/24*($AM224-186)-0.005)))</f>
        <v>0.14604529399999999</v>
      </c>
      <c r="AT224" s="4">
        <f t="shared" si="70"/>
        <v>0.56299999999999994</v>
      </c>
      <c r="AU224" s="4">
        <f t="shared" si="71"/>
        <v>69</v>
      </c>
      <c r="AV224" s="4">
        <f t="shared" si="72"/>
        <v>0.51</v>
      </c>
    </row>
    <row r="225" spans="1:48" x14ac:dyDescent="0.15">
      <c r="A225" s="4"/>
      <c r="B225" s="21"/>
      <c r="C225" s="21"/>
      <c r="D225" s="21"/>
      <c r="E225" s="22"/>
      <c r="F225" s="22"/>
      <c r="G225" s="23"/>
      <c r="H225" s="23"/>
      <c r="I225" s="181"/>
      <c r="J225" s="8" t="str">
        <f t="shared" si="64"/>
        <v/>
      </c>
      <c r="K225" s="2" t="str">
        <f t="shared" si="73"/>
        <v/>
      </c>
      <c r="L225" s="2" t="str">
        <f t="shared" si="65"/>
        <v/>
      </c>
      <c r="M225" s="2" t="str">
        <f t="shared" si="74"/>
        <v/>
      </c>
      <c r="N225" s="2" t="str">
        <f t="shared" si="82"/>
        <v/>
      </c>
      <c r="O225" s="2" t="str">
        <f t="shared" si="75"/>
        <v/>
      </c>
      <c r="P225" s="8" t="str">
        <f t="shared" si="76"/>
        <v/>
      </c>
      <c r="Q225" s="8" t="str">
        <f t="shared" si="77"/>
        <v/>
      </c>
      <c r="R225" s="111" t="str">
        <f t="shared" si="78"/>
        <v/>
      </c>
      <c r="S225" s="44" t="str">
        <f t="shared" si="79"/>
        <v/>
      </c>
      <c r="T225" s="37" t="str">
        <f t="shared" si="80"/>
        <v/>
      </c>
      <c r="U225" s="44" t="str">
        <f t="shared" si="81"/>
        <v/>
      </c>
      <c r="V225" s="26"/>
      <c r="W225" s="26"/>
      <c r="X225" s="26"/>
      <c r="Y225" s="26"/>
      <c r="Z225" s="24"/>
      <c r="AA225" s="169">
        <f t="shared" si="66"/>
        <v>0</v>
      </c>
      <c r="AB225" s="4">
        <f t="shared" si="67"/>
        <v>0</v>
      </c>
      <c r="AC225" s="170">
        <f t="shared" si="84"/>
        <v>0</v>
      </c>
      <c r="AD225" s="58"/>
      <c r="AE225" s="58"/>
      <c r="AF225" s="58"/>
      <c r="AG225" s="59">
        <f t="shared" si="68"/>
        <v>9.0359999999999996</v>
      </c>
      <c r="AH225" s="59">
        <f t="shared" si="69"/>
        <v>-184.49199999999999</v>
      </c>
      <c r="AJ225" s="4">
        <f>IF(D225="M",IF(AM225&lt;78,BMILMS!$D$5*AM225^3+BMILMS!$E$5*AM225^2+BMILMS!$F$5*AM225+BMILMS!$G$5,IF(AM225&lt;150,BMILMS!$D$6*AM225^3+BMILMS!$E$6*AM225^2+BMILMS!$F$6*AM225+BMILMS!$G$6,BMILMS!$D$7*AM225^3+BMILMS!$E$7*AM225^2+BMILMS!$F$7*AM225+BMILMS!$G$7)),IF(AM225&lt;69,BMILMS!$D$9*AM225^3+BMILMS!$E$9*AM225^2+BMILMS!$F$9*AM225+BMILMS!$G$9,IF(AM225&lt;150,BMILMS!$D$10*AM225^3+BMILMS!$E$10*AM225^2+BMILMS!$F$10*AM225+BMILMS!$G$10,BMILMS!$D$11*AM225^3+BMILMS!$E$11*AM225^2+BMILMS!$F$11*AM225+BMILMS!$G$11)))</f>
        <v>0.79584630099999998</v>
      </c>
      <c r="AK225" s="4">
        <f>IF(D225="M",(IF(AM225&lt;2.5,BMILMS!$D$21*AM225^3+BMILMS!$E$21*AM225^2+BMILMS!$F$21*AM225+BMILMS!$G$21,IF(AM225&lt;9.5,BMILMS!$D$22*AM225^3+BMILMS!$E$22*AM225^2+BMILMS!$F$22*AM225+BMILMS!$G$22,IF(AM225&lt;26.75,BMILMS!$D$23*AM225^3+BMILMS!$E$23*AM225^2+BMILMS!$F$23*AM225+BMILMS!$G$23,IF(AM225&lt;90,BMILMS!$D$24*AM225^3+BMILMS!$E$24*AM225^2+BMILMS!$F$24*AM225+BMILMS!$G$24,BMILMS!$D$25*AM225^3+BMILMS!$E$25*AM225^2+BMILMS!$F$25*AM225+BMILMS!$G$25))))),(IF(AM225&lt;2.5,BMILMS!$D$27*AM225^3+BMILMS!$E$27*AM225^2+BMILMS!$F$27*AM225+BMILMS!$G$27,IF(AM225&lt;9.5,BMILMS!$D$28*AM225^3+BMILMS!$E$28*AM225^2+BMILMS!$F$28*AM225+BMILMS!$G$28,IF(AM225&lt;26.75,BMILMS!$D$29*AM225^3+BMILMS!$E$29*AM225^2+BMILMS!$F$29*AM225+BMILMS!$G$29,IF(AM225&lt;90,BMILMS!$D$30*AM225^3+BMILMS!$E$30*AM225^2+BMILMS!$F$30*AM225+BMILMS!$G$30,IF(AM225&lt;150,BMILMS!$D$31*AM225^3+BMILMS!$E$31*AM225^2+BMILMS!$F$31*AM225+BMILMS!$G$31,BMILMS!$D$32*AM225^3+BMILMS!$E$32*AM225^2+BMILMS!$F$32*AM225+BMILMS!$G$32)))))))</f>
        <v>12.568967990000001</v>
      </c>
      <c r="AL225" s="4">
        <f>IF(D225="M",(IF(AM225&lt;90,BMILMS!$D$14*AM225^3+BMILMS!$E$14*AM225^2+BMILMS!$F$14*AM225+BMILMS!$G$14,BMILMS!$D$15*AM225^3+BMILMS!$E$15*AM225^2+BMILMS!$F$15*AM225+BMILMS!$G$15)),(IF(AM225&lt;90,BMILMS!$D$17*AM225^3+BMILMS!$E$17*AM225^2+BMILMS!$F$17*AM225+BMILMS!$G$17,BMILMS!$D$18*AM225^3+BMILMS!$E$18*AM225^2+BMILMS!$F$18*AM225+BMILMS!$G$18)))</f>
        <v>8.8969350000000003E-2</v>
      </c>
      <c r="AM225" s="4">
        <f t="shared" si="83"/>
        <v>0</v>
      </c>
      <c r="AO225" s="56">
        <f>IF(D225="M",WeightSDS!P$5*$AM225^7+WeightSDS!Q$5*$AM225^6+WeightSDS!R$5*$AM225^5+WeightSDS!S$5*$AM225^4+WeightSDS!T$5*$AM225^3+WeightSDS!U$5*$AM225^2+WeightSDS!V$5*$AM225+WeightSDS!W$5,IF($AM225&lt;186,WeightSDS!P$8*$AM225^7+WeightSDS!Q$8*$AM225^6+WeightSDS!R$8*$AM225^5+WeightSDS!S$8*$AM225^4+WeightSDS!T$8*$AM225^3+WeightSDS!U$8*$AM225^2+WeightSDS!V$8*$AM225+WeightSDS!W$8,WeightSDS!$U$9+WeightSDS!$V$9*($AM225-WeightSDS!$W$9)))</f>
        <v>0.75407122999999998</v>
      </c>
      <c r="AP225" s="4">
        <f>IF(D225="M",IF($AM225&lt;45,WeightSDS!M$23*$AM225^10+WeightSDS!N$23*$AM225^9+WeightSDS!O$23*$AM225^8+WeightSDS!P$23*$AM225^7+WeightSDS!Q$23*$AM225^6+WeightSDS!R$23*$AM225^5+WeightSDS!S$23*$AM225^4+WeightSDS!T$23*$AM225^3+WeightSDS!U$23*$AM225^2+WeightSDS!V$23*$AM225+WeightSDS!W$23,IF($AM225&lt;153,WeightSDS!M$25*$AM225^10+WeightSDS!N$25*$AM225^9+WeightSDS!O$25*$AM225^8+WeightSDS!P$25*$AM225^7+WeightSDS!Q$25*$AM225^6+WeightSDS!R$25*$AM225^5+WeightSDS!S$25*$AM225^4+WeightSDS!T$25*$AM225^3+WeightSDS!U$25*$AM225^2+WeightSDS!V$25*$AM225+WeightSDS!W$25,WeightSDS!M$27+WeightSDS!N$27/(1+EXP(WeightSDS!O$27+WeightSDS!P$27*$AM225)))),IF($AM225&lt;43.8,WeightSDS!M$29*$AM225^10+WeightSDS!N$29*$AM225^9+WeightSDS!O$29*$AM225^8+WeightSDS!P$29*$AM225^7+WeightSDS!Q$29*$AM225^6+WeightSDS!R$29*$AM225^5+WeightSDS!S$29*$AM225^4+WeightSDS!T$29*$AM225^3+WeightSDS!U$29*$AM225^2+WeightSDS!V$29*$AM225+WeightSDS!W$29-0.010431*(1-$AM225/210),IF($AM225&lt;123,WeightSDS!M$30*$AM225^10+WeightSDS!N$30*$AM225^9+WeightSDS!O$30*$AM225^8+WeightSDS!P$30*$AM225^7+WeightSDS!Q$30*$AM225^6+WeightSDS!R$30*$AM225^5+WeightSDS!S$30*$AM225^4+WeightSDS!T$30*$AM225^3+WeightSDS!U$30*$AM225^2+WeightSDS!V$30*$AM225+WeightSDS!W$30-0.010431*(1-1/$AM225),WeightSDS!M$32+WeightSDS!N$32/(1+EXP(WeightSDS!O$32+WeightSDS!P$32*$AM225))-0.010431*(1-$AM225/210))))</f>
        <v>2.9500001032655536</v>
      </c>
      <c r="AQ225" s="4">
        <f>IF(D225="M",IF($AM225&lt;162,WeightSDS!P$12*$AM225^7+WeightSDS!Q$12*$AM225^6+WeightSDS!R$12*$AM225^5+WeightSDS!S$12*$AM225^4+WeightSDS!T$12*$AM225^3+WeightSDS!U$12*$AM225^2+WeightSDS!V$12*$AM225+WeightSDS!W$12,WeightSDS!P$14*$AM225^7+WeightSDS!Q$14*$AM225^6+WeightSDS!R$14*$AM225^5+WeightSDS!S$14*$AM225^4+WeightSDS!T$14*$AM225^3+WeightSDS!U$14*$AM225^2+WeightSDS!V$14*$AM225+WeightSDS!W$14),IF($AM225&lt;156,WeightSDS!O$17*$AM225^8+WeightSDS!P$17*$AM225^7+WeightSDS!Q$17*$AM225^6+WeightSDS!R$17*$AM225^5+WeightSDS!S$17*$AM225^4+WeightSDS!T$17*$AM225^3+WeightSDS!U$17*$AM225^2+WeightSDS!V$17*$AM225+WeightSDS!W$17,IF($AM225&lt;186,WeightSDS!$U$18+(WeightSDS!$V$18-WeightSDS!$U$18)/24*($AM225-186)+WeightSDS!$W$18*(-$AM225+186)^2-0.005,WeightSDS!$U$18+(WeightSDS!$V$18-WeightSDS!$U$18)/24*($AM225-186)-0.005)))</f>
        <v>0.14604529399999999</v>
      </c>
      <c r="AT225" s="4">
        <f t="shared" si="70"/>
        <v>0.56299999999999994</v>
      </c>
      <c r="AU225" s="4">
        <f t="shared" si="71"/>
        <v>69</v>
      </c>
      <c r="AV225" s="4">
        <f t="shared" si="72"/>
        <v>0.51</v>
      </c>
    </row>
    <row r="226" spans="1:48" x14ac:dyDescent="0.15">
      <c r="A226" s="4"/>
      <c r="B226" s="21"/>
      <c r="C226" s="21"/>
      <c r="D226" s="21"/>
      <c r="E226" s="22"/>
      <c r="F226" s="22"/>
      <c r="G226" s="23"/>
      <c r="H226" s="23"/>
      <c r="I226" s="181"/>
      <c r="J226" s="8" t="str">
        <f t="shared" si="64"/>
        <v/>
      </c>
      <c r="K226" s="2" t="str">
        <f t="shared" si="73"/>
        <v/>
      </c>
      <c r="L226" s="2" t="str">
        <f t="shared" si="65"/>
        <v/>
      </c>
      <c r="M226" s="2" t="str">
        <f t="shared" si="74"/>
        <v/>
      </c>
      <c r="N226" s="2" t="str">
        <f t="shared" si="82"/>
        <v/>
      </c>
      <c r="O226" s="2" t="str">
        <f t="shared" si="75"/>
        <v/>
      </c>
      <c r="P226" s="8" t="str">
        <f t="shared" si="76"/>
        <v/>
      </c>
      <c r="Q226" s="8" t="str">
        <f t="shared" si="77"/>
        <v/>
      </c>
      <c r="R226" s="111" t="str">
        <f t="shared" si="78"/>
        <v/>
      </c>
      <c r="S226" s="44" t="str">
        <f t="shared" si="79"/>
        <v/>
      </c>
      <c r="T226" s="37" t="str">
        <f t="shared" si="80"/>
        <v/>
      </c>
      <c r="U226" s="44" t="str">
        <f t="shared" si="81"/>
        <v/>
      </c>
      <c r="V226" s="26"/>
      <c r="W226" s="26"/>
      <c r="X226" s="26"/>
      <c r="Y226" s="26"/>
      <c r="Z226" s="24"/>
      <c r="AA226" s="169">
        <f t="shared" si="66"/>
        <v>0</v>
      </c>
      <c r="AB226" s="4">
        <f t="shared" si="67"/>
        <v>0</v>
      </c>
      <c r="AC226" s="170">
        <f t="shared" si="84"/>
        <v>0</v>
      </c>
      <c r="AD226" s="58"/>
      <c r="AE226" s="58"/>
      <c r="AF226" s="58"/>
      <c r="AG226" s="59">
        <f t="shared" si="68"/>
        <v>9.0359999999999996</v>
      </c>
      <c r="AH226" s="59">
        <f t="shared" si="69"/>
        <v>-184.49199999999999</v>
      </c>
      <c r="AJ226" s="4">
        <f>IF(D226="M",IF(AM226&lt;78,BMILMS!$D$5*AM226^3+BMILMS!$E$5*AM226^2+BMILMS!$F$5*AM226+BMILMS!$G$5,IF(AM226&lt;150,BMILMS!$D$6*AM226^3+BMILMS!$E$6*AM226^2+BMILMS!$F$6*AM226+BMILMS!$G$6,BMILMS!$D$7*AM226^3+BMILMS!$E$7*AM226^2+BMILMS!$F$7*AM226+BMILMS!$G$7)),IF(AM226&lt;69,BMILMS!$D$9*AM226^3+BMILMS!$E$9*AM226^2+BMILMS!$F$9*AM226+BMILMS!$G$9,IF(AM226&lt;150,BMILMS!$D$10*AM226^3+BMILMS!$E$10*AM226^2+BMILMS!$F$10*AM226+BMILMS!$G$10,BMILMS!$D$11*AM226^3+BMILMS!$E$11*AM226^2+BMILMS!$F$11*AM226+BMILMS!$G$11)))</f>
        <v>0.79584630099999998</v>
      </c>
      <c r="AK226" s="4">
        <f>IF(D226="M",(IF(AM226&lt;2.5,BMILMS!$D$21*AM226^3+BMILMS!$E$21*AM226^2+BMILMS!$F$21*AM226+BMILMS!$G$21,IF(AM226&lt;9.5,BMILMS!$D$22*AM226^3+BMILMS!$E$22*AM226^2+BMILMS!$F$22*AM226+BMILMS!$G$22,IF(AM226&lt;26.75,BMILMS!$D$23*AM226^3+BMILMS!$E$23*AM226^2+BMILMS!$F$23*AM226+BMILMS!$G$23,IF(AM226&lt;90,BMILMS!$D$24*AM226^3+BMILMS!$E$24*AM226^2+BMILMS!$F$24*AM226+BMILMS!$G$24,BMILMS!$D$25*AM226^3+BMILMS!$E$25*AM226^2+BMILMS!$F$25*AM226+BMILMS!$G$25))))),(IF(AM226&lt;2.5,BMILMS!$D$27*AM226^3+BMILMS!$E$27*AM226^2+BMILMS!$F$27*AM226+BMILMS!$G$27,IF(AM226&lt;9.5,BMILMS!$D$28*AM226^3+BMILMS!$E$28*AM226^2+BMILMS!$F$28*AM226+BMILMS!$G$28,IF(AM226&lt;26.75,BMILMS!$D$29*AM226^3+BMILMS!$E$29*AM226^2+BMILMS!$F$29*AM226+BMILMS!$G$29,IF(AM226&lt;90,BMILMS!$D$30*AM226^3+BMILMS!$E$30*AM226^2+BMILMS!$F$30*AM226+BMILMS!$G$30,IF(AM226&lt;150,BMILMS!$D$31*AM226^3+BMILMS!$E$31*AM226^2+BMILMS!$F$31*AM226+BMILMS!$G$31,BMILMS!$D$32*AM226^3+BMILMS!$E$32*AM226^2+BMILMS!$F$32*AM226+BMILMS!$G$32)))))))</f>
        <v>12.568967990000001</v>
      </c>
      <c r="AL226" s="4">
        <f>IF(D226="M",(IF(AM226&lt;90,BMILMS!$D$14*AM226^3+BMILMS!$E$14*AM226^2+BMILMS!$F$14*AM226+BMILMS!$G$14,BMILMS!$D$15*AM226^3+BMILMS!$E$15*AM226^2+BMILMS!$F$15*AM226+BMILMS!$G$15)),(IF(AM226&lt;90,BMILMS!$D$17*AM226^3+BMILMS!$E$17*AM226^2+BMILMS!$F$17*AM226+BMILMS!$G$17,BMILMS!$D$18*AM226^3+BMILMS!$E$18*AM226^2+BMILMS!$F$18*AM226+BMILMS!$G$18)))</f>
        <v>8.8969350000000003E-2</v>
      </c>
      <c r="AM226" s="4">
        <f t="shared" si="83"/>
        <v>0</v>
      </c>
      <c r="AO226" s="56">
        <f>IF(D226="M",WeightSDS!P$5*$AM226^7+WeightSDS!Q$5*$AM226^6+WeightSDS!R$5*$AM226^5+WeightSDS!S$5*$AM226^4+WeightSDS!T$5*$AM226^3+WeightSDS!U$5*$AM226^2+WeightSDS!V$5*$AM226+WeightSDS!W$5,IF($AM226&lt;186,WeightSDS!P$8*$AM226^7+WeightSDS!Q$8*$AM226^6+WeightSDS!R$8*$AM226^5+WeightSDS!S$8*$AM226^4+WeightSDS!T$8*$AM226^3+WeightSDS!U$8*$AM226^2+WeightSDS!V$8*$AM226+WeightSDS!W$8,WeightSDS!$U$9+WeightSDS!$V$9*($AM226-WeightSDS!$W$9)))</f>
        <v>0.75407122999999998</v>
      </c>
      <c r="AP226" s="4">
        <f>IF(D226="M",IF($AM226&lt;45,WeightSDS!M$23*$AM226^10+WeightSDS!N$23*$AM226^9+WeightSDS!O$23*$AM226^8+WeightSDS!P$23*$AM226^7+WeightSDS!Q$23*$AM226^6+WeightSDS!R$23*$AM226^5+WeightSDS!S$23*$AM226^4+WeightSDS!T$23*$AM226^3+WeightSDS!U$23*$AM226^2+WeightSDS!V$23*$AM226+WeightSDS!W$23,IF($AM226&lt;153,WeightSDS!M$25*$AM226^10+WeightSDS!N$25*$AM226^9+WeightSDS!O$25*$AM226^8+WeightSDS!P$25*$AM226^7+WeightSDS!Q$25*$AM226^6+WeightSDS!R$25*$AM226^5+WeightSDS!S$25*$AM226^4+WeightSDS!T$25*$AM226^3+WeightSDS!U$25*$AM226^2+WeightSDS!V$25*$AM226+WeightSDS!W$25,WeightSDS!M$27+WeightSDS!N$27/(1+EXP(WeightSDS!O$27+WeightSDS!P$27*$AM226)))),IF($AM226&lt;43.8,WeightSDS!M$29*$AM226^10+WeightSDS!N$29*$AM226^9+WeightSDS!O$29*$AM226^8+WeightSDS!P$29*$AM226^7+WeightSDS!Q$29*$AM226^6+WeightSDS!R$29*$AM226^5+WeightSDS!S$29*$AM226^4+WeightSDS!T$29*$AM226^3+WeightSDS!U$29*$AM226^2+WeightSDS!V$29*$AM226+WeightSDS!W$29-0.010431*(1-$AM226/210),IF($AM226&lt;123,WeightSDS!M$30*$AM226^10+WeightSDS!N$30*$AM226^9+WeightSDS!O$30*$AM226^8+WeightSDS!P$30*$AM226^7+WeightSDS!Q$30*$AM226^6+WeightSDS!R$30*$AM226^5+WeightSDS!S$30*$AM226^4+WeightSDS!T$30*$AM226^3+WeightSDS!U$30*$AM226^2+WeightSDS!V$30*$AM226+WeightSDS!W$30-0.010431*(1-1/$AM226),WeightSDS!M$32+WeightSDS!N$32/(1+EXP(WeightSDS!O$32+WeightSDS!P$32*$AM226))-0.010431*(1-$AM226/210))))</f>
        <v>2.9500001032655536</v>
      </c>
      <c r="AQ226" s="4">
        <f>IF(D226="M",IF($AM226&lt;162,WeightSDS!P$12*$AM226^7+WeightSDS!Q$12*$AM226^6+WeightSDS!R$12*$AM226^5+WeightSDS!S$12*$AM226^4+WeightSDS!T$12*$AM226^3+WeightSDS!U$12*$AM226^2+WeightSDS!V$12*$AM226+WeightSDS!W$12,WeightSDS!P$14*$AM226^7+WeightSDS!Q$14*$AM226^6+WeightSDS!R$14*$AM226^5+WeightSDS!S$14*$AM226^4+WeightSDS!T$14*$AM226^3+WeightSDS!U$14*$AM226^2+WeightSDS!V$14*$AM226+WeightSDS!W$14),IF($AM226&lt;156,WeightSDS!O$17*$AM226^8+WeightSDS!P$17*$AM226^7+WeightSDS!Q$17*$AM226^6+WeightSDS!R$17*$AM226^5+WeightSDS!S$17*$AM226^4+WeightSDS!T$17*$AM226^3+WeightSDS!U$17*$AM226^2+WeightSDS!V$17*$AM226+WeightSDS!W$17,IF($AM226&lt;186,WeightSDS!$U$18+(WeightSDS!$V$18-WeightSDS!$U$18)/24*($AM226-186)+WeightSDS!$W$18*(-$AM226+186)^2-0.005,WeightSDS!$U$18+(WeightSDS!$V$18-WeightSDS!$U$18)/24*($AM226-186)-0.005)))</f>
        <v>0.14604529399999999</v>
      </c>
      <c r="AT226" s="4">
        <f t="shared" si="70"/>
        <v>0.56299999999999994</v>
      </c>
      <c r="AU226" s="4">
        <f t="shared" si="71"/>
        <v>69</v>
      </c>
      <c r="AV226" s="4">
        <f t="shared" si="72"/>
        <v>0.51</v>
      </c>
    </row>
    <row r="227" spans="1:48" x14ac:dyDescent="0.15">
      <c r="A227" s="4"/>
      <c r="B227" s="21"/>
      <c r="C227" s="21"/>
      <c r="D227" s="21"/>
      <c r="E227" s="22"/>
      <c r="F227" s="22"/>
      <c r="G227" s="23"/>
      <c r="H227" s="23"/>
      <c r="I227" s="181"/>
      <c r="J227" s="8" t="str">
        <f t="shared" si="64"/>
        <v/>
      </c>
      <c r="K227" s="2" t="str">
        <f t="shared" si="73"/>
        <v/>
      </c>
      <c r="L227" s="2" t="str">
        <f t="shared" si="65"/>
        <v/>
      </c>
      <c r="M227" s="2" t="str">
        <f t="shared" si="74"/>
        <v/>
      </c>
      <c r="N227" s="2" t="str">
        <f t="shared" si="82"/>
        <v/>
      </c>
      <c r="O227" s="2" t="str">
        <f t="shared" si="75"/>
        <v/>
      </c>
      <c r="P227" s="8" t="str">
        <f t="shared" si="76"/>
        <v/>
      </c>
      <c r="Q227" s="8" t="str">
        <f t="shared" si="77"/>
        <v/>
      </c>
      <c r="R227" s="111" t="str">
        <f t="shared" si="78"/>
        <v/>
      </c>
      <c r="S227" s="44" t="str">
        <f t="shared" si="79"/>
        <v/>
      </c>
      <c r="T227" s="37" t="str">
        <f t="shared" si="80"/>
        <v/>
      </c>
      <c r="U227" s="44" t="str">
        <f t="shared" si="81"/>
        <v/>
      </c>
      <c r="V227" s="26"/>
      <c r="W227" s="26"/>
      <c r="X227" s="26"/>
      <c r="Y227" s="26"/>
      <c r="Z227" s="24"/>
      <c r="AA227" s="169">
        <f t="shared" si="66"/>
        <v>0</v>
      </c>
      <c r="AB227" s="4">
        <f t="shared" si="67"/>
        <v>0</v>
      </c>
      <c r="AC227" s="170">
        <f t="shared" si="84"/>
        <v>0</v>
      </c>
      <c r="AD227" s="58"/>
      <c r="AE227" s="58"/>
      <c r="AF227" s="58"/>
      <c r="AG227" s="59">
        <f t="shared" si="68"/>
        <v>9.0359999999999996</v>
      </c>
      <c r="AH227" s="59">
        <f t="shared" si="69"/>
        <v>-184.49199999999999</v>
      </c>
      <c r="AJ227" s="4">
        <f>IF(D227="M",IF(AM227&lt;78,BMILMS!$D$5*AM227^3+BMILMS!$E$5*AM227^2+BMILMS!$F$5*AM227+BMILMS!$G$5,IF(AM227&lt;150,BMILMS!$D$6*AM227^3+BMILMS!$E$6*AM227^2+BMILMS!$F$6*AM227+BMILMS!$G$6,BMILMS!$D$7*AM227^3+BMILMS!$E$7*AM227^2+BMILMS!$F$7*AM227+BMILMS!$G$7)),IF(AM227&lt;69,BMILMS!$D$9*AM227^3+BMILMS!$E$9*AM227^2+BMILMS!$F$9*AM227+BMILMS!$G$9,IF(AM227&lt;150,BMILMS!$D$10*AM227^3+BMILMS!$E$10*AM227^2+BMILMS!$F$10*AM227+BMILMS!$G$10,BMILMS!$D$11*AM227^3+BMILMS!$E$11*AM227^2+BMILMS!$F$11*AM227+BMILMS!$G$11)))</f>
        <v>0.79584630099999998</v>
      </c>
      <c r="AK227" s="4">
        <f>IF(D227="M",(IF(AM227&lt;2.5,BMILMS!$D$21*AM227^3+BMILMS!$E$21*AM227^2+BMILMS!$F$21*AM227+BMILMS!$G$21,IF(AM227&lt;9.5,BMILMS!$D$22*AM227^3+BMILMS!$E$22*AM227^2+BMILMS!$F$22*AM227+BMILMS!$G$22,IF(AM227&lt;26.75,BMILMS!$D$23*AM227^3+BMILMS!$E$23*AM227^2+BMILMS!$F$23*AM227+BMILMS!$G$23,IF(AM227&lt;90,BMILMS!$D$24*AM227^3+BMILMS!$E$24*AM227^2+BMILMS!$F$24*AM227+BMILMS!$G$24,BMILMS!$D$25*AM227^3+BMILMS!$E$25*AM227^2+BMILMS!$F$25*AM227+BMILMS!$G$25))))),(IF(AM227&lt;2.5,BMILMS!$D$27*AM227^3+BMILMS!$E$27*AM227^2+BMILMS!$F$27*AM227+BMILMS!$G$27,IF(AM227&lt;9.5,BMILMS!$D$28*AM227^3+BMILMS!$E$28*AM227^2+BMILMS!$F$28*AM227+BMILMS!$G$28,IF(AM227&lt;26.75,BMILMS!$D$29*AM227^3+BMILMS!$E$29*AM227^2+BMILMS!$F$29*AM227+BMILMS!$G$29,IF(AM227&lt;90,BMILMS!$D$30*AM227^3+BMILMS!$E$30*AM227^2+BMILMS!$F$30*AM227+BMILMS!$G$30,IF(AM227&lt;150,BMILMS!$D$31*AM227^3+BMILMS!$E$31*AM227^2+BMILMS!$F$31*AM227+BMILMS!$G$31,BMILMS!$D$32*AM227^3+BMILMS!$E$32*AM227^2+BMILMS!$F$32*AM227+BMILMS!$G$32)))))))</f>
        <v>12.568967990000001</v>
      </c>
      <c r="AL227" s="4">
        <f>IF(D227="M",(IF(AM227&lt;90,BMILMS!$D$14*AM227^3+BMILMS!$E$14*AM227^2+BMILMS!$F$14*AM227+BMILMS!$G$14,BMILMS!$D$15*AM227^3+BMILMS!$E$15*AM227^2+BMILMS!$F$15*AM227+BMILMS!$G$15)),(IF(AM227&lt;90,BMILMS!$D$17*AM227^3+BMILMS!$E$17*AM227^2+BMILMS!$F$17*AM227+BMILMS!$G$17,BMILMS!$D$18*AM227^3+BMILMS!$E$18*AM227^2+BMILMS!$F$18*AM227+BMILMS!$G$18)))</f>
        <v>8.8969350000000003E-2</v>
      </c>
      <c r="AM227" s="4">
        <f t="shared" si="83"/>
        <v>0</v>
      </c>
      <c r="AO227" s="56">
        <f>IF(D227="M",WeightSDS!P$5*$AM227^7+WeightSDS!Q$5*$AM227^6+WeightSDS!R$5*$AM227^5+WeightSDS!S$5*$AM227^4+WeightSDS!T$5*$AM227^3+WeightSDS!U$5*$AM227^2+WeightSDS!V$5*$AM227+WeightSDS!W$5,IF($AM227&lt;186,WeightSDS!P$8*$AM227^7+WeightSDS!Q$8*$AM227^6+WeightSDS!R$8*$AM227^5+WeightSDS!S$8*$AM227^4+WeightSDS!T$8*$AM227^3+WeightSDS!U$8*$AM227^2+WeightSDS!V$8*$AM227+WeightSDS!W$8,WeightSDS!$U$9+WeightSDS!$V$9*($AM227-WeightSDS!$W$9)))</f>
        <v>0.75407122999999998</v>
      </c>
      <c r="AP227" s="4">
        <f>IF(D227="M",IF($AM227&lt;45,WeightSDS!M$23*$AM227^10+WeightSDS!N$23*$AM227^9+WeightSDS!O$23*$AM227^8+WeightSDS!P$23*$AM227^7+WeightSDS!Q$23*$AM227^6+WeightSDS!R$23*$AM227^5+WeightSDS!S$23*$AM227^4+WeightSDS!T$23*$AM227^3+WeightSDS!U$23*$AM227^2+WeightSDS!V$23*$AM227+WeightSDS!W$23,IF($AM227&lt;153,WeightSDS!M$25*$AM227^10+WeightSDS!N$25*$AM227^9+WeightSDS!O$25*$AM227^8+WeightSDS!P$25*$AM227^7+WeightSDS!Q$25*$AM227^6+WeightSDS!R$25*$AM227^5+WeightSDS!S$25*$AM227^4+WeightSDS!T$25*$AM227^3+WeightSDS!U$25*$AM227^2+WeightSDS!V$25*$AM227+WeightSDS!W$25,WeightSDS!M$27+WeightSDS!N$27/(1+EXP(WeightSDS!O$27+WeightSDS!P$27*$AM227)))),IF($AM227&lt;43.8,WeightSDS!M$29*$AM227^10+WeightSDS!N$29*$AM227^9+WeightSDS!O$29*$AM227^8+WeightSDS!P$29*$AM227^7+WeightSDS!Q$29*$AM227^6+WeightSDS!R$29*$AM227^5+WeightSDS!S$29*$AM227^4+WeightSDS!T$29*$AM227^3+WeightSDS!U$29*$AM227^2+WeightSDS!V$29*$AM227+WeightSDS!W$29-0.010431*(1-$AM227/210),IF($AM227&lt;123,WeightSDS!M$30*$AM227^10+WeightSDS!N$30*$AM227^9+WeightSDS!O$30*$AM227^8+WeightSDS!P$30*$AM227^7+WeightSDS!Q$30*$AM227^6+WeightSDS!R$30*$AM227^5+WeightSDS!S$30*$AM227^4+WeightSDS!T$30*$AM227^3+WeightSDS!U$30*$AM227^2+WeightSDS!V$30*$AM227+WeightSDS!W$30-0.010431*(1-1/$AM227),WeightSDS!M$32+WeightSDS!N$32/(1+EXP(WeightSDS!O$32+WeightSDS!P$32*$AM227))-0.010431*(1-$AM227/210))))</f>
        <v>2.9500001032655536</v>
      </c>
      <c r="AQ227" s="4">
        <f>IF(D227="M",IF($AM227&lt;162,WeightSDS!P$12*$AM227^7+WeightSDS!Q$12*$AM227^6+WeightSDS!R$12*$AM227^5+WeightSDS!S$12*$AM227^4+WeightSDS!T$12*$AM227^3+WeightSDS!U$12*$AM227^2+WeightSDS!V$12*$AM227+WeightSDS!W$12,WeightSDS!P$14*$AM227^7+WeightSDS!Q$14*$AM227^6+WeightSDS!R$14*$AM227^5+WeightSDS!S$14*$AM227^4+WeightSDS!T$14*$AM227^3+WeightSDS!U$14*$AM227^2+WeightSDS!V$14*$AM227+WeightSDS!W$14),IF($AM227&lt;156,WeightSDS!O$17*$AM227^8+WeightSDS!P$17*$AM227^7+WeightSDS!Q$17*$AM227^6+WeightSDS!R$17*$AM227^5+WeightSDS!S$17*$AM227^4+WeightSDS!T$17*$AM227^3+WeightSDS!U$17*$AM227^2+WeightSDS!V$17*$AM227+WeightSDS!W$17,IF($AM227&lt;186,WeightSDS!$U$18+(WeightSDS!$V$18-WeightSDS!$U$18)/24*($AM227-186)+WeightSDS!$W$18*(-$AM227+186)^2-0.005,WeightSDS!$U$18+(WeightSDS!$V$18-WeightSDS!$U$18)/24*($AM227-186)-0.005)))</f>
        <v>0.14604529399999999</v>
      </c>
      <c r="AT227" s="4">
        <f t="shared" si="70"/>
        <v>0.56299999999999994</v>
      </c>
      <c r="AU227" s="4">
        <f t="shared" si="71"/>
        <v>69</v>
      </c>
      <c r="AV227" s="4">
        <f t="shared" si="72"/>
        <v>0.51</v>
      </c>
    </row>
    <row r="228" spans="1:48" x14ac:dyDescent="0.15">
      <c r="A228" s="4"/>
      <c r="B228" s="21"/>
      <c r="C228" s="21"/>
      <c r="D228" s="21"/>
      <c r="E228" s="22"/>
      <c r="F228" s="22"/>
      <c r="G228" s="23"/>
      <c r="H228" s="23"/>
      <c r="I228" s="181"/>
      <c r="J228" s="8" t="str">
        <f t="shared" si="64"/>
        <v/>
      </c>
      <c r="K228" s="2" t="str">
        <f t="shared" si="73"/>
        <v/>
      </c>
      <c r="L228" s="2" t="str">
        <f t="shared" si="65"/>
        <v/>
      </c>
      <c r="M228" s="2" t="str">
        <f t="shared" si="74"/>
        <v/>
      </c>
      <c r="N228" s="2" t="str">
        <f t="shared" si="82"/>
        <v/>
      </c>
      <c r="O228" s="2" t="str">
        <f t="shared" si="75"/>
        <v/>
      </c>
      <c r="P228" s="8" t="str">
        <f t="shared" si="76"/>
        <v/>
      </c>
      <c r="Q228" s="8" t="str">
        <f t="shared" si="77"/>
        <v/>
      </c>
      <c r="R228" s="111" t="str">
        <f t="shared" si="78"/>
        <v/>
      </c>
      <c r="S228" s="44" t="str">
        <f t="shared" si="79"/>
        <v/>
      </c>
      <c r="T228" s="37" t="str">
        <f t="shared" si="80"/>
        <v/>
      </c>
      <c r="U228" s="44" t="str">
        <f t="shared" si="81"/>
        <v/>
      </c>
      <c r="V228" s="26"/>
      <c r="W228" s="26"/>
      <c r="X228" s="26"/>
      <c r="Y228" s="26"/>
      <c r="Z228" s="24"/>
      <c r="AA228" s="169">
        <f t="shared" si="66"/>
        <v>0</v>
      </c>
      <c r="AB228" s="4">
        <f t="shared" si="67"/>
        <v>0</v>
      </c>
      <c r="AC228" s="170">
        <f t="shared" si="84"/>
        <v>0</v>
      </c>
      <c r="AD228" s="58"/>
      <c r="AE228" s="58"/>
      <c r="AF228" s="58"/>
      <c r="AG228" s="59">
        <f t="shared" si="68"/>
        <v>9.0359999999999996</v>
      </c>
      <c r="AH228" s="59">
        <f t="shared" si="69"/>
        <v>-184.49199999999999</v>
      </c>
      <c r="AJ228" s="4">
        <f>IF(D228="M",IF(AM228&lt;78,BMILMS!$D$5*AM228^3+BMILMS!$E$5*AM228^2+BMILMS!$F$5*AM228+BMILMS!$G$5,IF(AM228&lt;150,BMILMS!$D$6*AM228^3+BMILMS!$E$6*AM228^2+BMILMS!$F$6*AM228+BMILMS!$G$6,BMILMS!$D$7*AM228^3+BMILMS!$E$7*AM228^2+BMILMS!$F$7*AM228+BMILMS!$G$7)),IF(AM228&lt;69,BMILMS!$D$9*AM228^3+BMILMS!$E$9*AM228^2+BMILMS!$F$9*AM228+BMILMS!$G$9,IF(AM228&lt;150,BMILMS!$D$10*AM228^3+BMILMS!$E$10*AM228^2+BMILMS!$F$10*AM228+BMILMS!$G$10,BMILMS!$D$11*AM228^3+BMILMS!$E$11*AM228^2+BMILMS!$F$11*AM228+BMILMS!$G$11)))</f>
        <v>0.79584630099999998</v>
      </c>
      <c r="AK228" s="4">
        <f>IF(D228="M",(IF(AM228&lt;2.5,BMILMS!$D$21*AM228^3+BMILMS!$E$21*AM228^2+BMILMS!$F$21*AM228+BMILMS!$G$21,IF(AM228&lt;9.5,BMILMS!$D$22*AM228^3+BMILMS!$E$22*AM228^2+BMILMS!$F$22*AM228+BMILMS!$G$22,IF(AM228&lt;26.75,BMILMS!$D$23*AM228^3+BMILMS!$E$23*AM228^2+BMILMS!$F$23*AM228+BMILMS!$G$23,IF(AM228&lt;90,BMILMS!$D$24*AM228^3+BMILMS!$E$24*AM228^2+BMILMS!$F$24*AM228+BMILMS!$G$24,BMILMS!$D$25*AM228^3+BMILMS!$E$25*AM228^2+BMILMS!$F$25*AM228+BMILMS!$G$25))))),(IF(AM228&lt;2.5,BMILMS!$D$27*AM228^3+BMILMS!$E$27*AM228^2+BMILMS!$F$27*AM228+BMILMS!$G$27,IF(AM228&lt;9.5,BMILMS!$D$28*AM228^3+BMILMS!$E$28*AM228^2+BMILMS!$F$28*AM228+BMILMS!$G$28,IF(AM228&lt;26.75,BMILMS!$D$29*AM228^3+BMILMS!$E$29*AM228^2+BMILMS!$F$29*AM228+BMILMS!$G$29,IF(AM228&lt;90,BMILMS!$D$30*AM228^3+BMILMS!$E$30*AM228^2+BMILMS!$F$30*AM228+BMILMS!$G$30,IF(AM228&lt;150,BMILMS!$D$31*AM228^3+BMILMS!$E$31*AM228^2+BMILMS!$F$31*AM228+BMILMS!$G$31,BMILMS!$D$32*AM228^3+BMILMS!$E$32*AM228^2+BMILMS!$F$32*AM228+BMILMS!$G$32)))))))</f>
        <v>12.568967990000001</v>
      </c>
      <c r="AL228" s="4">
        <f>IF(D228="M",(IF(AM228&lt;90,BMILMS!$D$14*AM228^3+BMILMS!$E$14*AM228^2+BMILMS!$F$14*AM228+BMILMS!$G$14,BMILMS!$D$15*AM228^3+BMILMS!$E$15*AM228^2+BMILMS!$F$15*AM228+BMILMS!$G$15)),(IF(AM228&lt;90,BMILMS!$D$17*AM228^3+BMILMS!$E$17*AM228^2+BMILMS!$F$17*AM228+BMILMS!$G$17,BMILMS!$D$18*AM228^3+BMILMS!$E$18*AM228^2+BMILMS!$F$18*AM228+BMILMS!$G$18)))</f>
        <v>8.8969350000000003E-2</v>
      </c>
      <c r="AM228" s="4">
        <f t="shared" si="83"/>
        <v>0</v>
      </c>
      <c r="AO228" s="56">
        <f>IF(D228="M",WeightSDS!P$5*$AM228^7+WeightSDS!Q$5*$AM228^6+WeightSDS!R$5*$AM228^5+WeightSDS!S$5*$AM228^4+WeightSDS!T$5*$AM228^3+WeightSDS!U$5*$AM228^2+WeightSDS!V$5*$AM228+WeightSDS!W$5,IF($AM228&lt;186,WeightSDS!P$8*$AM228^7+WeightSDS!Q$8*$AM228^6+WeightSDS!R$8*$AM228^5+WeightSDS!S$8*$AM228^4+WeightSDS!T$8*$AM228^3+WeightSDS!U$8*$AM228^2+WeightSDS!V$8*$AM228+WeightSDS!W$8,WeightSDS!$U$9+WeightSDS!$V$9*($AM228-WeightSDS!$W$9)))</f>
        <v>0.75407122999999998</v>
      </c>
      <c r="AP228" s="4">
        <f>IF(D228="M",IF($AM228&lt;45,WeightSDS!M$23*$AM228^10+WeightSDS!N$23*$AM228^9+WeightSDS!O$23*$AM228^8+WeightSDS!P$23*$AM228^7+WeightSDS!Q$23*$AM228^6+WeightSDS!R$23*$AM228^5+WeightSDS!S$23*$AM228^4+WeightSDS!T$23*$AM228^3+WeightSDS!U$23*$AM228^2+WeightSDS!V$23*$AM228+WeightSDS!W$23,IF($AM228&lt;153,WeightSDS!M$25*$AM228^10+WeightSDS!N$25*$AM228^9+WeightSDS!O$25*$AM228^8+WeightSDS!P$25*$AM228^7+WeightSDS!Q$25*$AM228^6+WeightSDS!R$25*$AM228^5+WeightSDS!S$25*$AM228^4+WeightSDS!T$25*$AM228^3+WeightSDS!U$25*$AM228^2+WeightSDS!V$25*$AM228+WeightSDS!W$25,WeightSDS!M$27+WeightSDS!N$27/(1+EXP(WeightSDS!O$27+WeightSDS!P$27*$AM228)))),IF($AM228&lt;43.8,WeightSDS!M$29*$AM228^10+WeightSDS!N$29*$AM228^9+WeightSDS!O$29*$AM228^8+WeightSDS!P$29*$AM228^7+WeightSDS!Q$29*$AM228^6+WeightSDS!R$29*$AM228^5+WeightSDS!S$29*$AM228^4+WeightSDS!T$29*$AM228^3+WeightSDS!U$29*$AM228^2+WeightSDS!V$29*$AM228+WeightSDS!W$29-0.010431*(1-$AM228/210),IF($AM228&lt;123,WeightSDS!M$30*$AM228^10+WeightSDS!N$30*$AM228^9+WeightSDS!O$30*$AM228^8+WeightSDS!P$30*$AM228^7+WeightSDS!Q$30*$AM228^6+WeightSDS!R$30*$AM228^5+WeightSDS!S$30*$AM228^4+WeightSDS!T$30*$AM228^3+WeightSDS!U$30*$AM228^2+WeightSDS!V$30*$AM228+WeightSDS!W$30-0.010431*(1-1/$AM228),WeightSDS!M$32+WeightSDS!N$32/(1+EXP(WeightSDS!O$32+WeightSDS!P$32*$AM228))-0.010431*(1-$AM228/210))))</f>
        <v>2.9500001032655536</v>
      </c>
      <c r="AQ228" s="4">
        <f>IF(D228="M",IF($AM228&lt;162,WeightSDS!P$12*$AM228^7+WeightSDS!Q$12*$AM228^6+WeightSDS!R$12*$AM228^5+WeightSDS!S$12*$AM228^4+WeightSDS!T$12*$AM228^3+WeightSDS!U$12*$AM228^2+WeightSDS!V$12*$AM228+WeightSDS!W$12,WeightSDS!P$14*$AM228^7+WeightSDS!Q$14*$AM228^6+WeightSDS!R$14*$AM228^5+WeightSDS!S$14*$AM228^4+WeightSDS!T$14*$AM228^3+WeightSDS!U$14*$AM228^2+WeightSDS!V$14*$AM228+WeightSDS!W$14),IF($AM228&lt;156,WeightSDS!O$17*$AM228^8+WeightSDS!P$17*$AM228^7+WeightSDS!Q$17*$AM228^6+WeightSDS!R$17*$AM228^5+WeightSDS!S$17*$AM228^4+WeightSDS!T$17*$AM228^3+WeightSDS!U$17*$AM228^2+WeightSDS!V$17*$AM228+WeightSDS!W$17,IF($AM228&lt;186,WeightSDS!$U$18+(WeightSDS!$V$18-WeightSDS!$U$18)/24*($AM228-186)+WeightSDS!$W$18*(-$AM228+186)^2-0.005,WeightSDS!$U$18+(WeightSDS!$V$18-WeightSDS!$U$18)/24*($AM228-186)-0.005)))</f>
        <v>0.14604529399999999</v>
      </c>
      <c r="AT228" s="4">
        <f t="shared" si="70"/>
        <v>0.56299999999999994</v>
      </c>
      <c r="AU228" s="4">
        <f t="shared" si="71"/>
        <v>69</v>
      </c>
      <c r="AV228" s="4">
        <f t="shared" si="72"/>
        <v>0.51</v>
      </c>
    </row>
    <row r="229" spans="1:48" x14ac:dyDescent="0.15">
      <c r="A229" s="4"/>
      <c r="B229" s="21"/>
      <c r="C229" s="21"/>
      <c r="D229" s="21"/>
      <c r="E229" s="22"/>
      <c r="F229" s="22"/>
      <c r="G229" s="23"/>
      <c r="H229" s="23"/>
      <c r="I229" s="181"/>
      <c r="J229" s="8" t="str">
        <f t="shared" si="64"/>
        <v/>
      </c>
      <c r="K229" s="2" t="str">
        <f t="shared" si="73"/>
        <v/>
      </c>
      <c r="L229" s="2" t="str">
        <f t="shared" si="65"/>
        <v/>
      </c>
      <c r="M229" s="2" t="str">
        <f t="shared" si="74"/>
        <v/>
      </c>
      <c r="N229" s="2" t="str">
        <f t="shared" si="82"/>
        <v/>
      </c>
      <c r="O229" s="2" t="str">
        <f t="shared" si="75"/>
        <v/>
      </c>
      <c r="P229" s="8" t="str">
        <f t="shared" si="76"/>
        <v/>
      </c>
      <c r="Q229" s="8" t="str">
        <f t="shared" si="77"/>
        <v/>
      </c>
      <c r="R229" s="111" t="str">
        <f t="shared" si="78"/>
        <v/>
      </c>
      <c r="S229" s="44" t="str">
        <f t="shared" si="79"/>
        <v/>
      </c>
      <c r="T229" s="37" t="str">
        <f t="shared" si="80"/>
        <v/>
      </c>
      <c r="U229" s="44" t="str">
        <f t="shared" si="81"/>
        <v/>
      </c>
      <c r="V229" s="26"/>
      <c r="W229" s="26"/>
      <c r="X229" s="26"/>
      <c r="Y229" s="26"/>
      <c r="Z229" s="24"/>
      <c r="AA229" s="169">
        <f t="shared" si="66"/>
        <v>0</v>
      </c>
      <c r="AB229" s="4">
        <f t="shared" si="67"/>
        <v>0</v>
      </c>
      <c r="AC229" s="170">
        <f t="shared" si="84"/>
        <v>0</v>
      </c>
      <c r="AD229" s="58"/>
      <c r="AE229" s="58"/>
      <c r="AF229" s="58"/>
      <c r="AG229" s="59">
        <f t="shared" si="68"/>
        <v>9.0359999999999996</v>
      </c>
      <c r="AH229" s="59">
        <f t="shared" si="69"/>
        <v>-184.49199999999999</v>
      </c>
      <c r="AJ229" s="4">
        <f>IF(D229="M",IF(AM229&lt;78,BMILMS!$D$5*AM229^3+BMILMS!$E$5*AM229^2+BMILMS!$F$5*AM229+BMILMS!$G$5,IF(AM229&lt;150,BMILMS!$D$6*AM229^3+BMILMS!$E$6*AM229^2+BMILMS!$F$6*AM229+BMILMS!$G$6,BMILMS!$D$7*AM229^3+BMILMS!$E$7*AM229^2+BMILMS!$F$7*AM229+BMILMS!$G$7)),IF(AM229&lt;69,BMILMS!$D$9*AM229^3+BMILMS!$E$9*AM229^2+BMILMS!$F$9*AM229+BMILMS!$G$9,IF(AM229&lt;150,BMILMS!$D$10*AM229^3+BMILMS!$E$10*AM229^2+BMILMS!$F$10*AM229+BMILMS!$G$10,BMILMS!$D$11*AM229^3+BMILMS!$E$11*AM229^2+BMILMS!$F$11*AM229+BMILMS!$G$11)))</f>
        <v>0.79584630099999998</v>
      </c>
      <c r="AK229" s="4">
        <f>IF(D229="M",(IF(AM229&lt;2.5,BMILMS!$D$21*AM229^3+BMILMS!$E$21*AM229^2+BMILMS!$F$21*AM229+BMILMS!$G$21,IF(AM229&lt;9.5,BMILMS!$D$22*AM229^3+BMILMS!$E$22*AM229^2+BMILMS!$F$22*AM229+BMILMS!$G$22,IF(AM229&lt;26.75,BMILMS!$D$23*AM229^3+BMILMS!$E$23*AM229^2+BMILMS!$F$23*AM229+BMILMS!$G$23,IF(AM229&lt;90,BMILMS!$D$24*AM229^3+BMILMS!$E$24*AM229^2+BMILMS!$F$24*AM229+BMILMS!$G$24,BMILMS!$D$25*AM229^3+BMILMS!$E$25*AM229^2+BMILMS!$F$25*AM229+BMILMS!$G$25))))),(IF(AM229&lt;2.5,BMILMS!$D$27*AM229^3+BMILMS!$E$27*AM229^2+BMILMS!$F$27*AM229+BMILMS!$G$27,IF(AM229&lt;9.5,BMILMS!$D$28*AM229^3+BMILMS!$E$28*AM229^2+BMILMS!$F$28*AM229+BMILMS!$G$28,IF(AM229&lt;26.75,BMILMS!$D$29*AM229^3+BMILMS!$E$29*AM229^2+BMILMS!$F$29*AM229+BMILMS!$G$29,IF(AM229&lt;90,BMILMS!$D$30*AM229^3+BMILMS!$E$30*AM229^2+BMILMS!$F$30*AM229+BMILMS!$G$30,IF(AM229&lt;150,BMILMS!$D$31*AM229^3+BMILMS!$E$31*AM229^2+BMILMS!$F$31*AM229+BMILMS!$G$31,BMILMS!$D$32*AM229^3+BMILMS!$E$32*AM229^2+BMILMS!$F$32*AM229+BMILMS!$G$32)))))))</f>
        <v>12.568967990000001</v>
      </c>
      <c r="AL229" s="4">
        <f>IF(D229="M",(IF(AM229&lt;90,BMILMS!$D$14*AM229^3+BMILMS!$E$14*AM229^2+BMILMS!$F$14*AM229+BMILMS!$G$14,BMILMS!$D$15*AM229^3+BMILMS!$E$15*AM229^2+BMILMS!$F$15*AM229+BMILMS!$G$15)),(IF(AM229&lt;90,BMILMS!$D$17*AM229^3+BMILMS!$E$17*AM229^2+BMILMS!$F$17*AM229+BMILMS!$G$17,BMILMS!$D$18*AM229^3+BMILMS!$E$18*AM229^2+BMILMS!$F$18*AM229+BMILMS!$G$18)))</f>
        <v>8.8969350000000003E-2</v>
      </c>
      <c r="AM229" s="4">
        <f t="shared" si="83"/>
        <v>0</v>
      </c>
      <c r="AO229" s="56">
        <f>IF(D229="M",WeightSDS!P$5*$AM229^7+WeightSDS!Q$5*$AM229^6+WeightSDS!R$5*$AM229^5+WeightSDS!S$5*$AM229^4+WeightSDS!T$5*$AM229^3+WeightSDS!U$5*$AM229^2+WeightSDS!V$5*$AM229+WeightSDS!W$5,IF($AM229&lt;186,WeightSDS!P$8*$AM229^7+WeightSDS!Q$8*$AM229^6+WeightSDS!R$8*$AM229^5+WeightSDS!S$8*$AM229^4+WeightSDS!T$8*$AM229^3+WeightSDS!U$8*$AM229^2+WeightSDS!V$8*$AM229+WeightSDS!W$8,WeightSDS!$U$9+WeightSDS!$V$9*($AM229-WeightSDS!$W$9)))</f>
        <v>0.75407122999999998</v>
      </c>
      <c r="AP229" s="4">
        <f>IF(D229="M",IF($AM229&lt;45,WeightSDS!M$23*$AM229^10+WeightSDS!N$23*$AM229^9+WeightSDS!O$23*$AM229^8+WeightSDS!P$23*$AM229^7+WeightSDS!Q$23*$AM229^6+WeightSDS!R$23*$AM229^5+WeightSDS!S$23*$AM229^4+WeightSDS!T$23*$AM229^3+WeightSDS!U$23*$AM229^2+WeightSDS!V$23*$AM229+WeightSDS!W$23,IF($AM229&lt;153,WeightSDS!M$25*$AM229^10+WeightSDS!N$25*$AM229^9+WeightSDS!O$25*$AM229^8+WeightSDS!P$25*$AM229^7+WeightSDS!Q$25*$AM229^6+WeightSDS!R$25*$AM229^5+WeightSDS!S$25*$AM229^4+WeightSDS!T$25*$AM229^3+WeightSDS!U$25*$AM229^2+WeightSDS!V$25*$AM229+WeightSDS!W$25,WeightSDS!M$27+WeightSDS!N$27/(1+EXP(WeightSDS!O$27+WeightSDS!P$27*$AM229)))),IF($AM229&lt;43.8,WeightSDS!M$29*$AM229^10+WeightSDS!N$29*$AM229^9+WeightSDS!O$29*$AM229^8+WeightSDS!P$29*$AM229^7+WeightSDS!Q$29*$AM229^6+WeightSDS!R$29*$AM229^5+WeightSDS!S$29*$AM229^4+WeightSDS!T$29*$AM229^3+WeightSDS!U$29*$AM229^2+WeightSDS!V$29*$AM229+WeightSDS!W$29-0.010431*(1-$AM229/210),IF($AM229&lt;123,WeightSDS!M$30*$AM229^10+WeightSDS!N$30*$AM229^9+WeightSDS!O$30*$AM229^8+WeightSDS!P$30*$AM229^7+WeightSDS!Q$30*$AM229^6+WeightSDS!R$30*$AM229^5+WeightSDS!S$30*$AM229^4+WeightSDS!T$30*$AM229^3+WeightSDS!U$30*$AM229^2+WeightSDS!V$30*$AM229+WeightSDS!W$30-0.010431*(1-1/$AM229),WeightSDS!M$32+WeightSDS!N$32/(1+EXP(WeightSDS!O$32+WeightSDS!P$32*$AM229))-0.010431*(1-$AM229/210))))</f>
        <v>2.9500001032655536</v>
      </c>
      <c r="AQ229" s="4">
        <f>IF(D229="M",IF($AM229&lt;162,WeightSDS!P$12*$AM229^7+WeightSDS!Q$12*$AM229^6+WeightSDS!R$12*$AM229^5+WeightSDS!S$12*$AM229^4+WeightSDS!T$12*$AM229^3+WeightSDS!U$12*$AM229^2+WeightSDS!V$12*$AM229+WeightSDS!W$12,WeightSDS!P$14*$AM229^7+WeightSDS!Q$14*$AM229^6+WeightSDS!R$14*$AM229^5+WeightSDS!S$14*$AM229^4+WeightSDS!T$14*$AM229^3+WeightSDS!U$14*$AM229^2+WeightSDS!V$14*$AM229+WeightSDS!W$14),IF($AM229&lt;156,WeightSDS!O$17*$AM229^8+WeightSDS!P$17*$AM229^7+WeightSDS!Q$17*$AM229^6+WeightSDS!R$17*$AM229^5+WeightSDS!S$17*$AM229^4+WeightSDS!T$17*$AM229^3+WeightSDS!U$17*$AM229^2+WeightSDS!V$17*$AM229+WeightSDS!W$17,IF($AM229&lt;186,WeightSDS!$U$18+(WeightSDS!$V$18-WeightSDS!$U$18)/24*($AM229-186)+WeightSDS!$W$18*(-$AM229+186)^2-0.005,WeightSDS!$U$18+(WeightSDS!$V$18-WeightSDS!$U$18)/24*($AM229-186)-0.005)))</f>
        <v>0.14604529399999999</v>
      </c>
      <c r="AT229" s="4">
        <f t="shared" si="70"/>
        <v>0.56299999999999994</v>
      </c>
      <c r="AU229" s="4">
        <f t="shared" si="71"/>
        <v>69</v>
      </c>
      <c r="AV229" s="4">
        <f t="shared" si="72"/>
        <v>0.51</v>
      </c>
    </row>
    <row r="230" spans="1:48" x14ac:dyDescent="0.15">
      <c r="A230" s="4"/>
      <c r="B230" s="21"/>
      <c r="C230" s="21"/>
      <c r="D230" s="21"/>
      <c r="E230" s="22"/>
      <c r="F230" s="22"/>
      <c r="G230" s="23"/>
      <c r="H230" s="23"/>
      <c r="I230" s="181"/>
      <c r="J230" s="8" t="str">
        <f t="shared" si="64"/>
        <v/>
      </c>
      <c r="K230" s="2" t="str">
        <f t="shared" si="73"/>
        <v/>
      </c>
      <c r="L230" s="2" t="str">
        <f t="shared" si="65"/>
        <v/>
      </c>
      <c r="M230" s="2" t="str">
        <f t="shared" si="74"/>
        <v/>
      </c>
      <c r="N230" s="2" t="str">
        <f t="shared" si="82"/>
        <v/>
      </c>
      <c r="O230" s="2" t="str">
        <f t="shared" si="75"/>
        <v/>
      </c>
      <c r="P230" s="8" t="str">
        <f t="shared" si="76"/>
        <v/>
      </c>
      <c r="Q230" s="8" t="str">
        <f t="shared" si="77"/>
        <v/>
      </c>
      <c r="R230" s="111" t="str">
        <f t="shared" si="78"/>
        <v/>
      </c>
      <c r="S230" s="44" t="str">
        <f t="shared" si="79"/>
        <v/>
      </c>
      <c r="T230" s="37" t="str">
        <f t="shared" si="80"/>
        <v/>
      </c>
      <c r="U230" s="44" t="str">
        <f t="shared" si="81"/>
        <v/>
      </c>
      <c r="V230" s="26"/>
      <c r="W230" s="26"/>
      <c r="X230" s="26"/>
      <c r="Y230" s="26"/>
      <c r="Z230" s="24"/>
      <c r="AA230" s="169">
        <f t="shared" si="66"/>
        <v>0</v>
      </c>
      <c r="AB230" s="4">
        <f t="shared" si="67"/>
        <v>0</v>
      </c>
      <c r="AC230" s="170">
        <f t="shared" si="84"/>
        <v>0</v>
      </c>
      <c r="AD230" s="58"/>
      <c r="AE230" s="58"/>
      <c r="AF230" s="58"/>
      <c r="AG230" s="59">
        <f t="shared" si="68"/>
        <v>9.0359999999999996</v>
      </c>
      <c r="AH230" s="59">
        <f t="shared" si="69"/>
        <v>-184.49199999999999</v>
      </c>
      <c r="AJ230" s="4">
        <f>IF(D230="M",IF(AM230&lt;78,BMILMS!$D$5*AM230^3+BMILMS!$E$5*AM230^2+BMILMS!$F$5*AM230+BMILMS!$G$5,IF(AM230&lt;150,BMILMS!$D$6*AM230^3+BMILMS!$E$6*AM230^2+BMILMS!$F$6*AM230+BMILMS!$G$6,BMILMS!$D$7*AM230^3+BMILMS!$E$7*AM230^2+BMILMS!$F$7*AM230+BMILMS!$G$7)),IF(AM230&lt;69,BMILMS!$D$9*AM230^3+BMILMS!$E$9*AM230^2+BMILMS!$F$9*AM230+BMILMS!$G$9,IF(AM230&lt;150,BMILMS!$D$10*AM230^3+BMILMS!$E$10*AM230^2+BMILMS!$F$10*AM230+BMILMS!$G$10,BMILMS!$D$11*AM230^3+BMILMS!$E$11*AM230^2+BMILMS!$F$11*AM230+BMILMS!$G$11)))</f>
        <v>0.79584630099999998</v>
      </c>
      <c r="AK230" s="4">
        <f>IF(D230="M",(IF(AM230&lt;2.5,BMILMS!$D$21*AM230^3+BMILMS!$E$21*AM230^2+BMILMS!$F$21*AM230+BMILMS!$G$21,IF(AM230&lt;9.5,BMILMS!$D$22*AM230^3+BMILMS!$E$22*AM230^2+BMILMS!$F$22*AM230+BMILMS!$G$22,IF(AM230&lt;26.75,BMILMS!$D$23*AM230^3+BMILMS!$E$23*AM230^2+BMILMS!$F$23*AM230+BMILMS!$G$23,IF(AM230&lt;90,BMILMS!$D$24*AM230^3+BMILMS!$E$24*AM230^2+BMILMS!$F$24*AM230+BMILMS!$G$24,BMILMS!$D$25*AM230^3+BMILMS!$E$25*AM230^2+BMILMS!$F$25*AM230+BMILMS!$G$25))))),(IF(AM230&lt;2.5,BMILMS!$D$27*AM230^3+BMILMS!$E$27*AM230^2+BMILMS!$F$27*AM230+BMILMS!$G$27,IF(AM230&lt;9.5,BMILMS!$D$28*AM230^3+BMILMS!$E$28*AM230^2+BMILMS!$F$28*AM230+BMILMS!$G$28,IF(AM230&lt;26.75,BMILMS!$D$29*AM230^3+BMILMS!$E$29*AM230^2+BMILMS!$F$29*AM230+BMILMS!$G$29,IF(AM230&lt;90,BMILMS!$D$30*AM230^3+BMILMS!$E$30*AM230^2+BMILMS!$F$30*AM230+BMILMS!$G$30,IF(AM230&lt;150,BMILMS!$D$31*AM230^3+BMILMS!$E$31*AM230^2+BMILMS!$F$31*AM230+BMILMS!$G$31,BMILMS!$D$32*AM230^3+BMILMS!$E$32*AM230^2+BMILMS!$F$32*AM230+BMILMS!$G$32)))))))</f>
        <v>12.568967990000001</v>
      </c>
      <c r="AL230" s="4">
        <f>IF(D230="M",(IF(AM230&lt;90,BMILMS!$D$14*AM230^3+BMILMS!$E$14*AM230^2+BMILMS!$F$14*AM230+BMILMS!$G$14,BMILMS!$D$15*AM230^3+BMILMS!$E$15*AM230^2+BMILMS!$F$15*AM230+BMILMS!$G$15)),(IF(AM230&lt;90,BMILMS!$D$17*AM230^3+BMILMS!$E$17*AM230^2+BMILMS!$F$17*AM230+BMILMS!$G$17,BMILMS!$D$18*AM230^3+BMILMS!$E$18*AM230^2+BMILMS!$F$18*AM230+BMILMS!$G$18)))</f>
        <v>8.8969350000000003E-2</v>
      </c>
      <c r="AM230" s="4">
        <f t="shared" si="83"/>
        <v>0</v>
      </c>
      <c r="AO230" s="56">
        <f>IF(D230="M",WeightSDS!P$5*$AM230^7+WeightSDS!Q$5*$AM230^6+WeightSDS!R$5*$AM230^5+WeightSDS!S$5*$AM230^4+WeightSDS!T$5*$AM230^3+WeightSDS!U$5*$AM230^2+WeightSDS!V$5*$AM230+WeightSDS!W$5,IF($AM230&lt;186,WeightSDS!P$8*$AM230^7+WeightSDS!Q$8*$AM230^6+WeightSDS!R$8*$AM230^5+WeightSDS!S$8*$AM230^4+WeightSDS!T$8*$AM230^3+WeightSDS!U$8*$AM230^2+WeightSDS!V$8*$AM230+WeightSDS!W$8,WeightSDS!$U$9+WeightSDS!$V$9*($AM230-WeightSDS!$W$9)))</f>
        <v>0.75407122999999998</v>
      </c>
      <c r="AP230" s="4">
        <f>IF(D230="M",IF($AM230&lt;45,WeightSDS!M$23*$AM230^10+WeightSDS!N$23*$AM230^9+WeightSDS!O$23*$AM230^8+WeightSDS!P$23*$AM230^7+WeightSDS!Q$23*$AM230^6+WeightSDS!R$23*$AM230^5+WeightSDS!S$23*$AM230^4+WeightSDS!T$23*$AM230^3+WeightSDS!U$23*$AM230^2+WeightSDS!V$23*$AM230+WeightSDS!W$23,IF($AM230&lt;153,WeightSDS!M$25*$AM230^10+WeightSDS!N$25*$AM230^9+WeightSDS!O$25*$AM230^8+WeightSDS!P$25*$AM230^7+WeightSDS!Q$25*$AM230^6+WeightSDS!R$25*$AM230^5+WeightSDS!S$25*$AM230^4+WeightSDS!T$25*$AM230^3+WeightSDS!U$25*$AM230^2+WeightSDS!V$25*$AM230+WeightSDS!W$25,WeightSDS!M$27+WeightSDS!N$27/(1+EXP(WeightSDS!O$27+WeightSDS!P$27*$AM230)))),IF($AM230&lt;43.8,WeightSDS!M$29*$AM230^10+WeightSDS!N$29*$AM230^9+WeightSDS!O$29*$AM230^8+WeightSDS!P$29*$AM230^7+WeightSDS!Q$29*$AM230^6+WeightSDS!R$29*$AM230^5+WeightSDS!S$29*$AM230^4+WeightSDS!T$29*$AM230^3+WeightSDS!U$29*$AM230^2+WeightSDS!V$29*$AM230+WeightSDS!W$29-0.010431*(1-$AM230/210),IF($AM230&lt;123,WeightSDS!M$30*$AM230^10+WeightSDS!N$30*$AM230^9+WeightSDS!O$30*$AM230^8+WeightSDS!P$30*$AM230^7+WeightSDS!Q$30*$AM230^6+WeightSDS!R$30*$AM230^5+WeightSDS!S$30*$AM230^4+WeightSDS!T$30*$AM230^3+WeightSDS!U$30*$AM230^2+WeightSDS!V$30*$AM230+WeightSDS!W$30-0.010431*(1-1/$AM230),WeightSDS!M$32+WeightSDS!N$32/(1+EXP(WeightSDS!O$32+WeightSDS!P$32*$AM230))-0.010431*(1-$AM230/210))))</f>
        <v>2.9500001032655536</v>
      </c>
      <c r="AQ230" s="4">
        <f>IF(D230="M",IF($AM230&lt;162,WeightSDS!P$12*$AM230^7+WeightSDS!Q$12*$AM230^6+WeightSDS!R$12*$AM230^5+WeightSDS!S$12*$AM230^4+WeightSDS!T$12*$AM230^3+WeightSDS!U$12*$AM230^2+WeightSDS!V$12*$AM230+WeightSDS!W$12,WeightSDS!P$14*$AM230^7+WeightSDS!Q$14*$AM230^6+WeightSDS!R$14*$AM230^5+WeightSDS!S$14*$AM230^4+WeightSDS!T$14*$AM230^3+WeightSDS!U$14*$AM230^2+WeightSDS!V$14*$AM230+WeightSDS!W$14),IF($AM230&lt;156,WeightSDS!O$17*$AM230^8+WeightSDS!P$17*$AM230^7+WeightSDS!Q$17*$AM230^6+WeightSDS!R$17*$AM230^5+WeightSDS!S$17*$AM230^4+WeightSDS!T$17*$AM230^3+WeightSDS!U$17*$AM230^2+WeightSDS!V$17*$AM230+WeightSDS!W$17,IF($AM230&lt;186,WeightSDS!$U$18+(WeightSDS!$V$18-WeightSDS!$U$18)/24*($AM230-186)+WeightSDS!$W$18*(-$AM230+186)^2-0.005,WeightSDS!$U$18+(WeightSDS!$V$18-WeightSDS!$U$18)/24*($AM230-186)-0.005)))</f>
        <v>0.14604529399999999</v>
      </c>
      <c r="AT230" s="4">
        <f t="shared" si="70"/>
        <v>0.56299999999999994</v>
      </c>
      <c r="AU230" s="4">
        <f t="shared" si="71"/>
        <v>69</v>
      </c>
      <c r="AV230" s="4">
        <f t="shared" si="72"/>
        <v>0.51</v>
      </c>
    </row>
    <row r="231" spans="1:48" x14ac:dyDescent="0.15">
      <c r="A231" s="4"/>
      <c r="B231" s="21"/>
      <c r="C231" s="21"/>
      <c r="D231" s="21"/>
      <c r="E231" s="22"/>
      <c r="F231" s="22"/>
      <c r="G231" s="23"/>
      <c r="H231" s="23"/>
      <c r="I231" s="181"/>
      <c r="J231" s="8" t="str">
        <f t="shared" si="64"/>
        <v/>
      </c>
      <c r="K231" s="2" t="str">
        <f t="shared" si="73"/>
        <v/>
      </c>
      <c r="L231" s="2" t="str">
        <f t="shared" si="65"/>
        <v/>
      </c>
      <c r="M231" s="2" t="str">
        <f t="shared" si="74"/>
        <v/>
      </c>
      <c r="N231" s="2" t="str">
        <f t="shared" si="82"/>
        <v/>
      </c>
      <c r="O231" s="2" t="str">
        <f t="shared" si="75"/>
        <v/>
      </c>
      <c r="P231" s="8" t="str">
        <f t="shared" si="76"/>
        <v/>
      </c>
      <c r="Q231" s="8" t="str">
        <f t="shared" si="77"/>
        <v/>
      </c>
      <c r="R231" s="111" t="str">
        <f t="shared" si="78"/>
        <v/>
      </c>
      <c r="S231" s="44" t="str">
        <f t="shared" si="79"/>
        <v/>
      </c>
      <c r="T231" s="37" t="str">
        <f t="shared" si="80"/>
        <v/>
      </c>
      <c r="U231" s="44" t="str">
        <f t="shared" si="81"/>
        <v/>
      </c>
      <c r="V231" s="26"/>
      <c r="W231" s="26"/>
      <c r="X231" s="26"/>
      <c r="Y231" s="26"/>
      <c r="Z231" s="24"/>
      <c r="AA231" s="169">
        <f t="shared" si="66"/>
        <v>0</v>
      </c>
      <c r="AB231" s="4">
        <f t="shared" si="67"/>
        <v>0</v>
      </c>
      <c r="AC231" s="170">
        <f t="shared" si="84"/>
        <v>0</v>
      </c>
      <c r="AD231" s="58"/>
      <c r="AE231" s="58"/>
      <c r="AF231" s="58"/>
      <c r="AG231" s="59">
        <f t="shared" si="68"/>
        <v>9.0359999999999996</v>
      </c>
      <c r="AH231" s="59">
        <f t="shared" si="69"/>
        <v>-184.49199999999999</v>
      </c>
      <c r="AJ231" s="4">
        <f>IF(D231="M",IF(AM231&lt;78,BMILMS!$D$5*AM231^3+BMILMS!$E$5*AM231^2+BMILMS!$F$5*AM231+BMILMS!$G$5,IF(AM231&lt;150,BMILMS!$D$6*AM231^3+BMILMS!$E$6*AM231^2+BMILMS!$F$6*AM231+BMILMS!$G$6,BMILMS!$D$7*AM231^3+BMILMS!$E$7*AM231^2+BMILMS!$F$7*AM231+BMILMS!$G$7)),IF(AM231&lt;69,BMILMS!$D$9*AM231^3+BMILMS!$E$9*AM231^2+BMILMS!$F$9*AM231+BMILMS!$G$9,IF(AM231&lt;150,BMILMS!$D$10*AM231^3+BMILMS!$E$10*AM231^2+BMILMS!$F$10*AM231+BMILMS!$G$10,BMILMS!$D$11*AM231^3+BMILMS!$E$11*AM231^2+BMILMS!$F$11*AM231+BMILMS!$G$11)))</f>
        <v>0.79584630099999998</v>
      </c>
      <c r="AK231" s="4">
        <f>IF(D231="M",(IF(AM231&lt;2.5,BMILMS!$D$21*AM231^3+BMILMS!$E$21*AM231^2+BMILMS!$F$21*AM231+BMILMS!$G$21,IF(AM231&lt;9.5,BMILMS!$D$22*AM231^3+BMILMS!$E$22*AM231^2+BMILMS!$F$22*AM231+BMILMS!$G$22,IF(AM231&lt;26.75,BMILMS!$D$23*AM231^3+BMILMS!$E$23*AM231^2+BMILMS!$F$23*AM231+BMILMS!$G$23,IF(AM231&lt;90,BMILMS!$D$24*AM231^3+BMILMS!$E$24*AM231^2+BMILMS!$F$24*AM231+BMILMS!$G$24,BMILMS!$D$25*AM231^3+BMILMS!$E$25*AM231^2+BMILMS!$F$25*AM231+BMILMS!$G$25))))),(IF(AM231&lt;2.5,BMILMS!$D$27*AM231^3+BMILMS!$E$27*AM231^2+BMILMS!$F$27*AM231+BMILMS!$G$27,IF(AM231&lt;9.5,BMILMS!$D$28*AM231^3+BMILMS!$E$28*AM231^2+BMILMS!$F$28*AM231+BMILMS!$G$28,IF(AM231&lt;26.75,BMILMS!$D$29*AM231^3+BMILMS!$E$29*AM231^2+BMILMS!$F$29*AM231+BMILMS!$G$29,IF(AM231&lt;90,BMILMS!$D$30*AM231^3+BMILMS!$E$30*AM231^2+BMILMS!$F$30*AM231+BMILMS!$G$30,IF(AM231&lt;150,BMILMS!$D$31*AM231^3+BMILMS!$E$31*AM231^2+BMILMS!$F$31*AM231+BMILMS!$G$31,BMILMS!$D$32*AM231^3+BMILMS!$E$32*AM231^2+BMILMS!$F$32*AM231+BMILMS!$G$32)))))))</f>
        <v>12.568967990000001</v>
      </c>
      <c r="AL231" s="4">
        <f>IF(D231="M",(IF(AM231&lt;90,BMILMS!$D$14*AM231^3+BMILMS!$E$14*AM231^2+BMILMS!$F$14*AM231+BMILMS!$G$14,BMILMS!$D$15*AM231^3+BMILMS!$E$15*AM231^2+BMILMS!$F$15*AM231+BMILMS!$G$15)),(IF(AM231&lt;90,BMILMS!$D$17*AM231^3+BMILMS!$E$17*AM231^2+BMILMS!$F$17*AM231+BMILMS!$G$17,BMILMS!$D$18*AM231^3+BMILMS!$E$18*AM231^2+BMILMS!$F$18*AM231+BMILMS!$G$18)))</f>
        <v>8.8969350000000003E-2</v>
      </c>
      <c r="AM231" s="4">
        <f t="shared" si="83"/>
        <v>0</v>
      </c>
      <c r="AO231" s="56">
        <f>IF(D231="M",WeightSDS!P$5*$AM231^7+WeightSDS!Q$5*$AM231^6+WeightSDS!R$5*$AM231^5+WeightSDS!S$5*$AM231^4+WeightSDS!T$5*$AM231^3+WeightSDS!U$5*$AM231^2+WeightSDS!V$5*$AM231+WeightSDS!W$5,IF($AM231&lt;186,WeightSDS!P$8*$AM231^7+WeightSDS!Q$8*$AM231^6+WeightSDS!R$8*$AM231^5+WeightSDS!S$8*$AM231^4+WeightSDS!T$8*$AM231^3+WeightSDS!U$8*$AM231^2+WeightSDS!V$8*$AM231+WeightSDS!W$8,WeightSDS!$U$9+WeightSDS!$V$9*($AM231-WeightSDS!$W$9)))</f>
        <v>0.75407122999999998</v>
      </c>
      <c r="AP231" s="4">
        <f>IF(D231="M",IF($AM231&lt;45,WeightSDS!M$23*$AM231^10+WeightSDS!N$23*$AM231^9+WeightSDS!O$23*$AM231^8+WeightSDS!P$23*$AM231^7+WeightSDS!Q$23*$AM231^6+WeightSDS!R$23*$AM231^5+WeightSDS!S$23*$AM231^4+WeightSDS!T$23*$AM231^3+WeightSDS!U$23*$AM231^2+WeightSDS!V$23*$AM231+WeightSDS!W$23,IF($AM231&lt;153,WeightSDS!M$25*$AM231^10+WeightSDS!N$25*$AM231^9+WeightSDS!O$25*$AM231^8+WeightSDS!P$25*$AM231^7+WeightSDS!Q$25*$AM231^6+WeightSDS!R$25*$AM231^5+WeightSDS!S$25*$AM231^4+WeightSDS!T$25*$AM231^3+WeightSDS!U$25*$AM231^2+WeightSDS!V$25*$AM231+WeightSDS!W$25,WeightSDS!M$27+WeightSDS!N$27/(1+EXP(WeightSDS!O$27+WeightSDS!P$27*$AM231)))),IF($AM231&lt;43.8,WeightSDS!M$29*$AM231^10+WeightSDS!N$29*$AM231^9+WeightSDS!O$29*$AM231^8+WeightSDS!P$29*$AM231^7+WeightSDS!Q$29*$AM231^6+WeightSDS!R$29*$AM231^5+WeightSDS!S$29*$AM231^4+WeightSDS!T$29*$AM231^3+WeightSDS!U$29*$AM231^2+WeightSDS!V$29*$AM231+WeightSDS!W$29-0.010431*(1-$AM231/210),IF($AM231&lt;123,WeightSDS!M$30*$AM231^10+WeightSDS!N$30*$AM231^9+WeightSDS!O$30*$AM231^8+WeightSDS!P$30*$AM231^7+WeightSDS!Q$30*$AM231^6+WeightSDS!R$30*$AM231^5+WeightSDS!S$30*$AM231^4+WeightSDS!T$30*$AM231^3+WeightSDS!U$30*$AM231^2+WeightSDS!V$30*$AM231+WeightSDS!W$30-0.010431*(1-1/$AM231),WeightSDS!M$32+WeightSDS!N$32/(1+EXP(WeightSDS!O$32+WeightSDS!P$32*$AM231))-0.010431*(1-$AM231/210))))</f>
        <v>2.9500001032655536</v>
      </c>
      <c r="AQ231" s="4">
        <f>IF(D231="M",IF($AM231&lt;162,WeightSDS!P$12*$AM231^7+WeightSDS!Q$12*$AM231^6+WeightSDS!R$12*$AM231^5+WeightSDS!S$12*$AM231^4+WeightSDS!T$12*$AM231^3+WeightSDS!U$12*$AM231^2+WeightSDS!V$12*$AM231+WeightSDS!W$12,WeightSDS!P$14*$AM231^7+WeightSDS!Q$14*$AM231^6+WeightSDS!R$14*$AM231^5+WeightSDS!S$14*$AM231^4+WeightSDS!T$14*$AM231^3+WeightSDS!U$14*$AM231^2+WeightSDS!V$14*$AM231+WeightSDS!W$14),IF($AM231&lt;156,WeightSDS!O$17*$AM231^8+WeightSDS!P$17*$AM231^7+WeightSDS!Q$17*$AM231^6+WeightSDS!R$17*$AM231^5+WeightSDS!S$17*$AM231^4+WeightSDS!T$17*$AM231^3+WeightSDS!U$17*$AM231^2+WeightSDS!V$17*$AM231+WeightSDS!W$17,IF($AM231&lt;186,WeightSDS!$U$18+(WeightSDS!$V$18-WeightSDS!$U$18)/24*($AM231-186)+WeightSDS!$W$18*(-$AM231+186)^2-0.005,WeightSDS!$U$18+(WeightSDS!$V$18-WeightSDS!$U$18)/24*($AM231-186)-0.005)))</f>
        <v>0.14604529399999999</v>
      </c>
      <c r="AT231" s="4">
        <f t="shared" si="70"/>
        <v>0.56299999999999994</v>
      </c>
      <c r="AU231" s="4">
        <f t="shared" si="71"/>
        <v>69</v>
      </c>
      <c r="AV231" s="4">
        <f t="shared" si="72"/>
        <v>0.51</v>
      </c>
    </row>
    <row r="232" spans="1:48" x14ac:dyDescent="0.15">
      <c r="A232" s="4"/>
      <c r="B232" s="21"/>
      <c r="C232" s="21"/>
      <c r="D232" s="21"/>
      <c r="E232" s="22"/>
      <c r="F232" s="22"/>
      <c r="G232" s="23"/>
      <c r="H232" s="23"/>
      <c r="I232" s="181"/>
      <c r="J232" s="8" t="str">
        <f t="shared" si="64"/>
        <v/>
      </c>
      <c r="K232" s="2" t="str">
        <f t="shared" si="73"/>
        <v/>
      </c>
      <c r="L232" s="2" t="str">
        <f t="shared" si="65"/>
        <v/>
      </c>
      <c r="M232" s="2" t="str">
        <f t="shared" si="74"/>
        <v/>
      </c>
      <c r="N232" s="2" t="str">
        <f t="shared" si="82"/>
        <v/>
      </c>
      <c r="O232" s="2" t="str">
        <f t="shared" si="75"/>
        <v/>
      </c>
      <c r="P232" s="8" t="str">
        <f t="shared" si="76"/>
        <v/>
      </c>
      <c r="Q232" s="8" t="str">
        <f t="shared" si="77"/>
        <v/>
      </c>
      <c r="R232" s="111" t="str">
        <f t="shared" si="78"/>
        <v/>
      </c>
      <c r="S232" s="44" t="str">
        <f t="shared" si="79"/>
        <v/>
      </c>
      <c r="T232" s="37" t="str">
        <f t="shared" si="80"/>
        <v/>
      </c>
      <c r="U232" s="44" t="str">
        <f t="shared" si="81"/>
        <v/>
      </c>
      <c r="V232" s="26"/>
      <c r="W232" s="26"/>
      <c r="X232" s="26"/>
      <c r="Y232" s="26"/>
      <c r="Z232" s="24"/>
      <c r="AA232" s="169">
        <f t="shared" si="66"/>
        <v>0</v>
      </c>
      <c r="AB232" s="4">
        <f t="shared" si="67"/>
        <v>0</v>
      </c>
      <c r="AC232" s="170">
        <f t="shared" si="84"/>
        <v>0</v>
      </c>
      <c r="AD232" s="58"/>
      <c r="AE232" s="58"/>
      <c r="AF232" s="58"/>
      <c r="AG232" s="59">
        <f t="shared" si="68"/>
        <v>9.0359999999999996</v>
      </c>
      <c r="AH232" s="59">
        <f t="shared" si="69"/>
        <v>-184.49199999999999</v>
      </c>
      <c r="AJ232" s="4">
        <f>IF(D232="M",IF(AM232&lt;78,BMILMS!$D$5*AM232^3+BMILMS!$E$5*AM232^2+BMILMS!$F$5*AM232+BMILMS!$G$5,IF(AM232&lt;150,BMILMS!$D$6*AM232^3+BMILMS!$E$6*AM232^2+BMILMS!$F$6*AM232+BMILMS!$G$6,BMILMS!$D$7*AM232^3+BMILMS!$E$7*AM232^2+BMILMS!$F$7*AM232+BMILMS!$G$7)),IF(AM232&lt;69,BMILMS!$D$9*AM232^3+BMILMS!$E$9*AM232^2+BMILMS!$F$9*AM232+BMILMS!$G$9,IF(AM232&lt;150,BMILMS!$D$10*AM232^3+BMILMS!$E$10*AM232^2+BMILMS!$F$10*AM232+BMILMS!$G$10,BMILMS!$D$11*AM232^3+BMILMS!$E$11*AM232^2+BMILMS!$F$11*AM232+BMILMS!$G$11)))</f>
        <v>0.79584630099999998</v>
      </c>
      <c r="AK232" s="4">
        <f>IF(D232="M",(IF(AM232&lt;2.5,BMILMS!$D$21*AM232^3+BMILMS!$E$21*AM232^2+BMILMS!$F$21*AM232+BMILMS!$G$21,IF(AM232&lt;9.5,BMILMS!$D$22*AM232^3+BMILMS!$E$22*AM232^2+BMILMS!$F$22*AM232+BMILMS!$G$22,IF(AM232&lt;26.75,BMILMS!$D$23*AM232^3+BMILMS!$E$23*AM232^2+BMILMS!$F$23*AM232+BMILMS!$G$23,IF(AM232&lt;90,BMILMS!$D$24*AM232^3+BMILMS!$E$24*AM232^2+BMILMS!$F$24*AM232+BMILMS!$G$24,BMILMS!$D$25*AM232^3+BMILMS!$E$25*AM232^2+BMILMS!$F$25*AM232+BMILMS!$G$25))))),(IF(AM232&lt;2.5,BMILMS!$D$27*AM232^3+BMILMS!$E$27*AM232^2+BMILMS!$F$27*AM232+BMILMS!$G$27,IF(AM232&lt;9.5,BMILMS!$D$28*AM232^3+BMILMS!$E$28*AM232^2+BMILMS!$F$28*AM232+BMILMS!$G$28,IF(AM232&lt;26.75,BMILMS!$D$29*AM232^3+BMILMS!$E$29*AM232^2+BMILMS!$F$29*AM232+BMILMS!$G$29,IF(AM232&lt;90,BMILMS!$D$30*AM232^3+BMILMS!$E$30*AM232^2+BMILMS!$F$30*AM232+BMILMS!$G$30,IF(AM232&lt;150,BMILMS!$D$31*AM232^3+BMILMS!$E$31*AM232^2+BMILMS!$F$31*AM232+BMILMS!$G$31,BMILMS!$D$32*AM232^3+BMILMS!$E$32*AM232^2+BMILMS!$F$32*AM232+BMILMS!$G$32)))))))</f>
        <v>12.568967990000001</v>
      </c>
      <c r="AL232" s="4">
        <f>IF(D232="M",(IF(AM232&lt;90,BMILMS!$D$14*AM232^3+BMILMS!$E$14*AM232^2+BMILMS!$F$14*AM232+BMILMS!$G$14,BMILMS!$D$15*AM232^3+BMILMS!$E$15*AM232^2+BMILMS!$F$15*AM232+BMILMS!$G$15)),(IF(AM232&lt;90,BMILMS!$D$17*AM232^3+BMILMS!$E$17*AM232^2+BMILMS!$F$17*AM232+BMILMS!$G$17,BMILMS!$D$18*AM232^3+BMILMS!$E$18*AM232^2+BMILMS!$F$18*AM232+BMILMS!$G$18)))</f>
        <v>8.8969350000000003E-2</v>
      </c>
      <c r="AM232" s="4">
        <f t="shared" si="83"/>
        <v>0</v>
      </c>
      <c r="AO232" s="56">
        <f>IF(D232="M",WeightSDS!P$5*$AM232^7+WeightSDS!Q$5*$AM232^6+WeightSDS!R$5*$AM232^5+WeightSDS!S$5*$AM232^4+WeightSDS!T$5*$AM232^3+WeightSDS!U$5*$AM232^2+WeightSDS!V$5*$AM232+WeightSDS!W$5,IF($AM232&lt;186,WeightSDS!P$8*$AM232^7+WeightSDS!Q$8*$AM232^6+WeightSDS!R$8*$AM232^5+WeightSDS!S$8*$AM232^4+WeightSDS!T$8*$AM232^3+WeightSDS!U$8*$AM232^2+WeightSDS!V$8*$AM232+WeightSDS!W$8,WeightSDS!$U$9+WeightSDS!$V$9*($AM232-WeightSDS!$W$9)))</f>
        <v>0.75407122999999998</v>
      </c>
      <c r="AP232" s="4">
        <f>IF(D232="M",IF($AM232&lt;45,WeightSDS!M$23*$AM232^10+WeightSDS!N$23*$AM232^9+WeightSDS!O$23*$AM232^8+WeightSDS!P$23*$AM232^7+WeightSDS!Q$23*$AM232^6+WeightSDS!R$23*$AM232^5+WeightSDS!S$23*$AM232^4+WeightSDS!T$23*$AM232^3+WeightSDS!U$23*$AM232^2+WeightSDS!V$23*$AM232+WeightSDS!W$23,IF($AM232&lt;153,WeightSDS!M$25*$AM232^10+WeightSDS!N$25*$AM232^9+WeightSDS!O$25*$AM232^8+WeightSDS!P$25*$AM232^7+WeightSDS!Q$25*$AM232^6+WeightSDS!R$25*$AM232^5+WeightSDS!S$25*$AM232^4+WeightSDS!T$25*$AM232^3+WeightSDS!U$25*$AM232^2+WeightSDS!V$25*$AM232+WeightSDS!W$25,WeightSDS!M$27+WeightSDS!N$27/(1+EXP(WeightSDS!O$27+WeightSDS!P$27*$AM232)))),IF($AM232&lt;43.8,WeightSDS!M$29*$AM232^10+WeightSDS!N$29*$AM232^9+WeightSDS!O$29*$AM232^8+WeightSDS!P$29*$AM232^7+WeightSDS!Q$29*$AM232^6+WeightSDS!R$29*$AM232^5+WeightSDS!S$29*$AM232^4+WeightSDS!T$29*$AM232^3+WeightSDS!U$29*$AM232^2+WeightSDS!V$29*$AM232+WeightSDS!W$29-0.010431*(1-$AM232/210),IF($AM232&lt;123,WeightSDS!M$30*$AM232^10+WeightSDS!N$30*$AM232^9+WeightSDS!O$30*$AM232^8+WeightSDS!P$30*$AM232^7+WeightSDS!Q$30*$AM232^6+WeightSDS!R$30*$AM232^5+WeightSDS!S$30*$AM232^4+WeightSDS!T$30*$AM232^3+WeightSDS!U$30*$AM232^2+WeightSDS!V$30*$AM232+WeightSDS!W$30-0.010431*(1-1/$AM232),WeightSDS!M$32+WeightSDS!N$32/(1+EXP(WeightSDS!O$32+WeightSDS!P$32*$AM232))-0.010431*(1-$AM232/210))))</f>
        <v>2.9500001032655536</v>
      </c>
      <c r="AQ232" s="4">
        <f>IF(D232="M",IF($AM232&lt;162,WeightSDS!P$12*$AM232^7+WeightSDS!Q$12*$AM232^6+WeightSDS!R$12*$AM232^5+WeightSDS!S$12*$AM232^4+WeightSDS!T$12*$AM232^3+WeightSDS!U$12*$AM232^2+WeightSDS!V$12*$AM232+WeightSDS!W$12,WeightSDS!P$14*$AM232^7+WeightSDS!Q$14*$AM232^6+WeightSDS!R$14*$AM232^5+WeightSDS!S$14*$AM232^4+WeightSDS!T$14*$AM232^3+WeightSDS!U$14*$AM232^2+WeightSDS!V$14*$AM232+WeightSDS!W$14),IF($AM232&lt;156,WeightSDS!O$17*$AM232^8+WeightSDS!P$17*$AM232^7+WeightSDS!Q$17*$AM232^6+WeightSDS!R$17*$AM232^5+WeightSDS!S$17*$AM232^4+WeightSDS!T$17*$AM232^3+WeightSDS!U$17*$AM232^2+WeightSDS!V$17*$AM232+WeightSDS!W$17,IF($AM232&lt;186,WeightSDS!$U$18+(WeightSDS!$V$18-WeightSDS!$U$18)/24*($AM232-186)+WeightSDS!$W$18*(-$AM232+186)^2-0.005,WeightSDS!$U$18+(WeightSDS!$V$18-WeightSDS!$U$18)/24*($AM232-186)-0.005)))</f>
        <v>0.14604529399999999</v>
      </c>
      <c r="AT232" s="4">
        <f t="shared" si="70"/>
        <v>0.56299999999999994</v>
      </c>
      <c r="AU232" s="4">
        <f t="shared" si="71"/>
        <v>69</v>
      </c>
      <c r="AV232" s="4">
        <f t="shared" si="72"/>
        <v>0.51</v>
      </c>
    </row>
    <row r="233" spans="1:48" x14ac:dyDescent="0.15">
      <c r="A233" s="4"/>
      <c r="B233" s="21"/>
      <c r="C233" s="21"/>
      <c r="D233" s="21"/>
      <c r="E233" s="22"/>
      <c r="F233" s="22"/>
      <c r="G233" s="23"/>
      <c r="H233" s="23"/>
      <c r="I233" s="181"/>
      <c r="J233" s="8" t="str">
        <f t="shared" si="64"/>
        <v/>
      </c>
      <c r="K233" s="2" t="str">
        <f t="shared" si="73"/>
        <v/>
      </c>
      <c r="L233" s="2" t="str">
        <f t="shared" si="65"/>
        <v/>
      </c>
      <c r="M233" s="2" t="str">
        <f t="shared" si="74"/>
        <v/>
      </c>
      <c r="N233" s="2" t="str">
        <f t="shared" si="82"/>
        <v/>
      </c>
      <c r="O233" s="2" t="str">
        <f t="shared" si="75"/>
        <v/>
      </c>
      <c r="P233" s="8" t="str">
        <f t="shared" si="76"/>
        <v/>
      </c>
      <c r="Q233" s="8" t="str">
        <f t="shared" si="77"/>
        <v/>
      </c>
      <c r="R233" s="111" t="str">
        <f t="shared" si="78"/>
        <v/>
      </c>
      <c r="S233" s="44" t="str">
        <f t="shared" si="79"/>
        <v/>
      </c>
      <c r="T233" s="37" t="str">
        <f t="shared" si="80"/>
        <v/>
      </c>
      <c r="U233" s="44" t="str">
        <f t="shared" si="81"/>
        <v/>
      </c>
      <c r="V233" s="26"/>
      <c r="W233" s="26"/>
      <c r="X233" s="26"/>
      <c r="Y233" s="26"/>
      <c r="Z233" s="24"/>
      <c r="AA233" s="169">
        <f t="shared" si="66"/>
        <v>0</v>
      </c>
      <c r="AB233" s="4">
        <f t="shared" si="67"/>
        <v>0</v>
      </c>
      <c r="AC233" s="170">
        <f t="shared" si="84"/>
        <v>0</v>
      </c>
      <c r="AD233" s="58"/>
      <c r="AE233" s="58"/>
      <c r="AF233" s="58"/>
      <c r="AG233" s="59">
        <f t="shared" si="68"/>
        <v>9.0359999999999996</v>
      </c>
      <c r="AH233" s="59">
        <f t="shared" si="69"/>
        <v>-184.49199999999999</v>
      </c>
      <c r="AJ233" s="4">
        <f>IF(D233="M",IF(AM233&lt;78,BMILMS!$D$5*AM233^3+BMILMS!$E$5*AM233^2+BMILMS!$F$5*AM233+BMILMS!$G$5,IF(AM233&lt;150,BMILMS!$D$6*AM233^3+BMILMS!$E$6*AM233^2+BMILMS!$F$6*AM233+BMILMS!$G$6,BMILMS!$D$7*AM233^3+BMILMS!$E$7*AM233^2+BMILMS!$F$7*AM233+BMILMS!$G$7)),IF(AM233&lt;69,BMILMS!$D$9*AM233^3+BMILMS!$E$9*AM233^2+BMILMS!$F$9*AM233+BMILMS!$G$9,IF(AM233&lt;150,BMILMS!$D$10*AM233^3+BMILMS!$E$10*AM233^2+BMILMS!$F$10*AM233+BMILMS!$G$10,BMILMS!$D$11*AM233^3+BMILMS!$E$11*AM233^2+BMILMS!$F$11*AM233+BMILMS!$G$11)))</f>
        <v>0.79584630099999998</v>
      </c>
      <c r="AK233" s="4">
        <f>IF(D233="M",(IF(AM233&lt;2.5,BMILMS!$D$21*AM233^3+BMILMS!$E$21*AM233^2+BMILMS!$F$21*AM233+BMILMS!$G$21,IF(AM233&lt;9.5,BMILMS!$D$22*AM233^3+BMILMS!$E$22*AM233^2+BMILMS!$F$22*AM233+BMILMS!$G$22,IF(AM233&lt;26.75,BMILMS!$D$23*AM233^3+BMILMS!$E$23*AM233^2+BMILMS!$F$23*AM233+BMILMS!$G$23,IF(AM233&lt;90,BMILMS!$D$24*AM233^3+BMILMS!$E$24*AM233^2+BMILMS!$F$24*AM233+BMILMS!$G$24,BMILMS!$D$25*AM233^3+BMILMS!$E$25*AM233^2+BMILMS!$F$25*AM233+BMILMS!$G$25))))),(IF(AM233&lt;2.5,BMILMS!$D$27*AM233^3+BMILMS!$E$27*AM233^2+BMILMS!$F$27*AM233+BMILMS!$G$27,IF(AM233&lt;9.5,BMILMS!$D$28*AM233^3+BMILMS!$E$28*AM233^2+BMILMS!$F$28*AM233+BMILMS!$G$28,IF(AM233&lt;26.75,BMILMS!$D$29*AM233^3+BMILMS!$E$29*AM233^2+BMILMS!$F$29*AM233+BMILMS!$G$29,IF(AM233&lt;90,BMILMS!$D$30*AM233^3+BMILMS!$E$30*AM233^2+BMILMS!$F$30*AM233+BMILMS!$G$30,IF(AM233&lt;150,BMILMS!$D$31*AM233^3+BMILMS!$E$31*AM233^2+BMILMS!$F$31*AM233+BMILMS!$G$31,BMILMS!$D$32*AM233^3+BMILMS!$E$32*AM233^2+BMILMS!$F$32*AM233+BMILMS!$G$32)))))))</f>
        <v>12.568967990000001</v>
      </c>
      <c r="AL233" s="4">
        <f>IF(D233="M",(IF(AM233&lt;90,BMILMS!$D$14*AM233^3+BMILMS!$E$14*AM233^2+BMILMS!$F$14*AM233+BMILMS!$G$14,BMILMS!$D$15*AM233^3+BMILMS!$E$15*AM233^2+BMILMS!$F$15*AM233+BMILMS!$G$15)),(IF(AM233&lt;90,BMILMS!$D$17*AM233^3+BMILMS!$E$17*AM233^2+BMILMS!$F$17*AM233+BMILMS!$G$17,BMILMS!$D$18*AM233^3+BMILMS!$E$18*AM233^2+BMILMS!$F$18*AM233+BMILMS!$G$18)))</f>
        <v>8.8969350000000003E-2</v>
      </c>
      <c r="AM233" s="4">
        <f t="shared" si="83"/>
        <v>0</v>
      </c>
      <c r="AO233" s="56">
        <f>IF(D233="M",WeightSDS!P$5*$AM233^7+WeightSDS!Q$5*$AM233^6+WeightSDS!R$5*$AM233^5+WeightSDS!S$5*$AM233^4+WeightSDS!T$5*$AM233^3+WeightSDS!U$5*$AM233^2+WeightSDS!V$5*$AM233+WeightSDS!W$5,IF($AM233&lt;186,WeightSDS!P$8*$AM233^7+WeightSDS!Q$8*$AM233^6+WeightSDS!R$8*$AM233^5+WeightSDS!S$8*$AM233^4+WeightSDS!T$8*$AM233^3+WeightSDS!U$8*$AM233^2+WeightSDS!V$8*$AM233+WeightSDS!W$8,WeightSDS!$U$9+WeightSDS!$V$9*($AM233-WeightSDS!$W$9)))</f>
        <v>0.75407122999999998</v>
      </c>
      <c r="AP233" s="4">
        <f>IF(D233="M",IF($AM233&lt;45,WeightSDS!M$23*$AM233^10+WeightSDS!N$23*$AM233^9+WeightSDS!O$23*$AM233^8+WeightSDS!P$23*$AM233^7+WeightSDS!Q$23*$AM233^6+WeightSDS!R$23*$AM233^5+WeightSDS!S$23*$AM233^4+WeightSDS!T$23*$AM233^3+WeightSDS!U$23*$AM233^2+WeightSDS!V$23*$AM233+WeightSDS!W$23,IF($AM233&lt;153,WeightSDS!M$25*$AM233^10+WeightSDS!N$25*$AM233^9+WeightSDS!O$25*$AM233^8+WeightSDS!P$25*$AM233^7+WeightSDS!Q$25*$AM233^6+WeightSDS!R$25*$AM233^5+WeightSDS!S$25*$AM233^4+WeightSDS!T$25*$AM233^3+WeightSDS!U$25*$AM233^2+WeightSDS!V$25*$AM233+WeightSDS!W$25,WeightSDS!M$27+WeightSDS!N$27/(1+EXP(WeightSDS!O$27+WeightSDS!P$27*$AM233)))),IF($AM233&lt;43.8,WeightSDS!M$29*$AM233^10+WeightSDS!N$29*$AM233^9+WeightSDS!O$29*$AM233^8+WeightSDS!P$29*$AM233^7+WeightSDS!Q$29*$AM233^6+WeightSDS!R$29*$AM233^5+WeightSDS!S$29*$AM233^4+WeightSDS!T$29*$AM233^3+WeightSDS!U$29*$AM233^2+WeightSDS!V$29*$AM233+WeightSDS!W$29-0.010431*(1-$AM233/210),IF($AM233&lt;123,WeightSDS!M$30*$AM233^10+WeightSDS!N$30*$AM233^9+WeightSDS!O$30*$AM233^8+WeightSDS!P$30*$AM233^7+WeightSDS!Q$30*$AM233^6+WeightSDS!R$30*$AM233^5+WeightSDS!S$30*$AM233^4+WeightSDS!T$30*$AM233^3+WeightSDS!U$30*$AM233^2+WeightSDS!V$30*$AM233+WeightSDS!W$30-0.010431*(1-1/$AM233),WeightSDS!M$32+WeightSDS!N$32/(1+EXP(WeightSDS!O$32+WeightSDS!P$32*$AM233))-0.010431*(1-$AM233/210))))</f>
        <v>2.9500001032655536</v>
      </c>
      <c r="AQ233" s="4">
        <f>IF(D233="M",IF($AM233&lt;162,WeightSDS!P$12*$AM233^7+WeightSDS!Q$12*$AM233^6+WeightSDS!R$12*$AM233^5+WeightSDS!S$12*$AM233^4+WeightSDS!T$12*$AM233^3+WeightSDS!U$12*$AM233^2+WeightSDS!V$12*$AM233+WeightSDS!W$12,WeightSDS!P$14*$AM233^7+WeightSDS!Q$14*$AM233^6+WeightSDS!R$14*$AM233^5+WeightSDS!S$14*$AM233^4+WeightSDS!T$14*$AM233^3+WeightSDS!U$14*$AM233^2+WeightSDS!V$14*$AM233+WeightSDS!W$14),IF($AM233&lt;156,WeightSDS!O$17*$AM233^8+WeightSDS!P$17*$AM233^7+WeightSDS!Q$17*$AM233^6+WeightSDS!R$17*$AM233^5+WeightSDS!S$17*$AM233^4+WeightSDS!T$17*$AM233^3+WeightSDS!U$17*$AM233^2+WeightSDS!V$17*$AM233+WeightSDS!W$17,IF($AM233&lt;186,WeightSDS!$U$18+(WeightSDS!$V$18-WeightSDS!$U$18)/24*($AM233-186)+WeightSDS!$W$18*(-$AM233+186)^2-0.005,WeightSDS!$U$18+(WeightSDS!$V$18-WeightSDS!$U$18)/24*($AM233-186)-0.005)))</f>
        <v>0.14604529399999999</v>
      </c>
      <c r="AT233" s="4">
        <f t="shared" si="70"/>
        <v>0.56299999999999994</v>
      </c>
      <c r="AU233" s="4">
        <f t="shared" si="71"/>
        <v>69</v>
      </c>
      <c r="AV233" s="4">
        <f t="shared" si="72"/>
        <v>0.51</v>
      </c>
    </row>
    <row r="234" spans="1:48" x14ac:dyDescent="0.15">
      <c r="A234" s="4"/>
      <c r="B234" s="21"/>
      <c r="C234" s="21"/>
      <c r="D234" s="21"/>
      <c r="E234" s="22"/>
      <c r="F234" s="22"/>
      <c r="G234" s="23"/>
      <c r="H234" s="23"/>
      <c r="I234" s="181"/>
      <c r="J234" s="8" t="str">
        <f t="shared" si="64"/>
        <v/>
      </c>
      <c r="K234" s="2" t="str">
        <f t="shared" si="73"/>
        <v/>
      </c>
      <c r="L234" s="2" t="str">
        <f t="shared" si="65"/>
        <v/>
      </c>
      <c r="M234" s="2" t="str">
        <f t="shared" si="74"/>
        <v/>
      </c>
      <c r="N234" s="2" t="str">
        <f t="shared" si="82"/>
        <v/>
      </c>
      <c r="O234" s="2" t="str">
        <f t="shared" si="75"/>
        <v/>
      </c>
      <c r="P234" s="8" t="str">
        <f t="shared" si="76"/>
        <v/>
      </c>
      <c r="Q234" s="8" t="str">
        <f t="shared" si="77"/>
        <v/>
      </c>
      <c r="R234" s="111" t="str">
        <f t="shared" si="78"/>
        <v/>
      </c>
      <c r="S234" s="44" t="str">
        <f t="shared" si="79"/>
        <v/>
      </c>
      <c r="T234" s="37" t="str">
        <f t="shared" si="80"/>
        <v/>
      </c>
      <c r="U234" s="44" t="str">
        <f t="shared" si="81"/>
        <v/>
      </c>
      <c r="V234" s="26"/>
      <c r="W234" s="26"/>
      <c r="X234" s="26"/>
      <c r="Y234" s="26"/>
      <c r="Z234" s="24"/>
      <c r="AA234" s="169">
        <f t="shared" si="66"/>
        <v>0</v>
      </c>
      <c r="AB234" s="4">
        <f t="shared" si="67"/>
        <v>0</v>
      </c>
      <c r="AC234" s="170">
        <f t="shared" si="84"/>
        <v>0</v>
      </c>
      <c r="AD234" s="58"/>
      <c r="AE234" s="58"/>
      <c r="AF234" s="58"/>
      <c r="AG234" s="59">
        <f t="shared" si="68"/>
        <v>9.0359999999999996</v>
      </c>
      <c r="AH234" s="59">
        <f t="shared" si="69"/>
        <v>-184.49199999999999</v>
      </c>
      <c r="AJ234" s="4">
        <f>IF(D234="M",IF(AM234&lt;78,BMILMS!$D$5*AM234^3+BMILMS!$E$5*AM234^2+BMILMS!$F$5*AM234+BMILMS!$G$5,IF(AM234&lt;150,BMILMS!$D$6*AM234^3+BMILMS!$E$6*AM234^2+BMILMS!$F$6*AM234+BMILMS!$G$6,BMILMS!$D$7*AM234^3+BMILMS!$E$7*AM234^2+BMILMS!$F$7*AM234+BMILMS!$G$7)),IF(AM234&lt;69,BMILMS!$D$9*AM234^3+BMILMS!$E$9*AM234^2+BMILMS!$F$9*AM234+BMILMS!$G$9,IF(AM234&lt;150,BMILMS!$D$10*AM234^3+BMILMS!$E$10*AM234^2+BMILMS!$F$10*AM234+BMILMS!$G$10,BMILMS!$D$11*AM234^3+BMILMS!$E$11*AM234^2+BMILMS!$F$11*AM234+BMILMS!$G$11)))</f>
        <v>0.79584630099999998</v>
      </c>
      <c r="AK234" s="4">
        <f>IF(D234="M",(IF(AM234&lt;2.5,BMILMS!$D$21*AM234^3+BMILMS!$E$21*AM234^2+BMILMS!$F$21*AM234+BMILMS!$G$21,IF(AM234&lt;9.5,BMILMS!$D$22*AM234^3+BMILMS!$E$22*AM234^2+BMILMS!$F$22*AM234+BMILMS!$G$22,IF(AM234&lt;26.75,BMILMS!$D$23*AM234^3+BMILMS!$E$23*AM234^2+BMILMS!$F$23*AM234+BMILMS!$G$23,IF(AM234&lt;90,BMILMS!$D$24*AM234^3+BMILMS!$E$24*AM234^2+BMILMS!$F$24*AM234+BMILMS!$G$24,BMILMS!$D$25*AM234^3+BMILMS!$E$25*AM234^2+BMILMS!$F$25*AM234+BMILMS!$G$25))))),(IF(AM234&lt;2.5,BMILMS!$D$27*AM234^3+BMILMS!$E$27*AM234^2+BMILMS!$F$27*AM234+BMILMS!$G$27,IF(AM234&lt;9.5,BMILMS!$D$28*AM234^3+BMILMS!$E$28*AM234^2+BMILMS!$F$28*AM234+BMILMS!$G$28,IF(AM234&lt;26.75,BMILMS!$D$29*AM234^3+BMILMS!$E$29*AM234^2+BMILMS!$F$29*AM234+BMILMS!$G$29,IF(AM234&lt;90,BMILMS!$D$30*AM234^3+BMILMS!$E$30*AM234^2+BMILMS!$F$30*AM234+BMILMS!$G$30,IF(AM234&lt;150,BMILMS!$D$31*AM234^3+BMILMS!$E$31*AM234^2+BMILMS!$F$31*AM234+BMILMS!$G$31,BMILMS!$D$32*AM234^3+BMILMS!$E$32*AM234^2+BMILMS!$F$32*AM234+BMILMS!$G$32)))))))</f>
        <v>12.568967990000001</v>
      </c>
      <c r="AL234" s="4">
        <f>IF(D234="M",(IF(AM234&lt;90,BMILMS!$D$14*AM234^3+BMILMS!$E$14*AM234^2+BMILMS!$F$14*AM234+BMILMS!$G$14,BMILMS!$D$15*AM234^3+BMILMS!$E$15*AM234^2+BMILMS!$F$15*AM234+BMILMS!$G$15)),(IF(AM234&lt;90,BMILMS!$D$17*AM234^3+BMILMS!$E$17*AM234^2+BMILMS!$F$17*AM234+BMILMS!$G$17,BMILMS!$D$18*AM234^3+BMILMS!$E$18*AM234^2+BMILMS!$F$18*AM234+BMILMS!$G$18)))</f>
        <v>8.8969350000000003E-2</v>
      </c>
      <c r="AM234" s="4">
        <f t="shared" si="83"/>
        <v>0</v>
      </c>
      <c r="AO234" s="56">
        <f>IF(D234="M",WeightSDS!P$5*$AM234^7+WeightSDS!Q$5*$AM234^6+WeightSDS!R$5*$AM234^5+WeightSDS!S$5*$AM234^4+WeightSDS!T$5*$AM234^3+WeightSDS!U$5*$AM234^2+WeightSDS!V$5*$AM234+WeightSDS!W$5,IF($AM234&lt;186,WeightSDS!P$8*$AM234^7+WeightSDS!Q$8*$AM234^6+WeightSDS!R$8*$AM234^5+WeightSDS!S$8*$AM234^4+WeightSDS!T$8*$AM234^3+WeightSDS!U$8*$AM234^2+WeightSDS!V$8*$AM234+WeightSDS!W$8,WeightSDS!$U$9+WeightSDS!$V$9*($AM234-WeightSDS!$W$9)))</f>
        <v>0.75407122999999998</v>
      </c>
      <c r="AP234" s="4">
        <f>IF(D234="M",IF($AM234&lt;45,WeightSDS!M$23*$AM234^10+WeightSDS!N$23*$AM234^9+WeightSDS!O$23*$AM234^8+WeightSDS!P$23*$AM234^7+WeightSDS!Q$23*$AM234^6+WeightSDS!R$23*$AM234^5+WeightSDS!S$23*$AM234^4+WeightSDS!T$23*$AM234^3+WeightSDS!U$23*$AM234^2+WeightSDS!V$23*$AM234+WeightSDS!W$23,IF($AM234&lt;153,WeightSDS!M$25*$AM234^10+WeightSDS!N$25*$AM234^9+WeightSDS!O$25*$AM234^8+WeightSDS!P$25*$AM234^7+WeightSDS!Q$25*$AM234^6+WeightSDS!R$25*$AM234^5+WeightSDS!S$25*$AM234^4+WeightSDS!T$25*$AM234^3+WeightSDS!U$25*$AM234^2+WeightSDS!V$25*$AM234+WeightSDS!W$25,WeightSDS!M$27+WeightSDS!N$27/(1+EXP(WeightSDS!O$27+WeightSDS!P$27*$AM234)))),IF($AM234&lt;43.8,WeightSDS!M$29*$AM234^10+WeightSDS!N$29*$AM234^9+WeightSDS!O$29*$AM234^8+WeightSDS!P$29*$AM234^7+WeightSDS!Q$29*$AM234^6+WeightSDS!R$29*$AM234^5+WeightSDS!S$29*$AM234^4+WeightSDS!T$29*$AM234^3+WeightSDS!U$29*$AM234^2+WeightSDS!V$29*$AM234+WeightSDS!W$29-0.010431*(1-$AM234/210),IF($AM234&lt;123,WeightSDS!M$30*$AM234^10+WeightSDS!N$30*$AM234^9+WeightSDS!O$30*$AM234^8+WeightSDS!P$30*$AM234^7+WeightSDS!Q$30*$AM234^6+WeightSDS!R$30*$AM234^5+WeightSDS!S$30*$AM234^4+WeightSDS!T$30*$AM234^3+WeightSDS!U$30*$AM234^2+WeightSDS!V$30*$AM234+WeightSDS!W$30-0.010431*(1-1/$AM234),WeightSDS!M$32+WeightSDS!N$32/(1+EXP(WeightSDS!O$32+WeightSDS!P$32*$AM234))-0.010431*(1-$AM234/210))))</f>
        <v>2.9500001032655536</v>
      </c>
      <c r="AQ234" s="4">
        <f>IF(D234="M",IF($AM234&lt;162,WeightSDS!P$12*$AM234^7+WeightSDS!Q$12*$AM234^6+WeightSDS!R$12*$AM234^5+WeightSDS!S$12*$AM234^4+WeightSDS!T$12*$AM234^3+WeightSDS!U$12*$AM234^2+WeightSDS!V$12*$AM234+WeightSDS!W$12,WeightSDS!P$14*$AM234^7+WeightSDS!Q$14*$AM234^6+WeightSDS!R$14*$AM234^5+WeightSDS!S$14*$AM234^4+WeightSDS!T$14*$AM234^3+WeightSDS!U$14*$AM234^2+WeightSDS!V$14*$AM234+WeightSDS!W$14),IF($AM234&lt;156,WeightSDS!O$17*$AM234^8+WeightSDS!P$17*$AM234^7+WeightSDS!Q$17*$AM234^6+WeightSDS!R$17*$AM234^5+WeightSDS!S$17*$AM234^4+WeightSDS!T$17*$AM234^3+WeightSDS!U$17*$AM234^2+WeightSDS!V$17*$AM234+WeightSDS!W$17,IF($AM234&lt;186,WeightSDS!$U$18+(WeightSDS!$V$18-WeightSDS!$U$18)/24*($AM234-186)+WeightSDS!$W$18*(-$AM234+186)^2-0.005,WeightSDS!$U$18+(WeightSDS!$V$18-WeightSDS!$U$18)/24*($AM234-186)-0.005)))</f>
        <v>0.14604529399999999</v>
      </c>
      <c r="AT234" s="4">
        <f t="shared" si="70"/>
        <v>0.56299999999999994</v>
      </c>
      <c r="AU234" s="4">
        <f t="shared" si="71"/>
        <v>69</v>
      </c>
      <c r="AV234" s="4">
        <f t="shared" si="72"/>
        <v>0.51</v>
      </c>
    </row>
    <row r="235" spans="1:48" x14ac:dyDescent="0.15">
      <c r="A235" s="4"/>
      <c r="B235" s="21"/>
      <c r="C235" s="21"/>
      <c r="D235" s="21"/>
      <c r="E235" s="22"/>
      <c r="F235" s="22"/>
      <c r="G235" s="23"/>
      <c r="H235" s="23"/>
      <c r="I235" s="181"/>
      <c r="J235" s="8" t="str">
        <f t="shared" si="64"/>
        <v/>
      </c>
      <c r="K235" s="2" t="str">
        <f t="shared" si="73"/>
        <v/>
      </c>
      <c r="L235" s="2" t="str">
        <f t="shared" si="65"/>
        <v/>
      </c>
      <c r="M235" s="2" t="str">
        <f t="shared" si="74"/>
        <v/>
      </c>
      <c r="N235" s="2" t="str">
        <f t="shared" si="82"/>
        <v/>
      </c>
      <c r="O235" s="2" t="str">
        <f t="shared" si="75"/>
        <v/>
      </c>
      <c r="P235" s="8" t="str">
        <f t="shared" si="76"/>
        <v/>
      </c>
      <c r="Q235" s="8" t="str">
        <f t="shared" si="77"/>
        <v/>
      </c>
      <c r="R235" s="111" t="str">
        <f t="shared" si="78"/>
        <v/>
      </c>
      <c r="S235" s="44" t="str">
        <f t="shared" si="79"/>
        <v/>
      </c>
      <c r="T235" s="37" t="str">
        <f t="shared" si="80"/>
        <v/>
      </c>
      <c r="U235" s="44" t="str">
        <f t="shared" si="81"/>
        <v/>
      </c>
      <c r="V235" s="26"/>
      <c r="W235" s="26"/>
      <c r="X235" s="26"/>
      <c r="Y235" s="26"/>
      <c r="Z235" s="24"/>
      <c r="AA235" s="169">
        <f t="shared" si="66"/>
        <v>0</v>
      </c>
      <c r="AB235" s="4">
        <f t="shared" si="67"/>
        <v>0</v>
      </c>
      <c r="AC235" s="170">
        <f t="shared" si="84"/>
        <v>0</v>
      </c>
      <c r="AD235" s="58"/>
      <c r="AE235" s="58"/>
      <c r="AF235" s="58"/>
      <c r="AG235" s="59">
        <f t="shared" si="68"/>
        <v>9.0359999999999996</v>
      </c>
      <c r="AH235" s="59">
        <f t="shared" si="69"/>
        <v>-184.49199999999999</v>
      </c>
      <c r="AJ235" s="4">
        <f>IF(D235="M",IF(AM235&lt;78,BMILMS!$D$5*AM235^3+BMILMS!$E$5*AM235^2+BMILMS!$F$5*AM235+BMILMS!$G$5,IF(AM235&lt;150,BMILMS!$D$6*AM235^3+BMILMS!$E$6*AM235^2+BMILMS!$F$6*AM235+BMILMS!$G$6,BMILMS!$D$7*AM235^3+BMILMS!$E$7*AM235^2+BMILMS!$F$7*AM235+BMILMS!$G$7)),IF(AM235&lt;69,BMILMS!$D$9*AM235^3+BMILMS!$E$9*AM235^2+BMILMS!$F$9*AM235+BMILMS!$G$9,IF(AM235&lt;150,BMILMS!$D$10*AM235^3+BMILMS!$E$10*AM235^2+BMILMS!$F$10*AM235+BMILMS!$G$10,BMILMS!$D$11*AM235^3+BMILMS!$E$11*AM235^2+BMILMS!$F$11*AM235+BMILMS!$G$11)))</f>
        <v>0.79584630099999998</v>
      </c>
      <c r="AK235" s="4">
        <f>IF(D235="M",(IF(AM235&lt;2.5,BMILMS!$D$21*AM235^3+BMILMS!$E$21*AM235^2+BMILMS!$F$21*AM235+BMILMS!$G$21,IF(AM235&lt;9.5,BMILMS!$D$22*AM235^3+BMILMS!$E$22*AM235^2+BMILMS!$F$22*AM235+BMILMS!$G$22,IF(AM235&lt;26.75,BMILMS!$D$23*AM235^3+BMILMS!$E$23*AM235^2+BMILMS!$F$23*AM235+BMILMS!$G$23,IF(AM235&lt;90,BMILMS!$D$24*AM235^3+BMILMS!$E$24*AM235^2+BMILMS!$F$24*AM235+BMILMS!$G$24,BMILMS!$D$25*AM235^3+BMILMS!$E$25*AM235^2+BMILMS!$F$25*AM235+BMILMS!$G$25))))),(IF(AM235&lt;2.5,BMILMS!$D$27*AM235^3+BMILMS!$E$27*AM235^2+BMILMS!$F$27*AM235+BMILMS!$G$27,IF(AM235&lt;9.5,BMILMS!$D$28*AM235^3+BMILMS!$E$28*AM235^2+BMILMS!$F$28*AM235+BMILMS!$G$28,IF(AM235&lt;26.75,BMILMS!$D$29*AM235^3+BMILMS!$E$29*AM235^2+BMILMS!$F$29*AM235+BMILMS!$G$29,IF(AM235&lt;90,BMILMS!$D$30*AM235^3+BMILMS!$E$30*AM235^2+BMILMS!$F$30*AM235+BMILMS!$G$30,IF(AM235&lt;150,BMILMS!$D$31*AM235^3+BMILMS!$E$31*AM235^2+BMILMS!$F$31*AM235+BMILMS!$G$31,BMILMS!$D$32*AM235^3+BMILMS!$E$32*AM235^2+BMILMS!$F$32*AM235+BMILMS!$G$32)))))))</f>
        <v>12.568967990000001</v>
      </c>
      <c r="AL235" s="4">
        <f>IF(D235="M",(IF(AM235&lt;90,BMILMS!$D$14*AM235^3+BMILMS!$E$14*AM235^2+BMILMS!$F$14*AM235+BMILMS!$G$14,BMILMS!$D$15*AM235^3+BMILMS!$E$15*AM235^2+BMILMS!$F$15*AM235+BMILMS!$G$15)),(IF(AM235&lt;90,BMILMS!$D$17*AM235^3+BMILMS!$E$17*AM235^2+BMILMS!$F$17*AM235+BMILMS!$G$17,BMILMS!$D$18*AM235^3+BMILMS!$E$18*AM235^2+BMILMS!$F$18*AM235+BMILMS!$G$18)))</f>
        <v>8.8969350000000003E-2</v>
      </c>
      <c r="AM235" s="4">
        <f t="shared" si="83"/>
        <v>0</v>
      </c>
      <c r="AO235" s="56">
        <f>IF(D235="M",WeightSDS!P$5*$AM235^7+WeightSDS!Q$5*$AM235^6+WeightSDS!R$5*$AM235^5+WeightSDS!S$5*$AM235^4+WeightSDS!T$5*$AM235^3+WeightSDS!U$5*$AM235^2+WeightSDS!V$5*$AM235+WeightSDS!W$5,IF($AM235&lt;186,WeightSDS!P$8*$AM235^7+WeightSDS!Q$8*$AM235^6+WeightSDS!R$8*$AM235^5+WeightSDS!S$8*$AM235^4+WeightSDS!T$8*$AM235^3+WeightSDS!U$8*$AM235^2+WeightSDS!V$8*$AM235+WeightSDS!W$8,WeightSDS!$U$9+WeightSDS!$V$9*($AM235-WeightSDS!$W$9)))</f>
        <v>0.75407122999999998</v>
      </c>
      <c r="AP235" s="4">
        <f>IF(D235="M",IF($AM235&lt;45,WeightSDS!M$23*$AM235^10+WeightSDS!N$23*$AM235^9+WeightSDS!O$23*$AM235^8+WeightSDS!P$23*$AM235^7+WeightSDS!Q$23*$AM235^6+WeightSDS!R$23*$AM235^5+WeightSDS!S$23*$AM235^4+WeightSDS!T$23*$AM235^3+WeightSDS!U$23*$AM235^2+WeightSDS!V$23*$AM235+WeightSDS!W$23,IF($AM235&lt;153,WeightSDS!M$25*$AM235^10+WeightSDS!N$25*$AM235^9+WeightSDS!O$25*$AM235^8+WeightSDS!P$25*$AM235^7+WeightSDS!Q$25*$AM235^6+WeightSDS!R$25*$AM235^5+WeightSDS!S$25*$AM235^4+WeightSDS!T$25*$AM235^3+WeightSDS!U$25*$AM235^2+WeightSDS!V$25*$AM235+WeightSDS!W$25,WeightSDS!M$27+WeightSDS!N$27/(1+EXP(WeightSDS!O$27+WeightSDS!P$27*$AM235)))),IF($AM235&lt;43.8,WeightSDS!M$29*$AM235^10+WeightSDS!N$29*$AM235^9+WeightSDS!O$29*$AM235^8+WeightSDS!P$29*$AM235^7+WeightSDS!Q$29*$AM235^6+WeightSDS!R$29*$AM235^5+WeightSDS!S$29*$AM235^4+WeightSDS!T$29*$AM235^3+WeightSDS!U$29*$AM235^2+WeightSDS!V$29*$AM235+WeightSDS!W$29-0.010431*(1-$AM235/210),IF($AM235&lt;123,WeightSDS!M$30*$AM235^10+WeightSDS!N$30*$AM235^9+WeightSDS!O$30*$AM235^8+WeightSDS!P$30*$AM235^7+WeightSDS!Q$30*$AM235^6+WeightSDS!R$30*$AM235^5+WeightSDS!S$30*$AM235^4+WeightSDS!T$30*$AM235^3+WeightSDS!U$30*$AM235^2+WeightSDS!V$30*$AM235+WeightSDS!W$30-0.010431*(1-1/$AM235),WeightSDS!M$32+WeightSDS!N$32/(1+EXP(WeightSDS!O$32+WeightSDS!P$32*$AM235))-0.010431*(1-$AM235/210))))</f>
        <v>2.9500001032655536</v>
      </c>
      <c r="AQ235" s="4">
        <f>IF(D235="M",IF($AM235&lt;162,WeightSDS!P$12*$AM235^7+WeightSDS!Q$12*$AM235^6+WeightSDS!R$12*$AM235^5+WeightSDS!S$12*$AM235^4+WeightSDS!T$12*$AM235^3+WeightSDS!U$12*$AM235^2+WeightSDS!V$12*$AM235+WeightSDS!W$12,WeightSDS!P$14*$AM235^7+WeightSDS!Q$14*$AM235^6+WeightSDS!R$14*$AM235^5+WeightSDS!S$14*$AM235^4+WeightSDS!T$14*$AM235^3+WeightSDS!U$14*$AM235^2+WeightSDS!V$14*$AM235+WeightSDS!W$14),IF($AM235&lt;156,WeightSDS!O$17*$AM235^8+WeightSDS!P$17*$AM235^7+WeightSDS!Q$17*$AM235^6+WeightSDS!R$17*$AM235^5+WeightSDS!S$17*$AM235^4+WeightSDS!T$17*$AM235^3+WeightSDS!U$17*$AM235^2+WeightSDS!V$17*$AM235+WeightSDS!W$17,IF($AM235&lt;186,WeightSDS!$U$18+(WeightSDS!$V$18-WeightSDS!$U$18)/24*($AM235-186)+WeightSDS!$W$18*(-$AM235+186)^2-0.005,WeightSDS!$U$18+(WeightSDS!$V$18-WeightSDS!$U$18)/24*($AM235-186)-0.005)))</f>
        <v>0.14604529399999999</v>
      </c>
      <c r="AT235" s="4">
        <f t="shared" si="70"/>
        <v>0.56299999999999994</v>
      </c>
      <c r="AU235" s="4">
        <f t="shared" si="71"/>
        <v>69</v>
      </c>
      <c r="AV235" s="4">
        <f t="shared" si="72"/>
        <v>0.51</v>
      </c>
    </row>
    <row r="236" spans="1:48" x14ac:dyDescent="0.15">
      <c r="A236" s="4"/>
      <c r="B236" s="21"/>
      <c r="C236" s="21"/>
      <c r="D236" s="21"/>
      <c r="E236" s="22"/>
      <c r="F236" s="22"/>
      <c r="G236" s="23"/>
      <c r="H236" s="23"/>
      <c r="I236" s="181"/>
      <c r="J236" s="8" t="str">
        <f t="shared" si="64"/>
        <v/>
      </c>
      <c r="K236" s="2" t="str">
        <f t="shared" si="73"/>
        <v/>
      </c>
      <c r="L236" s="2" t="str">
        <f t="shared" si="65"/>
        <v/>
      </c>
      <c r="M236" s="2" t="str">
        <f t="shared" si="74"/>
        <v/>
      </c>
      <c r="N236" s="2" t="str">
        <f t="shared" si="82"/>
        <v/>
      </c>
      <c r="O236" s="2" t="str">
        <f t="shared" si="75"/>
        <v/>
      </c>
      <c r="P236" s="8" t="str">
        <f t="shared" si="76"/>
        <v/>
      </c>
      <c r="Q236" s="8" t="str">
        <f t="shared" si="77"/>
        <v/>
      </c>
      <c r="R236" s="111" t="str">
        <f t="shared" si="78"/>
        <v/>
      </c>
      <c r="S236" s="44" t="str">
        <f t="shared" si="79"/>
        <v/>
      </c>
      <c r="T236" s="37" t="str">
        <f t="shared" si="80"/>
        <v/>
      </c>
      <c r="U236" s="44" t="str">
        <f t="shared" si="81"/>
        <v/>
      </c>
      <c r="V236" s="26"/>
      <c r="W236" s="26"/>
      <c r="X236" s="26"/>
      <c r="Y236" s="26"/>
      <c r="Z236" s="24"/>
      <c r="AA236" s="169">
        <f t="shared" si="66"/>
        <v>0</v>
      </c>
      <c r="AB236" s="4">
        <f t="shared" si="67"/>
        <v>0</v>
      </c>
      <c r="AC236" s="170">
        <f t="shared" si="84"/>
        <v>0</v>
      </c>
      <c r="AD236" s="58"/>
      <c r="AE236" s="58"/>
      <c r="AF236" s="58"/>
      <c r="AG236" s="59">
        <f t="shared" si="68"/>
        <v>9.0359999999999996</v>
      </c>
      <c r="AH236" s="59">
        <f t="shared" si="69"/>
        <v>-184.49199999999999</v>
      </c>
      <c r="AJ236" s="4">
        <f>IF(D236="M",IF(AM236&lt;78,BMILMS!$D$5*AM236^3+BMILMS!$E$5*AM236^2+BMILMS!$F$5*AM236+BMILMS!$G$5,IF(AM236&lt;150,BMILMS!$D$6*AM236^3+BMILMS!$E$6*AM236^2+BMILMS!$F$6*AM236+BMILMS!$G$6,BMILMS!$D$7*AM236^3+BMILMS!$E$7*AM236^2+BMILMS!$F$7*AM236+BMILMS!$G$7)),IF(AM236&lt;69,BMILMS!$D$9*AM236^3+BMILMS!$E$9*AM236^2+BMILMS!$F$9*AM236+BMILMS!$G$9,IF(AM236&lt;150,BMILMS!$D$10*AM236^3+BMILMS!$E$10*AM236^2+BMILMS!$F$10*AM236+BMILMS!$G$10,BMILMS!$D$11*AM236^3+BMILMS!$E$11*AM236^2+BMILMS!$F$11*AM236+BMILMS!$G$11)))</f>
        <v>0.79584630099999998</v>
      </c>
      <c r="AK236" s="4">
        <f>IF(D236="M",(IF(AM236&lt;2.5,BMILMS!$D$21*AM236^3+BMILMS!$E$21*AM236^2+BMILMS!$F$21*AM236+BMILMS!$G$21,IF(AM236&lt;9.5,BMILMS!$D$22*AM236^3+BMILMS!$E$22*AM236^2+BMILMS!$F$22*AM236+BMILMS!$G$22,IF(AM236&lt;26.75,BMILMS!$D$23*AM236^3+BMILMS!$E$23*AM236^2+BMILMS!$F$23*AM236+BMILMS!$G$23,IF(AM236&lt;90,BMILMS!$D$24*AM236^3+BMILMS!$E$24*AM236^2+BMILMS!$F$24*AM236+BMILMS!$G$24,BMILMS!$D$25*AM236^3+BMILMS!$E$25*AM236^2+BMILMS!$F$25*AM236+BMILMS!$G$25))))),(IF(AM236&lt;2.5,BMILMS!$D$27*AM236^3+BMILMS!$E$27*AM236^2+BMILMS!$F$27*AM236+BMILMS!$G$27,IF(AM236&lt;9.5,BMILMS!$D$28*AM236^3+BMILMS!$E$28*AM236^2+BMILMS!$F$28*AM236+BMILMS!$G$28,IF(AM236&lt;26.75,BMILMS!$D$29*AM236^3+BMILMS!$E$29*AM236^2+BMILMS!$F$29*AM236+BMILMS!$G$29,IF(AM236&lt;90,BMILMS!$D$30*AM236^3+BMILMS!$E$30*AM236^2+BMILMS!$F$30*AM236+BMILMS!$G$30,IF(AM236&lt;150,BMILMS!$D$31*AM236^3+BMILMS!$E$31*AM236^2+BMILMS!$F$31*AM236+BMILMS!$G$31,BMILMS!$D$32*AM236^3+BMILMS!$E$32*AM236^2+BMILMS!$F$32*AM236+BMILMS!$G$32)))))))</f>
        <v>12.568967990000001</v>
      </c>
      <c r="AL236" s="4">
        <f>IF(D236="M",(IF(AM236&lt;90,BMILMS!$D$14*AM236^3+BMILMS!$E$14*AM236^2+BMILMS!$F$14*AM236+BMILMS!$G$14,BMILMS!$D$15*AM236^3+BMILMS!$E$15*AM236^2+BMILMS!$F$15*AM236+BMILMS!$G$15)),(IF(AM236&lt;90,BMILMS!$D$17*AM236^3+BMILMS!$E$17*AM236^2+BMILMS!$F$17*AM236+BMILMS!$G$17,BMILMS!$D$18*AM236^3+BMILMS!$E$18*AM236^2+BMILMS!$F$18*AM236+BMILMS!$G$18)))</f>
        <v>8.8969350000000003E-2</v>
      </c>
      <c r="AM236" s="4">
        <f t="shared" si="83"/>
        <v>0</v>
      </c>
      <c r="AO236" s="56">
        <f>IF(D236="M",WeightSDS!P$5*$AM236^7+WeightSDS!Q$5*$AM236^6+WeightSDS!R$5*$AM236^5+WeightSDS!S$5*$AM236^4+WeightSDS!T$5*$AM236^3+WeightSDS!U$5*$AM236^2+WeightSDS!V$5*$AM236+WeightSDS!W$5,IF($AM236&lt;186,WeightSDS!P$8*$AM236^7+WeightSDS!Q$8*$AM236^6+WeightSDS!R$8*$AM236^5+WeightSDS!S$8*$AM236^4+WeightSDS!T$8*$AM236^3+WeightSDS!U$8*$AM236^2+WeightSDS!V$8*$AM236+WeightSDS!W$8,WeightSDS!$U$9+WeightSDS!$V$9*($AM236-WeightSDS!$W$9)))</f>
        <v>0.75407122999999998</v>
      </c>
      <c r="AP236" s="4">
        <f>IF(D236="M",IF($AM236&lt;45,WeightSDS!M$23*$AM236^10+WeightSDS!N$23*$AM236^9+WeightSDS!O$23*$AM236^8+WeightSDS!P$23*$AM236^7+WeightSDS!Q$23*$AM236^6+WeightSDS!R$23*$AM236^5+WeightSDS!S$23*$AM236^4+WeightSDS!T$23*$AM236^3+WeightSDS!U$23*$AM236^2+WeightSDS!V$23*$AM236+WeightSDS!W$23,IF($AM236&lt;153,WeightSDS!M$25*$AM236^10+WeightSDS!N$25*$AM236^9+WeightSDS!O$25*$AM236^8+WeightSDS!P$25*$AM236^7+WeightSDS!Q$25*$AM236^6+WeightSDS!R$25*$AM236^5+WeightSDS!S$25*$AM236^4+WeightSDS!T$25*$AM236^3+WeightSDS!U$25*$AM236^2+WeightSDS!V$25*$AM236+WeightSDS!W$25,WeightSDS!M$27+WeightSDS!N$27/(1+EXP(WeightSDS!O$27+WeightSDS!P$27*$AM236)))),IF($AM236&lt;43.8,WeightSDS!M$29*$AM236^10+WeightSDS!N$29*$AM236^9+WeightSDS!O$29*$AM236^8+WeightSDS!P$29*$AM236^7+WeightSDS!Q$29*$AM236^6+WeightSDS!R$29*$AM236^5+WeightSDS!S$29*$AM236^4+WeightSDS!T$29*$AM236^3+WeightSDS!U$29*$AM236^2+WeightSDS!V$29*$AM236+WeightSDS!W$29-0.010431*(1-$AM236/210),IF($AM236&lt;123,WeightSDS!M$30*$AM236^10+WeightSDS!N$30*$AM236^9+WeightSDS!O$30*$AM236^8+WeightSDS!P$30*$AM236^7+WeightSDS!Q$30*$AM236^6+WeightSDS!R$30*$AM236^5+WeightSDS!S$30*$AM236^4+WeightSDS!T$30*$AM236^3+WeightSDS!U$30*$AM236^2+WeightSDS!V$30*$AM236+WeightSDS!W$30-0.010431*(1-1/$AM236),WeightSDS!M$32+WeightSDS!N$32/(1+EXP(WeightSDS!O$32+WeightSDS!P$32*$AM236))-0.010431*(1-$AM236/210))))</f>
        <v>2.9500001032655536</v>
      </c>
      <c r="AQ236" s="4">
        <f>IF(D236="M",IF($AM236&lt;162,WeightSDS!P$12*$AM236^7+WeightSDS!Q$12*$AM236^6+WeightSDS!R$12*$AM236^5+WeightSDS!S$12*$AM236^4+WeightSDS!T$12*$AM236^3+WeightSDS!U$12*$AM236^2+WeightSDS!V$12*$AM236+WeightSDS!W$12,WeightSDS!P$14*$AM236^7+WeightSDS!Q$14*$AM236^6+WeightSDS!R$14*$AM236^5+WeightSDS!S$14*$AM236^4+WeightSDS!T$14*$AM236^3+WeightSDS!U$14*$AM236^2+WeightSDS!V$14*$AM236+WeightSDS!W$14),IF($AM236&lt;156,WeightSDS!O$17*$AM236^8+WeightSDS!P$17*$AM236^7+WeightSDS!Q$17*$AM236^6+WeightSDS!R$17*$AM236^5+WeightSDS!S$17*$AM236^4+WeightSDS!T$17*$AM236^3+WeightSDS!U$17*$AM236^2+WeightSDS!V$17*$AM236+WeightSDS!W$17,IF($AM236&lt;186,WeightSDS!$U$18+(WeightSDS!$V$18-WeightSDS!$U$18)/24*($AM236-186)+WeightSDS!$W$18*(-$AM236+186)^2-0.005,WeightSDS!$U$18+(WeightSDS!$V$18-WeightSDS!$U$18)/24*($AM236-186)-0.005)))</f>
        <v>0.14604529399999999</v>
      </c>
      <c r="AT236" s="4">
        <f t="shared" si="70"/>
        <v>0.56299999999999994</v>
      </c>
      <c r="AU236" s="4">
        <f t="shared" si="71"/>
        <v>69</v>
      </c>
      <c r="AV236" s="4">
        <f t="shared" si="72"/>
        <v>0.51</v>
      </c>
    </row>
    <row r="237" spans="1:48" x14ac:dyDescent="0.15">
      <c r="A237" s="4"/>
      <c r="B237" s="21"/>
      <c r="C237" s="21"/>
      <c r="D237" s="21"/>
      <c r="E237" s="22"/>
      <c r="F237" s="22"/>
      <c r="G237" s="23"/>
      <c r="H237" s="23"/>
      <c r="I237" s="181"/>
      <c r="J237" s="8" t="str">
        <f t="shared" si="64"/>
        <v/>
      </c>
      <c r="K237" s="2" t="str">
        <f t="shared" si="73"/>
        <v/>
      </c>
      <c r="L237" s="2" t="str">
        <f t="shared" si="65"/>
        <v/>
      </c>
      <c r="M237" s="2" t="str">
        <f t="shared" si="74"/>
        <v/>
      </c>
      <c r="N237" s="2" t="str">
        <f t="shared" si="82"/>
        <v/>
      </c>
      <c r="O237" s="2" t="str">
        <f t="shared" si="75"/>
        <v/>
      </c>
      <c r="P237" s="8" t="str">
        <f t="shared" si="76"/>
        <v/>
      </c>
      <c r="Q237" s="8" t="str">
        <f t="shared" si="77"/>
        <v/>
      </c>
      <c r="R237" s="111" t="str">
        <f t="shared" si="78"/>
        <v/>
      </c>
      <c r="S237" s="44" t="str">
        <f t="shared" si="79"/>
        <v/>
      </c>
      <c r="T237" s="37" t="str">
        <f t="shared" si="80"/>
        <v/>
      </c>
      <c r="U237" s="44" t="str">
        <f t="shared" si="81"/>
        <v/>
      </c>
      <c r="V237" s="26"/>
      <c r="W237" s="26"/>
      <c r="X237" s="26"/>
      <c r="Y237" s="26"/>
      <c r="Z237" s="24"/>
      <c r="AA237" s="169">
        <f t="shared" si="66"/>
        <v>0</v>
      </c>
      <c r="AB237" s="4">
        <f t="shared" si="67"/>
        <v>0</v>
      </c>
      <c r="AC237" s="170">
        <f t="shared" si="84"/>
        <v>0</v>
      </c>
      <c r="AD237" s="58"/>
      <c r="AE237" s="58"/>
      <c r="AF237" s="58"/>
      <c r="AG237" s="59">
        <f t="shared" si="68"/>
        <v>9.0359999999999996</v>
      </c>
      <c r="AH237" s="59">
        <f t="shared" si="69"/>
        <v>-184.49199999999999</v>
      </c>
      <c r="AJ237" s="4">
        <f>IF(D237="M",IF(AM237&lt;78,BMILMS!$D$5*AM237^3+BMILMS!$E$5*AM237^2+BMILMS!$F$5*AM237+BMILMS!$G$5,IF(AM237&lt;150,BMILMS!$D$6*AM237^3+BMILMS!$E$6*AM237^2+BMILMS!$F$6*AM237+BMILMS!$G$6,BMILMS!$D$7*AM237^3+BMILMS!$E$7*AM237^2+BMILMS!$F$7*AM237+BMILMS!$G$7)),IF(AM237&lt;69,BMILMS!$D$9*AM237^3+BMILMS!$E$9*AM237^2+BMILMS!$F$9*AM237+BMILMS!$G$9,IF(AM237&lt;150,BMILMS!$D$10*AM237^3+BMILMS!$E$10*AM237^2+BMILMS!$F$10*AM237+BMILMS!$G$10,BMILMS!$D$11*AM237^3+BMILMS!$E$11*AM237^2+BMILMS!$F$11*AM237+BMILMS!$G$11)))</f>
        <v>0.79584630099999998</v>
      </c>
      <c r="AK237" s="4">
        <f>IF(D237="M",(IF(AM237&lt;2.5,BMILMS!$D$21*AM237^3+BMILMS!$E$21*AM237^2+BMILMS!$F$21*AM237+BMILMS!$G$21,IF(AM237&lt;9.5,BMILMS!$D$22*AM237^3+BMILMS!$E$22*AM237^2+BMILMS!$F$22*AM237+BMILMS!$G$22,IF(AM237&lt;26.75,BMILMS!$D$23*AM237^3+BMILMS!$E$23*AM237^2+BMILMS!$F$23*AM237+BMILMS!$G$23,IF(AM237&lt;90,BMILMS!$D$24*AM237^3+BMILMS!$E$24*AM237^2+BMILMS!$F$24*AM237+BMILMS!$G$24,BMILMS!$D$25*AM237^3+BMILMS!$E$25*AM237^2+BMILMS!$F$25*AM237+BMILMS!$G$25))))),(IF(AM237&lt;2.5,BMILMS!$D$27*AM237^3+BMILMS!$E$27*AM237^2+BMILMS!$F$27*AM237+BMILMS!$G$27,IF(AM237&lt;9.5,BMILMS!$D$28*AM237^3+BMILMS!$E$28*AM237^2+BMILMS!$F$28*AM237+BMILMS!$G$28,IF(AM237&lt;26.75,BMILMS!$D$29*AM237^3+BMILMS!$E$29*AM237^2+BMILMS!$F$29*AM237+BMILMS!$G$29,IF(AM237&lt;90,BMILMS!$D$30*AM237^3+BMILMS!$E$30*AM237^2+BMILMS!$F$30*AM237+BMILMS!$G$30,IF(AM237&lt;150,BMILMS!$D$31*AM237^3+BMILMS!$E$31*AM237^2+BMILMS!$F$31*AM237+BMILMS!$G$31,BMILMS!$D$32*AM237^3+BMILMS!$E$32*AM237^2+BMILMS!$F$32*AM237+BMILMS!$G$32)))))))</f>
        <v>12.568967990000001</v>
      </c>
      <c r="AL237" s="4">
        <f>IF(D237="M",(IF(AM237&lt;90,BMILMS!$D$14*AM237^3+BMILMS!$E$14*AM237^2+BMILMS!$F$14*AM237+BMILMS!$G$14,BMILMS!$D$15*AM237^3+BMILMS!$E$15*AM237^2+BMILMS!$F$15*AM237+BMILMS!$G$15)),(IF(AM237&lt;90,BMILMS!$D$17*AM237^3+BMILMS!$E$17*AM237^2+BMILMS!$F$17*AM237+BMILMS!$G$17,BMILMS!$D$18*AM237^3+BMILMS!$E$18*AM237^2+BMILMS!$F$18*AM237+BMILMS!$G$18)))</f>
        <v>8.8969350000000003E-2</v>
      </c>
      <c r="AM237" s="4">
        <f t="shared" si="83"/>
        <v>0</v>
      </c>
      <c r="AO237" s="56">
        <f>IF(D237="M",WeightSDS!P$5*$AM237^7+WeightSDS!Q$5*$AM237^6+WeightSDS!R$5*$AM237^5+WeightSDS!S$5*$AM237^4+WeightSDS!T$5*$AM237^3+WeightSDS!U$5*$AM237^2+WeightSDS!V$5*$AM237+WeightSDS!W$5,IF($AM237&lt;186,WeightSDS!P$8*$AM237^7+WeightSDS!Q$8*$AM237^6+WeightSDS!R$8*$AM237^5+WeightSDS!S$8*$AM237^4+WeightSDS!T$8*$AM237^3+WeightSDS!U$8*$AM237^2+WeightSDS!V$8*$AM237+WeightSDS!W$8,WeightSDS!$U$9+WeightSDS!$V$9*($AM237-WeightSDS!$W$9)))</f>
        <v>0.75407122999999998</v>
      </c>
      <c r="AP237" s="4">
        <f>IF(D237="M",IF($AM237&lt;45,WeightSDS!M$23*$AM237^10+WeightSDS!N$23*$AM237^9+WeightSDS!O$23*$AM237^8+WeightSDS!P$23*$AM237^7+WeightSDS!Q$23*$AM237^6+WeightSDS!R$23*$AM237^5+WeightSDS!S$23*$AM237^4+WeightSDS!T$23*$AM237^3+WeightSDS!U$23*$AM237^2+WeightSDS!V$23*$AM237+WeightSDS!W$23,IF($AM237&lt;153,WeightSDS!M$25*$AM237^10+WeightSDS!N$25*$AM237^9+WeightSDS!O$25*$AM237^8+WeightSDS!P$25*$AM237^7+WeightSDS!Q$25*$AM237^6+WeightSDS!R$25*$AM237^5+WeightSDS!S$25*$AM237^4+WeightSDS!T$25*$AM237^3+WeightSDS!U$25*$AM237^2+WeightSDS!V$25*$AM237+WeightSDS!W$25,WeightSDS!M$27+WeightSDS!N$27/(1+EXP(WeightSDS!O$27+WeightSDS!P$27*$AM237)))),IF($AM237&lt;43.8,WeightSDS!M$29*$AM237^10+WeightSDS!N$29*$AM237^9+WeightSDS!O$29*$AM237^8+WeightSDS!P$29*$AM237^7+WeightSDS!Q$29*$AM237^6+WeightSDS!R$29*$AM237^5+WeightSDS!S$29*$AM237^4+WeightSDS!T$29*$AM237^3+WeightSDS!U$29*$AM237^2+WeightSDS!V$29*$AM237+WeightSDS!W$29-0.010431*(1-$AM237/210),IF($AM237&lt;123,WeightSDS!M$30*$AM237^10+WeightSDS!N$30*$AM237^9+WeightSDS!O$30*$AM237^8+WeightSDS!P$30*$AM237^7+WeightSDS!Q$30*$AM237^6+WeightSDS!R$30*$AM237^5+WeightSDS!S$30*$AM237^4+WeightSDS!T$30*$AM237^3+WeightSDS!U$30*$AM237^2+WeightSDS!V$30*$AM237+WeightSDS!W$30-0.010431*(1-1/$AM237),WeightSDS!M$32+WeightSDS!N$32/(1+EXP(WeightSDS!O$32+WeightSDS!P$32*$AM237))-0.010431*(1-$AM237/210))))</f>
        <v>2.9500001032655536</v>
      </c>
      <c r="AQ237" s="4">
        <f>IF(D237="M",IF($AM237&lt;162,WeightSDS!P$12*$AM237^7+WeightSDS!Q$12*$AM237^6+WeightSDS!R$12*$AM237^5+WeightSDS!S$12*$AM237^4+WeightSDS!T$12*$AM237^3+WeightSDS!U$12*$AM237^2+WeightSDS!V$12*$AM237+WeightSDS!W$12,WeightSDS!P$14*$AM237^7+WeightSDS!Q$14*$AM237^6+WeightSDS!R$14*$AM237^5+WeightSDS!S$14*$AM237^4+WeightSDS!T$14*$AM237^3+WeightSDS!U$14*$AM237^2+WeightSDS!V$14*$AM237+WeightSDS!W$14),IF($AM237&lt;156,WeightSDS!O$17*$AM237^8+WeightSDS!P$17*$AM237^7+WeightSDS!Q$17*$AM237^6+WeightSDS!R$17*$AM237^5+WeightSDS!S$17*$AM237^4+WeightSDS!T$17*$AM237^3+WeightSDS!U$17*$AM237^2+WeightSDS!V$17*$AM237+WeightSDS!W$17,IF($AM237&lt;186,WeightSDS!$U$18+(WeightSDS!$V$18-WeightSDS!$U$18)/24*($AM237-186)+WeightSDS!$W$18*(-$AM237+186)^2-0.005,WeightSDS!$U$18+(WeightSDS!$V$18-WeightSDS!$U$18)/24*($AM237-186)-0.005)))</f>
        <v>0.14604529399999999</v>
      </c>
      <c r="AT237" s="4">
        <f t="shared" si="70"/>
        <v>0.56299999999999994</v>
      </c>
      <c r="AU237" s="4">
        <f t="shared" si="71"/>
        <v>69</v>
      </c>
      <c r="AV237" s="4">
        <f t="shared" si="72"/>
        <v>0.51</v>
      </c>
    </row>
    <row r="238" spans="1:48" x14ac:dyDescent="0.15">
      <c r="A238" s="4"/>
      <c r="B238" s="21"/>
      <c r="C238" s="21"/>
      <c r="D238" s="21"/>
      <c r="E238" s="22"/>
      <c r="F238" s="22"/>
      <c r="G238" s="23"/>
      <c r="H238" s="23"/>
      <c r="I238" s="181"/>
      <c r="J238" s="8" t="str">
        <f t="shared" si="64"/>
        <v/>
      </c>
      <c r="K238" s="2" t="str">
        <f t="shared" si="73"/>
        <v/>
      </c>
      <c r="L238" s="2" t="str">
        <f t="shared" si="65"/>
        <v/>
      </c>
      <c r="M238" s="2" t="str">
        <f t="shared" si="74"/>
        <v/>
      </c>
      <c r="N238" s="2" t="str">
        <f t="shared" si="82"/>
        <v/>
      </c>
      <c r="O238" s="2" t="str">
        <f t="shared" si="75"/>
        <v/>
      </c>
      <c r="P238" s="8" t="str">
        <f t="shared" si="76"/>
        <v/>
      </c>
      <c r="Q238" s="8" t="str">
        <f t="shared" si="77"/>
        <v/>
      </c>
      <c r="R238" s="111" t="str">
        <f t="shared" si="78"/>
        <v/>
      </c>
      <c r="S238" s="44" t="str">
        <f t="shared" si="79"/>
        <v/>
      </c>
      <c r="T238" s="37" t="str">
        <f t="shared" si="80"/>
        <v/>
      </c>
      <c r="U238" s="44" t="str">
        <f t="shared" si="81"/>
        <v/>
      </c>
      <c r="V238" s="26"/>
      <c r="W238" s="26"/>
      <c r="X238" s="26"/>
      <c r="Y238" s="26"/>
      <c r="Z238" s="24"/>
      <c r="AA238" s="169">
        <f t="shared" si="66"/>
        <v>0</v>
      </c>
      <c r="AB238" s="4">
        <f t="shared" si="67"/>
        <v>0</v>
      </c>
      <c r="AC238" s="170">
        <f t="shared" si="84"/>
        <v>0</v>
      </c>
      <c r="AD238" s="58"/>
      <c r="AE238" s="58"/>
      <c r="AF238" s="58"/>
      <c r="AG238" s="59">
        <f t="shared" si="68"/>
        <v>9.0359999999999996</v>
      </c>
      <c r="AH238" s="59">
        <f t="shared" si="69"/>
        <v>-184.49199999999999</v>
      </c>
      <c r="AJ238" s="4">
        <f>IF(D238="M",IF(AM238&lt;78,BMILMS!$D$5*AM238^3+BMILMS!$E$5*AM238^2+BMILMS!$F$5*AM238+BMILMS!$G$5,IF(AM238&lt;150,BMILMS!$D$6*AM238^3+BMILMS!$E$6*AM238^2+BMILMS!$F$6*AM238+BMILMS!$G$6,BMILMS!$D$7*AM238^3+BMILMS!$E$7*AM238^2+BMILMS!$F$7*AM238+BMILMS!$G$7)),IF(AM238&lt;69,BMILMS!$D$9*AM238^3+BMILMS!$E$9*AM238^2+BMILMS!$F$9*AM238+BMILMS!$G$9,IF(AM238&lt;150,BMILMS!$D$10*AM238^3+BMILMS!$E$10*AM238^2+BMILMS!$F$10*AM238+BMILMS!$G$10,BMILMS!$D$11*AM238^3+BMILMS!$E$11*AM238^2+BMILMS!$F$11*AM238+BMILMS!$G$11)))</f>
        <v>0.79584630099999998</v>
      </c>
      <c r="AK238" s="4">
        <f>IF(D238="M",(IF(AM238&lt;2.5,BMILMS!$D$21*AM238^3+BMILMS!$E$21*AM238^2+BMILMS!$F$21*AM238+BMILMS!$G$21,IF(AM238&lt;9.5,BMILMS!$D$22*AM238^3+BMILMS!$E$22*AM238^2+BMILMS!$F$22*AM238+BMILMS!$G$22,IF(AM238&lt;26.75,BMILMS!$D$23*AM238^3+BMILMS!$E$23*AM238^2+BMILMS!$F$23*AM238+BMILMS!$G$23,IF(AM238&lt;90,BMILMS!$D$24*AM238^3+BMILMS!$E$24*AM238^2+BMILMS!$F$24*AM238+BMILMS!$G$24,BMILMS!$D$25*AM238^3+BMILMS!$E$25*AM238^2+BMILMS!$F$25*AM238+BMILMS!$G$25))))),(IF(AM238&lt;2.5,BMILMS!$D$27*AM238^3+BMILMS!$E$27*AM238^2+BMILMS!$F$27*AM238+BMILMS!$G$27,IF(AM238&lt;9.5,BMILMS!$D$28*AM238^3+BMILMS!$E$28*AM238^2+BMILMS!$F$28*AM238+BMILMS!$G$28,IF(AM238&lt;26.75,BMILMS!$D$29*AM238^3+BMILMS!$E$29*AM238^2+BMILMS!$F$29*AM238+BMILMS!$G$29,IF(AM238&lt;90,BMILMS!$D$30*AM238^3+BMILMS!$E$30*AM238^2+BMILMS!$F$30*AM238+BMILMS!$G$30,IF(AM238&lt;150,BMILMS!$D$31*AM238^3+BMILMS!$E$31*AM238^2+BMILMS!$F$31*AM238+BMILMS!$G$31,BMILMS!$D$32*AM238^3+BMILMS!$E$32*AM238^2+BMILMS!$F$32*AM238+BMILMS!$G$32)))))))</f>
        <v>12.568967990000001</v>
      </c>
      <c r="AL238" s="4">
        <f>IF(D238="M",(IF(AM238&lt;90,BMILMS!$D$14*AM238^3+BMILMS!$E$14*AM238^2+BMILMS!$F$14*AM238+BMILMS!$G$14,BMILMS!$D$15*AM238^3+BMILMS!$E$15*AM238^2+BMILMS!$F$15*AM238+BMILMS!$G$15)),(IF(AM238&lt;90,BMILMS!$D$17*AM238^3+BMILMS!$E$17*AM238^2+BMILMS!$F$17*AM238+BMILMS!$G$17,BMILMS!$D$18*AM238^3+BMILMS!$E$18*AM238^2+BMILMS!$F$18*AM238+BMILMS!$G$18)))</f>
        <v>8.8969350000000003E-2</v>
      </c>
      <c r="AM238" s="4">
        <f t="shared" si="83"/>
        <v>0</v>
      </c>
      <c r="AO238" s="56">
        <f>IF(D238="M",WeightSDS!P$5*$AM238^7+WeightSDS!Q$5*$AM238^6+WeightSDS!R$5*$AM238^5+WeightSDS!S$5*$AM238^4+WeightSDS!T$5*$AM238^3+WeightSDS!U$5*$AM238^2+WeightSDS!V$5*$AM238+WeightSDS!W$5,IF($AM238&lt;186,WeightSDS!P$8*$AM238^7+WeightSDS!Q$8*$AM238^6+WeightSDS!R$8*$AM238^5+WeightSDS!S$8*$AM238^4+WeightSDS!T$8*$AM238^3+WeightSDS!U$8*$AM238^2+WeightSDS!V$8*$AM238+WeightSDS!W$8,WeightSDS!$U$9+WeightSDS!$V$9*($AM238-WeightSDS!$W$9)))</f>
        <v>0.75407122999999998</v>
      </c>
      <c r="AP238" s="4">
        <f>IF(D238="M",IF($AM238&lt;45,WeightSDS!M$23*$AM238^10+WeightSDS!N$23*$AM238^9+WeightSDS!O$23*$AM238^8+WeightSDS!P$23*$AM238^7+WeightSDS!Q$23*$AM238^6+WeightSDS!R$23*$AM238^5+WeightSDS!S$23*$AM238^4+WeightSDS!T$23*$AM238^3+WeightSDS!U$23*$AM238^2+WeightSDS!V$23*$AM238+WeightSDS!W$23,IF($AM238&lt;153,WeightSDS!M$25*$AM238^10+WeightSDS!N$25*$AM238^9+WeightSDS!O$25*$AM238^8+WeightSDS!P$25*$AM238^7+WeightSDS!Q$25*$AM238^6+WeightSDS!R$25*$AM238^5+WeightSDS!S$25*$AM238^4+WeightSDS!T$25*$AM238^3+WeightSDS!U$25*$AM238^2+WeightSDS!V$25*$AM238+WeightSDS!W$25,WeightSDS!M$27+WeightSDS!N$27/(1+EXP(WeightSDS!O$27+WeightSDS!P$27*$AM238)))),IF($AM238&lt;43.8,WeightSDS!M$29*$AM238^10+WeightSDS!N$29*$AM238^9+WeightSDS!O$29*$AM238^8+WeightSDS!P$29*$AM238^7+WeightSDS!Q$29*$AM238^6+WeightSDS!R$29*$AM238^5+WeightSDS!S$29*$AM238^4+WeightSDS!T$29*$AM238^3+WeightSDS!U$29*$AM238^2+WeightSDS!V$29*$AM238+WeightSDS!W$29-0.010431*(1-$AM238/210),IF($AM238&lt;123,WeightSDS!M$30*$AM238^10+WeightSDS!N$30*$AM238^9+WeightSDS!O$30*$AM238^8+WeightSDS!P$30*$AM238^7+WeightSDS!Q$30*$AM238^6+WeightSDS!R$30*$AM238^5+WeightSDS!S$30*$AM238^4+WeightSDS!T$30*$AM238^3+WeightSDS!U$30*$AM238^2+WeightSDS!V$30*$AM238+WeightSDS!W$30-0.010431*(1-1/$AM238),WeightSDS!M$32+WeightSDS!N$32/(1+EXP(WeightSDS!O$32+WeightSDS!P$32*$AM238))-0.010431*(1-$AM238/210))))</f>
        <v>2.9500001032655536</v>
      </c>
      <c r="AQ238" s="4">
        <f>IF(D238="M",IF($AM238&lt;162,WeightSDS!P$12*$AM238^7+WeightSDS!Q$12*$AM238^6+WeightSDS!R$12*$AM238^5+WeightSDS!S$12*$AM238^4+WeightSDS!T$12*$AM238^3+WeightSDS!U$12*$AM238^2+WeightSDS!V$12*$AM238+WeightSDS!W$12,WeightSDS!P$14*$AM238^7+WeightSDS!Q$14*$AM238^6+WeightSDS!R$14*$AM238^5+WeightSDS!S$14*$AM238^4+WeightSDS!T$14*$AM238^3+WeightSDS!U$14*$AM238^2+WeightSDS!V$14*$AM238+WeightSDS!W$14),IF($AM238&lt;156,WeightSDS!O$17*$AM238^8+WeightSDS!P$17*$AM238^7+WeightSDS!Q$17*$AM238^6+WeightSDS!R$17*$AM238^5+WeightSDS!S$17*$AM238^4+WeightSDS!T$17*$AM238^3+WeightSDS!U$17*$AM238^2+WeightSDS!V$17*$AM238+WeightSDS!W$17,IF($AM238&lt;186,WeightSDS!$U$18+(WeightSDS!$V$18-WeightSDS!$U$18)/24*($AM238-186)+WeightSDS!$W$18*(-$AM238+186)^2-0.005,WeightSDS!$U$18+(WeightSDS!$V$18-WeightSDS!$U$18)/24*($AM238-186)-0.005)))</f>
        <v>0.14604529399999999</v>
      </c>
      <c r="AT238" s="4">
        <f t="shared" si="70"/>
        <v>0.56299999999999994</v>
      </c>
      <c r="AU238" s="4">
        <f t="shared" si="71"/>
        <v>69</v>
      </c>
      <c r="AV238" s="4">
        <f t="shared" si="72"/>
        <v>0.51</v>
      </c>
    </row>
    <row r="239" spans="1:48" x14ac:dyDescent="0.15">
      <c r="A239" s="4"/>
      <c r="B239" s="21"/>
      <c r="C239" s="21"/>
      <c r="D239" s="21"/>
      <c r="E239" s="22"/>
      <c r="F239" s="22"/>
      <c r="G239" s="23"/>
      <c r="H239" s="23"/>
      <c r="I239" s="181"/>
      <c r="J239" s="8" t="str">
        <f t="shared" si="64"/>
        <v/>
      </c>
      <c r="K239" s="2" t="str">
        <f t="shared" si="73"/>
        <v/>
      </c>
      <c r="L239" s="2" t="str">
        <f t="shared" si="65"/>
        <v/>
      </c>
      <c r="M239" s="2" t="str">
        <f t="shared" si="74"/>
        <v/>
      </c>
      <c r="N239" s="2" t="str">
        <f t="shared" si="82"/>
        <v/>
      </c>
      <c r="O239" s="2" t="str">
        <f t="shared" si="75"/>
        <v/>
      </c>
      <c r="P239" s="8" t="str">
        <f t="shared" si="76"/>
        <v/>
      </c>
      <c r="Q239" s="8" t="str">
        <f t="shared" si="77"/>
        <v/>
      </c>
      <c r="R239" s="111" t="str">
        <f t="shared" si="78"/>
        <v/>
      </c>
      <c r="S239" s="44" t="str">
        <f t="shared" si="79"/>
        <v/>
      </c>
      <c r="T239" s="37" t="str">
        <f t="shared" si="80"/>
        <v/>
      </c>
      <c r="U239" s="44" t="str">
        <f t="shared" si="81"/>
        <v/>
      </c>
      <c r="V239" s="26"/>
      <c r="W239" s="26"/>
      <c r="X239" s="26"/>
      <c r="Y239" s="26"/>
      <c r="Z239" s="24"/>
      <c r="AA239" s="169">
        <f t="shared" si="66"/>
        <v>0</v>
      </c>
      <c r="AB239" s="4">
        <f t="shared" si="67"/>
        <v>0</v>
      </c>
      <c r="AC239" s="170">
        <f t="shared" si="84"/>
        <v>0</v>
      </c>
      <c r="AD239" s="58"/>
      <c r="AE239" s="58"/>
      <c r="AF239" s="58"/>
      <c r="AG239" s="59">
        <f t="shared" si="68"/>
        <v>9.0359999999999996</v>
      </c>
      <c r="AH239" s="59">
        <f t="shared" si="69"/>
        <v>-184.49199999999999</v>
      </c>
      <c r="AJ239" s="4">
        <f>IF(D239="M",IF(AM239&lt;78,BMILMS!$D$5*AM239^3+BMILMS!$E$5*AM239^2+BMILMS!$F$5*AM239+BMILMS!$G$5,IF(AM239&lt;150,BMILMS!$D$6*AM239^3+BMILMS!$E$6*AM239^2+BMILMS!$F$6*AM239+BMILMS!$G$6,BMILMS!$D$7*AM239^3+BMILMS!$E$7*AM239^2+BMILMS!$F$7*AM239+BMILMS!$G$7)),IF(AM239&lt;69,BMILMS!$D$9*AM239^3+BMILMS!$E$9*AM239^2+BMILMS!$F$9*AM239+BMILMS!$G$9,IF(AM239&lt;150,BMILMS!$D$10*AM239^3+BMILMS!$E$10*AM239^2+BMILMS!$F$10*AM239+BMILMS!$G$10,BMILMS!$D$11*AM239^3+BMILMS!$E$11*AM239^2+BMILMS!$F$11*AM239+BMILMS!$G$11)))</f>
        <v>0.79584630099999998</v>
      </c>
      <c r="AK239" s="4">
        <f>IF(D239="M",(IF(AM239&lt;2.5,BMILMS!$D$21*AM239^3+BMILMS!$E$21*AM239^2+BMILMS!$F$21*AM239+BMILMS!$G$21,IF(AM239&lt;9.5,BMILMS!$D$22*AM239^3+BMILMS!$E$22*AM239^2+BMILMS!$F$22*AM239+BMILMS!$G$22,IF(AM239&lt;26.75,BMILMS!$D$23*AM239^3+BMILMS!$E$23*AM239^2+BMILMS!$F$23*AM239+BMILMS!$G$23,IF(AM239&lt;90,BMILMS!$D$24*AM239^3+BMILMS!$E$24*AM239^2+BMILMS!$F$24*AM239+BMILMS!$G$24,BMILMS!$D$25*AM239^3+BMILMS!$E$25*AM239^2+BMILMS!$F$25*AM239+BMILMS!$G$25))))),(IF(AM239&lt;2.5,BMILMS!$D$27*AM239^3+BMILMS!$E$27*AM239^2+BMILMS!$F$27*AM239+BMILMS!$G$27,IF(AM239&lt;9.5,BMILMS!$D$28*AM239^3+BMILMS!$E$28*AM239^2+BMILMS!$F$28*AM239+BMILMS!$G$28,IF(AM239&lt;26.75,BMILMS!$D$29*AM239^3+BMILMS!$E$29*AM239^2+BMILMS!$F$29*AM239+BMILMS!$G$29,IF(AM239&lt;90,BMILMS!$D$30*AM239^3+BMILMS!$E$30*AM239^2+BMILMS!$F$30*AM239+BMILMS!$G$30,IF(AM239&lt;150,BMILMS!$D$31*AM239^3+BMILMS!$E$31*AM239^2+BMILMS!$F$31*AM239+BMILMS!$G$31,BMILMS!$D$32*AM239^3+BMILMS!$E$32*AM239^2+BMILMS!$F$32*AM239+BMILMS!$G$32)))))))</f>
        <v>12.568967990000001</v>
      </c>
      <c r="AL239" s="4">
        <f>IF(D239="M",(IF(AM239&lt;90,BMILMS!$D$14*AM239^3+BMILMS!$E$14*AM239^2+BMILMS!$F$14*AM239+BMILMS!$G$14,BMILMS!$D$15*AM239^3+BMILMS!$E$15*AM239^2+BMILMS!$F$15*AM239+BMILMS!$G$15)),(IF(AM239&lt;90,BMILMS!$D$17*AM239^3+BMILMS!$E$17*AM239^2+BMILMS!$F$17*AM239+BMILMS!$G$17,BMILMS!$D$18*AM239^3+BMILMS!$E$18*AM239^2+BMILMS!$F$18*AM239+BMILMS!$G$18)))</f>
        <v>8.8969350000000003E-2</v>
      </c>
      <c r="AM239" s="4">
        <f t="shared" si="83"/>
        <v>0</v>
      </c>
      <c r="AO239" s="56">
        <f>IF(D239="M",WeightSDS!P$5*$AM239^7+WeightSDS!Q$5*$AM239^6+WeightSDS!R$5*$AM239^5+WeightSDS!S$5*$AM239^4+WeightSDS!T$5*$AM239^3+WeightSDS!U$5*$AM239^2+WeightSDS!V$5*$AM239+WeightSDS!W$5,IF($AM239&lt;186,WeightSDS!P$8*$AM239^7+WeightSDS!Q$8*$AM239^6+WeightSDS!R$8*$AM239^5+WeightSDS!S$8*$AM239^4+WeightSDS!T$8*$AM239^3+WeightSDS!U$8*$AM239^2+WeightSDS!V$8*$AM239+WeightSDS!W$8,WeightSDS!$U$9+WeightSDS!$V$9*($AM239-WeightSDS!$W$9)))</f>
        <v>0.75407122999999998</v>
      </c>
      <c r="AP239" s="4">
        <f>IF(D239="M",IF($AM239&lt;45,WeightSDS!M$23*$AM239^10+WeightSDS!N$23*$AM239^9+WeightSDS!O$23*$AM239^8+WeightSDS!P$23*$AM239^7+WeightSDS!Q$23*$AM239^6+WeightSDS!R$23*$AM239^5+WeightSDS!S$23*$AM239^4+WeightSDS!T$23*$AM239^3+WeightSDS!U$23*$AM239^2+WeightSDS!V$23*$AM239+WeightSDS!W$23,IF($AM239&lt;153,WeightSDS!M$25*$AM239^10+WeightSDS!N$25*$AM239^9+WeightSDS!O$25*$AM239^8+WeightSDS!P$25*$AM239^7+WeightSDS!Q$25*$AM239^6+WeightSDS!R$25*$AM239^5+WeightSDS!S$25*$AM239^4+WeightSDS!T$25*$AM239^3+WeightSDS!U$25*$AM239^2+WeightSDS!V$25*$AM239+WeightSDS!W$25,WeightSDS!M$27+WeightSDS!N$27/(1+EXP(WeightSDS!O$27+WeightSDS!P$27*$AM239)))),IF($AM239&lt;43.8,WeightSDS!M$29*$AM239^10+WeightSDS!N$29*$AM239^9+WeightSDS!O$29*$AM239^8+WeightSDS!P$29*$AM239^7+WeightSDS!Q$29*$AM239^6+WeightSDS!R$29*$AM239^5+WeightSDS!S$29*$AM239^4+WeightSDS!T$29*$AM239^3+WeightSDS!U$29*$AM239^2+WeightSDS!V$29*$AM239+WeightSDS!W$29-0.010431*(1-$AM239/210),IF($AM239&lt;123,WeightSDS!M$30*$AM239^10+WeightSDS!N$30*$AM239^9+WeightSDS!O$30*$AM239^8+WeightSDS!P$30*$AM239^7+WeightSDS!Q$30*$AM239^6+WeightSDS!R$30*$AM239^5+WeightSDS!S$30*$AM239^4+WeightSDS!T$30*$AM239^3+WeightSDS!U$30*$AM239^2+WeightSDS!V$30*$AM239+WeightSDS!W$30-0.010431*(1-1/$AM239),WeightSDS!M$32+WeightSDS!N$32/(1+EXP(WeightSDS!O$32+WeightSDS!P$32*$AM239))-0.010431*(1-$AM239/210))))</f>
        <v>2.9500001032655536</v>
      </c>
      <c r="AQ239" s="4">
        <f>IF(D239="M",IF($AM239&lt;162,WeightSDS!P$12*$AM239^7+WeightSDS!Q$12*$AM239^6+WeightSDS!R$12*$AM239^5+WeightSDS!S$12*$AM239^4+WeightSDS!T$12*$AM239^3+WeightSDS!U$12*$AM239^2+WeightSDS!V$12*$AM239+WeightSDS!W$12,WeightSDS!P$14*$AM239^7+WeightSDS!Q$14*$AM239^6+WeightSDS!R$14*$AM239^5+WeightSDS!S$14*$AM239^4+WeightSDS!T$14*$AM239^3+WeightSDS!U$14*$AM239^2+WeightSDS!V$14*$AM239+WeightSDS!W$14),IF($AM239&lt;156,WeightSDS!O$17*$AM239^8+WeightSDS!P$17*$AM239^7+WeightSDS!Q$17*$AM239^6+WeightSDS!R$17*$AM239^5+WeightSDS!S$17*$AM239^4+WeightSDS!T$17*$AM239^3+WeightSDS!U$17*$AM239^2+WeightSDS!V$17*$AM239+WeightSDS!W$17,IF($AM239&lt;186,WeightSDS!$U$18+(WeightSDS!$V$18-WeightSDS!$U$18)/24*($AM239-186)+WeightSDS!$W$18*(-$AM239+186)^2-0.005,WeightSDS!$U$18+(WeightSDS!$V$18-WeightSDS!$U$18)/24*($AM239-186)-0.005)))</f>
        <v>0.14604529399999999</v>
      </c>
      <c r="AT239" s="4">
        <f t="shared" si="70"/>
        <v>0.56299999999999994</v>
      </c>
      <c r="AU239" s="4">
        <f t="shared" si="71"/>
        <v>69</v>
      </c>
      <c r="AV239" s="4">
        <f t="shared" si="72"/>
        <v>0.51</v>
      </c>
    </row>
    <row r="240" spans="1:48" x14ac:dyDescent="0.15">
      <c r="A240" s="4"/>
      <c r="B240" s="21"/>
      <c r="C240" s="21"/>
      <c r="D240" s="21"/>
      <c r="E240" s="22"/>
      <c r="F240" s="22"/>
      <c r="G240" s="23"/>
      <c r="H240" s="23"/>
      <c r="I240" s="181"/>
      <c r="J240" s="8" t="str">
        <f t="shared" si="64"/>
        <v/>
      </c>
      <c r="K240" s="2" t="str">
        <f t="shared" si="73"/>
        <v/>
      </c>
      <c r="L240" s="2" t="str">
        <f t="shared" si="65"/>
        <v/>
      </c>
      <c r="M240" s="2" t="str">
        <f t="shared" si="74"/>
        <v/>
      </c>
      <c r="N240" s="2" t="str">
        <f t="shared" si="82"/>
        <v/>
      </c>
      <c r="O240" s="2" t="str">
        <f t="shared" si="75"/>
        <v/>
      </c>
      <c r="P240" s="8" t="str">
        <f t="shared" si="76"/>
        <v/>
      </c>
      <c r="Q240" s="8" t="str">
        <f t="shared" si="77"/>
        <v/>
      </c>
      <c r="R240" s="111" t="str">
        <f t="shared" si="78"/>
        <v/>
      </c>
      <c r="S240" s="44" t="str">
        <f t="shared" si="79"/>
        <v/>
      </c>
      <c r="T240" s="37" t="str">
        <f t="shared" si="80"/>
        <v/>
      </c>
      <c r="U240" s="44" t="str">
        <f t="shared" si="81"/>
        <v/>
      </c>
      <c r="V240" s="26"/>
      <c r="W240" s="26"/>
      <c r="X240" s="26"/>
      <c r="Y240" s="26"/>
      <c r="Z240" s="24"/>
      <c r="AA240" s="169">
        <f t="shared" si="66"/>
        <v>0</v>
      </c>
      <c r="AB240" s="4">
        <f t="shared" si="67"/>
        <v>0</v>
      </c>
      <c r="AC240" s="170">
        <f t="shared" si="84"/>
        <v>0</v>
      </c>
      <c r="AD240" s="58"/>
      <c r="AE240" s="58"/>
      <c r="AF240" s="58"/>
      <c r="AG240" s="59">
        <f t="shared" si="68"/>
        <v>9.0359999999999996</v>
      </c>
      <c r="AH240" s="59">
        <f t="shared" si="69"/>
        <v>-184.49199999999999</v>
      </c>
      <c r="AJ240" s="4">
        <f>IF(D240="M",IF(AM240&lt;78,BMILMS!$D$5*AM240^3+BMILMS!$E$5*AM240^2+BMILMS!$F$5*AM240+BMILMS!$G$5,IF(AM240&lt;150,BMILMS!$D$6*AM240^3+BMILMS!$E$6*AM240^2+BMILMS!$F$6*AM240+BMILMS!$G$6,BMILMS!$D$7*AM240^3+BMILMS!$E$7*AM240^2+BMILMS!$F$7*AM240+BMILMS!$G$7)),IF(AM240&lt;69,BMILMS!$D$9*AM240^3+BMILMS!$E$9*AM240^2+BMILMS!$F$9*AM240+BMILMS!$G$9,IF(AM240&lt;150,BMILMS!$D$10*AM240^3+BMILMS!$E$10*AM240^2+BMILMS!$F$10*AM240+BMILMS!$G$10,BMILMS!$D$11*AM240^3+BMILMS!$E$11*AM240^2+BMILMS!$F$11*AM240+BMILMS!$G$11)))</f>
        <v>0.79584630099999998</v>
      </c>
      <c r="AK240" s="4">
        <f>IF(D240="M",(IF(AM240&lt;2.5,BMILMS!$D$21*AM240^3+BMILMS!$E$21*AM240^2+BMILMS!$F$21*AM240+BMILMS!$G$21,IF(AM240&lt;9.5,BMILMS!$D$22*AM240^3+BMILMS!$E$22*AM240^2+BMILMS!$F$22*AM240+BMILMS!$G$22,IF(AM240&lt;26.75,BMILMS!$D$23*AM240^3+BMILMS!$E$23*AM240^2+BMILMS!$F$23*AM240+BMILMS!$G$23,IF(AM240&lt;90,BMILMS!$D$24*AM240^3+BMILMS!$E$24*AM240^2+BMILMS!$F$24*AM240+BMILMS!$G$24,BMILMS!$D$25*AM240^3+BMILMS!$E$25*AM240^2+BMILMS!$F$25*AM240+BMILMS!$G$25))))),(IF(AM240&lt;2.5,BMILMS!$D$27*AM240^3+BMILMS!$E$27*AM240^2+BMILMS!$F$27*AM240+BMILMS!$G$27,IF(AM240&lt;9.5,BMILMS!$D$28*AM240^3+BMILMS!$E$28*AM240^2+BMILMS!$F$28*AM240+BMILMS!$G$28,IF(AM240&lt;26.75,BMILMS!$D$29*AM240^3+BMILMS!$E$29*AM240^2+BMILMS!$F$29*AM240+BMILMS!$G$29,IF(AM240&lt;90,BMILMS!$D$30*AM240^3+BMILMS!$E$30*AM240^2+BMILMS!$F$30*AM240+BMILMS!$G$30,IF(AM240&lt;150,BMILMS!$D$31*AM240^3+BMILMS!$E$31*AM240^2+BMILMS!$F$31*AM240+BMILMS!$G$31,BMILMS!$D$32*AM240^3+BMILMS!$E$32*AM240^2+BMILMS!$F$32*AM240+BMILMS!$G$32)))))))</f>
        <v>12.568967990000001</v>
      </c>
      <c r="AL240" s="4">
        <f>IF(D240="M",(IF(AM240&lt;90,BMILMS!$D$14*AM240^3+BMILMS!$E$14*AM240^2+BMILMS!$F$14*AM240+BMILMS!$G$14,BMILMS!$D$15*AM240^3+BMILMS!$E$15*AM240^2+BMILMS!$F$15*AM240+BMILMS!$G$15)),(IF(AM240&lt;90,BMILMS!$D$17*AM240^3+BMILMS!$E$17*AM240^2+BMILMS!$F$17*AM240+BMILMS!$G$17,BMILMS!$D$18*AM240^3+BMILMS!$E$18*AM240^2+BMILMS!$F$18*AM240+BMILMS!$G$18)))</f>
        <v>8.8969350000000003E-2</v>
      </c>
      <c r="AM240" s="4">
        <f t="shared" si="83"/>
        <v>0</v>
      </c>
      <c r="AO240" s="56">
        <f>IF(D240="M",WeightSDS!P$5*$AM240^7+WeightSDS!Q$5*$AM240^6+WeightSDS!R$5*$AM240^5+WeightSDS!S$5*$AM240^4+WeightSDS!T$5*$AM240^3+WeightSDS!U$5*$AM240^2+WeightSDS!V$5*$AM240+WeightSDS!W$5,IF($AM240&lt;186,WeightSDS!P$8*$AM240^7+WeightSDS!Q$8*$AM240^6+WeightSDS!R$8*$AM240^5+WeightSDS!S$8*$AM240^4+WeightSDS!T$8*$AM240^3+WeightSDS!U$8*$AM240^2+WeightSDS!V$8*$AM240+WeightSDS!W$8,WeightSDS!$U$9+WeightSDS!$V$9*($AM240-WeightSDS!$W$9)))</f>
        <v>0.75407122999999998</v>
      </c>
      <c r="AP240" s="4">
        <f>IF(D240="M",IF($AM240&lt;45,WeightSDS!M$23*$AM240^10+WeightSDS!N$23*$AM240^9+WeightSDS!O$23*$AM240^8+WeightSDS!P$23*$AM240^7+WeightSDS!Q$23*$AM240^6+WeightSDS!R$23*$AM240^5+WeightSDS!S$23*$AM240^4+WeightSDS!T$23*$AM240^3+WeightSDS!U$23*$AM240^2+WeightSDS!V$23*$AM240+WeightSDS!W$23,IF($AM240&lt;153,WeightSDS!M$25*$AM240^10+WeightSDS!N$25*$AM240^9+WeightSDS!O$25*$AM240^8+WeightSDS!P$25*$AM240^7+WeightSDS!Q$25*$AM240^6+WeightSDS!R$25*$AM240^5+WeightSDS!S$25*$AM240^4+WeightSDS!T$25*$AM240^3+WeightSDS!U$25*$AM240^2+WeightSDS!V$25*$AM240+WeightSDS!W$25,WeightSDS!M$27+WeightSDS!N$27/(1+EXP(WeightSDS!O$27+WeightSDS!P$27*$AM240)))),IF($AM240&lt;43.8,WeightSDS!M$29*$AM240^10+WeightSDS!N$29*$AM240^9+WeightSDS!O$29*$AM240^8+WeightSDS!P$29*$AM240^7+WeightSDS!Q$29*$AM240^6+WeightSDS!R$29*$AM240^5+WeightSDS!S$29*$AM240^4+WeightSDS!T$29*$AM240^3+WeightSDS!U$29*$AM240^2+WeightSDS!V$29*$AM240+WeightSDS!W$29-0.010431*(1-$AM240/210),IF($AM240&lt;123,WeightSDS!M$30*$AM240^10+WeightSDS!N$30*$AM240^9+WeightSDS!O$30*$AM240^8+WeightSDS!P$30*$AM240^7+WeightSDS!Q$30*$AM240^6+WeightSDS!R$30*$AM240^5+WeightSDS!S$30*$AM240^4+WeightSDS!T$30*$AM240^3+WeightSDS!U$30*$AM240^2+WeightSDS!V$30*$AM240+WeightSDS!W$30-0.010431*(1-1/$AM240),WeightSDS!M$32+WeightSDS!N$32/(1+EXP(WeightSDS!O$32+WeightSDS!P$32*$AM240))-0.010431*(1-$AM240/210))))</f>
        <v>2.9500001032655536</v>
      </c>
      <c r="AQ240" s="4">
        <f>IF(D240="M",IF($AM240&lt;162,WeightSDS!P$12*$AM240^7+WeightSDS!Q$12*$AM240^6+WeightSDS!R$12*$AM240^5+WeightSDS!S$12*$AM240^4+WeightSDS!T$12*$AM240^3+WeightSDS!U$12*$AM240^2+WeightSDS!V$12*$AM240+WeightSDS!W$12,WeightSDS!P$14*$AM240^7+WeightSDS!Q$14*$AM240^6+WeightSDS!R$14*$AM240^5+WeightSDS!S$14*$AM240^4+WeightSDS!T$14*$AM240^3+WeightSDS!U$14*$AM240^2+WeightSDS!V$14*$AM240+WeightSDS!W$14),IF($AM240&lt;156,WeightSDS!O$17*$AM240^8+WeightSDS!P$17*$AM240^7+WeightSDS!Q$17*$AM240^6+WeightSDS!R$17*$AM240^5+WeightSDS!S$17*$AM240^4+WeightSDS!T$17*$AM240^3+WeightSDS!U$17*$AM240^2+WeightSDS!V$17*$AM240+WeightSDS!W$17,IF($AM240&lt;186,WeightSDS!$U$18+(WeightSDS!$V$18-WeightSDS!$U$18)/24*($AM240-186)+WeightSDS!$W$18*(-$AM240+186)^2-0.005,WeightSDS!$U$18+(WeightSDS!$V$18-WeightSDS!$U$18)/24*($AM240-186)-0.005)))</f>
        <v>0.14604529399999999</v>
      </c>
      <c r="AT240" s="4">
        <f t="shared" si="70"/>
        <v>0.56299999999999994</v>
      </c>
      <c r="AU240" s="4">
        <f t="shared" si="71"/>
        <v>69</v>
      </c>
      <c r="AV240" s="4">
        <f t="shared" si="72"/>
        <v>0.51</v>
      </c>
    </row>
    <row r="241" spans="1:48" x14ac:dyDescent="0.15">
      <c r="A241" s="4"/>
      <c r="B241" s="21"/>
      <c r="C241" s="21"/>
      <c r="D241" s="21"/>
      <c r="E241" s="22"/>
      <c r="F241" s="22"/>
      <c r="G241" s="23"/>
      <c r="H241" s="23"/>
      <c r="I241" s="181"/>
      <c r="J241" s="8" t="str">
        <f t="shared" si="64"/>
        <v/>
      </c>
      <c r="K241" s="2" t="str">
        <f t="shared" si="73"/>
        <v/>
      </c>
      <c r="L241" s="2" t="str">
        <f t="shared" si="65"/>
        <v/>
      </c>
      <c r="M241" s="2" t="str">
        <f t="shared" si="74"/>
        <v/>
      </c>
      <c r="N241" s="2" t="str">
        <f t="shared" si="82"/>
        <v/>
      </c>
      <c r="O241" s="2" t="str">
        <f t="shared" si="75"/>
        <v/>
      </c>
      <c r="P241" s="8" t="str">
        <f t="shared" si="76"/>
        <v/>
      </c>
      <c r="Q241" s="8" t="str">
        <f t="shared" si="77"/>
        <v/>
      </c>
      <c r="R241" s="111" t="str">
        <f t="shared" si="78"/>
        <v/>
      </c>
      <c r="S241" s="44" t="str">
        <f t="shared" si="79"/>
        <v/>
      </c>
      <c r="T241" s="37" t="str">
        <f t="shared" si="80"/>
        <v/>
      </c>
      <c r="U241" s="44" t="str">
        <f t="shared" si="81"/>
        <v/>
      </c>
      <c r="V241" s="26"/>
      <c r="W241" s="26"/>
      <c r="X241" s="26"/>
      <c r="Y241" s="26"/>
      <c r="Z241" s="24"/>
      <c r="AA241" s="169">
        <f t="shared" si="66"/>
        <v>0</v>
      </c>
      <c r="AB241" s="4">
        <f t="shared" si="67"/>
        <v>0</v>
      </c>
      <c r="AC241" s="170">
        <f t="shared" si="84"/>
        <v>0</v>
      </c>
      <c r="AD241" s="58"/>
      <c r="AE241" s="58"/>
      <c r="AF241" s="58"/>
      <c r="AG241" s="59">
        <f t="shared" si="68"/>
        <v>9.0359999999999996</v>
      </c>
      <c r="AH241" s="59">
        <f t="shared" si="69"/>
        <v>-184.49199999999999</v>
      </c>
      <c r="AJ241" s="4">
        <f>IF(D241="M",IF(AM241&lt;78,BMILMS!$D$5*AM241^3+BMILMS!$E$5*AM241^2+BMILMS!$F$5*AM241+BMILMS!$G$5,IF(AM241&lt;150,BMILMS!$D$6*AM241^3+BMILMS!$E$6*AM241^2+BMILMS!$F$6*AM241+BMILMS!$G$6,BMILMS!$D$7*AM241^3+BMILMS!$E$7*AM241^2+BMILMS!$F$7*AM241+BMILMS!$G$7)),IF(AM241&lt;69,BMILMS!$D$9*AM241^3+BMILMS!$E$9*AM241^2+BMILMS!$F$9*AM241+BMILMS!$G$9,IF(AM241&lt;150,BMILMS!$D$10*AM241^3+BMILMS!$E$10*AM241^2+BMILMS!$F$10*AM241+BMILMS!$G$10,BMILMS!$D$11*AM241^3+BMILMS!$E$11*AM241^2+BMILMS!$F$11*AM241+BMILMS!$G$11)))</f>
        <v>0.79584630099999998</v>
      </c>
      <c r="AK241" s="4">
        <f>IF(D241="M",(IF(AM241&lt;2.5,BMILMS!$D$21*AM241^3+BMILMS!$E$21*AM241^2+BMILMS!$F$21*AM241+BMILMS!$G$21,IF(AM241&lt;9.5,BMILMS!$D$22*AM241^3+BMILMS!$E$22*AM241^2+BMILMS!$F$22*AM241+BMILMS!$G$22,IF(AM241&lt;26.75,BMILMS!$D$23*AM241^3+BMILMS!$E$23*AM241^2+BMILMS!$F$23*AM241+BMILMS!$G$23,IF(AM241&lt;90,BMILMS!$D$24*AM241^3+BMILMS!$E$24*AM241^2+BMILMS!$F$24*AM241+BMILMS!$G$24,BMILMS!$D$25*AM241^3+BMILMS!$E$25*AM241^2+BMILMS!$F$25*AM241+BMILMS!$G$25))))),(IF(AM241&lt;2.5,BMILMS!$D$27*AM241^3+BMILMS!$E$27*AM241^2+BMILMS!$F$27*AM241+BMILMS!$G$27,IF(AM241&lt;9.5,BMILMS!$D$28*AM241^3+BMILMS!$E$28*AM241^2+BMILMS!$F$28*AM241+BMILMS!$G$28,IF(AM241&lt;26.75,BMILMS!$D$29*AM241^3+BMILMS!$E$29*AM241^2+BMILMS!$F$29*AM241+BMILMS!$G$29,IF(AM241&lt;90,BMILMS!$D$30*AM241^3+BMILMS!$E$30*AM241^2+BMILMS!$F$30*AM241+BMILMS!$G$30,IF(AM241&lt;150,BMILMS!$D$31*AM241^3+BMILMS!$E$31*AM241^2+BMILMS!$F$31*AM241+BMILMS!$G$31,BMILMS!$D$32*AM241^3+BMILMS!$E$32*AM241^2+BMILMS!$F$32*AM241+BMILMS!$G$32)))))))</f>
        <v>12.568967990000001</v>
      </c>
      <c r="AL241" s="4">
        <f>IF(D241="M",(IF(AM241&lt;90,BMILMS!$D$14*AM241^3+BMILMS!$E$14*AM241^2+BMILMS!$F$14*AM241+BMILMS!$G$14,BMILMS!$D$15*AM241^3+BMILMS!$E$15*AM241^2+BMILMS!$F$15*AM241+BMILMS!$G$15)),(IF(AM241&lt;90,BMILMS!$D$17*AM241^3+BMILMS!$E$17*AM241^2+BMILMS!$F$17*AM241+BMILMS!$G$17,BMILMS!$D$18*AM241^3+BMILMS!$E$18*AM241^2+BMILMS!$F$18*AM241+BMILMS!$G$18)))</f>
        <v>8.8969350000000003E-2</v>
      </c>
      <c r="AM241" s="4">
        <f t="shared" si="83"/>
        <v>0</v>
      </c>
      <c r="AO241" s="56">
        <f>IF(D241="M",WeightSDS!P$5*$AM241^7+WeightSDS!Q$5*$AM241^6+WeightSDS!R$5*$AM241^5+WeightSDS!S$5*$AM241^4+WeightSDS!T$5*$AM241^3+WeightSDS!U$5*$AM241^2+WeightSDS!V$5*$AM241+WeightSDS!W$5,IF($AM241&lt;186,WeightSDS!P$8*$AM241^7+WeightSDS!Q$8*$AM241^6+WeightSDS!R$8*$AM241^5+WeightSDS!S$8*$AM241^4+WeightSDS!T$8*$AM241^3+WeightSDS!U$8*$AM241^2+WeightSDS!V$8*$AM241+WeightSDS!W$8,WeightSDS!$U$9+WeightSDS!$V$9*($AM241-WeightSDS!$W$9)))</f>
        <v>0.75407122999999998</v>
      </c>
      <c r="AP241" s="4">
        <f>IF(D241="M",IF($AM241&lt;45,WeightSDS!M$23*$AM241^10+WeightSDS!N$23*$AM241^9+WeightSDS!O$23*$AM241^8+WeightSDS!P$23*$AM241^7+WeightSDS!Q$23*$AM241^6+WeightSDS!R$23*$AM241^5+WeightSDS!S$23*$AM241^4+WeightSDS!T$23*$AM241^3+WeightSDS!U$23*$AM241^2+WeightSDS!V$23*$AM241+WeightSDS!W$23,IF($AM241&lt;153,WeightSDS!M$25*$AM241^10+WeightSDS!N$25*$AM241^9+WeightSDS!O$25*$AM241^8+WeightSDS!P$25*$AM241^7+WeightSDS!Q$25*$AM241^6+WeightSDS!R$25*$AM241^5+WeightSDS!S$25*$AM241^4+WeightSDS!T$25*$AM241^3+WeightSDS!U$25*$AM241^2+WeightSDS!V$25*$AM241+WeightSDS!W$25,WeightSDS!M$27+WeightSDS!N$27/(1+EXP(WeightSDS!O$27+WeightSDS!P$27*$AM241)))),IF($AM241&lt;43.8,WeightSDS!M$29*$AM241^10+WeightSDS!N$29*$AM241^9+WeightSDS!O$29*$AM241^8+WeightSDS!P$29*$AM241^7+WeightSDS!Q$29*$AM241^6+WeightSDS!R$29*$AM241^5+WeightSDS!S$29*$AM241^4+WeightSDS!T$29*$AM241^3+WeightSDS!U$29*$AM241^2+WeightSDS!V$29*$AM241+WeightSDS!W$29-0.010431*(1-$AM241/210),IF($AM241&lt;123,WeightSDS!M$30*$AM241^10+WeightSDS!N$30*$AM241^9+WeightSDS!O$30*$AM241^8+WeightSDS!P$30*$AM241^7+WeightSDS!Q$30*$AM241^6+WeightSDS!R$30*$AM241^5+WeightSDS!S$30*$AM241^4+WeightSDS!T$30*$AM241^3+WeightSDS!U$30*$AM241^2+WeightSDS!V$30*$AM241+WeightSDS!W$30-0.010431*(1-1/$AM241),WeightSDS!M$32+WeightSDS!N$32/(1+EXP(WeightSDS!O$32+WeightSDS!P$32*$AM241))-0.010431*(1-$AM241/210))))</f>
        <v>2.9500001032655536</v>
      </c>
      <c r="AQ241" s="4">
        <f>IF(D241="M",IF($AM241&lt;162,WeightSDS!P$12*$AM241^7+WeightSDS!Q$12*$AM241^6+WeightSDS!R$12*$AM241^5+WeightSDS!S$12*$AM241^4+WeightSDS!T$12*$AM241^3+WeightSDS!U$12*$AM241^2+WeightSDS!V$12*$AM241+WeightSDS!W$12,WeightSDS!P$14*$AM241^7+WeightSDS!Q$14*$AM241^6+WeightSDS!R$14*$AM241^5+WeightSDS!S$14*$AM241^4+WeightSDS!T$14*$AM241^3+WeightSDS!U$14*$AM241^2+WeightSDS!V$14*$AM241+WeightSDS!W$14),IF($AM241&lt;156,WeightSDS!O$17*$AM241^8+WeightSDS!P$17*$AM241^7+WeightSDS!Q$17*$AM241^6+WeightSDS!R$17*$AM241^5+WeightSDS!S$17*$AM241^4+WeightSDS!T$17*$AM241^3+WeightSDS!U$17*$AM241^2+WeightSDS!V$17*$AM241+WeightSDS!W$17,IF($AM241&lt;186,WeightSDS!$U$18+(WeightSDS!$V$18-WeightSDS!$U$18)/24*($AM241-186)+WeightSDS!$W$18*(-$AM241+186)^2-0.005,WeightSDS!$U$18+(WeightSDS!$V$18-WeightSDS!$U$18)/24*($AM241-186)-0.005)))</f>
        <v>0.14604529399999999</v>
      </c>
      <c r="AT241" s="4">
        <f t="shared" si="70"/>
        <v>0.56299999999999994</v>
      </c>
      <c r="AU241" s="4">
        <f t="shared" si="71"/>
        <v>69</v>
      </c>
      <c r="AV241" s="4">
        <f t="shared" si="72"/>
        <v>0.51</v>
      </c>
    </row>
    <row r="242" spans="1:48" x14ac:dyDescent="0.15">
      <c r="A242" s="4"/>
      <c r="B242" s="21"/>
      <c r="C242" s="21"/>
      <c r="D242" s="21"/>
      <c r="E242" s="22"/>
      <c r="F242" s="22"/>
      <c r="G242" s="23"/>
      <c r="H242" s="23"/>
      <c r="I242" s="181"/>
      <c r="J242" s="8" t="str">
        <f t="shared" si="64"/>
        <v/>
      </c>
      <c r="K242" s="2" t="str">
        <f t="shared" si="73"/>
        <v/>
      </c>
      <c r="L242" s="2" t="str">
        <f t="shared" si="65"/>
        <v/>
      </c>
      <c r="M242" s="2" t="str">
        <f t="shared" si="74"/>
        <v/>
      </c>
      <c r="N242" s="2" t="str">
        <f t="shared" si="82"/>
        <v/>
      </c>
      <c r="O242" s="2" t="str">
        <f t="shared" si="75"/>
        <v/>
      </c>
      <c r="P242" s="8" t="str">
        <f t="shared" si="76"/>
        <v/>
      </c>
      <c r="Q242" s="8" t="str">
        <f t="shared" si="77"/>
        <v/>
      </c>
      <c r="R242" s="111" t="str">
        <f t="shared" si="78"/>
        <v/>
      </c>
      <c r="S242" s="44" t="str">
        <f t="shared" si="79"/>
        <v/>
      </c>
      <c r="T242" s="37" t="str">
        <f t="shared" si="80"/>
        <v/>
      </c>
      <c r="U242" s="44" t="str">
        <f t="shared" si="81"/>
        <v/>
      </c>
      <c r="V242" s="26"/>
      <c r="W242" s="26"/>
      <c r="X242" s="26"/>
      <c r="Y242" s="26"/>
      <c r="Z242" s="24"/>
      <c r="AA242" s="169">
        <f t="shared" si="66"/>
        <v>0</v>
      </c>
      <c r="AB242" s="4">
        <f t="shared" si="67"/>
        <v>0</v>
      </c>
      <c r="AC242" s="170">
        <f t="shared" si="84"/>
        <v>0</v>
      </c>
      <c r="AD242" s="58"/>
      <c r="AE242" s="58"/>
      <c r="AF242" s="58"/>
      <c r="AG242" s="59">
        <f t="shared" si="68"/>
        <v>9.0359999999999996</v>
      </c>
      <c r="AH242" s="59">
        <f t="shared" si="69"/>
        <v>-184.49199999999999</v>
      </c>
      <c r="AJ242" s="4">
        <f>IF(D242="M",IF(AM242&lt;78,BMILMS!$D$5*AM242^3+BMILMS!$E$5*AM242^2+BMILMS!$F$5*AM242+BMILMS!$G$5,IF(AM242&lt;150,BMILMS!$D$6*AM242^3+BMILMS!$E$6*AM242^2+BMILMS!$F$6*AM242+BMILMS!$G$6,BMILMS!$D$7*AM242^3+BMILMS!$E$7*AM242^2+BMILMS!$F$7*AM242+BMILMS!$G$7)),IF(AM242&lt;69,BMILMS!$D$9*AM242^3+BMILMS!$E$9*AM242^2+BMILMS!$F$9*AM242+BMILMS!$G$9,IF(AM242&lt;150,BMILMS!$D$10*AM242^3+BMILMS!$E$10*AM242^2+BMILMS!$F$10*AM242+BMILMS!$G$10,BMILMS!$D$11*AM242^3+BMILMS!$E$11*AM242^2+BMILMS!$F$11*AM242+BMILMS!$G$11)))</f>
        <v>0.79584630099999998</v>
      </c>
      <c r="AK242" s="4">
        <f>IF(D242="M",(IF(AM242&lt;2.5,BMILMS!$D$21*AM242^3+BMILMS!$E$21*AM242^2+BMILMS!$F$21*AM242+BMILMS!$G$21,IF(AM242&lt;9.5,BMILMS!$D$22*AM242^3+BMILMS!$E$22*AM242^2+BMILMS!$F$22*AM242+BMILMS!$G$22,IF(AM242&lt;26.75,BMILMS!$D$23*AM242^3+BMILMS!$E$23*AM242^2+BMILMS!$F$23*AM242+BMILMS!$G$23,IF(AM242&lt;90,BMILMS!$D$24*AM242^3+BMILMS!$E$24*AM242^2+BMILMS!$F$24*AM242+BMILMS!$G$24,BMILMS!$D$25*AM242^3+BMILMS!$E$25*AM242^2+BMILMS!$F$25*AM242+BMILMS!$G$25))))),(IF(AM242&lt;2.5,BMILMS!$D$27*AM242^3+BMILMS!$E$27*AM242^2+BMILMS!$F$27*AM242+BMILMS!$G$27,IF(AM242&lt;9.5,BMILMS!$D$28*AM242^3+BMILMS!$E$28*AM242^2+BMILMS!$F$28*AM242+BMILMS!$G$28,IF(AM242&lt;26.75,BMILMS!$D$29*AM242^3+BMILMS!$E$29*AM242^2+BMILMS!$F$29*AM242+BMILMS!$G$29,IF(AM242&lt;90,BMILMS!$D$30*AM242^3+BMILMS!$E$30*AM242^2+BMILMS!$F$30*AM242+BMILMS!$G$30,IF(AM242&lt;150,BMILMS!$D$31*AM242^3+BMILMS!$E$31*AM242^2+BMILMS!$F$31*AM242+BMILMS!$G$31,BMILMS!$D$32*AM242^3+BMILMS!$E$32*AM242^2+BMILMS!$F$32*AM242+BMILMS!$G$32)))))))</f>
        <v>12.568967990000001</v>
      </c>
      <c r="AL242" s="4">
        <f>IF(D242="M",(IF(AM242&lt;90,BMILMS!$D$14*AM242^3+BMILMS!$E$14*AM242^2+BMILMS!$F$14*AM242+BMILMS!$G$14,BMILMS!$D$15*AM242^3+BMILMS!$E$15*AM242^2+BMILMS!$F$15*AM242+BMILMS!$G$15)),(IF(AM242&lt;90,BMILMS!$D$17*AM242^3+BMILMS!$E$17*AM242^2+BMILMS!$F$17*AM242+BMILMS!$G$17,BMILMS!$D$18*AM242^3+BMILMS!$E$18*AM242^2+BMILMS!$F$18*AM242+BMILMS!$G$18)))</f>
        <v>8.8969350000000003E-2</v>
      </c>
      <c r="AM242" s="4">
        <f t="shared" si="83"/>
        <v>0</v>
      </c>
      <c r="AO242" s="56">
        <f>IF(D242="M",WeightSDS!P$5*$AM242^7+WeightSDS!Q$5*$AM242^6+WeightSDS!R$5*$AM242^5+WeightSDS!S$5*$AM242^4+WeightSDS!T$5*$AM242^3+WeightSDS!U$5*$AM242^2+WeightSDS!V$5*$AM242+WeightSDS!W$5,IF($AM242&lt;186,WeightSDS!P$8*$AM242^7+WeightSDS!Q$8*$AM242^6+WeightSDS!R$8*$AM242^5+WeightSDS!S$8*$AM242^4+WeightSDS!T$8*$AM242^3+WeightSDS!U$8*$AM242^2+WeightSDS!V$8*$AM242+WeightSDS!W$8,WeightSDS!$U$9+WeightSDS!$V$9*($AM242-WeightSDS!$W$9)))</f>
        <v>0.75407122999999998</v>
      </c>
      <c r="AP242" s="4">
        <f>IF(D242="M",IF($AM242&lt;45,WeightSDS!M$23*$AM242^10+WeightSDS!N$23*$AM242^9+WeightSDS!O$23*$AM242^8+WeightSDS!P$23*$AM242^7+WeightSDS!Q$23*$AM242^6+WeightSDS!R$23*$AM242^5+WeightSDS!S$23*$AM242^4+WeightSDS!T$23*$AM242^3+WeightSDS!U$23*$AM242^2+WeightSDS!V$23*$AM242+WeightSDS!W$23,IF($AM242&lt;153,WeightSDS!M$25*$AM242^10+WeightSDS!N$25*$AM242^9+WeightSDS!O$25*$AM242^8+WeightSDS!P$25*$AM242^7+WeightSDS!Q$25*$AM242^6+WeightSDS!R$25*$AM242^5+WeightSDS!S$25*$AM242^4+WeightSDS!T$25*$AM242^3+WeightSDS!U$25*$AM242^2+WeightSDS!V$25*$AM242+WeightSDS!W$25,WeightSDS!M$27+WeightSDS!N$27/(1+EXP(WeightSDS!O$27+WeightSDS!P$27*$AM242)))),IF($AM242&lt;43.8,WeightSDS!M$29*$AM242^10+WeightSDS!N$29*$AM242^9+WeightSDS!O$29*$AM242^8+WeightSDS!P$29*$AM242^7+WeightSDS!Q$29*$AM242^6+WeightSDS!R$29*$AM242^5+WeightSDS!S$29*$AM242^4+WeightSDS!T$29*$AM242^3+WeightSDS!U$29*$AM242^2+WeightSDS!V$29*$AM242+WeightSDS!W$29-0.010431*(1-$AM242/210),IF($AM242&lt;123,WeightSDS!M$30*$AM242^10+WeightSDS!N$30*$AM242^9+WeightSDS!O$30*$AM242^8+WeightSDS!P$30*$AM242^7+WeightSDS!Q$30*$AM242^6+WeightSDS!R$30*$AM242^5+WeightSDS!S$30*$AM242^4+WeightSDS!T$30*$AM242^3+WeightSDS!U$30*$AM242^2+WeightSDS!V$30*$AM242+WeightSDS!W$30-0.010431*(1-1/$AM242),WeightSDS!M$32+WeightSDS!N$32/(1+EXP(WeightSDS!O$32+WeightSDS!P$32*$AM242))-0.010431*(1-$AM242/210))))</f>
        <v>2.9500001032655536</v>
      </c>
      <c r="AQ242" s="4">
        <f>IF(D242="M",IF($AM242&lt;162,WeightSDS!P$12*$AM242^7+WeightSDS!Q$12*$AM242^6+WeightSDS!R$12*$AM242^5+WeightSDS!S$12*$AM242^4+WeightSDS!T$12*$AM242^3+WeightSDS!U$12*$AM242^2+WeightSDS!V$12*$AM242+WeightSDS!W$12,WeightSDS!P$14*$AM242^7+WeightSDS!Q$14*$AM242^6+WeightSDS!R$14*$AM242^5+WeightSDS!S$14*$AM242^4+WeightSDS!T$14*$AM242^3+WeightSDS!U$14*$AM242^2+WeightSDS!V$14*$AM242+WeightSDS!W$14),IF($AM242&lt;156,WeightSDS!O$17*$AM242^8+WeightSDS!P$17*$AM242^7+WeightSDS!Q$17*$AM242^6+WeightSDS!R$17*$AM242^5+WeightSDS!S$17*$AM242^4+WeightSDS!T$17*$AM242^3+WeightSDS!U$17*$AM242^2+WeightSDS!V$17*$AM242+WeightSDS!W$17,IF($AM242&lt;186,WeightSDS!$U$18+(WeightSDS!$V$18-WeightSDS!$U$18)/24*($AM242-186)+WeightSDS!$W$18*(-$AM242+186)^2-0.005,WeightSDS!$U$18+(WeightSDS!$V$18-WeightSDS!$U$18)/24*($AM242-186)-0.005)))</f>
        <v>0.14604529399999999</v>
      </c>
      <c r="AT242" s="4">
        <f t="shared" si="70"/>
        <v>0.56299999999999994</v>
      </c>
      <c r="AU242" s="4">
        <f t="shared" si="71"/>
        <v>69</v>
      </c>
      <c r="AV242" s="4">
        <f t="shared" si="72"/>
        <v>0.51</v>
      </c>
    </row>
    <row r="243" spans="1:48" x14ac:dyDescent="0.15">
      <c r="A243" s="4"/>
      <c r="B243" s="21"/>
      <c r="C243" s="21"/>
      <c r="D243" s="21"/>
      <c r="E243" s="22"/>
      <c r="F243" s="22"/>
      <c r="G243" s="23"/>
      <c r="H243" s="23"/>
      <c r="I243" s="181"/>
      <c r="J243" s="8" t="str">
        <f t="shared" si="64"/>
        <v/>
      </c>
      <c r="K243" s="2" t="str">
        <f t="shared" si="73"/>
        <v/>
      </c>
      <c r="L243" s="2" t="str">
        <f t="shared" si="65"/>
        <v/>
      </c>
      <c r="M243" s="2" t="str">
        <f t="shared" si="74"/>
        <v/>
      </c>
      <c r="N243" s="2" t="str">
        <f t="shared" si="82"/>
        <v/>
      </c>
      <c r="O243" s="2" t="str">
        <f t="shared" si="75"/>
        <v/>
      </c>
      <c r="P243" s="8" t="str">
        <f t="shared" si="76"/>
        <v/>
      </c>
      <c r="Q243" s="8" t="str">
        <f t="shared" si="77"/>
        <v/>
      </c>
      <c r="R243" s="111" t="str">
        <f t="shared" si="78"/>
        <v/>
      </c>
      <c r="S243" s="44" t="str">
        <f t="shared" si="79"/>
        <v/>
      </c>
      <c r="T243" s="37" t="str">
        <f t="shared" si="80"/>
        <v/>
      </c>
      <c r="U243" s="44" t="str">
        <f t="shared" si="81"/>
        <v/>
      </c>
      <c r="V243" s="26"/>
      <c r="W243" s="26"/>
      <c r="X243" s="26"/>
      <c r="Y243" s="26"/>
      <c r="Z243" s="24"/>
      <c r="AA243" s="169">
        <f t="shared" si="66"/>
        <v>0</v>
      </c>
      <c r="AB243" s="4">
        <f t="shared" si="67"/>
        <v>0</v>
      </c>
      <c r="AC243" s="170">
        <f t="shared" si="84"/>
        <v>0</v>
      </c>
      <c r="AD243" s="58"/>
      <c r="AE243" s="58"/>
      <c r="AF243" s="58"/>
      <c r="AG243" s="59">
        <f t="shared" si="68"/>
        <v>9.0359999999999996</v>
      </c>
      <c r="AH243" s="59">
        <f t="shared" si="69"/>
        <v>-184.49199999999999</v>
      </c>
      <c r="AJ243" s="4">
        <f>IF(D243="M",IF(AM243&lt;78,BMILMS!$D$5*AM243^3+BMILMS!$E$5*AM243^2+BMILMS!$F$5*AM243+BMILMS!$G$5,IF(AM243&lt;150,BMILMS!$D$6*AM243^3+BMILMS!$E$6*AM243^2+BMILMS!$F$6*AM243+BMILMS!$G$6,BMILMS!$D$7*AM243^3+BMILMS!$E$7*AM243^2+BMILMS!$F$7*AM243+BMILMS!$G$7)),IF(AM243&lt;69,BMILMS!$D$9*AM243^3+BMILMS!$E$9*AM243^2+BMILMS!$F$9*AM243+BMILMS!$G$9,IF(AM243&lt;150,BMILMS!$D$10*AM243^3+BMILMS!$E$10*AM243^2+BMILMS!$F$10*AM243+BMILMS!$G$10,BMILMS!$D$11*AM243^3+BMILMS!$E$11*AM243^2+BMILMS!$F$11*AM243+BMILMS!$G$11)))</f>
        <v>0.79584630099999998</v>
      </c>
      <c r="AK243" s="4">
        <f>IF(D243="M",(IF(AM243&lt;2.5,BMILMS!$D$21*AM243^3+BMILMS!$E$21*AM243^2+BMILMS!$F$21*AM243+BMILMS!$G$21,IF(AM243&lt;9.5,BMILMS!$D$22*AM243^3+BMILMS!$E$22*AM243^2+BMILMS!$F$22*AM243+BMILMS!$G$22,IF(AM243&lt;26.75,BMILMS!$D$23*AM243^3+BMILMS!$E$23*AM243^2+BMILMS!$F$23*AM243+BMILMS!$G$23,IF(AM243&lt;90,BMILMS!$D$24*AM243^3+BMILMS!$E$24*AM243^2+BMILMS!$F$24*AM243+BMILMS!$G$24,BMILMS!$D$25*AM243^3+BMILMS!$E$25*AM243^2+BMILMS!$F$25*AM243+BMILMS!$G$25))))),(IF(AM243&lt;2.5,BMILMS!$D$27*AM243^3+BMILMS!$E$27*AM243^2+BMILMS!$F$27*AM243+BMILMS!$G$27,IF(AM243&lt;9.5,BMILMS!$D$28*AM243^3+BMILMS!$E$28*AM243^2+BMILMS!$F$28*AM243+BMILMS!$G$28,IF(AM243&lt;26.75,BMILMS!$D$29*AM243^3+BMILMS!$E$29*AM243^2+BMILMS!$F$29*AM243+BMILMS!$G$29,IF(AM243&lt;90,BMILMS!$D$30*AM243^3+BMILMS!$E$30*AM243^2+BMILMS!$F$30*AM243+BMILMS!$G$30,IF(AM243&lt;150,BMILMS!$D$31*AM243^3+BMILMS!$E$31*AM243^2+BMILMS!$F$31*AM243+BMILMS!$G$31,BMILMS!$D$32*AM243^3+BMILMS!$E$32*AM243^2+BMILMS!$F$32*AM243+BMILMS!$G$32)))))))</f>
        <v>12.568967990000001</v>
      </c>
      <c r="AL243" s="4">
        <f>IF(D243="M",(IF(AM243&lt;90,BMILMS!$D$14*AM243^3+BMILMS!$E$14*AM243^2+BMILMS!$F$14*AM243+BMILMS!$G$14,BMILMS!$D$15*AM243^3+BMILMS!$E$15*AM243^2+BMILMS!$F$15*AM243+BMILMS!$G$15)),(IF(AM243&lt;90,BMILMS!$D$17*AM243^3+BMILMS!$E$17*AM243^2+BMILMS!$F$17*AM243+BMILMS!$G$17,BMILMS!$D$18*AM243^3+BMILMS!$E$18*AM243^2+BMILMS!$F$18*AM243+BMILMS!$G$18)))</f>
        <v>8.8969350000000003E-2</v>
      </c>
      <c r="AM243" s="4">
        <f t="shared" si="83"/>
        <v>0</v>
      </c>
      <c r="AO243" s="56">
        <f>IF(D243="M",WeightSDS!P$5*$AM243^7+WeightSDS!Q$5*$AM243^6+WeightSDS!R$5*$AM243^5+WeightSDS!S$5*$AM243^4+WeightSDS!T$5*$AM243^3+WeightSDS!U$5*$AM243^2+WeightSDS!V$5*$AM243+WeightSDS!W$5,IF($AM243&lt;186,WeightSDS!P$8*$AM243^7+WeightSDS!Q$8*$AM243^6+WeightSDS!R$8*$AM243^5+WeightSDS!S$8*$AM243^4+WeightSDS!T$8*$AM243^3+WeightSDS!U$8*$AM243^2+WeightSDS!V$8*$AM243+WeightSDS!W$8,WeightSDS!$U$9+WeightSDS!$V$9*($AM243-WeightSDS!$W$9)))</f>
        <v>0.75407122999999998</v>
      </c>
      <c r="AP243" s="4">
        <f>IF(D243="M",IF($AM243&lt;45,WeightSDS!M$23*$AM243^10+WeightSDS!N$23*$AM243^9+WeightSDS!O$23*$AM243^8+WeightSDS!P$23*$AM243^7+WeightSDS!Q$23*$AM243^6+WeightSDS!R$23*$AM243^5+WeightSDS!S$23*$AM243^4+WeightSDS!T$23*$AM243^3+WeightSDS!U$23*$AM243^2+WeightSDS!V$23*$AM243+WeightSDS!W$23,IF($AM243&lt;153,WeightSDS!M$25*$AM243^10+WeightSDS!N$25*$AM243^9+WeightSDS!O$25*$AM243^8+WeightSDS!P$25*$AM243^7+WeightSDS!Q$25*$AM243^6+WeightSDS!R$25*$AM243^5+WeightSDS!S$25*$AM243^4+WeightSDS!T$25*$AM243^3+WeightSDS!U$25*$AM243^2+WeightSDS!V$25*$AM243+WeightSDS!W$25,WeightSDS!M$27+WeightSDS!N$27/(1+EXP(WeightSDS!O$27+WeightSDS!P$27*$AM243)))),IF($AM243&lt;43.8,WeightSDS!M$29*$AM243^10+WeightSDS!N$29*$AM243^9+WeightSDS!O$29*$AM243^8+WeightSDS!P$29*$AM243^7+WeightSDS!Q$29*$AM243^6+WeightSDS!R$29*$AM243^5+WeightSDS!S$29*$AM243^4+WeightSDS!T$29*$AM243^3+WeightSDS!U$29*$AM243^2+WeightSDS!V$29*$AM243+WeightSDS!W$29-0.010431*(1-$AM243/210),IF($AM243&lt;123,WeightSDS!M$30*$AM243^10+WeightSDS!N$30*$AM243^9+WeightSDS!O$30*$AM243^8+WeightSDS!P$30*$AM243^7+WeightSDS!Q$30*$AM243^6+WeightSDS!R$30*$AM243^5+WeightSDS!S$30*$AM243^4+WeightSDS!T$30*$AM243^3+WeightSDS!U$30*$AM243^2+WeightSDS!V$30*$AM243+WeightSDS!W$30-0.010431*(1-1/$AM243),WeightSDS!M$32+WeightSDS!N$32/(1+EXP(WeightSDS!O$32+WeightSDS!P$32*$AM243))-0.010431*(1-$AM243/210))))</f>
        <v>2.9500001032655536</v>
      </c>
      <c r="AQ243" s="4">
        <f>IF(D243="M",IF($AM243&lt;162,WeightSDS!P$12*$AM243^7+WeightSDS!Q$12*$AM243^6+WeightSDS!R$12*$AM243^5+WeightSDS!S$12*$AM243^4+WeightSDS!T$12*$AM243^3+WeightSDS!U$12*$AM243^2+WeightSDS!V$12*$AM243+WeightSDS!W$12,WeightSDS!P$14*$AM243^7+WeightSDS!Q$14*$AM243^6+WeightSDS!R$14*$AM243^5+WeightSDS!S$14*$AM243^4+WeightSDS!T$14*$AM243^3+WeightSDS!U$14*$AM243^2+WeightSDS!V$14*$AM243+WeightSDS!W$14),IF($AM243&lt;156,WeightSDS!O$17*$AM243^8+WeightSDS!P$17*$AM243^7+WeightSDS!Q$17*$AM243^6+WeightSDS!R$17*$AM243^5+WeightSDS!S$17*$AM243^4+WeightSDS!T$17*$AM243^3+WeightSDS!U$17*$AM243^2+WeightSDS!V$17*$AM243+WeightSDS!W$17,IF($AM243&lt;186,WeightSDS!$U$18+(WeightSDS!$V$18-WeightSDS!$U$18)/24*($AM243-186)+WeightSDS!$W$18*(-$AM243+186)^2-0.005,WeightSDS!$U$18+(WeightSDS!$V$18-WeightSDS!$U$18)/24*($AM243-186)-0.005)))</f>
        <v>0.14604529399999999</v>
      </c>
      <c r="AT243" s="4">
        <f t="shared" si="70"/>
        <v>0.56299999999999994</v>
      </c>
      <c r="AU243" s="4">
        <f t="shared" si="71"/>
        <v>69</v>
      </c>
      <c r="AV243" s="4">
        <f t="shared" si="72"/>
        <v>0.51</v>
      </c>
    </row>
    <row r="244" spans="1:48" x14ac:dyDescent="0.15">
      <c r="A244" s="4"/>
      <c r="B244" s="21"/>
      <c r="C244" s="21"/>
      <c r="D244" s="21"/>
      <c r="E244" s="22"/>
      <c r="F244" s="22"/>
      <c r="G244" s="23"/>
      <c r="H244" s="23"/>
      <c r="I244" s="181"/>
      <c r="J244" s="8" t="str">
        <f t="shared" si="64"/>
        <v/>
      </c>
      <c r="K244" s="2" t="str">
        <f t="shared" si="73"/>
        <v/>
      </c>
      <c r="L244" s="2" t="str">
        <f t="shared" si="65"/>
        <v/>
      </c>
      <c r="M244" s="2" t="str">
        <f t="shared" si="74"/>
        <v/>
      </c>
      <c r="N244" s="2" t="str">
        <f t="shared" si="82"/>
        <v/>
      </c>
      <c r="O244" s="2" t="str">
        <f t="shared" si="75"/>
        <v/>
      </c>
      <c r="P244" s="8" t="str">
        <f t="shared" si="76"/>
        <v/>
      </c>
      <c r="Q244" s="8" t="str">
        <f t="shared" si="77"/>
        <v/>
      </c>
      <c r="R244" s="111" t="str">
        <f t="shared" si="78"/>
        <v/>
      </c>
      <c r="S244" s="44" t="str">
        <f t="shared" si="79"/>
        <v/>
      </c>
      <c r="T244" s="37" t="str">
        <f t="shared" si="80"/>
        <v/>
      </c>
      <c r="U244" s="44" t="str">
        <f t="shared" si="81"/>
        <v/>
      </c>
      <c r="V244" s="26"/>
      <c r="W244" s="26"/>
      <c r="X244" s="26"/>
      <c r="Y244" s="26"/>
      <c r="Z244" s="24"/>
      <c r="AA244" s="169">
        <f t="shared" si="66"/>
        <v>0</v>
      </c>
      <c r="AB244" s="4">
        <f t="shared" si="67"/>
        <v>0</v>
      </c>
      <c r="AC244" s="170">
        <f t="shared" si="84"/>
        <v>0</v>
      </c>
      <c r="AD244" s="58"/>
      <c r="AE244" s="58"/>
      <c r="AF244" s="58"/>
      <c r="AG244" s="59">
        <f t="shared" si="68"/>
        <v>9.0359999999999996</v>
      </c>
      <c r="AH244" s="59">
        <f t="shared" si="69"/>
        <v>-184.49199999999999</v>
      </c>
      <c r="AJ244" s="4">
        <f>IF(D244="M",IF(AM244&lt;78,BMILMS!$D$5*AM244^3+BMILMS!$E$5*AM244^2+BMILMS!$F$5*AM244+BMILMS!$G$5,IF(AM244&lt;150,BMILMS!$D$6*AM244^3+BMILMS!$E$6*AM244^2+BMILMS!$F$6*AM244+BMILMS!$G$6,BMILMS!$D$7*AM244^3+BMILMS!$E$7*AM244^2+BMILMS!$F$7*AM244+BMILMS!$G$7)),IF(AM244&lt;69,BMILMS!$D$9*AM244^3+BMILMS!$E$9*AM244^2+BMILMS!$F$9*AM244+BMILMS!$G$9,IF(AM244&lt;150,BMILMS!$D$10*AM244^3+BMILMS!$E$10*AM244^2+BMILMS!$F$10*AM244+BMILMS!$G$10,BMILMS!$D$11*AM244^3+BMILMS!$E$11*AM244^2+BMILMS!$F$11*AM244+BMILMS!$G$11)))</f>
        <v>0.79584630099999998</v>
      </c>
      <c r="AK244" s="4">
        <f>IF(D244="M",(IF(AM244&lt;2.5,BMILMS!$D$21*AM244^3+BMILMS!$E$21*AM244^2+BMILMS!$F$21*AM244+BMILMS!$G$21,IF(AM244&lt;9.5,BMILMS!$D$22*AM244^3+BMILMS!$E$22*AM244^2+BMILMS!$F$22*AM244+BMILMS!$G$22,IF(AM244&lt;26.75,BMILMS!$D$23*AM244^3+BMILMS!$E$23*AM244^2+BMILMS!$F$23*AM244+BMILMS!$G$23,IF(AM244&lt;90,BMILMS!$D$24*AM244^3+BMILMS!$E$24*AM244^2+BMILMS!$F$24*AM244+BMILMS!$G$24,BMILMS!$D$25*AM244^3+BMILMS!$E$25*AM244^2+BMILMS!$F$25*AM244+BMILMS!$G$25))))),(IF(AM244&lt;2.5,BMILMS!$D$27*AM244^3+BMILMS!$E$27*AM244^2+BMILMS!$F$27*AM244+BMILMS!$G$27,IF(AM244&lt;9.5,BMILMS!$D$28*AM244^3+BMILMS!$E$28*AM244^2+BMILMS!$F$28*AM244+BMILMS!$G$28,IF(AM244&lt;26.75,BMILMS!$D$29*AM244^3+BMILMS!$E$29*AM244^2+BMILMS!$F$29*AM244+BMILMS!$G$29,IF(AM244&lt;90,BMILMS!$D$30*AM244^3+BMILMS!$E$30*AM244^2+BMILMS!$F$30*AM244+BMILMS!$G$30,IF(AM244&lt;150,BMILMS!$D$31*AM244^3+BMILMS!$E$31*AM244^2+BMILMS!$F$31*AM244+BMILMS!$G$31,BMILMS!$D$32*AM244^3+BMILMS!$E$32*AM244^2+BMILMS!$F$32*AM244+BMILMS!$G$32)))))))</f>
        <v>12.568967990000001</v>
      </c>
      <c r="AL244" s="4">
        <f>IF(D244="M",(IF(AM244&lt;90,BMILMS!$D$14*AM244^3+BMILMS!$E$14*AM244^2+BMILMS!$F$14*AM244+BMILMS!$G$14,BMILMS!$D$15*AM244^3+BMILMS!$E$15*AM244^2+BMILMS!$F$15*AM244+BMILMS!$G$15)),(IF(AM244&lt;90,BMILMS!$D$17*AM244^3+BMILMS!$E$17*AM244^2+BMILMS!$F$17*AM244+BMILMS!$G$17,BMILMS!$D$18*AM244^3+BMILMS!$E$18*AM244^2+BMILMS!$F$18*AM244+BMILMS!$G$18)))</f>
        <v>8.8969350000000003E-2</v>
      </c>
      <c r="AM244" s="4">
        <f t="shared" si="83"/>
        <v>0</v>
      </c>
      <c r="AO244" s="56">
        <f>IF(D244="M",WeightSDS!P$5*$AM244^7+WeightSDS!Q$5*$AM244^6+WeightSDS!R$5*$AM244^5+WeightSDS!S$5*$AM244^4+WeightSDS!T$5*$AM244^3+WeightSDS!U$5*$AM244^2+WeightSDS!V$5*$AM244+WeightSDS!W$5,IF($AM244&lt;186,WeightSDS!P$8*$AM244^7+WeightSDS!Q$8*$AM244^6+WeightSDS!R$8*$AM244^5+WeightSDS!S$8*$AM244^4+WeightSDS!T$8*$AM244^3+WeightSDS!U$8*$AM244^2+WeightSDS!V$8*$AM244+WeightSDS!W$8,WeightSDS!$U$9+WeightSDS!$V$9*($AM244-WeightSDS!$W$9)))</f>
        <v>0.75407122999999998</v>
      </c>
      <c r="AP244" s="4">
        <f>IF(D244="M",IF($AM244&lt;45,WeightSDS!M$23*$AM244^10+WeightSDS!N$23*$AM244^9+WeightSDS!O$23*$AM244^8+WeightSDS!P$23*$AM244^7+WeightSDS!Q$23*$AM244^6+WeightSDS!R$23*$AM244^5+WeightSDS!S$23*$AM244^4+WeightSDS!T$23*$AM244^3+WeightSDS!U$23*$AM244^2+WeightSDS!V$23*$AM244+WeightSDS!W$23,IF($AM244&lt;153,WeightSDS!M$25*$AM244^10+WeightSDS!N$25*$AM244^9+WeightSDS!O$25*$AM244^8+WeightSDS!P$25*$AM244^7+WeightSDS!Q$25*$AM244^6+WeightSDS!R$25*$AM244^5+WeightSDS!S$25*$AM244^4+WeightSDS!T$25*$AM244^3+WeightSDS!U$25*$AM244^2+WeightSDS!V$25*$AM244+WeightSDS!W$25,WeightSDS!M$27+WeightSDS!N$27/(1+EXP(WeightSDS!O$27+WeightSDS!P$27*$AM244)))),IF($AM244&lt;43.8,WeightSDS!M$29*$AM244^10+WeightSDS!N$29*$AM244^9+WeightSDS!O$29*$AM244^8+WeightSDS!P$29*$AM244^7+WeightSDS!Q$29*$AM244^6+WeightSDS!R$29*$AM244^5+WeightSDS!S$29*$AM244^4+WeightSDS!T$29*$AM244^3+WeightSDS!U$29*$AM244^2+WeightSDS!V$29*$AM244+WeightSDS!W$29-0.010431*(1-$AM244/210),IF($AM244&lt;123,WeightSDS!M$30*$AM244^10+WeightSDS!N$30*$AM244^9+WeightSDS!O$30*$AM244^8+WeightSDS!P$30*$AM244^7+WeightSDS!Q$30*$AM244^6+WeightSDS!R$30*$AM244^5+WeightSDS!S$30*$AM244^4+WeightSDS!T$30*$AM244^3+WeightSDS!U$30*$AM244^2+WeightSDS!V$30*$AM244+WeightSDS!W$30-0.010431*(1-1/$AM244),WeightSDS!M$32+WeightSDS!N$32/(1+EXP(WeightSDS!O$32+WeightSDS!P$32*$AM244))-0.010431*(1-$AM244/210))))</f>
        <v>2.9500001032655536</v>
      </c>
      <c r="AQ244" s="4">
        <f>IF(D244="M",IF($AM244&lt;162,WeightSDS!P$12*$AM244^7+WeightSDS!Q$12*$AM244^6+WeightSDS!R$12*$AM244^5+WeightSDS!S$12*$AM244^4+WeightSDS!T$12*$AM244^3+WeightSDS!U$12*$AM244^2+WeightSDS!V$12*$AM244+WeightSDS!W$12,WeightSDS!P$14*$AM244^7+WeightSDS!Q$14*$AM244^6+WeightSDS!R$14*$AM244^5+WeightSDS!S$14*$AM244^4+WeightSDS!T$14*$AM244^3+WeightSDS!U$14*$AM244^2+WeightSDS!V$14*$AM244+WeightSDS!W$14),IF($AM244&lt;156,WeightSDS!O$17*$AM244^8+WeightSDS!P$17*$AM244^7+WeightSDS!Q$17*$AM244^6+WeightSDS!R$17*$AM244^5+WeightSDS!S$17*$AM244^4+WeightSDS!T$17*$AM244^3+WeightSDS!U$17*$AM244^2+WeightSDS!V$17*$AM244+WeightSDS!W$17,IF($AM244&lt;186,WeightSDS!$U$18+(WeightSDS!$V$18-WeightSDS!$U$18)/24*($AM244-186)+WeightSDS!$W$18*(-$AM244+186)^2-0.005,WeightSDS!$U$18+(WeightSDS!$V$18-WeightSDS!$U$18)/24*($AM244-186)-0.005)))</f>
        <v>0.14604529399999999</v>
      </c>
      <c r="AT244" s="4">
        <f t="shared" si="70"/>
        <v>0.56299999999999994</v>
      </c>
      <c r="AU244" s="4">
        <f t="shared" si="71"/>
        <v>69</v>
      </c>
      <c r="AV244" s="4">
        <f t="shared" si="72"/>
        <v>0.51</v>
      </c>
    </row>
    <row r="245" spans="1:48" x14ac:dyDescent="0.15">
      <c r="A245" s="4"/>
      <c r="B245" s="21"/>
      <c r="C245" s="21"/>
      <c r="D245" s="21"/>
      <c r="E245" s="22"/>
      <c r="F245" s="22"/>
      <c r="G245" s="23"/>
      <c r="H245" s="23"/>
      <c r="I245" s="181"/>
      <c r="J245" s="8" t="str">
        <f t="shared" si="64"/>
        <v/>
      </c>
      <c r="K245" s="2" t="str">
        <f t="shared" si="73"/>
        <v/>
      </c>
      <c r="L245" s="2" t="str">
        <f t="shared" si="65"/>
        <v/>
      </c>
      <c r="M245" s="2" t="str">
        <f t="shared" si="74"/>
        <v/>
      </c>
      <c r="N245" s="2" t="str">
        <f t="shared" si="82"/>
        <v/>
      </c>
      <c r="O245" s="2" t="str">
        <f t="shared" si="75"/>
        <v/>
      </c>
      <c r="P245" s="8" t="str">
        <f t="shared" si="76"/>
        <v/>
      </c>
      <c r="Q245" s="8" t="str">
        <f t="shared" si="77"/>
        <v/>
      </c>
      <c r="R245" s="111" t="str">
        <f t="shared" si="78"/>
        <v/>
      </c>
      <c r="S245" s="44" t="str">
        <f t="shared" si="79"/>
        <v/>
      </c>
      <c r="T245" s="37" t="str">
        <f t="shared" si="80"/>
        <v/>
      </c>
      <c r="U245" s="44" t="str">
        <f t="shared" si="81"/>
        <v/>
      </c>
      <c r="V245" s="26"/>
      <c r="W245" s="26"/>
      <c r="X245" s="26"/>
      <c r="Y245" s="26"/>
      <c r="Z245" s="24"/>
      <c r="AA245" s="169">
        <f t="shared" si="66"/>
        <v>0</v>
      </c>
      <c r="AB245" s="4">
        <f t="shared" si="67"/>
        <v>0</v>
      </c>
      <c r="AC245" s="170">
        <f t="shared" si="84"/>
        <v>0</v>
      </c>
      <c r="AD245" s="58"/>
      <c r="AE245" s="58"/>
      <c r="AF245" s="58"/>
      <c r="AG245" s="59">
        <f t="shared" si="68"/>
        <v>9.0359999999999996</v>
      </c>
      <c r="AH245" s="59">
        <f t="shared" si="69"/>
        <v>-184.49199999999999</v>
      </c>
      <c r="AJ245" s="4">
        <f>IF(D245="M",IF(AM245&lt;78,BMILMS!$D$5*AM245^3+BMILMS!$E$5*AM245^2+BMILMS!$F$5*AM245+BMILMS!$G$5,IF(AM245&lt;150,BMILMS!$D$6*AM245^3+BMILMS!$E$6*AM245^2+BMILMS!$F$6*AM245+BMILMS!$G$6,BMILMS!$D$7*AM245^3+BMILMS!$E$7*AM245^2+BMILMS!$F$7*AM245+BMILMS!$G$7)),IF(AM245&lt;69,BMILMS!$D$9*AM245^3+BMILMS!$E$9*AM245^2+BMILMS!$F$9*AM245+BMILMS!$G$9,IF(AM245&lt;150,BMILMS!$D$10*AM245^3+BMILMS!$E$10*AM245^2+BMILMS!$F$10*AM245+BMILMS!$G$10,BMILMS!$D$11*AM245^3+BMILMS!$E$11*AM245^2+BMILMS!$F$11*AM245+BMILMS!$G$11)))</f>
        <v>0.79584630099999998</v>
      </c>
      <c r="AK245" s="4">
        <f>IF(D245="M",(IF(AM245&lt;2.5,BMILMS!$D$21*AM245^3+BMILMS!$E$21*AM245^2+BMILMS!$F$21*AM245+BMILMS!$G$21,IF(AM245&lt;9.5,BMILMS!$D$22*AM245^3+BMILMS!$E$22*AM245^2+BMILMS!$F$22*AM245+BMILMS!$G$22,IF(AM245&lt;26.75,BMILMS!$D$23*AM245^3+BMILMS!$E$23*AM245^2+BMILMS!$F$23*AM245+BMILMS!$G$23,IF(AM245&lt;90,BMILMS!$D$24*AM245^3+BMILMS!$E$24*AM245^2+BMILMS!$F$24*AM245+BMILMS!$G$24,BMILMS!$D$25*AM245^3+BMILMS!$E$25*AM245^2+BMILMS!$F$25*AM245+BMILMS!$G$25))))),(IF(AM245&lt;2.5,BMILMS!$D$27*AM245^3+BMILMS!$E$27*AM245^2+BMILMS!$F$27*AM245+BMILMS!$G$27,IF(AM245&lt;9.5,BMILMS!$D$28*AM245^3+BMILMS!$E$28*AM245^2+BMILMS!$F$28*AM245+BMILMS!$G$28,IF(AM245&lt;26.75,BMILMS!$D$29*AM245^3+BMILMS!$E$29*AM245^2+BMILMS!$F$29*AM245+BMILMS!$G$29,IF(AM245&lt;90,BMILMS!$D$30*AM245^3+BMILMS!$E$30*AM245^2+BMILMS!$F$30*AM245+BMILMS!$G$30,IF(AM245&lt;150,BMILMS!$D$31*AM245^3+BMILMS!$E$31*AM245^2+BMILMS!$F$31*AM245+BMILMS!$G$31,BMILMS!$D$32*AM245^3+BMILMS!$E$32*AM245^2+BMILMS!$F$32*AM245+BMILMS!$G$32)))))))</f>
        <v>12.568967990000001</v>
      </c>
      <c r="AL245" s="4">
        <f>IF(D245="M",(IF(AM245&lt;90,BMILMS!$D$14*AM245^3+BMILMS!$E$14*AM245^2+BMILMS!$F$14*AM245+BMILMS!$G$14,BMILMS!$D$15*AM245^3+BMILMS!$E$15*AM245^2+BMILMS!$F$15*AM245+BMILMS!$G$15)),(IF(AM245&lt;90,BMILMS!$D$17*AM245^3+BMILMS!$E$17*AM245^2+BMILMS!$F$17*AM245+BMILMS!$G$17,BMILMS!$D$18*AM245^3+BMILMS!$E$18*AM245^2+BMILMS!$F$18*AM245+BMILMS!$G$18)))</f>
        <v>8.8969350000000003E-2</v>
      </c>
      <c r="AM245" s="4">
        <f t="shared" si="83"/>
        <v>0</v>
      </c>
      <c r="AO245" s="56">
        <f>IF(D245="M",WeightSDS!P$5*$AM245^7+WeightSDS!Q$5*$AM245^6+WeightSDS!R$5*$AM245^5+WeightSDS!S$5*$AM245^4+WeightSDS!T$5*$AM245^3+WeightSDS!U$5*$AM245^2+WeightSDS!V$5*$AM245+WeightSDS!W$5,IF($AM245&lt;186,WeightSDS!P$8*$AM245^7+WeightSDS!Q$8*$AM245^6+WeightSDS!R$8*$AM245^5+WeightSDS!S$8*$AM245^4+WeightSDS!T$8*$AM245^3+WeightSDS!U$8*$AM245^2+WeightSDS!V$8*$AM245+WeightSDS!W$8,WeightSDS!$U$9+WeightSDS!$V$9*($AM245-WeightSDS!$W$9)))</f>
        <v>0.75407122999999998</v>
      </c>
      <c r="AP245" s="4">
        <f>IF(D245="M",IF($AM245&lt;45,WeightSDS!M$23*$AM245^10+WeightSDS!N$23*$AM245^9+WeightSDS!O$23*$AM245^8+WeightSDS!P$23*$AM245^7+WeightSDS!Q$23*$AM245^6+WeightSDS!R$23*$AM245^5+WeightSDS!S$23*$AM245^4+WeightSDS!T$23*$AM245^3+WeightSDS!U$23*$AM245^2+WeightSDS!V$23*$AM245+WeightSDS!W$23,IF($AM245&lt;153,WeightSDS!M$25*$AM245^10+WeightSDS!N$25*$AM245^9+WeightSDS!O$25*$AM245^8+WeightSDS!P$25*$AM245^7+WeightSDS!Q$25*$AM245^6+WeightSDS!R$25*$AM245^5+WeightSDS!S$25*$AM245^4+WeightSDS!T$25*$AM245^3+WeightSDS!U$25*$AM245^2+WeightSDS!V$25*$AM245+WeightSDS!W$25,WeightSDS!M$27+WeightSDS!N$27/(1+EXP(WeightSDS!O$27+WeightSDS!P$27*$AM245)))),IF($AM245&lt;43.8,WeightSDS!M$29*$AM245^10+WeightSDS!N$29*$AM245^9+WeightSDS!O$29*$AM245^8+WeightSDS!P$29*$AM245^7+WeightSDS!Q$29*$AM245^6+WeightSDS!R$29*$AM245^5+WeightSDS!S$29*$AM245^4+WeightSDS!T$29*$AM245^3+WeightSDS!U$29*$AM245^2+WeightSDS!V$29*$AM245+WeightSDS!W$29-0.010431*(1-$AM245/210),IF($AM245&lt;123,WeightSDS!M$30*$AM245^10+WeightSDS!N$30*$AM245^9+WeightSDS!O$30*$AM245^8+WeightSDS!P$30*$AM245^7+WeightSDS!Q$30*$AM245^6+WeightSDS!R$30*$AM245^5+WeightSDS!S$30*$AM245^4+WeightSDS!T$30*$AM245^3+WeightSDS!U$30*$AM245^2+WeightSDS!V$30*$AM245+WeightSDS!W$30-0.010431*(1-1/$AM245),WeightSDS!M$32+WeightSDS!N$32/(1+EXP(WeightSDS!O$32+WeightSDS!P$32*$AM245))-0.010431*(1-$AM245/210))))</f>
        <v>2.9500001032655536</v>
      </c>
      <c r="AQ245" s="4">
        <f>IF(D245="M",IF($AM245&lt;162,WeightSDS!P$12*$AM245^7+WeightSDS!Q$12*$AM245^6+WeightSDS!R$12*$AM245^5+WeightSDS!S$12*$AM245^4+WeightSDS!T$12*$AM245^3+WeightSDS!U$12*$AM245^2+WeightSDS!V$12*$AM245+WeightSDS!W$12,WeightSDS!P$14*$AM245^7+WeightSDS!Q$14*$AM245^6+WeightSDS!R$14*$AM245^5+WeightSDS!S$14*$AM245^4+WeightSDS!T$14*$AM245^3+WeightSDS!U$14*$AM245^2+WeightSDS!V$14*$AM245+WeightSDS!W$14),IF($AM245&lt;156,WeightSDS!O$17*$AM245^8+WeightSDS!P$17*$AM245^7+WeightSDS!Q$17*$AM245^6+WeightSDS!R$17*$AM245^5+WeightSDS!S$17*$AM245^4+WeightSDS!T$17*$AM245^3+WeightSDS!U$17*$AM245^2+WeightSDS!V$17*$AM245+WeightSDS!W$17,IF($AM245&lt;186,WeightSDS!$U$18+(WeightSDS!$V$18-WeightSDS!$U$18)/24*($AM245-186)+WeightSDS!$W$18*(-$AM245+186)^2-0.005,WeightSDS!$U$18+(WeightSDS!$V$18-WeightSDS!$U$18)/24*($AM245-186)-0.005)))</f>
        <v>0.14604529399999999</v>
      </c>
      <c r="AT245" s="4">
        <f t="shared" si="70"/>
        <v>0.56299999999999994</v>
      </c>
      <c r="AU245" s="4">
        <f t="shared" si="71"/>
        <v>69</v>
      </c>
      <c r="AV245" s="4">
        <f t="shared" si="72"/>
        <v>0.51</v>
      </c>
    </row>
    <row r="246" spans="1:48" x14ac:dyDescent="0.15">
      <c r="A246" s="4"/>
      <c r="B246" s="21"/>
      <c r="C246" s="21"/>
      <c r="D246" s="21"/>
      <c r="E246" s="22"/>
      <c r="F246" s="22"/>
      <c r="G246" s="23"/>
      <c r="H246" s="23"/>
      <c r="I246" s="181"/>
      <c r="J246" s="8" t="str">
        <f t="shared" si="64"/>
        <v/>
      </c>
      <c r="K246" s="2" t="str">
        <f t="shared" si="73"/>
        <v/>
      </c>
      <c r="L246" s="2" t="str">
        <f t="shared" si="65"/>
        <v/>
      </c>
      <c r="M246" s="2" t="str">
        <f t="shared" si="74"/>
        <v/>
      </c>
      <c r="N246" s="2" t="str">
        <f t="shared" si="82"/>
        <v/>
      </c>
      <c r="O246" s="2" t="str">
        <f t="shared" si="75"/>
        <v/>
      </c>
      <c r="P246" s="8" t="str">
        <f t="shared" si="76"/>
        <v/>
      </c>
      <c r="Q246" s="8" t="str">
        <f t="shared" si="77"/>
        <v/>
      </c>
      <c r="R246" s="111" t="str">
        <f t="shared" si="78"/>
        <v/>
      </c>
      <c r="S246" s="44" t="str">
        <f t="shared" si="79"/>
        <v/>
      </c>
      <c r="T246" s="37" t="str">
        <f t="shared" si="80"/>
        <v/>
      </c>
      <c r="U246" s="44" t="str">
        <f t="shared" si="81"/>
        <v/>
      </c>
      <c r="V246" s="26"/>
      <c r="W246" s="26"/>
      <c r="X246" s="26"/>
      <c r="Y246" s="26"/>
      <c r="Z246" s="24"/>
      <c r="AA246" s="169">
        <f t="shared" si="66"/>
        <v>0</v>
      </c>
      <c r="AB246" s="4">
        <f t="shared" si="67"/>
        <v>0</v>
      </c>
      <c r="AC246" s="170">
        <f t="shared" si="84"/>
        <v>0</v>
      </c>
      <c r="AD246" s="58"/>
      <c r="AE246" s="58"/>
      <c r="AF246" s="58"/>
      <c r="AG246" s="59">
        <f t="shared" si="68"/>
        <v>9.0359999999999996</v>
      </c>
      <c r="AH246" s="59">
        <f t="shared" si="69"/>
        <v>-184.49199999999999</v>
      </c>
      <c r="AJ246" s="4">
        <f>IF(D246="M",IF(AM246&lt;78,BMILMS!$D$5*AM246^3+BMILMS!$E$5*AM246^2+BMILMS!$F$5*AM246+BMILMS!$G$5,IF(AM246&lt;150,BMILMS!$D$6*AM246^3+BMILMS!$E$6*AM246^2+BMILMS!$F$6*AM246+BMILMS!$G$6,BMILMS!$D$7*AM246^3+BMILMS!$E$7*AM246^2+BMILMS!$F$7*AM246+BMILMS!$G$7)),IF(AM246&lt;69,BMILMS!$D$9*AM246^3+BMILMS!$E$9*AM246^2+BMILMS!$F$9*AM246+BMILMS!$G$9,IF(AM246&lt;150,BMILMS!$D$10*AM246^3+BMILMS!$E$10*AM246^2+BMILMS!$F$10*AM246+BMILMS!$G$10,BMILMS!$D$11*AM246^3+BMILMS!$E$11*AM246^2+BMILMS!$F$11*AM246+BMILMS!$G$11)))</f>
        <v>0.79584630099999998</v>
      </c>
      <c r="AK246" s="4">
        <f>IF(D246="M",(IF(AM246&lt;2.5,BMILMS!$D$21*AM246^3+BMILMS!$E$21*AM246^2+BMILMS!$F$21*AM246+BMILMS!$G$21,IF(AM246&lt;9.5,BMILMS!$D$22*AM246^3+BMILMS!$E$22*AM246^2+BMILMS!$F$22*AM246+BMILMS!$G$22,IF(AM246&lt;26.75,BMILMS!$D$23*AM246^3+BMILMS!$E$23*AM246^2+BMILMS!$F$23*AM246+BMILMS!$G$23,IF(AM246&lt;90,BMILMS!$D$24*AM246^3+BMILMS!$E$24*AM246^2+BMILMS!$F$24*AM246+BMILMS!$G$24,BMILMS!$D$25*AM246^3+BMILMS!$E$25*AM246^2+BMILMS!$F$25*AM246+BMILMS!$G$25))))),(IF(AM246&lt;2.5,BMILMS!$D$27*AM246^3+BMILMS!$E$27*AM246^2+BMILMS!$F$27*AM246+BMILMS!$G$27,IF(AM246&lt;9.5,BMILMS!$D$28*AM246^3+BMILMS!$E$28*AM246^2+BMILMS!$F$28*AM246+BMILMS!$G$28,IF(AM246&lt;26.75,BMILMS!$D$29*AM246^3+BMILMS!$E$29*AM246^2+BMILMS!$F$29*AM246+BMILMS!$G$29,IF(AM246&lt;90,BMILMS!$D$30*AM246^3+BMILMS!$E$30*AM246^2+BMILMS!$F$30*AM246+BMILMS!$G$30,IF(AM246&lt;150,BMILMS!$D$31*AM246^3+BMILMS!$E$31*AM246^2+BMILMS!$F$31*AM246+BMILMS!$G$31,BMILMS!$D$32*AM246^3+BMILMS!$E$32*AM246^2+BMILMS!$F$32*AM246+BMILMS!$G$32)))))))</f>
        <v>12.568967990000001</v>
      </c>
      <c r="AL246" s="4">
        <f>IF(D246="M",(IF(AM246&lt;90,BMILMS!$D$14*AM246^3+BMILMS!$E$14*AM246^2+BMILMS!$F$14*AM246+BMILMS!$G$14,BMILMS!$D$15*AM246^3+BMILMS!$E$15*AM246^2+BMILMS!$F$15*AM246+BMILMS!$G$15)),(IF(AM246&lt;90,BMILMS!$D$17*AM246^3+BMILMS!$E$17*AM246^2+BMILMS!$F$17*AM246+BMILMS!$G$17,BMILMS!$D$18*AM246^3+BMILMS!$E$18*AM246^2+BMILMS!$F$18*AM246+BMILMS!$G$18)))</f>
        <v>8.8969350000000003E-2</v>
      </c>
      <c r="AM246" s="4">
        <f t="shared" si="83"/>
        <v>0</v>
      </c>
      <c r="AO246" s="56">
        <f>IF(D246="M",WeightSDS!P$5*$AM246^7+WeightSDS!Q$5*$AM246^6+WeightSDS!R$5*$AM246^5+WeightSDS!S$5*$AM246^4+WeightSDS!T$5*$AM246^3+WeightSDS!U$5*$AM246^2+WeightSDS!V$5*$AM246+WeightSDS!W$5,IF($AM246&lt;186,WeightSDS!P$8*$AM246^7+WeightSDS!Q$8*$AM246^6+WeightSDS!R$8*$AM246^5+WeightSDS!S$8*$AM246^4+WeightSDS!T$8*$AM246^3+WeightSDS!U$8*$AM246^2+WeightSDS!V$8*$AM246+WeightSDS!W$8,WeightSDS!$U$9+WeightSDS!$V$9*($AM246-WeightSDS!$W$9)))</f>
        <v>0.75407122999999998</v>
      </c>
      <c r="AP246" s="4">
        <f>IF(D246="M",IF($AM246&lt;45,WeightSDS!M$23*$AM246^10+WeightSDS!N$23*$AM246^9+WeightSDS!O$23*$AM246^8+WeightSDS!P$23*$AM246^7+WeightSDS!Q$23*$AM246^6+WeightSDS!R$23*$AM246^5+WeightSDS!S$23*$AM246^4+WeightSDS!T$23*$AM246^3+WeightSDS!U$23*$AM246^2+WeightSDS!V$23*$AM246+WeightSDS!W$23,IF($AM246&lt;153,WeightSDS!M$25*$AM246^10+WeightSDS!N$25*$AM246^9+WeightSDS!O$25*$AM246^8+WeightSDS!P$25*$AM246^7+WeightSDS!Q$25*$AM246^6+WeightSDS!R$25*$AM246^5+WeightSDS!S$25*$AM246^4+WeightSDS!T$25*$AM246^3+WeightSDS!U$25*$AM246^2+WeightSDS!V$25*$AM246+WeightSDS!W$25,WeightSDS!M$27+WeightSDS!N$27/(1+EXP(WeightSDS!O$27+WeightSDS!P$27*$AM246)))),IF($AM246&lt;43.8,WeightSDS!M$29*$AM246^10+WeightSDS!N$29*$AM246^9+WeightSDS!O$29*$AM246^8+WeightSDS!P$29*$AM246^7+WeightSDS!Q$29*$AM246^6+WeightSDS!R$29*$AM246^5+WeightSDS!S$29*$AM246^4+WeightSDS!T$29*$AM246^3+WeightSDS!U$29*$AM246^2+WeightSDS!V$29*$AM246+WeightSDS!W$29-0.010431*(1-$AM246/210),IF($AM246&lt;123,WeightSDS!M$30*$AM246^10+WeightSDS!N$30*$AM246^9+WeightSDS!O$30*$AM246^8+WeightSDS!P$30*$AM246^7+WeightSDS!Q$30*$AM246^6+WeightSDS!R$30*$AM246^5+WeightSDS!S$30*$AM246^4+WeightSDS!T$30*$AM246^3+WeightSDS!U$30*$AM246^2+WeightSDS!V$30*$AM246+WeightSDS!W$30-0.010431*(1-1/$AM246),WeightSDS!M$32+WeightSDS!N$32/(1+EXP(WeightSDS!O$32+WeightSDS!P$32*$AM246))-0.010431*(1-$AM246/210))))</f>
        <v>2.9500001032655536</v>
      </c>
      <c r="AQ246" s="4">
        <f>IF(D246="M",IF($AM246&lt;162,WeightSDS!P$12*$AM246^7+WeightSDS!Q$12*$AM246^6+WeightSDS!R$12*$AM246^5+WeightSDS!S$12*$AM246^4+WeightSDS!T$12*$AM246^3+WeightSDS!U$12*$AM246^2+WeightSDS!V$12*$AM246+WeightSDS!W$12,WeightSDS!P$14*$AM246^7+WeightSDS!Q$14*$AM246^6+WeightSDS!R$14*$AM246^5+WeightSDS!S$14*$AM246^4+WeightSDS!T$14*$AM246^3+WeightSDS!U$14*$AM246^2+WeightSDS!V$14*$AM246+WeightSDS!W$14),IF($AM246&lt;156,WeightSDS!O$17*$AM246^8+WeightSDS!P$17*$AM246^7+WeightSDS!Q$17*$AM246^6+WeightSDS!R$17*$AM246^5+WeightSDS!S$17*$AM246^4+WeightSDS!T$17*$AM246^3+WeightSDS!U$17*$AM246^2+WeightSDS!V$17*$AM246+WeightSDS!W$17,IF($AM246&lt;186,WeightSDS!$U$18+(WeightSDS!$V$18-WeightSDS!$U$18)/24*($AM246-186)+WeightSDS!$W$18*(-$AM246+186)^2-0.005,WeightSDS!$U$18+(WeightSDS!$V$18-WeightSDS!$U$18)/24*($AM246-186)-0.005)))</f>
        <v>0.14604529399999999</v>
      </c>
      <c r="AT246" s="4">
        <f t="shared" si="70"/>
        <v>0.56299999999999994</v>
      </c>
      <c r="AU246" s="4">
        <f t="shared" si="71"/>
        <v>69</v>
      </c>
      <c r="AV246" s="4">
        <f t="shared" si="72"/>
        <v>0.51</v>
      </c>
    </row>
    <row r="247" spans="1:48" x14ac:dyDescent="0.15">
      <c r="A247" s="4"/>
      <c r="B247" s="21"/>
      <c r="C247" s="21"/>
      <c r="D247" s="21"/>
      <c r="E247" s="22"/>
      <c r="F247" s="22"/>
      <c r="G247" s="23"/>
      <c r="H247" s="23"/>
      <c r="I247" s="181"/>
      <c r="J247" s="8" t="str">
        <f t="shared" si="64"/>
        <v/>
      </c>
      <c r="K247" s="2" t="str">
        <f t="shared" si="73"/>
        <v/>
      </c>
      <c r="L247" s="2" t="str">
        <f t="shared" si="65"/>
        <v/>
      </c>
      <c r="M247" s="2" t="str">
        <f t="shared" si="74"/>
        <v/>
      </c>
      <c r="N247" s="2" t="str">
        <f t="shared" si="82"/>
        <v/>
      </c>
      <c r="O247" s="2" t="str">
        <f t="shared" si="75"/>
        <v/>
      </c>
      <c r="P247" s="8" t="str">
        <f t="shared" si="76"/>
        <v/>
      </c>
      <c r="Q247" s="8" t="str">
        <f t="shared" si="77"/>
        <v/>
      </c>
      <c r="R247" s="111" t="str">
        <f t="shared" si="78"/>
        <v/>
      </c>
      <c r="S247" s="44" t="str">
        <f t="shared" si="79"/>
        <v/>
      </c>
      <c r="T247" s="37" t="str">
        <f t="shared" si="80"/>
        <v/>
      </c>
      <c r="U247" s="44" t="str">
        <f t="shared" si="81"/>
        <v/>
      </c>
      <c r="V247" s="26"/>
      <c r="W247" s="26"/>
      <c r="X247" s="26"/>
      <c r="Y247" s="26"/>
      <c r="Z247" s="24"/>
      <c r="AA247" s="169">
        <f t="shared" si="66"/>
        <v>0</v>
      </c>
      <c r="AB247" s="4">
        <f t="shared" si="67"/>
        <v>0</v>
      </c>
      <c r="AC247" s="170">
        <f t="shared" si="84"/>
        <v>0</v>
      </c>
      <c r="AD247" s="58"/>
      <c r="AE247" s="58"/>
      <c r="AF247" s="58"/>
      <c r="AG247" s="59">
        <f t="shared" si="68"/>
        <v>9.0359999999999996</v>
      </c>
      <c r="AH247" s="59">
        <f t="shared" si="69"/>
        <v>-184.49199999999999</v>
      </c>
      <c r="AJ247" s="4">
        <f>IF(D247="M",IF(AM247&lt;78,BMILMS!$D$5*AM247^3+BMILMS!$E$5*AM247^2+BMILMS!$F$5*AM247+BMILMS!$G$5,IF(AM247&lt;150,BMILMS!$D$6*AM247^3+BMILMS!$E$6*AM247^2+BMILMS!$F$6*AM247+BMILMS!$G$6,BMILMS!$D$7*AM247^3+BMILMS!$E$7*AM247^2+BMILMS!$F$7*AM247+BMILMS!$G$7)),IF(AM247&lt;69,BMILMS!$D$9*AM247^3+BMILMS!$E$9*AM247^2+BMILMS!$F$9*AM247+BMILMS!$G$9,IF(AM247&lt;150,BMILMS!$D$10*AM247^3+BMILMS!$E$10*AM247^2+BMILMS!$F$10*AM247+BMILMS!$G$10,BMILMS!$D$11*AM247^3+BMILMS!$E$11*AM247^2+BMILMS!$F$11*AM247+BMILMS!$G$11)))</f>
        <v>0.79584630099999998</v>
      </c>
      <c r="AK247" s="4">
        <f>IF(D247="M",(IF(AM247&lt;2.5,BMILMS!$D$21*AM247^3+BMILMS!$E$21*AM247^2+BMILMS!$F$21*AM247+BMILMS!$G$21,IF(AM247&lt;9.5,BMILMS!$D$22*AM247^3+BMILMS!$E$22*AM247^2+BMILMS!$F$22*AM247+BMILMS!$G$22,IF(AM247&lt;26.75,BMILMS!$D$23*AM247^3+BMILMS!$E$23*AM247^2+BMILMS!$F$23*AM247+BMILMS!$G$23,IF(AM247&lt;90,BMILMS!$D$24*AM247^3+BMILMS!$E$24*AM247^2+BMILMS!$F$24*AM247+BMILMS!$G$24,BMILMS!$D$25*AM247^3+BMILMS!$E$25*AM247^2+BMILMS!$F$25*AM247+BMILMS!$G$25))))),(IF(AM247&lt;2.5,BMILMS!$D$27*AM247^3+BMILMS!$E$27*AM247^2+BMILMS!$F$27*AM247+BMILMS!$G$27,IF(AM247&lt;9.5,BMILMS!$D$28*AM247^3+BMILMS!$E$28*AM247^2+BMILMS!$F$28*AM247+BMILMS!$G$28,IF(AM247&lt;26.75,BMILMS!$D$29*AM247^3+BMILMS!$E$29*AM247^2+BMILMS!$F$29*AM247+BMILMS!$G$29,IF(AM247&lt;90,BMILMS!$D$30*AM247^3+BMILMS!$E$30*AM247^2+BMILMS!$F$30*AM247+BMILMS!$G$30,IF(AM247&lt;150,BMILMS!$D$31*AM247^3+BMILMS!$E$31*AM247^2+BMILMS!$F$31*AM247+BMILMS!$G$31,BMILMS!$D$32*AM247^3+BMILMS!$E$32*AM247^2+BMILMS!$F$32*AM247+BMILMS!$G$32)))))))</f>
        <v>12.568967990000001</v>
      </c>
      <c r="AL247" s="4">
        <f>IF(D247="M",(IF(AM247&lt;90,BMILMS!$D$14*AM247^3+BMILMS!$E$14*AM247^2+BMILMS!$F$14*AM247+BMILMS!$G$14,BMILMS!$D$15*AM247^3+BMILMS!$E$15*AM247^2+BMILMS!$F$15*AM247+BMILMS!$G$15)),(IF(AM247&lt;90,BMILMS!$D$17*AM247^3+BMILMS!$E$17*AM247^2+BMILMS!$F$17*AM247+BMILMS!$G$17,BMILMS!$D$18*AM247^3+BMILMS!$E$18*AM247^2+BMILMS!$F$18*AM247+BMILMS!$G$18)))</f>
        <v>8.8969350000000003E-2</v>
      </c>
      <c r="AM247" s="4">
        <f t="shared" si="83"/>
        <v>0</v>
      </c>
      <c r="AO247" s="56">
        <f>IF(D247="M",WeightSDS!P$5*$AM247^7+WeightSDS!Q$5*$AM247^6+WeightSDS!R$5*$AM247^5+WeightSDS!S$5*$AM247^4+WeightSDS!T$5*$AM247^3+WeightSDS!U$5*$AM247^2+WeightSDS!V$5*$AM247+WeightSDS!W$5,IF($AM247&lt;186,WeightSDS!P$8*$AM247^7+WeightSDS!Q$8*$AM247^6+WeightSDS!R$8*$AM247^5+WeightSDS!S$8*$AM247^4+WeightSDS!T$8*$AM247^3+WeightSDS!U$8*$AM247^2+WeightSDS!V$8*$AM247+WeightSDS!W$8,WeightSDS!$U$9+WeightSDS!$V$9*($AM247-WeightSDS!$W$9)))</f>
        <v>0.75407122999999998</v>
      </c>
      <c r="AP247" s="4">
        <f>IF(D247="M",IF($AM247&lt;45,WeightSDS!M$23*$AM247^10+WeightSDS!N$23*$AM247^9+WeightSDS!O$23*$AM247^8+WeightSDS!P$23*$AM247^7+WeightSDS!Q$23*$AM247^6+WeightSDS!R$23*$AM247^5+WeightSDS!S$23*$AM247^4+WeightSDS!T$23*$AM247^3+WeightSDS!U$23*$AM247^2+WeightSDS!V$23*$AM247+WeightSDS!W$23,IF($AM247&lt;153,WeightSDS!M$25*$AM247^10+WeightSDS!N$25*$AM247^9+WeightSDS!O$25*$AM247^8+WeightSDS!P$25*$AM247^7+WeightSDS!Q$25*$AM247^6+WeightSDS!R$25*$AM247^5+WeightSDS!S$25*$AM247^4+WeightSDS!T$25*$AM247^3+WeightSDS!U$25*$AM247^2+WeightSDS!V$25*$AM247+WeightSDS!W$25,WeightSDS!M$27+WeightSDS!N$27/(1+EXP(WeightSDS!O$27+WeightSDS!P$27*$AM247)))),IF($AM247&lt;43.8,WeightSDS!M$29*$AM247^10+WeightSDS!N$29*$AM247^9+WeightSDS!O$29*$AM247^8+WeightSDS!P$29*$AM247^7+WeightSDS!Q$29*$AM247^6+WeightSDS!R$29*$AM247^5+WeightSDS!S$29*$AM247^4+WeightSDS!T$29*$AM247^3+WeightSDS!U$29*$AM247^2+WeightSDS!V$29*$AM247+WeightSDS!W$29-0.010431*(1-$AM247/210),IF($AM247&lt;123,WeightSDS!M$30*$AM247^10+WeightSDS!N$30*$AM247^9+WeightSDS!O$30*$AM247^8+WeightSDS!P$30*$AM247^7+WeightSDS!Q$30*$AM247^6+WeightSDS!R$30*$AM247^5+WeightSDS!S$30*$AM247^4+WeightSDS!T$30*$AM247^3+WeightSDS!U$30*$AM247^2+WeightSDS!V$30*$AM247+WeightSDS!W$30-0.010431*(1-1/$AM247),WeightSDS!M$32+WeightSDS!N$32/(1+EXP(WeightSDS!O$32+WeightSDS!P$32*$AM247))-0.010431*(1-$AM247/210))))</f>
        <v>2.9500001032655536</v>
      </c>
      <c r="AQ247" s="4">
        <f>IF(D247="M",IF($AM247&lt;162,WeightSDS!P$12*$AM247^7+WeightSDS!Q$12*$AM247^6+WeightSDS!R$12*$AM247^5+WeightSDS!S$12*$AM247^4+WeightSDS!T$12*$AM247^3+WeightSDS!U$12*$AM247^2+WeightSDS!V$12*$AM247+WeightSDS!W$12,WeightSDS!P$14*$AM247^7+WeightSDS!Q$14*$AM247^6+WeightSDS!R$14*$AM247^5+WeightSDS!S$14*$AM247^4+WeightSDS!T$14*$AM247^3+WeightSDS!U$14*$AM247^2+WeightSDS!V$14*$AM247+WeightSDS!W$14),IF($AM247&lt;156,WeightSDS!O$17*$AM247^8+WeightSDS!P$17*$AM247^7+WeightSDS!Q$17*$AM247^6+WeightSDS!R$17*$AM247^5+WeightSDS!S$17*$AM247^4+WeightSDS!T$17*$AM247^3+WeightSDS!U$17*$AM247^2+WeightSDS!V$17*$AM247+WeightSDS!W$17,IF($AM247&lt;186,WeightSDS!$U$18+(WeightSDS!$V$18-WeightSDS!$U$18)/24*($AM247-186)+WeightSDS!$W$18*(-$AM247+186)^2-0.005,WeightSDS!$U$18+(WeightSDS!$V$18-WeightSDS!$U$18)/24*($AM247-186)-0.005)))</f>
        <v>0.14604529399999999</v>
      </c>
      <c r="AT247" s="4">
        <f t="shared" si="70"/>
        <v>0.56299999999999994</v>
      </c>
      <c r="AU247" s="4">
        <f t="shared" si="71"/>
        <v>69</v>
      </c>
      <c r="AV247" s="4">
        <f t="shared" si="72"/>
        <v>0.51</v>
      </c>
    </row>
    <row r="248" spans="1:48" x14ac:dyDescent="0.15">
      <c r="A248" s="4"/>
      <c r="B248" s="21"/>
      <c r="C248" s="21"/>
      <c r="D248" s="21"/>
      <c r="E248" s="22"/>
      <c r="F248" s="22"/>
      <c r="G248" s="23"/>
      <c r="H248" s="23"/>
      <c r="I248" s="181"/>
      <c r="J248" s="8" t="str">
        <f t="shared" si="64"/>
        <v/>
      </c>
      <c r="K248" s="2" t="str">
        <f t="shared" si="73"/>
        <v/>
      </c>
      <c r="L248" s="2" t="str">
        <f t="shared" si="65"/>
        <v/>
      </c>
      <c r="M248" s="2" t="str">
        <f t="shared" si="74"/>
        <v/>
      </c>
      <c r="N248" s="2" t="str">
        <f t="shared" si="82"/>
        <v/>
      </c>
      <c r="O248" s="2" t="str">
        <f t="shared" si="75"/>
        <v/>
      </c>
      <c r="P248" s="8" t="str">
        <f t="shared" si="76"/>
        <v/>
      </c>
      <c r="Q248" s="8" t="str">
        <f t="shared" si="77"/>
        <v/>
      </c>
      <c r="R248" s="111" t="str">
        <f t="shared" si="78"/>
        <v/>
      </c>
      <c r="S248" s="44" t="str">
        <f t="shared" si="79"/>
        <v/>
      </c>
      <c r="T248" s="37" t="str">
        <f t="shared" si="80"/>
        <v/>
      </c>
      <c r="U248" s="44" t="str">
        <f t="shared" si="81"/>
        <v/>
      </c>
      <c r="V248" s="26"/>
      <c r="W248" s="26"/>
      <c r="X248" s="26"/>
      <c r="Y248" s="26"/>
      <c r="Z248" s="24"/>
      <c r="AA248" s="169">
        <f t="shared" si="66"/>
        <v>0</v>
      </c>
      <c r="AB248" s="4">
        <f t="shared" si="67"/>
        <v>0</v>
      </c>
      <c r="AC248" s="170">
        <f t="shared" si="84"/>
        <v>0</v>
      </c>
      <c r="AD248" s="58"/>
      <c r="AE248" s="58"/>
      <c r="AF248" s="58"/>
      <c r="AG248" s="59">
        <f t="shared" si="68"/>
        <v>9.0359999999999996</v>
      </c>
      <c r="AH248" s="59">
        <f t="shared" si="69"/>
        <v>-184.49199999999999</v>
      </c>
      <c r="AJ248" s="4">
        <f>IF(D248="M",IF(AM248&lt;78,BMILMS!$D$5*AM248^3+BMILMS!$E$5*AM248^2+BMILMS!$F$5*AM248+BMILMS!$G$5,IF(AM248&lt;150,BMILMS!$D$6*AM248^3+BMILMS!$E$6*AM248^2+BMILMS!$F$6*AM248+BMILMS!$G$6,BMILMS!$D$7*AM248^3+BMILMS!$E$7*AM248^2+BMILMS!$F$7*AM248+BMILMS!$G$7)),IF(AM248&lt;69,BMILMS!$D$9*AM248^3+BMILMS!$E$9*AM248^2+BMILMS!$F$9*AM248+BMILMS!$G$9,IF(AM248&lt;150,BMILMS!$D$10*AM248^3+BMILMS!$E$10*AM248^2+BMILMS!$F$10*AM248+BMILMS!$G$10,BMILMS!$D$11*AM248^3+BMILMS!$E$11*AM248^2+BMILMS!$F$11*AM248+BMILMS!$G$11)))</f>
        <v>0.79584630099999998</v>
      </c>
      <c r="AK248" s="4">
        <f>IF(D248="M",(IF(AM248&lt;2.5,BMILMS!$D$21*AM248^3+BMILMS!$E$21*AM248^2+BMILMS!$F$21*AM248+BMILMS!$G$21,IF(AM248&lt;9.5,BMILMS!$D$22*AM248^3+BMILMS!$E$22*AM248^2+BMILMS!$F$22*AM248+BMILMS!$G$22,IF(AM248&lt;26.75,BMILMS!$D$23*AM248^3+BMILMS!$E$23*AM248^2+BMILMS!$F$23*AM248+BMILMS!$G$23,IF(AM248&lt;90,BMILMS!$D$24*AM248^3+BMILMS!$E$24*AM248^2+BMILMS!$F$24*AM248+BMILMS!$G$24,BMILMS!$D$25*AM248^3+BMILMS!$E$25*AM248^2+BMILMS!$F$25*AM248+BMILMS!$G$25))))),(IF(AM248&lt;2.5,BMILMS!$D$27*AM248^3+BMILMS!$E$27*AM248^2+BMILMS!$F$27*AM248+BMILMS!$G$27,IF(AM248&lt;9.5,BMILMS!$D$28*AM248^3+BMILMS!$E$28*AM248^2+BMILMS!$F$28*AM248+BMILMS!$G$28,IF(AM248&lt;26.75,BMILMS!$D$29*AM248^3+BMILMS!$E$29*AM248^2+BMILMS!$F$29*AM248+BMILMS!$G$29,IF(AM248&lt;90,BMILMS!$D$30*AM248^3+BMILMS!$E$30*AM248^2+BMILMS!$F$30*AM248+BMILMS!$G$30,IF(AM248&lt;150,BMILMS!$D$31*AM248^3+BMILMS!$E$31*AM248^2+BMILMS!$F$31*AM248+BMILMS!$G$31,BMILMS!$D$32*AM248^3+BMILMS!$E$32*AM248^2+BMILMS!$F$32*AM248+BMILMS!$G$32)))))))</f>
        <v>12.568967990000001</v>
      </c>
      <c r="AL248" s="4">
        <f>IF(D248="M",(IF(AM248&lt;90,BMILMS!$D$14*AM248^3+BMILMS!$E$14*AM248^2+BMILMS!$F$14*AM248+BMILMS!$G$14,BMILMS!$D$15*AM248^3+BMILMS!$E$15*AM248^2+BMILMS!$F$15*AM248+BMILMS!$G$15)),(IF(AM248&lt;90,BMILMS!$D$17*AM248^3+BMILMS!$E$17*AM248^2+BMILMS!$F$17*AM248+BMILMS!$G$17,BMILMS!$D$18*AM248^3+BMILMS!$E$18*AM248^2+BMILMS!$F$18*AM248+BMILMS!$G$18)))</f>
        <v>8.8969350000000003E-2</v>
      </c>
      <c r="AM248" s="4">
        <f t="shared" si="83"/>
        <v>0</v>
      </c>
      <c r="AO248" s="56">
        <f>IF(D248="M",WeightSDS!P$5*$AM248^7+WeightSDS!Q$5*$AM248^6+WeightSDS!R$5*$AM248^5+WeightSDS!S$5*$AM248^4+WeightSDS!T$5*$AM248^3+WeightSDS!U$5*$AM248^2+WeightSDS!V$5*$AM248+WeightSDS!W$5,IF($AM248&lt;186,WeightSDS!P$8*$AM248^7+WeightSDS!Q$8*$AM248^6+WeightSDS!R$8*$AM248^5+WeightSDS!S$8*$AM248^4+WeightSDS!T$8*$AM248^3+WeightSDS!U$8*$AM248^2+WeightSDS!V$8*$AM248+WeightSDS!W$8,WeightSDS!$U$9+WeightSDS!$V$9*($AM248-WeightSDS!$W$9)))</f>
        <v>0.75407122999999998</v>
      </c>
      <c r="AP248" s="4">
        <f>IF(D248="M",IF($AM248&lt;45,WeightSDS!M$23*$AM248^10+WeightSDS!N$23*$AM248^9+WeightSDS!O$23*$AM248^8+WeightSDS!P$23*$AM248^7+WeightSDS!Q$23*$AM248^6+WeightSDS!R$23*$AM248^5+WeightSDS!S$23*$AM248^4+WeightSDS!T$23*$AM248^3+WeightSDS!U$23*$AM248^2+WeightSDS!V$23*$AM248+WeightSDS!W$23,IF($AM248&lt;153,WeightSDS!M$25*$AM248^10+WeightSDS!N$25*$AM248^9+WeightSDS!O$25*$AM248^8+WeightSDS!P$25*$AM248^7+WeightSDS!Q$25*$AM248^6+WeightSDS!R$25*$AM248^5+WeightSDS!S$25*$AM248^4+WeightSDS!T$25*$AM248^3+WeightSDS!U$25*$AM248^2+WeightSDS!V$25*$AM248+WeightSDS!W$25,WeightSDS!M$27+WeightSDS!N$27/(1+EXP(WeightSDS!O$27+WeightSDS!P$27*$AM248)))),IF($AM248&lt;43.8,WeightSDS!M$29*$AM248^10+WeightSDS!N$29*$AM248^9+WeightSDS!O$29*$AM248^8+WeightSDS!P$29*$AM248^7+WeightSDS!Q$29*$AM248^6+WeightSDS!R$29*$AM248^5+WeightSDS!S$29*$AM248^4+WeightSDS!T$29*$AM248^3+WeightSDS!U$29*$AM248^2+WeightSDS!V$29*$AM248+WeightSDS!W$29-0.010431*(1-$AM248/210),IF($AM248&lt;123,WeightSDS!M$30*$AM248^10+WeightSDS!N$30*$AM248^9+WeightSDS!O$30*$AM248^8+WeightSDS!P$30*$AM248^7+WeightSDS!Q$30*$AM248^6+WeightSDS!R$30*$AM248^5+WeightSDS!S$30*$AM248^4+WeightSDS!T$30*$AM248^3+WeightSDS!U$30*$AM248^2+WeightSDS!V$30*$AM248+WeightSDS!W$30-0.010431*(1-1/$AM248),WeightSDS!M$32+WeightSDS!N$32/(1+EXP(WeightSDS!O$32+WeightSDS!P$32*$AM248))-0.010431*(1-$AM248/210))))</f>
        <v>2.9500001032655536</v>
      </c>
      <c r="AQ248" s="4">
        <f>IF(D248="M",IF($AM248&lt;162,WeightSDS!P$12*$AM248^7+WeightSDS!Q$12*$AM248^6+WeightSDS!R$12*$AM248^5+WeightSDS!S$12*$AM248^4+WeightSDS!T$12*$AM248^3+WeightSDS!U$12*$AM248^2+WeightSDS!V$12*$AM248+WeightSDS!W$12,WeightSDS!P$14*$AM248^7+WeightSDS!Q$14*$AM248^6+WeightSDS!R$14*$AM248^5+WeightSDS!S$14*$AM248^4+WeightSDS!T$14*$AM248^3+WeightSDS!U$14*$AM248^2+WeightSDS!V$14*$AM248+WeightSDS!W$14),IF($AM248&lt;156,WeightSDS!O$17*$AM248^8+WeightSDS!P$17*$AM248^7+WeightSDS!Q$17*$AM248^6+WeightSDS!R$17*$AM248^5+WeightSDS!S$17*$AM248^4+WeightSDS!T$17*$AM248^3+WeightSDS!U$17*$AM248^2+WeightSDS!V$17*$AM248+WeightSDS!W$17,IF($AM248&lt;186,WeightSDS!$U$18+(WeightSDS!$V$18-WeightSDS!$U$18)/24*($AM248-186)+WeightSDS!$W$18*(-$AM248+186)^2-0.005,WeightSDS!$U$18+(WeightSDS!$V$18-WeightSDS!$U$18)/24*($AM248-186)-0.005)))</f>
        <v>0.14604529399999999</v>
      </c>
      <c r="AT248" s="4">
        <f t="shared" si="70"/>
        <v>0.56299999999999994</v>
      </c>
      <c r="AU248" s="4">
        <f t="shared" si="71"/>
        <v>69</v>
      </c>
      <c r="AV248" s="4">
        <f t="shared" si="72"/>
        <v>0.51</v>
      </c>
    </row>
    <row r="249" spans="1:48" x14ac:dyDescent="0.15">
      <c r="A249" s="4"/>
      <c r="B249" s="21"/>
      <c r="C249" s="21"/>
      <c r="D249" s="21"/>
      <c r="E249" s="22"/>
      <c r="F249" s="22"/>
      <c r="G249" s="23"/>
      <c r="H249" s="23"/>
      <c r="I249" s="181"/>
      <c r="J249" s="8" t="str">
        <f t="shared" si="64"/>
        <v/>
      </c>
      <c r="K249" s="2" t="str">
        <f t="shared" si="73"/>
        <v/>
      </c>
      <c r="L249" s="2" t="str">
        <f t="shared" si="65"/>
        <v/>
      </c>
      <c r="M249" s="2" t="str">
        <f t="shared" si="74"/>
        <v/>
      </c>
      <c r="N249" s="2" t="str">
        <f t="shared" si="82"/>
        <v/>
      </c>
      <c r="O249" s="2" t="str">
        <f t="shared" si="75"/>
        <v/>
      </c>
      <c r="P249" s="8" t="str">
        <f t="shared" si="76"/>
        <v/>
      </c>
      <c r="Q249" s="8" t="str">
        <f t="shared" si="77"/>
        <v/>
      </c>
      <c r="R249" s="111" t="str">
        <f t="shared" si="78"/>
        <v/>
      </c>
      <c r="S249" s="44" t="str">
        <f t="shared" si="79"/>
        <v/>
      </c>
      <c r="T249" s="37" t="str">
        <f t="shared" si="80"/>
        <v/>
      </c>
      <c r="U249" s="44" t="str">
        <f t="shared" si="81"/>
        <v/>
      </c>
      <c r="V249" s="26"/>
      <c r="W249" s="26"/>
      <c r="X249" s="26"/>
      <c r="Y249" s="26"/>
      <c r="Z249" s="24"/>
      <c r="AA249" s="169">
        <f t="shared" si="66"/>
        <v>0</v>
      </c>
      <c r="AB249" s="4">
        <f t="shared" si="67"/>
        <v>0</v>
      </c>
      <c r="AC249" s="170">
        <f t="shared" si="84"/>
        <v>0</v>
      </c>
      <c r="AD249" s="58"/>
      <c r="AE249" s="58"/>
      <c r="AF249" s="58"/>
      <c r="AG249" s="59">
        <f t="shared" si="68"/>
        <v>9.0359999999999996</v>
      </c>
      <c r="AH249" s="59">
        <f t="shared" si="69"/>
        <v>-184.49199999999999</v>
      </c>
      <c r="AJ249" s="4">
        <f>IF(D249="M",IF(AM249&lt;78,BMILMS!$D$5*AM249^3+BMILMS!$E$5*AM249^2+BMILMS!$F$5*AM249+BMILMS!$G$5,IF(AM249&lt;150,BMILMS!$D$6*AM249^3+BMILMS!$E$6*AM249^2+BMILMS!$F$6*AM249+BMILMS!$G$6,BMILMS!$D$7*AM249^3+BMILMS!$E$7*AM249^2+BMILMS!$F$7*AM249+BMILMS!$G$7)),IF(AM249&lt;69,BMILMS!$D$9*AM249^3+BMILMS!$E$9*AM249^2+BMILMS!$F$9*AM249+BMILMS!$G$9,IF(AM249&lt;150,BMILMS!$D$10*AM249^3+BMILMS!$E$10*AM249^2+BMILMS!$F$10*AM249+BMILMS!$G$10,BMILMS!$D$11*AM249^3+BMILMS!$E$11*AM249^2+BMILMS!$F$11*AM249+BMILMS!$G$11)))</f>
        <v>0.79584630099999998</v>
      </c>
      <c r="AK249" s="4">
        <f>IF(D249="M",(IF(AM249&lt;2.5,BMILMS!$D$21*AM249^3+BMILMS!$E$21*AM249^2+BMILMS!$F$21*AM249+BMILMS!$G$21,IF(AM249&lt;9.5,BMILMS!$D$22*AM249^3+BMILMS!$E$22*AM249^2+BMILMS!$F$22*AM249+BMILMS!$G$22,IF(AM249&lt;26.75,BMILMS!$D$23*AM249^3+BMILMS!$E$23*AM249^2+BMILMS!$F$23*AM249+BMILMS!$G$23,IF(AM249&lt;90,BMILMS!$D$24*AM249^3+BMILMS!$E$24*AM249^2+BMILMS!$F$24*AM249+BMILMS!$G$24,BMILMS!$D$25*AM249^3+BMILMS!$E$25*AM249^2+BMILMS!$F$25*AM249+BMILMS!$G$25))))),(IF(AM249&lt;2.5,BMILMS!$D$27*AM249^3+BMILMS!$E$27*AM249^2+BMILMS!$F$27*AM249+BMILMS!$G$27,IF(AM249&lt;9.5,BMILMS!$D$28*AM249^3+BMILMS!$E$28*AM249^2+BMILMS!$F$28*AM249+BMILMS!$G$28,IF(AM249&lt;26.75,BMILMS!$D$29*AM249^3+BMILMS!$E$29*AM249^2+BMILMS!$F$29*AM249+BMILMS!$G$29,IF(AM249&lt;90,BMILMS!$D$30*AM249^3+BMILMS!$E$30*AM249^2+BMILMS!$F$30*AM249+BMILMS!$G$30,IF(AM249&lt;150,BMILMS!$D$31*AM249^3+BMILMS!$E$31*AM249^2+BMILMS!$F$31*AM249+BMILMS!$G$31,BMILMS!$D$32*AM249^3+BMILMS!$E$32*AM249^2+BMILMS!$F$32*AM249+BMILMS!$G$32)))))))</f>
        <v>12.568967990000001</v>
      </c>
      <c r="AL249" s="4">
        <f>IF(D249="M",(IF(AM249&lt;90,BMILMS!$D$14*AM249^3+BMILMS!$E$14*AM249^2+BMILMS!$F$14*AM249+BMILMS!$G$14,BMILMS!$D$15*AM249^3+BMILMS!$E$15*AM249^2+BMILMS!$F$15*AM249+BMILMS!$G$15)),(IF(AM249&lt;90,BMILMS!$D$17*AM249^3+BMILMS!$E$17*AM249^2+BMILMS!$F$17*AM249+BMILMS!$G$17,BMILMS!$D$18*AM249^3+BMILMS!$E$18*AM249^2+BMILMS!$F$18*AM249+BMILMS!$G$18)))</f>
        <v>8.8969350000000003E-2</v>
      </c>
      <c r="AM249" s="4">
        <f t="shared" si="83"/>
        <v>0</v>
      </c>
      <c r="AO249" s="56">
        <f>IF(D249="M",WeightSDS!P$5*$AM249^7+WeightSDS!Q$5*$AM249^6+WeightSDS!R$5*$AM249^5+WeightSDS!S$5*$AM249^4+WeightSDS!T$5*$AM249^3+WeightSDS!U$5*$AM249^2+WeightSDS!V$5*$AM249+WeightSDS!W$5,IF($AM249&lt;186,WeightSDS!P$8*$AM249^7+WeightSDS!Q$8*$AM249^6+WeightSDS!R$8*$AM249^5+WeightSDS!S$8*$AM249^4+WeightSDS!T$8*$AM249^3+WeightSDS!U$8*$AM249^2+WeightSDS!V$8*$AM249+WeightSDS!W$8,WeightSDS!$U$9+WeightSDS!$V$9*($AM249-WeightSDS!$W$9)))</f>
        <v>0.75407122999999998</v>
      </c>
      <c r="AP249" s="4">
        <f>IF(D249="M",IF($AM249&lt;45,WeightSDS!M$23*$AM249^10+WeightSDS!N$23*$AM249^9+WeightSDS!O$23*$AM249^8+WeightSDS!P$23*$AM249^7+WeightSDS!Q$23*$AM249^6+WeightSDS!R$23*$AM249^5+WeightSDS!S$23*$AM249^4+WeightSDS!T$23*$AM249^3+WeightSDS!U$23*$AM249^2+WeightSDS!V$23*$AM249+WeightSDS!W$23,IF($AM249&lt;153,WeightSDS!M$25*$AM249^10+WeightSDS!N$25*$AM249^9+WeightSDS!O$25*$AM249^8+WeightSDS!P$25*$AM249^7+WeightSDS!Q$25*$AM249^6+WeightSDS!R$25*$AM249^5+WeightSDS!S$25*$AM249^4+WeightSDS!T$25*$AM249^3+WeightSDS!U$25*$AM249^2+WeightSDS!V$25*$AM249+WeightSDS!W$25,WeightSDS!M$27+WeightSDS!N$27/(1+EXP(WeightSDS!O$27+WeightSDS!P$27*$AM249)))),IF($AM249&lt;43.8,WeightSDS!M$29*$AM249^10+WeightSDS!N$29*$AM249^9+WeightSDS!O$29*$AM249^8+WeightSDS!P$29*$AM249^7+WeightSDS!Q$29*$AM249^6+WeightSDS!R$29*$AM249^5+WeightSDS!S$29*$AM249^4+WeightSDS!T$29*$AM249^3+WeightSDS!U$29*$AM249^2+WeightSDS!V$29*$AM249+WeightSDS!W$29-0.010431*(1-$AM249/210),IF($AM249&lt;123,WeightSDS!M$30*$AM249^10+WeightSDS!N$30*$AM249^9+WeightSDS!O$30*$AM249^8+WeightSDS!P$30*$AM249^7+WeightSDS!Q$30*$AM249^6+WeightSDS!R$30*$AM249^5+WeightSDS!S$30*$AM249^4+WeightSDS!T$30*$AM249^3+WeightSDS!U$30*$AM249^2+WeightSDS!V$30*$AM249+WeightSDS!W$30-0.010431*(1-1/$AM249),WeightSDS!M$32+WeightSDS!N$32/(1+EXP(WeightSDS!O$32+WeightSDS!P$32*$AM249))-0.010431*(1-$AM249/210))))</f>
        <v>2.9500001032655536</v>
      </c>
      <c r="AQ249" s="4">
        <f>IF(D249="M",IF($AM249&lt;162,WeightSDS!P$12*$AM249^7+WeightSDS!Q$12*$AM249^6+WeightSDS!R$12*$AM249^5+WeightSDS!S$12*$AM249^4+WeightSDS!T$12*$AM249^3+WeightSDS!U$12*$AM249^2+WeightSDS!V$12*$AM249+WeightSDS!W$12,WeightSDS!P$14*$AM249^7+WeightSDS!Q$14*$AM249^6+WeightSDS!R$14*$AM249^5+WeightSDS!S$14*$AM249^4+WeightSDS!T$14*$AM249^3+WeightSDS!U$14*$AM249^2+WeightSDS!V$14*$AM249+WeightSDS!W$14),IF($AM249&lt;156,WeightSDS!O$17*$AM249^8+WeightSDS!P$17*$AM249^7+WeightSDS!Q$17*$AM249^6+WeightSDS!R$17*$AM249^5+WeightSDS!S$17*$AM249^4+WeightSDS!T$17*$AM249^3+WeightSDS!U$17*$AM249^2+WeightSDS!V$17*$AM249+WeightSDS!W$17,IF($AM249&lt;186,WeightSDS!$U$18+(WeightSDS!$V$18-WeightSDS!$U$18)/24*($AM249-186)+WeightSDS!$W$18*(-$AM249+186)^2-0.005,WeightSDS!$U$18+(WeightSDS!$V$18-WeightSDS!$U$18)/24*($AM249-186)-0.005)))</f>
        <v>0.14604529399999999</v>
      </c>
      <c r="AT249" s="4">
        <f t="shared" si="70"/>
        <v>0.56299999999999994</v>
      </c>
      <c r="AU249" s="4">
        <f t="shared" si="71"/>
        <v>69</v>
      </c>
      <c r="AV249" s="4">
        <f t="shared" si="72"/>
        <v>0.51</v>
      </c>
    </row>
    <row r="250" spans="1:48" x14ac:dyDescent="0.15">
      <c r="A250" s="4"/>
      <c r="B250" s="21"/>
      <c r="C250" s="21"/>
      <c r="D250" s="21"/>
      <c r="E250" s="22"/>
      <c r="F250" s="22"/>
      <c r="G250" s="23"/>
      <c r="H250" s="23"/>
      <c r="I250" s="181"/>
      <c r="J250" s="8" t="str">
        <f t="shared" si="64"/>
        <v/>
      </c>
      <c r="K250" s="2" t="str">
        <f t="shared" si="73"/>
        <v/>
      </c>
      <c r="L250" s="2" t="str">
        <f t="shared" si="65"/>
        <v/>
      </c>
      <c r="M250" s="2" t="str">
        <f t="shared" si="74"/>
        <v/>
      </c>
      <c r="N250" s="2" t="str">
        <f t="shared" si="82"/>
        <v/>
      </c>
      <c r="O250" s="2" t="str">
        <f t="shared" si="75"/>
        <v/>
      </c>
      <c r="P250" s="8" t="str">
        <f t="shared" si="76"/>
        <v/>
      </c>
      <c r="Q250" s="8" t="str">
        <f t="shared" si="77"/>
        <v/>
      </c>
      <c r="R250" s="111" t="str">
        <f t="shared" si="78"/>
        <v/>
      </c>
      <c r="S250" s="44" t="str">
        <f t="shared" si="79"/>
        <v/>
      </c>
      <c r="T250" s="37" t="str">
        <f t="shared" si="80"/>
        <v/>
      </c>
      <c r="U250" s="44" t="str">
        <f t="shared" si="81"/>
        <v/>
      </c>
      <c r="V250" s="26"/>
      <c r="W250" s="26"/>
      <c r="X250" s="26"/>
      <c r="Y250" s="26"/>
      <c r="Z250" s="24"/>
      <c r="AA250" s="169">
        <f t="shared" si="66"/>
        <v>0</v>
      </c>
      <c r="AB250" s="4">
        <f t="shared" si="67"/>
        <v>0</v>
      </c>
      <c r="AC250" s="170">
        <f t="shared" si="84"/>
        <v>0</v>
      </c>
      <c r="AD250" s="58"/>
      <c r="AE250" s="58"/>
      <c r="AF250" s="58"/>
      <c r="AG250" s="59">
        <f t="shared" si="68"/>
        <v>9.0359999999999996</v>
      </c>
      <c r="AH250" s="59">
        <f t="shared" si="69"/>
        <v>-184.49199999999999</v>
      </c>
      <c r="AJ250" s="4">
        <f>IF(D250="M",IF(AM250&lt;78,BMILMS!$D$5*AM250^3+BMILMS!$E$5*AM250^2+BMILMS!$F$5*AM250+BMILMS!$G$5,IF(AM250&lt;150,BMILMS!$D$6*AM250^3+BMILMS!$E$6*AM250^2+BMILMS!$F$6*AM250+BMILMS!$G$6,BMILMS!$D$7*AM250^3+BMILMS!$E$7*AM250^2+BMILMS!$F$7*AM250+BMILMS!$G$7)),IF(AM250&lt;69,BMILMS!$D$9*AM250^3+BMILMS!$E$9*AM250^2+BMILMS!$F$9*AM250+BMILMS!$G$9,IF(AM250&lt;150,BMILMS!$D$10*AM250^3+BMILMS!$E$10*AM250^2+BMILMS!$F$10*AM250+BMILMS!$G$10,BMILMS!$D$11*AM250^3+BMILMS!$E$11*AM250^2+BMILMS!$F$11*AM250+BMILMS!$G$11)))</f>
        <v>0.79584630099999998</v>
      </c>
      <c r="AK250" s="4">
        <f>IF(D250="M",(IF(AM250&lt;2.5,BMILMS!$D$21*AM250^3+BMILMS!$E$21*AM250^2+BMILMS!$F$21*AM250+BMILMS!$G$21,IF(AM250&lt;9.5,BMILMS!$D$22*AM250^3+BMILMS!$E$22*AM250^2+BMILMS!$F$22*AM250+BMILMS!$G$22,IF(AM250&lt;26.75,BMILMS!$D$23*AM250^3+BMILMS!$E$23*AM250^2+BMILMS!$F$23*AM250+BMILMS!$G$23,IF(AM250&lt;90,BMILMS!$D$24*AM250^3+BMILMS!$E$24*AM250^2+BMILMS!$F$24*AM250+BMILMS!$G$24,BMILMS!$D$25*AM250^3+BMILMS!$E$25*AM250^2+BMILMS!$F$25*AM250+BMILMS!$G$25))))),(IF(AM250&lt;2.5,BMILMS!$D$27*AM250^3+BMILMS!$E$27*AM250^2+BMILMS!$F$27*AM250+BMILMS!$G$27,IF(AM250&lt;9.5,BMILMS!$D$28*AM250^3+BMILMS!$E$28*AM250^2+BMILMS!$F$28*AM250+BMILMS!$G$28,IF(AM250&lt;26.75,BMILMS!$D$29*AM250^3+BMILMS!$E$29*AM250^2+BMILMS!$F$29*AM250+BMILMS!$G$29,IF(AM250&lt;90,BMILMS!$D$30*AM250^3+BMILMS!$E$30*AM250^2+BMILMS!$F$30*AM250+BMILMS!$G$30,IF(AM250&lt;150,BMILMS!$D$31*AM250^3+BMILMS!$E$31*AM250^2+BMILMS!$F$31*AM250+BMILMS!$G$31,BMILMS!$D$32*AM250^3+BMILMS!$E$32*AM250^2+BMILMS!$F$32*AM250+BMILMS!$G$32)))))))</f>
        <v>12.568967990000001</v>
      </c>
      <c r="AL250" s="4">
        <f>IF(D250="M",(IF(AM250&lt;90,BMILMS!$D$14*AM250^3+BMILMS!$E$14*AM250^2+BMILMS!$F$14*AM250+BMILMS!$G$14,BMILMS!$D$15*AM250^3+BMILMS!$E$15*AM250^2+BMILMS!$F$15*AM250+BMILMS!$G$15)),(IF(AM250&lt;90,BMILMS!$D$17*AM250^3+BMILMS!$E$17*AM250^2+BMILMS!$F$17*AM250+BMILMS!$G$17,BMILMS!$D$18*AM250^3+BMILMS!$E$18*AM250^2+BMILMS!$F$18*AM250+BMILMS!$G$18)))</f>
        <v>8.8969350000000003E-2</v>
      </c>
      <c r="AM250" s="4">
        <f t="shared" si="83"/>
        <v>0</v>
      </c>
      <c r="AO250" s="56">
        <f>IF(D250="M",WeightSDS!P$5*$AM250^7+WeightSDS!Q$5*$AM250^6+WeightSDS!R$5*$AM250^5+WeightSDS!S$5*$AM250^4+WeightSDS!T$5*$AM250^3+WeightSDS!U$5*$AM250^2+WeightSDS!V$5*$AM250+WeightSDS!W$5,IF($AM250&lt;186,WeightSDS!P$8*$AM250^7+WeightSDS!Q$8*$AM250^6+WeightSDS!R$8*$AM250^5+WeightSDS!S$8*$AM250^4+WeightSDS!T$8*$AM250^3+WeightSDS!U$8*$AM250^2+WeightSDS!V$8*$AM250+WeightSDS!W$8,WeightSDS!$U$9+WeightSDS!$V$9*($AM250-WeightSDS!$W$9)))</f>
        <v>0.75407122999999998</v>
      </c>
      <c r="AP250" s="4">
        <f>IF(D250="M",IF($AM250&lt;45,WeightSDS!M$23*$AM250^10+WeightSDS!N$23*$AM250^9+WeightSDS!O$23*$AM250^8+WeightSDS!P$23*$AM250^7+WeightSDS!Q$23*$AM250^6+WeightSDS!R$23*$AM250^5+WeightSDS!S$23*$AM250^4+WeightSDS!T$23*$AM250^3+WeightSDS!U$23*$AM250^2+WeightSDS!V$23*$AM250+WeightSDS!W$23,IF($AM250&lt;153,WeightSDS!M$25*$AM250^10+WeightSDS!N$25*$AM250^9+WeightSDS!O$25*$AM250^8+WeightSDS!P$25*$AM250^7+WeightSDS!Q$25*$AM250^6+WeightSDS!R$25*$AM250^5+WeightSDS!S$25*$AM250^4+WeightSDS!T$25*$AM250^3+WeightSDS!U$25*$AM250^2+WeightSDS!V$25*$AM250+WeightSDS!W$25,WeightSDS!M$27+WeightSDS!N$27/(1+EXP(WeightSDS!O$27+WeightSDS!P$27*$AM250)))),IF($AM250&lt;43.8,WeightSDS!M$29*$AM250^10+WeightSDS!N$29*$AM250^9+WeightSDS!O$29*$AM250^8+WeightSDS!P$29*$AM250^7+WeightSDS!Q$29*$AM250^6+WeightSDS!R$29*$AM250^5+WeightSDS!S$29*$AM250^4+WeightSDS!T$29*$AM250^3+WeightSDS!U$29*$AM250^2+WeightSDS!V$29*$AM250+WeightSDS!W$29-0.010431*(1-$AM250/210),IF($AM250&lt;123,WeightSDS!M$30*$AM250^10+WeightSDS!N$30*$AM250^9+WeightSDS!O$30*$AM250^8+WeightSDS!P$30*$AM250^7+WeightSDS!Q$30*$AM250^6+WeightSDS!R$30*$AM250^5+WeightSDS!S$30*$AM250^4+WeightSDS!T$30*$AM250^3+WeightSDS!U$30*$AM250^2+WeightSDS!V$30*$AM250+WeightSDS!W$30-0.010431*(1-1/$AM250),WeightSDS!M$32+WeightSDS!N$32/(1+EXP(WeightSDS!O$32+WeightSDS!P$32*$AM250))-0.010431*(1-$AM250/210))))</f>
        <v>2.9500001032655536</v>
      </c>
      <c r="AQ250" s="4">
        <f>IF(D250="M",IF($AM250&lt;162,WeightSDS!P$12*$AM250^7+WeightSDS!Q$12*$AM250^6+WeightSDS!R$12*$AM250^5+WeightSDS!S$12*$AM250^4+WeightSDS!T$12*$AM250^3+WeightSDS!U$12*$AM250^2+WeightSDS!V$12*$AM250+WeightSDS!W$12,WeightSDS!P$14*$AM250^7+WeightSDS!Q$14*$AM250^6+WeightSDS!R$14*$AM250^5+WeightSDS!S$14*$AM250^4+WeightSDS!T$14*$AM250^3+WeightSDS!U$14*$AM250^2+WeightSDS!V$14*$AM250+WeightSDS!W$14),IF($AM250&lt;156,WeightSDS!O$17*$AM250^8+WeightSDS!P$17*$AM250^7+WeightSDS!Q$17*$AM250^6+WeightSDS!R$17*$AM250^5+WeightSDS!S$17*$AM250^4+WeightSDS!T$17*$AM250^3+WeightSDS!U$17*$AM250^2+WeightSDS!V$17*$AM250+WeightSDS!W$17,IF($AM250&lt;186,WeightSDS!$U$18+(WeightSDS!$V$18-WeightSDS!$U$18)/24*($AM250-186)+WeightSDS!$W$18*(-$AM250+186)^2-0.005,WeightSDS!$U$18+(WeightSDS!$V$18-WeightSDS!$U$18)/24*($AM250-186)-0.005)))</f>
        <v>0.14604529399999999</v>
      </c>
      <c r="AT250" s="4">
        <f t="shared" si="70"/>
        <v>0.56299999999999994</v>
      </c>
      <c r="AU250" s="4">
        <f t="shared" si="71"/>
        <v>69</v>
      </c>
      <c r="AV250" s="4">
        <f t="shared" si="72"/>
        <v>0.51</v>
      </c>
    </row>
    <row r="251" spans="1:48" x14ac:dyDescent="0.15">
      <c r="A251" s="4"/>
      <c r="B251" s="21"/>
      <c r="C251" s="21"/>
      <c r="D251" s="21"/>
      <c r="E251" s="22"/>
      <c r="F251" s="22"/>
      <c r="G251" s="23"/>
      <c r="H251" s="23"/>
      <c r="I251" s="181"/>
      <c r="J251" s="8" t="str">
        <f t="shared" si="64"/>
        <v/>
      </c>
      <c r="K251" s="2" t="str">
        <f t="shared" si="73"/>
        <v/>
      </c>
      <c r="L251" s="2" t="str">
        <f t="shared" si="65"/>
        <v/>
      </c>
      <c r="M251" s="2" t="str">
        <f t="shared" si="74"/>
        <v/>
      </c>
      <c r="N251" s="2" t="str">
        <f t="shared" si="82"/>
        <v/>
      </c>
      <c r="O251" s="2" t="str">
        <f t="shared" si="75"/>
        <v/>
      </c>
      <c r="P251" s="8" t="str">
        <f t="shared" si="76"/>
        <v/>
      </c>
      <c r="Q251" s="8" t="str">
        <f t="shared" si="77"/>
        <v/>
      </c>
      <c r="R251" s="111" t="str">
        <f t="shared" si="78"/>
        <v/>
      </c>
      <c r="S251" s="44" t="str">
        <f t="shared" si="79"/>
        <v/>
      </c>
      <c r="T251" s="37" t="str">
        <f t="shared" si="80"/>
        <v/>
      </c>
      <c r="U251" s="44" t="str">
        <f t="shared" si="81"/>
        <v/>
      </c>
      <c r="V251" s="26"/>
      <c r="W251" s="26"/>
      <c r="X251" s="26"/>
      <c r="Y251" s="26"/>
      <c r="Z251" s="24"/>
      <c r="AA251" s="169">
        <f t="shared" si="66"/>
        <v>0</v>
      </c>
      <c r="AB251" s="4">
        <f t="shared" si="67"/>
        <v>0</v>
      </c>
      <c r="AC251" s="170">
        <f t="shared" si="84"/>
        <v>0</v>
      </c>
      <c r="AD251" s="58"/>
      <c r="AE251" s="58"/>
      <c r="AF251" s="58"/>
      <c r="AG251" s="59">
        <f t="shared" si="68"/>
        <v>9.0359999999999996</v>
      </c>
      <c r="AH251" s="59">
        <f t="shared" si="69"/>
        <v>-184.49199999999999</v>
      </c>
      <c r="AJ251" s="4">
        <f>IF(D251="M",IF(AM251&lt;78,BMILMS!$D$5*AM251^3+BMILMS!$E$5*AM251^2+BMILMS!$F$5*AM251+BMILMS!$G$5,IF(AM251&lt;150,BMILMS!$D$6*AM251^3+BMILMS!$E$6*AM251^2+BMILMS!$F$6*AM251+BMILMS!$G$6,BMILMS!$D$7*AM251^3+BMILMS!$E$7*AM251^2+BMILMS!$F$7*AM251+BMILMS!$G$7)),IF(AM251&lt;69,BMILMS!$D$9*AM251^3+BMILMS!$E$9*AM251^2+BMILMS!$F$9*AM251+BMILMS!$G$9,IF(AM251&lt;150,BMILMS!$D$10*AM251^3+BMILMS!$E$10*AM251^2+BMILMS!$F$10*AM251+BMILMS!$G$10,BMILMS!$D$11*AM251^3+BMILMS!$E$11*AM251^2+BMILMS!$F$11*AM251+BMILMS!$G$11)))</f>
        <v>0.79584630099999998</v>
      </c>
      <c r="AK251" s="4">
        <f>IF(D251="M",(IF(AM251&lt;2.5,BMILMS!$D$21*AM251^3+BMILMS!$E$21*AM251^2+BMILMS!$F$21*AM251+BMILMS!$G$21,IF(AM251&lt;9.5,BMILMS!$D$22*AM251^3+BMILMS!$E$22*AM251^2+BMILMS!$F$22*AM251+BMILMS!$G$22,IF(AM251&lt;26.75,BMILMS!$D$23*AM251^3+BMILMS!$E$23*AM251^2+BMILMS!$F$23*AM251+BMILMS!$G$23,IF(AM251&lt;90,BMILMS!$D$24*AM251^3+BMILMS!$E$24*AM251^2+BMILMS!$F$24*AM251+BMILMS!$G$24,BMILMS!$D$25*AM251^3+BMILMS!$E$25*AM251^2+BMILMS!$F$25*AM251+BMILMS!$G$25))))),(IF(AM251&lt;2.5,BMILMS!$D$27*AM251^3+BMILMS!$E$27*AM251^2+BMILMS!$F$27*AM251+BMILMS!$G$27,IF(AM251&lt;9.5,BMILMS!$D$28*AM251^3+BMILMS!$E$28*AM251^2+BMILMS!$F$28*AM251+BMILMS!$G$28,IF(AM251&lt;26.75,BMILMS!$D$29*AM251^3+BMILMS!$E$29*AM251^2+BMILMS!$F$29*AM251+BMILMS!$G$29,IF(AM251&lt;90,BMILMS!$D$30*AM251^3+BMILMS!$E$30*AM251^2+BMILMS!$F$30*AM251+BMILMS!$G$30,IF(AM251&lt;150,BMILMS!$D$31*AM251^3+BMILMS!$E$31*AM251^2+BMILMS!$F$31*AM251+BMILMS!$G$31,BMILMS!$D$32*AM251^3+BMILMS!$E$32*AM251^2+BMILMS!$F$32*AM251+BMILMS!$G$32)))))))</f>
        <v>12.568967990000001</v>
      </c>
      <c r="AL251" s="4">
        <f>IF(D251="M",(IF(AM251&lt;90,BMILMS!$D$14*AM251^3+BMILMS!$E$14*AM251^2+BMILMS!$F$14*AM251+BMILMS!$G$14,BMILMS!$D$15*AM251^3+BMILMS!$E$15*AM251^2+BMILMS!$F$15*AM251+BMILMS!$G$15)),(IF(AM251&lt;90,BMILMS!$D$17*AM251^3+BMILMS!$E$17*AM251^2+BMILMS!$F$17*AM251+BMILMS!$G$17,BMILMS!$D$18*AM251^3+BMILMS!$E$18*AM251^2+BMILMS!$F$18*AM251+BMILMS!$G$18)))</f>
        <v>8.8969350000000003E-2</v>
      </c>
      <c r="AM251" s="4">
        <f t="shared" si="83"/>
        <v>0</v>
      </c>
      <c r="AO251" s="56">
        <f>IF(D251="M",WeightSDS!P$5*$AM251^7+WeightSDS!Q$5*$AM251^6+WeightSDS!R$5*$AM251^5+WeightSDS!S$5*$AM251^4+WeightSDS!T$5*$AM251^3+WeightSDS!U$5*$AM251^2+WeightSDS!V$5*$AM251+WeightSDS!W$5,IF($AM251&lt;186,WeightSDS!P$8*$AM251^7+WeightSDS!Q$8*$AM251^6+WeightSDS!R$8*$AM251^5+WeightSDS!S$8*$AM251^4+WeightSDS!T$8*$AM251^3+WeightSDS!U$8*$AM251^2+WeightSDS!V$8*$AM251+WeightSDS!W$8,WeightSDS!$U$9+WeightSDS!$V$9*($AM251-WeightSDS!$W$9)))</f>
        <v>0.75407122999999998</v>
      </c>
      <c r="AP251" s="4">
        <f>IF(D251="M",IF($AM251&lt;45,WeightSDS!M$23*$AM251^10+WeightSDS!N$23*$AM251^9+WeightSDS!O$23*$AM251^8+WeightSDS!P$23*$AM251^7+WeightSDS!Q$23*$AM251^6+WeightSDS!R$23*$AM251^5+WeightSDS!S$23*$AM251^4+WeightSDS!T$23*$AM251^3+WeightSDS!U$23*$AM251^2+WeightSDS!V$23*$AM251+WeightSDS!W$23,IF($AM251&lt;153,WeightSDS!M$25*$AM251^10+WeightSDS!N$25*$AM251^9+WeightSDS!O$25*$AM251^8+WeightSDS!P$25*$AM251^7+WeightSDS!Q$25*$AM251^6+WeightSDS!R$25*$AM251^5+WeightSDS!S$25*$AM251^4+WeightSDS!T$25*$AM251^3+WeightSDS!U$25*$AM251^2+WeightSDS!V$25*$AM251+WeightSDS!W$25,WeightSDS!M$27+WeightSDS!N$27/(1+EXP(WeightSDS!O$27+WeightSDS!P$27*$AM251)))),IF($AM251&lt;43.8,WeightSDS!M$29*$AM251^10+WeightSDS!N$29*$AM251^9+WeightSDS!O$29*$AM251^8+WeightSDS!P$29*$AM251^7+WeightSDS!Q$29*$AM251^6+WeightSDS!R$29*$AM251^5+WeightSDS!S$29*$AM251^4+WeightSDS!T$29*$AM251^3+WeightSDS!U$29*$AM251^2+WeightSDS!V$29*$AM251+WeightSDS!W$29-0.010431*(1-$AM251/210),IF($AM251&lt;123,WeightSDS!M$30*$AM251^10+WeightSDS!N$30*$AM251^9+WeightSDS!O$30*$AM251^8+WeightSDS!P$30*$AM251^7+WeightSDS!Q$30*$AM251^6+WeightSDS!R$30*$AM251^5+WeightSDS!S$30*$AM251^4+WeightSDS!T$30*$AM251^3+WeightSDS!U$30*$AM251^2+WeightSDS!V$30*$AM251+WeightSDS!W$30-0.010431*(1-1/$AM251),WeightSDS!M$32+WeightSDS!N$32/(1+EXP(WeightSDS!O$32+WeightSDS!P$32*$AM251))-0.010431*(1-$AM251/210))))</f>
        <v>2.9500001032655536</v>
      </c>
      <c r="AQ251" s="4">
        <f>IF(D251="M",IF($AM251&lt;162,WeightSDS!P$12*$AM251^7+WeightSDS!Q$12*$AM251^6+WeightSDS!R$12*$AM251^5+WeightSDS!S$12*$AM251^4+WeightSDS!T$12*$AM251^3+WeightSDS!U$12*$AM251^2+WeightSDS!V$12*$AM251+WeightSDS!W$12,WeightSDS!P$14*$AM251^7+WeightSDS!Q$14*$AM251^6+WeightSDS!R$14*$AM251^5+WeightSDS!S$14*$AM251^4+WeightSDS!T$14*$AM251^3+WeightSDS!U$14*$AM251^2+WeightSDS!V$14*$AM251+WeightSDS!W$14),IF($AM251&lt;156,WeightSDS!O$17*$AM251^8+WeightSDS!P$17*$AM251^7+WeightSDS!Q$17*$AM251^6+WeightSDS!R$17*$AM251^5+WeightSDS!S$17*$AM251^4+WeightSDS!T$17*$AM251^3+WeightSDS!U$17*$AM251^2+WeightSDS!V$17*$AM251+WeightSDS!W$17,IF($AM251&lt;186,WeightSDS!$U$18+(WeightSDS!$V$18-WeightSDS!$U$18)/24*($AM251-186)+WeightSDS!$W$18*(-$AM251+186)^2-0.005,WeightSDS!$U$18+(WeightSDS!$V$18-WeightSDS!$U$18)/24*($AM251-186)-0.005)))</f>
        <v>0.14604529399999999</v>
      </c>
      <c r="AT251" s="4">
        <f t="shared" si="70"/>
        <v>0.56299999999999994</v>
      </c>
      <c r="AU251" s="4">
        <f t="shared" si="71"/>
        <v>69</v>
      </c>
      <c r="AV251" s="4">
        <f t="shared" si="72"/>
        <v>0.51</v>
      </c>
    </row>
    <row r="252" spans="1:48" x14ac:dyDescent="0.15">
      <c r="A252" s="4"/>
      <c r="B252" s="21"/>
      <c r="C252" s="21"/>
      <c r="D252" s="21"/>
      <c r="E252" s="22"/>
      <c r="F252" s="22"/>
      <c r="G252" s="23"/>
      <c r="H252" s="23"/>
      <c r="I252" s="181"/>
      <c r="J252" s="8" t="str">
        <f t="shared" si="64"/>
        <v/>
      </c>
      <c r="K252" s="2" t="str">
        <f t="shared" si="73"/>
        <v/>
      </c>
      <c r="L252" s="2" t="str">
        <f t="shared" si="65"/>
        <v/>
      </c>
      <c r="M252" s="2" t="str">
        <f t="shared" si="74"/>
        <v/>
      </c>
      <c r="N252" s="2" t="str">
        <f t="shared" si="82"/>
        <v/>
      </c>
      <c r="O252" s="2" t="str">
        <f t="shared" si="75"/>
        <v/>
      </c>
      <c r="P252" s="8" t="str">
        <f t="shared" si="76"/>
        <v/>
      </c>
      <c r="Q252" s="8" t="str">
        <f t="shared" si="77"/>
        <v/>
      </c>
      <c r="R252" s="111" t="str">
        <f t="shared" si="78"/>
        <v/>
      </c>
      <c r="S252" s="44" t="str">
        <f t="shared" si="79"/>
        <v/>
      </c>
      <c r="T252" s="37" t="str">
        <f t="shared" si="80"/>
        <v/>
      </c>
      <c r="U252" s="44" t="str">
        <f t="shared" si="81"/>
        <v/>
      </c>
      <c r="V252" s="26"/>
      <c r="W252" s="26"/>
      <c r="X252" s="26"/>
      <c r="Y252" s="26"/>
      <c r="Z252" s="24"/>
      <c r="AA252" s="169">
        <f t="shared" si="66"/>
        <v>0</v>
      </c>
      <c r="AB252" s="4">
        <f t="shared" si="67"/>
        <v>0</v>
      </c>
      <c r="AC252" s="170">
        <f t="shared" si="84"/>
        <v>0</v>
      </c>
      <c r="AD252" s="58"/>
      <c r="AE252" s="58"/>
      <c r="AF252" s="58"/>
      <c r="AG252" s="59">
        <f t="shared" si="68"/>
        <v>9.0359999999999996</v>
      </c>
      <c r="AH252" s="59">
        <f t="shared" si="69"/>
        <v>-184.49199999999999</v>
      </c>
      <c r="AJ252" s="4">
        <f>IF(D252="M",IF(AM252&lt;78,BMILMS!$D$5*AM252^3+BMILMS!$E$5*AM252^2+BMILMS!$F$5*AM252+BMILMS!$G$5,IF(AM252&lt;150,BMILMS!$D$6*AM252^3+BMILMS!$E$6*AM252^2+BMILMS!$F$6*AM252+BMILMS!$G$6,BMILMS!$D$7*AM252^3+BMILMS!$E$7*AM252^2+BMILMS!$F$7*AM252+BMILMS!$G$7)),IF(AM252&lt;69,BMILMS!$D$9*AM252^3+BMILMS!$E$9*AM252^2+BMILMS!$F$9*AM252+BMILMS!$G$9,IF(AM252&lt;150,BMILMS!$D$10*AM252^3+BMILMS!$E$10*AM252^2+BMILMS!$F$10*AM252+BMILMS!$G$10,BMILMS!$D$11*AM252^3+BMILMS!$E$11*AM252^2+BMILMS!$F$11*AM252+BMILMS!$G$11)))</f>
        <v>0.79584630099999998</v>
      </c>
      <c r="AK252" s="4">
        <f>IF(D252="M",(IF(AM252&lt;2.5,BMILMS!$D$21*AM252^3+BMILMS!$E$21*AM252^2+BMILMS!$F$21*AM252+BMILMS!$G$21,IF(AM252&lt;9.5,BMILMS!$D$22*AM252^3+BMILMS!$E$22*AM252^2+BMILMS!$F$22*AM252+BMILMS!$G$22,IF(AM252&lt;26.75,BMILMS!$D$23*AM252^3+BMILMS!$E$23*AM252^2+BMILMS!$F$23*AM252+BMILMS!$G$23,IF(AM252&lt;90,BMILMS!$D$24*AM252^3+BMILMS!$E$24*AM252^2+BMILMS!$F$24*AM252+BMILMS!$G$24,BMILMS!$D$25*AM252^3+BMILMS!$E$25*AM252^2+BMILMS!$F$25*AM252+BMILMS!$G$25))))),(IF(AM252&lt;2.5,BMILMS!$D$27*AM252^3+BMILMS!$E$27*AM252^2+BMILMS!$F$27*AM252+BMILMS!$G$27,IF(AM252&lt;9.5,BMILMS!$D$28*AM252^3+BMILMS!$E$28*AM252^2+BMILMS!$F$28*AM252+BMILMS!$G$28,IF(AM252&lt;26.75,BMILMS!$D$29*AM252^3+BMILMS!$E$29*AM252^2+BMILMS!$F$29*AM252+BMILMS!$G$29,IF(AM252&lt;90,BMILMS!$D$30*AM252^3+BMILMS!$E$30*AM252^2+BMILMS!$F$30*AM252+BMILMS!$G$30,IF(AM252&lt;150,BMILMS!$D$31*AM252^3+BMILMS!$E$31*AM252^2+BMILMS!$F$31*AM252+BMILMS!$G$31,BMILMS!$D$32*AM252^3+BMILMS!$E$32*AM252^2+BMILMS!$F$32*AM252+BMILMS!$G$32)))))))</f>
        <v>12.568967990000001</v>
      </c>
      <c r="AL252" s="4">
        <f>IF(D252="M",(IF(AM252&lt;90,BMILMS!$D$14*AM252^3+BMILMS!$E$14*AM252^2+BMILMS!$F$14*AM252+BMILMS!$G$14,BMILMS!$D$15*AM252^3+BMILMS!$E$15*AM252^2+BMILMS!$F$15*AM252+BMILMS!$G$15)),(IF(AM252&lt;90,BMILMS!$D$17*AM252^3+BMILMS!$E$17*AM252^2+BMILMS!$F$17*AM252+BMILMS!$G$17,BMILMS!$D$18*AM252^3+BMILMS!$E$18*AM252^2+BMILMS!$F$18*AM252+BMILMS!$G$18)))</f>
        <v>8.8969350000000003E-2</v>
      </c>
      <c r="AM252" s="4">
        <f t="shared" si="83"/>
        <v>0</v>
      </c>
      <c r="AO252" s="56">
        <f>IF(D252="M",WeightSDS!P$5*$AM252^7+WeightSDS!Q$5*$AM252^6+WeightSDS!R$5*$AM252^5+WeightSDS!S$5*$AM252^4+WeightSDS!T$5*$AM252^3+WeightSDS!U$5*$AM252^2+WeightSDS!V$5*$AM252+WeightSDS!W$5,IF($AM252&lt;186,WeightSDS!P$8*$AM252^7+WeightSDS!Q$8*$AM252^6+WeightSDS!R$8*$AM252^5+WeightSDS!S$8*$AM252^4+WeightSDS!T$8*$AM252^3+WeightSDS!U$8*$AM252^2+WeightSDS!V$8*$AM252+WeightSDS!W$8,WeightSDS!$U$9+WeightSDS!$V$9*($AM252-WeightSDS!$W$9)))</f>
        <v>0.75407122999999998</v>
      </c>
      <c r="AP252" s="4">
        <f>IF(D252="M",IF($AM252&lt;45,WeightSDS!M$23*$AM252^10+WeightSDS!N$23*$AM252^9+WeightSDS!O$23*$AM252^8+WeightSDS!P$23*$AM252^7+WeightSDS!Q$23*$AM252^6+WeightSDS!R$23*$AM252^5+WeightSDS!S$23*$AM252^4+WeightSDS!T$23*$AM252^3+WeightSDS!U$23*$AM252^2+WeightSDS!V$23*$AM252+WeightSDS!W$23,IF($AM252&lt;153,WeightSDS!M$25*$AM252^10+WeightSDS!N$25*$AM252^9+WeightSDS!O$25*$AM252^8+WeightSDS!P$25*$AM252^7+WeightSDS!Q$25*$AM252^6+WeightSDS!R$25*$AM252^5+WeightSDS!S$25*$AM252^4+WeightSDS!T$25*$AM252^3+WeightSDS!U$25*$AM252^2+WeightSDS!V$25*$AM252+WeightSDS!W$25,WeightSDS!M$27+WeightSDS!N$27/(1+EXP(WeightSDS!O$27+WeightSDS!P$27*$AM252)))),IF($AM252&lt;43.8,WeightSDS!M$29*$AM252^10+WeightSDS!N$29*$AM252^9+WeightSDS!O$29*$AM252^8+WeightSDS!P$29*$AM252^7+WeightSDS!Q$29*$AM252^6+WeightSDS!R$29*$AM252^5+WeightSDS!S$29*$AM252^4+WeightSDS!T$29*$AM252^3+WeightSDS!U$29*$AM252^2+WeightSDS!V$29*$AM252+WeightSDS!W$29-0.010431*(1-$AM252/210),IF($AM252&lt;123,WeightSDS!M$30*$AM252^10+WeightSDS!N$30*$AM252^9+WeightSDS!O$30*$AM252^8+WeightSDS!P$30*$AM252^7+WeightSDS!Q$30*$AM252^6+WeightSDS!R$30*$AM252^5+WeightSDS!S$30*$AM252^4+WeightSDS!T$30*$AM252^3+WeightSDS!U$30*$AM252^2+WeightSDS!V$30*$AM252+WeightSDS!W$30-0.010431*(1-1/$AM252),WeightSDS!M$32+WeightSDS!N$32/(1+EXP(WeightSDS!O$32+WeightSDS!P$32*$AM252))-0.010431*(1-$AM252/210))))</f>
        <v>2.9500001032655536</v>
      </c>
      <c r="AQ252" s="4">
        <f>IF(D252="M",IF($AM252&lt;162,WeightSDS!P$12*$AM252^7+WeightSDS!Q$12*$AM252^6+WeightSDS!R$12*$AM252^5+WeightSDS!S$12*$AM252^4+WeightSDS!T$12*$AM252^3+WeightSDS!U$12*$AM252^2+WeightSDS!V$12*$AM252+WeightSDS!W$12,WeightSDS!P$14*$AM252^7+WeightSDS!Q$14*$AM252^6+WeightSDS!R$14*$AM252^5+WeightSDS!S$14*$AM252^4+WeightSDS!T$14*$AM252^3+WeightSDS!U$14*$AM252^2+WeightSDS!V$14*$AM252+WeightSDS!W$14),IF($AM252&lt;156,WeightSDS!O$17*$AM252^8+WeightSDS!P$17*$AM252^7+WeightSDS!Q$17*$AM252^6+WeightSDS!R$17*$AM252^5+WeightSDS!S$17*$AM252^4+WeightSDS!T$17*$AM252^3+WeightSDS!U$17*$AM252^2+WeightSDS!V$17*$AM252+WeightSDS!W$17,IF($AM252&lt;186,WeightSDS!$U$18+(WeightSDS!$V$18-WeightSDS!$U$18)/24*($AM252-186)+WeightSDS!$W$18*(-$AM252+186)^2-0.005,WeightSDS!$U$18+(WeightSDS!$V$18-WeightSDS!$U$18)/24*($AM252-186)-0.005)))</f>
        <v>0.14604529399999999</v>
      </c>
      <c r="AT252" s="4">
        <f t="shared" si="70"/>
        <v>0.56299999999999994</v>
      </c>
      <c r="AU252" s="4">
        <f t="shared" si="71"/>
        <v>69</v>
      </c>
      <c r="AV252" s="4">
        <f t="shared" si="72"/>
        <v>0.51</v>
      </c>
    </row>
    <row r="253" spans="1:48" x14ac:dyDescent="0.15">
      <c r="A253" s="4"/>
      <c r="B253" s="21"/>
      <c r="C253" s="21"/>
      <c r="D253" s="21"/>
      <c r="E253" s="22"/>
      <c r="F253" s="22"/>
      <c r="G253" s="23"/>
      <c r="H253" s="23"/>
      <c r="I253" s="181"/>
      <c r="J253" s="8" t="str">
        <f t="shared" si="64"/>
        <v/>
      </c>
      <c r="K253" s="2" t="str">
        <f t="shared" si="73"/>
        <v/>
      </c>
      <c r="L253" s="2" t="str">
        <f t="shared" si="65"/>
        <v/>
      </c>
      <c r="M253" s="2" t="str">
        <f t="shared" si="74"/>
        <v/>
      </c>
      <c r="N253" s="2" t="str">
        <f t="shared" si="82"/>
        <v/>
      </c>
      <c r="O253" s="2" t="str">
        <f t="shared" si="75"/>
        <v/>
      </c>
      <c r="P253" s="8" t="str">
        <f t="shared" si="76"/>
        <v/>
      </c>
      <c r="Q253" s="8" t="str">
        <f t="shared" si="77"/>
        <v/>
      </c>
      <c r="R253" s="111" t="str">
        <f t="shared" si="78"/>
        <v/>
      </c>
      <c r="S253" s="44" t="str">
        <f t="shared" si="79"/>
        <v/>
      </c>
      <c r="T253" s="37" t="str">
        <f t="shared" si="80"/>
        <v/>
      </c>
      <c r="U253" s="44" t="str">
        <f t="shared" si="81"/>
        <v/>
      </c>
      <c r="V253" s="26"/>
      <c r="W253" s="26"/>
      <c r="X253" s="26"/>
      <c r="Y253" s="26"/>
      <c r="Z253" s="24"/>
      <c r="AA253" s="169">
        <f t="shared" si="66"/>
        <v>0</v>
      </c>
      <c r="AB253" s="4">
        <f t="shared" si="67"/>
        <v>0</v>
      </c>
      <c r="AC253" s="170">
        <f t="shared" si="84"/>
        <v>0</v>
      </c>
      <c r="AD253" s="58"/>
      <c r="AE253" s="58"/>
      <c r="AF253" s="58"/>
      <c r="AG253" s="59">
        <f t="shared" si="68"/>
        <v>9.0359999999999996</v>
      </c>
      <c r="AH253" s="59">
        <f t="shared" si="69"/>
        <v>-184.49199999999999</v>
      </c>
      <c r="AJ253" s="4">
        <f>IF(D253="M",IF(AM253&lt;78,BMILMS!$D$5*AM253^3+BMILMS!$E$5*AM253^2+BMILMS!$F$5*AM253+BMILMS!$G$5,IF(AM253&lt;150,BMILMS!$D$6*AM253^3+BMILMS!$E$6*AM253^2+BMILMS!$F$6*AM253+BMILMS!$G$6,BMILMS!$D$7*AM253^3+BMILMS!$E$7*AM253^2+BMILMS!$F$7*AM253+BMILMS!$G$7)),IF(AM253&lt;69,BMILMS!$D$9*AM253^3+BMILMS!$E$9*AM253^2+BMILMS!$F$9*AM253+BMILMS!$G$9,IF(AM253&lt;150,BMILMS!$D$10*AM253^3+BMILMS!$E$10*AM253^2+BMILMS!$F$10*AM253+BMILMS!$G$10,BMILMS!$D$11*AM253^3+BMILMS!$E$11*AM253^2+BMILMS!$F$11*AM253+BMILMS!$G$11)))</f>
        <v>0.79584630099999998</v>
      </c>
      <c r="AK253" s="4">
        <f>IF(D253="M",(IF(AM253&lt;2.5,BMILMS!$D$21*AM253^3+BMILMS!$E$21*AM253^2+BMILMS!$F$21*AM253+BMILMS!$G$21,IF(AM253&lt;9.5,BMILMS!$D$22*AM253^3+BMILMS!$E$22*AM253^2+BMILMS!$F$22*AM253+BMILMS!$G$22,IF(AM253&lt;26.75,BMILMS!$D$23*AM253^3+BMILMS!$E$23*AM253^2+BMILMS!$F$23*AM253+BMILMS!$G$23,IF(AM253&lt;90,BMILMS!$D$24*AM253^3+BMILMS!$E$24*AM253^2+BMILMS!$F$24*AM253+BMILMS!$G$24,BMILMS!$D$25*AM253^3+BMILMS!$E$25*AM253^2+BMILMS!$F$25*AM253+BMILMS!$G$25))))),(IF(AM253&lt;2.5,BMILMS!$D$27*AM253^3+BMILMS!$E$27*AM253^2+BMILMS!$F$27*AM253+BMILMS!$G$27,IF(AM253&lt;9.5,BMILMS!$D$28*AM253^3+BMILMS!$E$28*AM253^2+BMILMS!$F$28*AM253+BMILMS!$G$28,IF(AM253&lt;26.75,BMILMS!$D$29*AM253^3+BMILMS!$E$29*AM253^2+BMILMS!$F$29*AM253+BMILMS!$G$29,IF(AM253&lt;90,BMILMS!$D$30*AM253^3+BMILMS!$E$30*AM253^2+BMILMS!$F$30*AM253+BMILMS!$G$30,IF(AM253&lt;150,BMILMS!$D$31*AM253^3+BMILMS!$E$31*AM253^2+BMILMS!$F$31*AM253+BMILMS!$G$31,BMILMS!$D$32*AM253^3+BMILMS!$E$32*AM253^2+BMILMS!$F$32*AM253+BMILMS!$G$32)))))))</f>
        <v>12.568967990000001</v>
      </c>
      <c r="AL253" s="4">
        <f>IF(D253="M",(IF(AM253&lt;90,BMILMS!$D$14*AM253^3+BMILMS!$E$14*AM253^2+BMILMS!$F$14*AM253+BMILMS!$G$14,BMILMS!$D$15*AM253^3+BMILMS!$E$15*AM253^2+BMILMS!$F$15*AM253+BMILMS!$G$15)),(IF(AM253&lt;90,BMILMS!$D$17*AM253^3+BMILMS!$E$17*AM253^2+BMILMS!$F$17*AM253+BMILMS!$G$17,BMILMS!$D$18*AM253^3+BMILMS!$E$18*AM253^2+BMILMS!$F$18*AM253+BMILMS!$G$18)))</f>
        <v>8.8969350000000003E-2</v>
      </c>
      <c r="AM253" s="4">
        <f t="shared" si="83"/>
        <v>0</v>
      </c>
      <c r="AO253" s="56">
        <f>IF(D253="M",WeightSDS!P$5*$AM253^7+WeightSDS!Q$5*$AM253^6+WeightSDS!R$5*$AM253^5+WeightSDS!S$5*$AM253^4+WeightSDS!T$5*$AM253^3+WeightSDS!U$5*$AM253^2+WeightSDS!V$5*$AM253+WeightSDS!W$5,IF($AM253&lt;186,WeightSDS!P$8*$AM253^7+WeightSDS!Q$8*$AM253^6+WeightSDS!R$8*$AM253^5+WeightSDS!S$8*$AM253^4+WeightSDS!T$8*$AM253^3+WeightSDS!U$8*$AM253^2+WeightSDS!V$8*$AM253+WeightSDS!W$8,WeightSDS!$U$9+WeightSDS!$V$9*($AM253-WeightSDS!$W$9)))</f>
        <v>0.75407122999999998</v>
      </c>
      <c r="AP253" s="4">
        <f>IF(D253="M",IF($AM253&lt;45,WeightSDS!M$23*$AM253^10+WeightSDS!N$23*$AM253^9+WeightSDS!O$23*$AM253^8+WeightSDS!P$23*$AM253^7+WeightSDS!Q$23*$AM253^6+WeightSDS!R$23*$AM253^5+WeightSDS!S$23*$AM253^4+WeightSDS!T$23*$AM253^3+WeightSDS!U$23*$AM253^2+WeightSDS!V$23*$AM253+WeightSDS!W$23,IF($AM253&lt;153,WeightSDS!M$25*$AM253^10+WeightSDS!N$25*$AM253^9+WeightSDS!O$25*$AM253^8+WeightSDS!P$25*$AM253^7+WeightSDS!Q$25*$AM253^6+WeightSDS!R$25*$AM253^5+WeightSDS!S$25*$AM253^4+WeightSDS!T$25*$AM253^3+WeightSDS!U$25*$AM253^2+WeightSDS!V$25*$AM253+WeightSDS!W$25,WeightSDS!M$27+WeightSDS!N$27/(1+EXP(WeightSDS!O$27+WeightSDS!P$27*$AM253)))),IF($AM253&lt;43.8,WeightSDS!M$29*$AM253^10+WeightSDS!N$29*$AM253^9+WeightSDS!O$29*$AM253^8+WeightSDS!P$29*$AM253^7+WeightSDS!Q$29*$AM253^6+WeightSDS!R$29*$AM253^5+WeightSDS!S$29*$AM253^4+WeightSDS!T$29*$AM253^3+WeightSDS!U$29*$AM253^2+WeightSDS!V$29*$AM253+WeightSDS!W$29-0.010431*(1-$AM253/210),IF($AM253&lt;123,WeightSDS!M$30*$AM253^10+WeightSDS!N$30*$AM253^9+WeightSDS!O$30*$AM253^8+WeightSDS!P$30*$AM253^7+WeightSDS!Q$30*$AM253^6+WeightSDS!R$30*$AM253^5+WeightSDS!S$30*$AM253^4+WeightSDS!T$30*$AM253^3+WeightSDS!U$30*$AM253^2+WeightSDS!V$30*$AM253+WeightSDS!W$30-0.010431*(1-1/$AM253),WeightSDS!M$32+WeightSDS!N$32/(1+EXP(WeightSDS!O$32+WeightSDS!P$32*$AM253))-0.010431*(1-$AM253/210))))</f>
        <v>2.9500001032655536</v>
      </c>
      <c r="AQ253" s="4">
        <f>IF(D253="M",IF($AM253&lt;162,WeightSDS!P$12*$AM253^7+WeightSDS!Q$12*$AM253^6+WeightSDS!R$12*$AM253^5+WeightSDS!S$12*$AM253^4+WeightSDS!T$12*$AM253^3+WeightSDS!U$12*$AM253^2+WeightSDS!V$12*$AM253+WeightSDS!W$12,WeightSDS!P$14*$AM253^7+WeightSDS!Q$14*$AM253^6+WeightSDS!R$14*$AM253^5+WeightSDS!S$14*$AM253^4+WeightSDS!T$14*$AM253^3+WeightSDS!U$14*$AM253^2+WeightSDS!V$14*$AM253+WeightSDS!W$14),IF($AM253&lt;156,WeightSDS!O$17*$AM253^8+WeightSDS!P$17*$AM253^7+WeightSDS!Q$17*$AM253^6+WeightSDS!R$17*$AM253^5+WeightSDS!S$17*$AM253^4+WeightSDS!T$17*$AM253^3+WeightSDS!U$17*$AM253^2+WeightSDS!V$17*$AM253+WeightSDS!W$17,IF($AM253&lt;186,WeightSDS!$U$18+(WeightSDS!$V$18-WeightSDS!$U$18)/24*($AM253-186)+WeightSDS!$W$18*(-$AM253+186)^2-0.005,WeightSDS!$U$18+(WeightSDS!$V$18-WeightSDS!$U$18)/24*($AM253-186)-0.005)))</f>
        <v>0.14604529399999999</v>
      </c>
      <c r="AT253" s="4">
        <f t="shared" si="70"/>
        <v>0.56299999999999994</v>
      </c>
      <c r="AU253" s="4">
        <f t="shared" si="71"/>
        <v>69</v>
      </c>
      <c r="AV253" s="4">
        <f t="shared" si="72"/>
        <v>0.51</v>
      </c>
    </row>
    <row r="254" spans="1:48" x14ac:dyDescent="0.15">
      <c r="A254" s="4"/>
      <c r="B254" s="21"/>
      <c r="C254" s="21"/>
      <c r="D254" s="21"/>
      <c r="E254" s="22"/>
      <c r="F254" s="22"/>
      <c r="G254" s="23"/>
      <c r="H254" s="23"/>
      <c r="I254" s="181"/>
      <c r="J254" s="8" t="str">
        <f t="shared" si="64"/>
        <v/>
      </c>
      <c r="K254" s="2" t="str">
        <f t="shared" si="73"/>
        <v/>
      </c>
      <c r="L254" s="2" t="str">
        <f t="shared" si="65"/>
        <v/>
      </c>
      <c r="M254" s="2" t="str">
        <f t="shared" si="74"/>
        <v/>
      </c>
      <c r="N254" s="2" t="str">
        <f t="shared" si="82"/>
        <v/>
      </c>
      <c r="O254" s="2" t="str">
        <f t="shared" si="75"/>
        <v/>
      </c>
      <c r="P254" s="8" t="str">
        <f t="shared" si="76"/>
        <v/>
      </c>
      <c r="Q254" s="8" t="str">
        <f t="shared" si="77"/>
        <v/>
      </c>
      <c r="R254" s="111" t="str">
        <f t="shared" si="78"/>
        <v/>
      </c>
      <c r="S254" s="44" t="str">
        <f t="shared" si="79"/>
        <v/>
      </c>
      <c r="T254" s="37" t="str">
        <f t="shared" si="80"/>
        <v/>
      </c>
      <c r="U254" s="44" t="str">
        <f t="shared" si="81"/>
        <v/>
      </c>
      <c r="V254" s="26"/>
      <c r="W254" s="26"/>
      <c r="X254" s="26"/>
      <c r="Y254" s="26"/>
      <c r="Z254" s="24"/>
      <c r="AA254" s="169">
        <f t="shared" si="66"/>
        <v>0</v>
      </c>
      <c r="AB254" s="4">
        <f t="shared" si="67"/>
        <v>0</v>
      </c>
      <c r="AC254" s="170">
        <f t="shared" si="84"/>
        <v>0</v>
      </c>
      <c r="AD254" s="58"/>
      <c r="AE254" s="58"/>
      <c r="AF254" s="58"/>
      <c r="AG254" s="59">
        <f t="shared" si="68"/>
        <v>9.0359999999999996</v>
      </c>
      <c r="AH254" s="59">
        <f t="shared" si="69"/>
        <v>-184.49199999999999</v>
      </c>
      <c r="AJ254" s="4">
        <f>IF(D254="M",IF(AM254&lt;78,BMILMS!$D$5*AM254^3+BMILMS!$E$5*AM254^2+BMILMS!$F$5*AM254+BMILMS!$G$5,IF(AM254&lt;150,BMILMS!$D$6*AM254^3+BMILMS!$E$6*AM254^2+BMILMS!$F$6*AM254+BMILMS!$G$6,BMILMS!$D$7*AM254^3+BMILMS!$E$7*AM254^2+BMILMS!$F$7*AM254+BMILMS!$G$7)),IF(AM254&lt;69,BMILMS!$D$9*AM254^3+BMILMS!$E$9*AM254^2+BMILMS!$F$9*AM254+BMILMS!$G$9,IF(AM254&lt;150,BMILMS!$D$10*AM254^3+BMILMS!$E$10*AM254^2+BMILMS!$F$10*AM254+BMILMS!$G$10,BMILMS!$D$11*AM254^3+BMILMS!$E$11*AM254^2+BMILMS!$F$11*AM254+BMILMS!$G$11)))</f>
        <v>0.79584630099999998</v>
      </c>
      <c r="AK254" s="4">
        <f>IF(D254="M",(IF(AM254&lt;2.5,BMILMS!$D$21*AM254^3+BMILMS!$E$21*AM254^2+BMILMS!$F$21*AM254+BMILMS!$G$21,IF(AM254&lt;9.5,BMILMS!$D$22*AM254^3+BMILMS!$E$22*AM254^2+BMILMS!$F$22*AM254+BMILMS!$G$22,IF(AM254&lt;26.75,BMILMS!$D$23*AM254^3+BMILMS!$E$23*AM254^2+BMILMS!$F$23*AM254+BMILMS!$G$23,IF(AM254&lt;90,BMILMS!$D$24*AM254^3+BMILMS!$E$24*AM254^2+BMILMS!$F$24*AM254+BMILMS!$G$24,BMILMS!$D$25*AM254^3+BMILMS!$E$25*AM254^2+BMILMS!$F$25*AM254+BMILMS!$G$25))))),(IF(AM254&lt;2.5,BMILMS!$D$27*AM254^3+BMILMS!$E$27*AM254^2+BMILMS!$F$27*AM254+BMILMS!$G$27,IF(AM254&lt;9.5,BMILMS!$D$28*AM254^3+BMILMS!$E$28*AM254^2+BMILMS!$F$28*AM254+BMILMS!$G$28,IF(AM254&lt;26.75,BMILMS!$D$29*AM254^3+BMILMS!$E$29*AM254^2+BMILMS!$F$29*AM254+BMILMS!$G$29,IF(AM254&lt;90,BMILMS!$D$30*AM254^3+BMILMS!$E$30*AM254^2+BMILMS!$F$30*AM254+BMILMS!$G$30,IF(AM254&lt;150,BMILMS!$D$31*AM254^3+BMILMS!$E$31*AM254^2+BMILMS!$F$31*AM254+BMILMS!$G$31,BMILMS!$D$32*AM254^3+BMILMS!$E$32*AM254^2+BMILMS!$F$32*AM254+BMILMS!$G$32)))))))</f>
        <v>12.568967990000001</v>
      </c>
      <c r="AL254" s="4">
        <f>IF(D254="M",(IF(AM254&lt;90,BMILMS!$D$14*AM254^3+BMILMS!$E$14*AM254^2+BMILMS!$F$14*AM254+BMILMS!$G$14,BMILMS!$D$15*AM254^3+BMILMS!$E$15*AM254^2+BMILMS!$F$15*AM254+BMILMS!$G$15)),(IF(AM254&lt;90,BMILMS!$D$17*AM254^3+BMILMS!$E$17*AM254^2+BMILMS!$F$17*AM254+BMILMS!$G$17,BMILMS!$D$18*AM254^3+BMILMS!$E$18*AM254^2+BMILMS!$F$18*AM254+BMILMS!$G$18)))</f>
        <v>8.8969350000000003E-2</v>
      </c>
      <c r="AM254" s="4">
        <f t="shared" si="83"/>
        <v>0</v>
      </c>
      <c r="AO254" s="56">
        <f>IF(D254="M",WeightSDS!P$5*$AM254^7+WeightSDS!Q$5*$AM254^6+WeightSDS!R$5*$AM254^5+WeightSDS!S$5*$AM254^4+WeightSDS!T$5*$AM254^3+WeightSDS!U$5*$AM254^2+WeightSDS!V$5*$AM254+WeightSDS!W$5,IF($AM254&lt;186,WeightSDS!P$8*$AM254^7+WeightSDS!Q$8*$AM254^6+WeightSDS!R$8*$AM254^5+WeightSDS!S$8*$AM254^4+WeightSDS!T$8*$AM254^3+WeightSDS!U$8*$AM254^2+WeightSDS!V$8*$AM254+WeightSDS!W$8,WeightSDS!$U$9+WeightSDS!$V$9*($AM254-WeightSDS!$W$9)))</f>
        <v>0.75407122999999998</v>
      </c>
      <c r="AP254" s="4">
        <f>IF(D254="M",IF($AM254&lt;45,WeightSDS!M$23*$AM254^10+WeightSDS!N$23*$AM254^9+WeightSDS!O$23*$AM254^8+WeightSDS!P$23*$AM254^7+WeightSDS!Q$23*$AM254^6+WeightSDS!R$23*$AM254^5+WeightSDS!S$23*$AM254^4+WeightSDS!T$23*$AM254^3+WeightSDS!U$23*$AM254^2+WeightSDS!V$23*$AM254+WeightSDS!W$23,IF($AM254&lt;153,WeightSDS!M$25*$AM254^10+WeightSDS!N$25*$AM254^9+WeightSDS!O$25*$AM254^8+WeightSDS!P$25*$AM254^7+WeightSDS!Q$25*$AM254^6+WeightSDS!R$25*$AM254^5+WeightSDS!S$25*$AM254^4+WeightSDS!T$25*$AM254^3+WeightSDS!U$25*$AM254^2+WeightSDS!V$25*$AM254+WeightSDS!W$25,WeightSDS!M$27+WeightSDS!N$27/(1+EXP(WeightSDS!O$27+WeightSDS!P$27*$AM254)))),IF($AM254&lt;43.8,WeightSDS!M$29*$AM254^10+WeightSDS!N$29*$AM254^9+WeightSDS!O$29*$AM254^8+WeightSDS!P$29*$AM254^7+WeightSDS!Q$29*$AM254^6+WeightSDS!R$29*$AM254^5+WeightSDS!S$29*$AM254^4+WeightSDS!T$29*$AM254^3+WeightSDS!U$29*$AM254^2+WeightSDS!V$29*$AM254+WeightSDS!W$29-0.010431*(1-$AM254/210),IF($AM254&lt;123,WeightSDS!M$30*$AM254^10+WeightSDS!N$30*$AM254^9+WeightSDS!O$30*$AM254^8+WeightSDS!P$30*$AM254^7+WeightSDS!Q$30*$AM254^6+WeightSDS!R$30*$AM254^5+WeightSDS!S$30*$AM254^4+WeightSDS!T$30*$AM254^3+WeightSDS!U$30*$AM254^2+WeightSDS!V$30*$AM254+WeightSDS!W$30-0.010431*(1-1/$AM254),WeightSDS!M$32+WeightSDS!N$32/(1+EXP(WeightSDS!O$32+WeightSDS!P$32*$AM254))-0.010431*(1-$AM254/210))))</f>
        <v>2.9500001032655536</v>
      </c>
      <c r="AQ254" s="4">
        <f>IF(D254="M",IF($AM254&lt;162,WeightSDS!P$12*$AM254^7+WeightSDS!Q$12*$AM254^6+WeightSDS!R$12*$AM254^5+WeightSDS!S$12*$AM254^4+WeightSDS!T$12*$AM254^3+WeightSDS!U$12*$AM254^2+WeightSDS!V$12*$AM254+WeightSDS!W$12,WeightSDS!P$14*$AM254^7+WeightSDS!Q$14*$AM254^6+WeightSDS!R$14*$AM254^5+WeightSDS!S$14*$AM254^4+WeightSDS!T$14*$AM254^3+WeightSDS!U$14*$AM254^2+WeightSDS!V$14*$AM254+WeightSDS!W$14),IF($AM254&lt;156,WeightSDS!O$17*$AM254^8+WeightSDS!P$17*$AM254^7+WeightSDS!Q$17*$AM254^6+WeightSDS!R$17*$AM254^5+WeightSDS!S$17*$AM254^4+WeightSDS!T$17*$AM254^3+WeightSDS!U$17*$AM254^2+WeightSDS!V$17*$AM254+WeightSDS!W$17,IF($AM254&lt;186,WeightSDS!$U$18+(WeightSDS!$V$18-WeightSDS!$U$18)/24*($AM254-186)+WeightSDS!$W$18*(-$AM254+186)^2-0.005,WeightSDS!$U$18+(WeightSDS!$V$18-WeightSDS!$U$18)/24*($AM254-186)-0.005)))</f>
        <v>0.14604529399999999</v>
      </c>
      <c r="AT254" s="4">
        <f t="shared" si="70"/>
        <v>0.56299999999999994</v>
      </c>
      <c r="AU254" s="4">
        <f t="shared" si="71"/>
        <v>69</v>
      </c>
      <c r="AV254" s="4">
        <f t="shared" si="72"/>
        <v>0.51</v>
      </c>
    </row>
    <row r="255" spans="1:48" x14ac:dyDescent="0.15">
      <c r="A255" s="4"/>
      <c r="B255" s="21"/>
      <c r="C255" s="21"/>
      <c r="D255" s="21"/>
      <c r="E255" s="22"/>
      <c r="F255" s="22"/>
      <c r="G255" s="23"/>
      <c r="H255" s="23"/>
      <c r="I255" s="181"/>
      <c r="J255" s="8" t="str">
        <f t="shared" si="64"/>
        <v/>
      </c>
      <c r="K255" s="2" t="str">
        <f t="shared" si="73"/>
        <v/>
      </c>
      <c r="L255" s="2" t="str">
        <f t="shared" si="65"/>
        <v/>
      </c>
      <c r="M255" s="2" t="str">
        <f t="shared" si="74"/>
        <v/>
      </c>
      <c r="N255" s="2" t="str">
        <f t="shared" si="82"/>
        <v/>
      </c>
      <c r="O255" s="2" t="str">
        <f t="shared" si="75"/>
        <v/>
      </c>
      <c r="P255" s="8" t="str">
        <f t="shared" si="76"/>
        <v/>
      </c>
      <c r="Q255" s="8" t="str">
        <f t="shared" si="77"/>
        <v/>
      </c>
      <c r="R255" s="111" t="str">
        <f t="shared" si="78"/>
        <v/>
      </c>
      <c r="S255" s="44" t="str">
        <f t="shared" si="79"/>
        <v/>
      </c>
      <c r="T255" s="37" t="str">
        <f t="shared" si="80"/>
        <v/>
      </c>
      <c r="U255" s="44" t="str">
        <f t="shared" si="81"/>
        <v/>
      </c>
      <c r="V255" s="26"/>
      <c r="W255" s="26"/>
      <c r="X255" s="26"/>
      <c r="Y255" s="26"/>
      <c r="Z255" s="24"/>
      <c r="AA255" s="169">
        <f t="shared" si="66"/>
        <v>0</v>
      </c>
      <c r="AB255" s="4">
        <f t="shared" si="67"/>
        <v>0</v>
      </c>
      <c r="AC255" s="170">
        <f t="shared" si="84"/>
        <v>0</v>
      </c>
      <c r="AD255" s="58"/>
      <c r="AE255" s="58"/>
      <c r="AF255" s="58"/>
      <c r="AG255" s="59">
        <f t="shared" si="68"/>
        <v>9.0359999999999996</v>
      </c>
      <c r="AH255" s="59">
        <f t="shared" si="69"/>
        <v>-184.49199999999999</v>
      </c>
      <c r="AJ255" s="4">
        <f>IF(D255="M",IF(AM255&lt;78,BMILMS!$D$5*AM255^3+BMILMS!$E$5*AM255^2+BMILMS!$F$5*AM255+BMILMS!$G$5,IF(AM255&lt;150,BMILMS!$D$6*AM255^3+BMILMS!$E$6*AM255^2+BMILMS!$F$6*AM255+BMILMS!$G$6,BMILMS!$D$7*AM255^3+BMILMS!$E$7*AM255^2+BMILMS!$F$7*AM255+BMILMS!$G$7)),IF(AM255&lt;69,BMILMS!$D$9*AM255^3+BMILMS!$E$9*AM255^2+BMILMS!$F$9*AM255+BMILMS!$G$9,IF(AM255&lt;150,BMILMS!$D$10*AM255^3+BMILMS!$E$10*AM255^2+BMILMS!$F$10*AM255+BMILMS!$G$10,BMILMS!$D$11*AM255^3+BMILMS!$E$11*AM255^2+BMILMS!$F$11*AM255+BMILMS!$G$11)))</f>
        <v>0.79584630099999998</v>
      </c>
      <c r="AK255" s="4">
        <f>IF(D255="M",(IF(AM255&lt;2.5,BMILMS!$D$21*AM255^3+BMILMS!$E$21*AM255^2+BMILMS!$F$21*AM255+BMILMS!$G$21,IF(AM255&lt;9.5,BMILMS!$D$22*AM255^3+BMILMS!$E$22*AM255^2+BMILMS!$F$22*AM255+BMILMS!$G$22,IF(AM255&lt;26.75,BMILMS!$D$23*AM255^3+BMILMS!$E$23*AM255^2+BMILMS!$F$23*AM255+BMILMS!$G$23,IF(AM255&lt;90,BMILMS!$D$24*AM255^3+BMILMS!$E$24*AM255^2+BMILMS!$F$24*AM255+BMILMS!$G$24,BMILMS!$D$25*AM255^3+BMILMS!$E$25*AM255^2+BMILMS!$F$25*AM255+BMILMS!$G$25))))),(IF(AM255&lt;2.5,BMILMS!$D$27*AM255^3+BMILMS!$E$27*AM255^2+BMILMS!$F$27*AM255+BMILMS!$G$27,IF(AM255&lt;9.5,BMILMS!$D$28*AM255^3+BMILMS!$E$28*AM255^2+BMILMS!$F$28*AM255+BMILMS!$G$28,IF(AM255&lt;26.75,BMILMS!$D$29*AM255^3+BMILMS!$E$29*AM255^2+BMILMS!$F$29*AM255+BMILMS!$G$29,IF(AM255&lt;90,BMILMS!$D$30*AM255^3+BMILMS!$E$30*AM255^2+BMILMS!$F$30*AM255+BMILMS!$G$30,IF(AM255&lt;150,BMILMS!$D$31*AM255^3+BMILMS!$E$31*AM255^2+BMILMS!$F$31*AM255+BMILMS!$G$31,BMILMS!$D$32*AM255^3+BMILMS!$E$32*AM255^2+BMILMS!$F$32*AM255+BMILMS!$G$32)))))))</f>
        <v>12.568967990000001</v>
      </c>
      <c r="AL255" s="4">
        <f>IF(D255="M",(IF(AM255&lt;90,BMILMS!$D$14*AM255^3+BMILMS!$E$14*AM255^2+BMILMS!$F$14*AM255+BMILMS!$G$14,BMILMS!$D$15*AM255^3+BMILMS!$E$15*AM255^2+BMILMS!$F$15*AM255+BMILMS!$G$15)),(IF(AM255&lt;90,BMILMS!$D$17*AM255^3+BMILMS!$E$17*AM255^2+BMILMS!$F$17*AM255+BMILMS!$G$17,BMILMS!$D$18*AM255^3+BMILMS!$E$18*AM255^2+BMILMS!$F$18*AM255+BMILMS!$G$18)))</f>
        <v>8.8969350000000003E-2</v>
      </c>
      <c r="AM255" s="4">
        <f t="shared" si="83"/>
        <v>0</v>
      </c>
      <c r="AO255" s="56">
        <f>IF(D255="M",WeightSDS!P$5*$AM255^7+WeightSDS!Q$5*$AM255^6+WeightSDS!R$5*$AM255^5+WeightSDS!S$5*$AM255^4+WeightSDS!T$5*$AM255^3+WeightSDS!U$5*$AM255^2+WeightSDS!V$5*$AM255+WeightSDS!W$5,IF($AM255&lt;186,WeightSDS!P$8*$AM255^7+WeightSDS!Q$8*$AM255^6+WeightSDS!R$8*$AM255^5+WeightSDS!S$8*$AM255^4+WeightSDS!T$8*$AM255^3+WeightSDS!U$8*$AM255^2+WeightSDS!V$8*$AM255+WeightSDS!W$8,WeightSDS!$U$9+WeightSDS!$V$9*($AM255-WeightSDS!$W$9)))</f>
        <v>0.75407122999999998</v>
      </c>
      <c r="AP255" s="4">
        <f>IF(D255="M",IF($AM255&lt;45,WeightSDS!M$23*$AM255^10+WeightSDS!N$23*$AM255^9+WeightSDS!O$23*$AM255^8+WeightSDS!P$23*$AM255^7+WeightSDS!Q$23*$AM255^6+WeightSDS!R$23*$AM255^5+WeightSDS!S$23*$AM255^4+WeightSDS!T$23*$AM255^3+WeightSDS!U$23*$AM255^2+WeightSDS!V$23*$AM255+WeightSDS!W$23,IF($AM255&lt;153,WeightSDS!M$25*$AM255^10+WeightSDS!N$25*$AM255^9+WeightSDS!O$25*$AM255^8+WeightSDS!P$25*$AM255^7+WeightSDS!Q$25*$AM255^6+WeightSDS!R$25*$AM255^5+WeightSDS!S$25*$AM255^4+WeightSDS!T$25*$AM255^3+WeightSDS!U$25*$AM255^2+WeightSDS!V$25*$AM255+WeightSDS!W$25,WeightSDS!M$27+WeightSDS!N$27/(1+EXP(WeightSDS!O$27+WeightSDS!P$27*$AM255)))),IF($AM255&lt;43.8,WeightSDS!M$29*$AM255^10+WeightSDS!N$29*$AM255^9+WeightSDS!O$29*$AM255^8+WeightSDS!P$29*$AM255^7+WeightSDS!Q$29*$AM255^6+WeightSDS!R$29*$AM255^5+WeightSDS!S$29*$AM255^4+WeightSDS!T$29*$AM255^3+WeightSDS!U$29*$AM255^2+WeightSDS!V$29*$AM255+WeightSDS!W$29-0.010431*(1-$AM255/210),IF($AM255&lt;123,WeightSDS!M$30*$AM255^10+WeightSDS!N$30*$AM255^9+WeightSDS!O$30*$AM255^8+WeightSDS!P$30*$AM255^7+WeightSDS!Q$30*$AM255^6+WeightSDS!R$30*$AM255^5+WeightSDS!S$30*$AM255^4+WeightSDS!T$30*$AM255^3+WeightSDS!U$30*$AM255^2+WeightSDS!V$30*$AM255+WeightSDS!W$30-0.010431*(1-1/$AM255),WeightSDS!M$32+WeightSDS!N$32/(1+EXP(WeightSDS!O$32+WeightSDS!P$32*$AM255))-0.010431*(1-$AM255/210))))</f>
        <v>2.9500001032655536</v>
      </c>
      <c r="AQ255" s="4">
        <f>IF(D255="M",IF($AM255&lt;162,WeightSDS!P$12*$AM255^7+WeightSDS!Q$12*$AM255^6+WeightSDS!R$12*$AM255^5+WeightSDS!S$12*$AM255^4+WeightSDS!T$12*$AM255^3+WeightSDS!U$12*$AM255^2+WeightSDS!V$12*$AM255+WeightSDS!W$12,WeightSDS!P$14*$AM255^7+WeightSDS!Q$14*$AM255^6+WeightSDS!R$14*$AM255^5+WeightSDS!S$14*$AM255^4+WeightSDS!T$14*$AM255^3+WeightSDS!U$14*$AM255^2+WeightSDS!V$14*$AM255+WeightSDS!W$14),IF($AM255&lt;156,WeightSDS!O$17*$AM255^8+WeightSDS!P$17*$AM255^7+WeightSDS!Q$17*$AM255^6+WeightSDS!R$17*$AM255^5+WeightSDS!S$17*$AM255^4+WeightSDS!T$17*$AM255^3+WeightSDS!U$17*$AM255^2+WeightSDS!V$17*$AM255+WeightSDS!W$17,IF($AM255&lt;186,WeightSDS!$U$18+(WeightSDS!$V$18-WeightSDS!$U$18)/24*($AM255-186)+WeightSDS!$W$18*(-$AM255+186)^2-0.005,WeightSDS!$U$18+(WeightSDS!$V$18-WeightSDS!$U$18)/24*($AM255-186)-0.005)))</f>
        <v>0.14604529399999999</v>
      </c>
      <c r="AT255" s="4">
        <f t="shared" si="70"/>
        <v>0.56299999999999994</v>
      </c>
      <c r="AU255" s="4">
        <f t="shared" si="71"/>
        <v>69</v>
      </c>
      <c r="AV255" s="4">
        <f t="shared" si="72"/>
        <v>0.51</v>
      </c>
    </row>
    <row r="256" spans="1:48" x14ac:dyDescent="0.15">
      <c r="A256" s="4"/>
      <c r="B256" s="21"/>
      <c r="C256" s="21"/>
      <c r="D256" s="21"/>
      <c r="E256" s="22"/>
      <c r="F256" s="22"/>
      <c r="G256" s="23"/>
      <c r="H256" s="23"/>
      <c r="I256" s="181"/>
      <c r="J256" s="8" t="str">
        <f t="shared" si="64"/>
        <v/>
      </c>
      <c r="K256" s="2" t="str">
        <f t="shared" si="73"/>
        <v/>
      </c>
      <c r="L256" s="2" t="str">
        <f t="shared" si="65"/>
        <v/>
      </c>
      <c r="M256" s="2" t="str">
        <f t="shared" si="74"/>
        <v/>
      </c>
      <c r="N256" s="2" t="str">
        <f t="shared" si="82"/>
        <v/>
      </c>
      <c r="O256" s="2" t="str">
        <f t="shared" si="75"/>
        <v/>
      </c>
      <c r="P256" s="8" t="str">
        <f t="shared" si="76"/>
        <v/>
      </c>
      <c r="Q256" s="8" t="str">
        <f t="shared" si="77"/>
        <v/>
      </c>
      <c r="R256" s="111" t="str">
        <f t="shared" si="78"/>
        <v/>
      </c>
      <c r="S256" s="44" t="str">
        <f t="shared" si="79"/>
        <v/>
      </c>
      <c r="T256" s="37" t="str">
        <f t="shared" si="80"/>
        <v/>
      </c>
      <c r="U256" s="44" t="str">
        <f t="shared" si="81"/>
        <v/>
      </c>
      <c r="V256" s="26"/>
      <c r="W256" s="26"/>
      <c r="X256" s="26"/>
      <c r="Y256" s="26"/>
      <c r="Z256" s="24"/>
      <c r="AA256" s="169">
        <f t="shared" si="66"/>
        <v>0</v>
      </c>
      <c r="AB256" s="4">
        <f t="shared" si="67"/>
        <v>0</v>
      </c>
      <c r="AC256" s="170">
        <f t="shared" si="84"/>
        <v>0</v>
      </c>
      <c r="AD256" s="58"/>
      <c r="AE256" s="58"/>
      <c r="AF256" s="58"/>
      <c r="AG256" s="59">
        <f t="shared" si="68"/>
        <v>9.0359999999999996</v>
      </c>
      <c r="AH256" s="59">
        <f t="shared" si="69"/>
        <v>-184.49199999999999</v>
      </c>
      <c r="AJ256" s="4">
        <f>IF(D256="M",IF(AM256&lt;78,BMILMS!$D$5*AM256^3+BMILMS!$E$5*AM256^2+BMILMS!$F$5*AM256+BMILMS!$G$5,IF(AM256&lt;150,BMILMS!$D$6*AM256^3+BMILMS!$E$6*AM256^2+BMILMS!$F$6*AM256+BMILMS!$G$6,BMILMS!$D$7*AM256^3+BMILMS!$E$7*AM256^2+BMILMS!$F$7*AM256+BMILMS!$G$7)),IF(AM256&lt;69,BMILMS!$D$9*AM256^3+BMILMS!$E$9*AM256^2+BMILMS!$F$9*AM256+BMILMS!$G$9,IF(AM256&lt;150,BMILMS!$D$10*AM256^3+BMILMS!$E$10*AM256^2+BMILMS!$F$10*AM256+BMILMS!$G$10,BMILMS!$D$11*AM256^3+BMILMS!$E$11*AM256^2+BMILMS!$F$11*AM256+BMILMS!$G$11)))</f>
        <v>0.79584630099999998</v>
      </c>
      <c r="AK256" s="4">
        <f>IF(D256="M",(IF(AM256&lt;2.5,BMILMS!$D$21*AM256^3+BMILMS!$E$21*AM256^2+BMILMS!$F$21*AM256+BMILMS!$G$21,IF(AM256&lt;9.5,BMILMS!$D$22*AM256^3+BMILMS!$E$22*AM256^2+BMILMS!$F$22*AM256+BMILMS!$G$22,IF(AM256&lt;26.75,BMILMS!$D$23*AM256^3+BMILMS!$E$23*AM256^2+BMILMS!$F$23*AM256+BMILMS!$G$23,IF(AM256&lt;90,BMILMS!$D$24*AM256^3+BMILMS!$E$24*AM256^2+BMILMS!$F$24*AM256+BMILMS!$G$24,BMILMS!$D$25*AM256^3+BMILMS!$E$25*AM256^2+BMILMS!$F$25*AM256+BMILMS!$G$25))))),(IF(AM256&lt;2.5,BMILMS!$D$27*AM256^3+BMILMS!$E$27*AM256^2+BMILMS!$F$27*AM256+BMILMS!$G$27,IF(AM256&lt;9.5,BMILMS!$D$28*AM256^3+BMILMS!$E$28*AM256^2+BMILMS!$F$28*AM256+BMILMS!$G$28,IF(AM256&lt;26.75,BMILMS!$D$29*AM256^3+BMILMS!$E$29*AM256^2+BMILMS!$F$29*AM256+BMILMS!$G$29,IF(AM256&lt;90,BMILMS!$D$30*AM256^3+BMILMS!$E$30*AM256^2+BMILMS!$F$30*AM256+BMILMS!$G$30,IF(AM256&lt;150,BMILMS!$D$31*AM256^3+BMILMS!$E$31*AM256^2+BMILMS!$F$31*AM256+BMILMS!$G$31,BMILMS!$D$32*AM256^3+BMILMS!$E$32*AM256^2+BMILMS!$F$32*AM256+BMILMS!$G$32)))))))</f>
        <v>12.568967990000001</v>
      </c>
      <c r="AL256" s="4">
        <f>IF(D256="M",(IF(AM256&lt;90,BMILMS!$D$14*AM256^3+BMILMS!$E$14*AM256^2+BMILMS!$F$14*AM256+BMILMS!$G$14,BMILMS!$D$15*AM256^3+BMILMS!$E$15*AM256^2+BMILMS!$F$15*AM256+BMILMS!$G$15)),(IF(AM256&lt;90,BMILMS!$D$17*AM256^3+BMILMS!$E$17*AM256^2+BMILMS!$F$17*AM256+BMILMS!$G$17,BMILMS!$D$18*AM256^3+BMILMS!$E$18*AM256^2+BMILMS!$F$18*AM256+BMILMS!$G$18)))</f>
        <v>8.8969350000000003E-2</v>
      </c>
      <c r="AM256" s="4">
        <f t="shared" si="83"/>
        <v>0</v>
      </c>
      <c r="AO256" s="56">
        <f>IF(D256="M",WeightSDS!P$5*$AM256^7+WeightSDS!Q$5*$AM256^6+WeightSDS!R$5*$AM256^5+WeightSDS!S$5*$AM256^4+WeightSDS!T$5*$AM256^3+WeightSDS!U$5*$AM256^2+WeightSDS!V$5*$AM256+WeightSDS!W$5,IF($AM256&lt;186,WeightSDS!P$8*$AM256^7+WeightSDS!Q$8*$AM256^6+WeightSDS!R$8*$AM256^5+WeightSDS!S$8*$AM256^4+WeightSDS!T$8*$AM256^3+WeightSDS!U$8*$AM256^2+WeightSDS!V$8*$AM256+WeightSDS!W$8,WeightSDS!$U$9+WeightSDS!$V$9*($AM256-WeightSDS!$W$9)))</f>
        <v>0.75407122999999998</v>
      </c>
      <c r="AP256" s="4">
        <f>IF(D256="M",IF($AM256&lt;45,WeightSDS!M$23*$AM256^10+WeightSDS!N$23*$AM256^9+WeightSDS!O$23*$AM256^8+WeightSDS!P$23*$AM256^7+WeightSDS!Q$23*$AM256^6+WeightSDS!R$23*$AM256^5+WeightSDS!S$23*$AM256^4+WeightSDS!T$23*$AM256^3+WeightSDS!U$23*$AM256^2+WeightSDS!V$23*$AM256+WeightSDS!W$23,IF($AM256&lt;153,WeightSDS!M$25*$AM256^10+WeightSDS!N$25*$AM256^9+WeightSDS!O$25*$AM256^8+WeightSDS!P$25*$AM256^7+WeightSDS!Q$25*$AM256^6+WeightSDS!R$25*$AM256^5+WeightSDS!S$25*$AM256^4+WeightSDS!T$25*$AM256^3+WeightSDS!U$25*$AM256^2+WeightSDS!V$25*$AM256+WeightSDS!W$25,WeightSDS!M$27+WeightSDS!N$27/(1+EXP(WeightSDS!O$27+WeightSDS!P$27*$AM256)))),IF($AM256&lt;43.8,WeightSDS!M$29*$AM256^10+WeightSDS!N$29*$AM256^9+WeightSDS!O$29*$AM256^8+WeightSDS!P$29*$AM256^7+WeightSDS!Q$29*$AM256^6+WeightSDS!R$29*$AM256^5+WeightSDS!S$29*$AM256^4+WeightSDS!T$29*$AM256^3+WeightSDS!U$29*$AM256^2+WeightSDS!V$29*$AM256+WeightSDS!W$29-0.010431*(1-$AM256/210),IF($AM256&lt;123,WeightSDS!M$30*$AM256^10+WeightSDS!N$30*$AM256^9+WeightSDS!O$30*$AM256^8+WeightSDS!P$30*$AM256^7+WeightSDS!Q$30*$AM256^6+WeightSDS!R$30*$AM256^5+WeightSDS!S$30*$AM256^4+WeightSDS!T$30*$AM256^3+WeightSDS!U$30*$AM256^2+WeightSDS!V$30*$AM256+WeightSDS!W$30-0.010431*(1-1/$AM256),WeightSDS!M$32+WeightSDS!N$32/(1+EXP(WeightSDS!O$32+WeightSDS!P$32*$AM256))-0.010431*(1-$AM256/210))))</f>
        <v>2.9500001032655536</v>
      </c>
      <c r="AQ256" s="4">
        <f>IF(D256="M",IF($AM256&lt;162,WeightSDS!P$12*$AM256^7+WeightSDS!Q$12*$AM256^6+WeightSDS!R$12*$AM256^5+WeightSDS!S$12*$AM256^4+WeightSDS!T$12*$AM256^3+WeightSDS!U$12*$AM256^2+WeightSDS!V$12*$AM256+WeightSDS!W$12,WeightSDS!P$14*$AM256^7+WeightSDS!Q$14*$AM256^6+WeightSDS!R$14*$AM256^5+WeightSDS!S$14*$AM256^4+WeightSDS!T$14*$AM256^3+WeightSDS!U$14*$AM256^2+WeightSDS!V$14*$AM256+WeightSDS!W$14),IF($AM256&lt;156,WeightSDS!O$17*$AM256^8+WeightSDS!P$17*$AM256^7+WeightSDS!Q$17*$AM256^6+WeightSDS!R$17*$AM256^5+WeightSDS!S$17*$AM256^4+WeightSDS!T$17*$AM256^3+WeightSDS!U$17*$AM256^2+WeightSDS!V$17*$AM256+WeightSDS!W$17,IF($AM256&lt;186,WeightSDS!$U$18+(WeightSDS!$V$18-WeightSDS!$U$18)/24*($AM256-186)+WeightSDS!$W$18*(-$AM256+186)^2-0.005,WeightSDS!$U$18+(WeightSDS!$V$18-WeightSDS!$U$18)/24*($AM256-186)-0.005)))</f>
        <v>0.14604529399999999</v>
      </c>
      <c r="AT256" s="4">
        <f t="shared" si="70"/>
        <v>0.56299999999999994</v>
      </c>
      <c r="AU256" s="4">
        <f t="shared" si="71"/>
        <v>69</v>
      </c>
      <c r="AV256" s="4">
        <f t="shared" si="72"/>
        <v>0.51</v>
      </c>
    </row>
    <row r="257" spans="1:48" x14ac:dyDescent="0.15">
      <c r="A257" s="4"/>
      <c r="B257" s="21"/>
      <c r="C257" s="21"/>
      <c r="D257" s="21"/>
      <c r="E257" s="22"/>
      <c r="F257" s="22"/>
      <c r="G257" s="23"/>
      <c r="H257" s="23"/>
      <c r="I257" s="181"/>
      <c r="J257" s="8" t="str">
        <f t="shared" si="64"/>
        <v/>
      </c>
      <c r="K257" s="2" t="str">
        <f t="shared" si="73"/>
        <v/>
      </c>
      <c r="L257" s="2" t="str">
        <f t="shared" si="65"/>
        <v/>
      </c>
      <c r="M257" s="2" t="str">
        <f t="shared" si="74"/>
        <v/>
      </c>
      <c r="N257" s="2" t="str">
        <f t="shared" si="82"/>
        <v/>
      </c>
      <c r="O257" s="2" t="str">
        <f t="shared" si="75"/>
        <v/>
      </c>
      <c r="P257" s="8" t="str">
        <f t="shared" si="76"/>
        <v/>
      </c>
      <c r="Q257" s="8" t="str">
        <f t="shared" si="77"/>
        <v/>
      </c>
      <c r="R257" s="111" t="str">
        <f t="shared" si="78"/>
        <v/>
      </c>
      <c r="S257" s="44" t="str">
        <f t="shared" si="79"/>
        <v/>
      </c>
      <c r="T257" s="37" t="str">
        <f t="shared" si="80"/>
        <v/>
      </c>
      <c r="U257" s="44" t="str">
        <f t="shared" si="81"/>
        <v/>
      </c>
      <c r="V257" s="26"/>
      <c r="W257" s="26"/>
      <c r="X257" s="26"/>
      <c r="Y257" s="26"/>
      <c r="Z257" s="24"/>
      <c r="AA257" s="169">
        <f t="shared" si="66"/>
        <v>0</v>
      </c>
      <c r="AB257" s="4">
        <f t="shared" si="67"/>
        <v>0</v>
      </c>
      <c r="AC257" s="170">
        <f t="shared" si="84"/>
        <v>0</v>
      </c>
      <c r="AD257" s="58"/>
      <c r="AE257" s="58"/>
      <c r="AF257" s="58"/>
      <c r="AG257" s="59">
        <f t="shared" si="68"/>
        <v>9.0359999999999996</v>
      </c>
      <c r="AH257" s="59">
        <f t="shared" si="69"/>
        <v>-184.49199999999999</v>
      </c>
      <c r="AJ257" s="4">
        <f>IF(D257="M",IF(AM257&lt;78,BMILMS!$D$5*AM257^3+BMILMS!$E$5*AM257^2+BMILMS!$F$5*AM257+BMILMS!$G$5,IF(AM257&lt;150,BMILMS!$D$6*AM257^3+BMILMS!$E$6*AM257^2+BMILMS!$F$6*AM257+BMILMS!$G$6,BMILMS!$D$7*AM257^3+BMILMS!$E$7*AM257^2+BMILMS!$F$7*AM257+BMILMS!$G$7)),IF(AM257&lt;69,BMILMS!$D$9*AM257^3+BMILMS!$E$9*AM257^2+BMILMS!$F$9*AM257+BMILMS!$G$9,IF(AM257&lt;150,BMILMS!$D$10*AM257^3+BMILMS!$E$10*AM257^2+BMILMS!$F$10*AM257+BMILMS!$G$10,BMILMS!$D$11*AM257^3+BMILMS!$E$11*AM257^2+BMILMS!$F$11*AM257+BMILMS!$G$11)))</f>
        <v>0.79584630099999998</v>
      </c>
      <c r="AK257" s="4">
        <f>IF(D257="M",(IF(AM257&lt;2.5,BMILMS!$D$21*AM257^3+BMILMS!$E$21*AM257^2+BMILMS!$F$21*AM257+BMILMS!$G$21,IF(AM257&lt;9.5,BMILMS!$D$22*AM257^3+BMILMS!$E$22*AM257^2+BMILMS!$F$22*AM257+BMILMS!$G$22,IF(AM257&lt;26.75,BMILMS!$D$23*AM257^3+BMILMS!$E$23*AM257^2+BMILMS!$F$23*AM257+BMILMS!$G$23,IF(AM257&lt;90,BMILMS!$D$24*AM257^3+BMILMS!$E$24*AM257^2+BMILMS!$F$24*AM257+BMILMS!$G$24,BMILMS!$D$25*AM257^3+BMILMS!$E$25*AM257^2+BMILMS!$F$25*AM257+BMILMS!$G$25))))),(IF(AM257&lt;2.5,BMILMS!$D$27*AM257^3+BMILMS!$E$27*AM257^2+BMILMS!$F$27*AM257+BMILMS!$G$27,IF(AM257&lt;9.5,BMILMS!$D$28*AM257^3+BMILMS!$E$28*AM257^2+BMILMS!$F$28*AM257+BMILMS!$G$28,IF(AM257&lt;26.75,BMILMS!$D$29*AM257^3+BMILMS!$E$29*AM257^2+BMILMS!$F$29*AM257+BMILMS!$G$29,IF(AM257&lt;90,BMILMS!$D$30*AM257^3+BMILMS!$E$30*AM257^2+BMILMS!$F$30*AM257+BMILMS!$G$30,IF(AM257&lt;150,BMILMS!$D$31*AM257^3+BMILMS!$E$31*AM257^2+BMILMS!$F$31*AM257+BMILMS!$G$31,BMILMS!$D$32*AM257^3+BMILMS!$E$32*AM257^2+BMILMS!$F$32*AM257+BMILMS!$G$32)))))))</f>
        <v>12.568967990000001</v>
      </c>
      <c r="AL257" s="4">
        <f>IF(D257="M",(IF(AM257&lt;90,BMILMS!$D$14*AM257^3+BMILMS!$E$14*AM257^2+BMILMS!$F$14*AM257+BMILMS!$G$14,BMILMS!$D$15*AM257^3+BMILMS!$E$15*AM257^2+BMILMS!$F$15*AM257+BMILMS!$G$15)),(IF(AM257&lt;90,BMILMS!$D$17*AM257^3+BMILMS!$E$17*AM257^2+BMILMS!$F$17*AM257+BMILMS!$G$17,BMILMS!$D$18*AM257^3+BMILMS!$E$18*AM257^2+BMILMS!$F$18*AM257+BMILMS!$G$18)))</f>
        <v>8.8969350000000003E-2</v>
      </c>
      <c r="AM257" s="4">
        <f t="shared" si="83"/>
        <v>0</v>
      </c>
      <c r="AO257" s="56">
        <f>IF(D257="M",WeightSDS!P$5*$AM257^7+WeightSDS!Q$5*$AM257^6+WeightSDS!R$5*$AM257^5+WeightSDS!S$5*$AM257^4+WeightSDS!T$5*$AM257^3+WeightSDS!U$5*$AM257^2+WeightSDS!V$5*$AM257+WeightSDS!W$5,IF($AM257&lt;186,WeightSDS!P$8*$AM257^7+WeightSDS!Q$8*$AM257^6+WeightSDS!R$8*$AM257^5+WeightSDS!S$8*$AM257^4+WeightSDS!T$8*$AM257^3+WeightSDS!U$8*$AM257^2+WeightSDS!V$8*$AM257+WeightSDS!W$8,WeightSDS!$U$9+WeightSDS!$V$9*($AM257-WeightSDS!$W$9)))</f>
        <v>0.75407122999999998</v>
      </c>
      <c r="AP257" s="4">
        <f>IF(D257="M",IF($AM257&lt;45,WeightSDS!M$23*$AM257^10+WeightSDS!N$23*$AM257^9+WeightSDS!O$23*$AM257^8+WeightSDS!P$23*$AM257^7+WeightSDS!Q$23*$AM257^6+WeightSDS!R$23*$AM257^5+WeightSDS!S$23*$AM257^4+WeightSDS!T$23*$AM257^3+WeightSDS!U$23*$AM257^2+WeightSDS!V$23*$AM257+WeightSDS!W$23,IF($AM257&lt;153,WeightSDS!M$25*$AM257^10+WeightSDS!N$25*$AM257^9+WeightSDS!O$25*$AM257^8+WeightSDS!P$25*$AM257^7+WeightSDS!Q$25*$AM257^6+WeightSDS!R$25*$AM257^5+WeightSDS!S$25*$AM257^4+WeightSDS!T$25*$AM257^3+WeightSDS!U$25*$AM257^2+WeightSDS!V$25*$AM257+WeightSDS!W$25,WeightSDS!M$27+WeightSDS!N$27/(1+EXP(WeightSDS!O$27+WeightSDS!P$27*$AM257)))),IF($AM257&lt;43.8,WeightSDS!M$29*$AM257^10+WeightSDS!N$29*$AM257^9+WeightSDS!O$29*$AM257^8+WeightSDS!P$29*$AM257^7+WeightSDS!Q$29*$AM257^6+WeightSDS!R$29*$AM257^5+WeightSDS!S$29*$AM257^4+WeightSDS!T$29*$AM257^3+WeightSDS!U$29*$AM257^2+WeightSDS!V$29*$AM257+WeightSDS!W$29-0.010431*(1-$AM257/210),IF($AM257&lt;123,WeightSDS!M$30*$AM257^10+WeightSDS!N$30*$AM257^9+WeightSDS!O$30*$AM257^8+WeightSDS!P$30*$AM257^7+WeightSDS!Q$30*$AM257^6+WeightSDS!R$30*$AM257^5+WeightSDS!S$30*$AM257^4+WeightSDS!T$30*$AM257^3+WeightSDS!U$30*$AM257^2+WeightSDS!V$30*$AM257+WeightSDS!W$30-0.010431*(1-1/$AM257),WeightSDS!M$32+WeightSDS!N$32/(1+EXP(WeightSDS!O$32+WeightSDS!P$32*$AM257))-0.010431*(1-$AM257/210))))</f>
        <v>2.9500001032655536</v>
      </c>
      <c r="AQ257" s="4">
        <f>IF(D257="M",IF($AM257&lt;162,WeightSDS!P$12*$AM257^7+WeightSDS!Q$12*$AM257^6+WeightSDS!R$12*$AM257^5+WeightSDS!S$12*$AM257^4+WeightSDS!T$12*$AM257^3+WeightSDS!U$12*$AM257^2+WeightSDS!V$12*$AM257+WeightSDS!W$12,WeightSDS!P$14*$AM257^7+WeightSDS!Q$14*$AM257^6+WeightSDS!R$14*$AM257^5+WeightSDS!S$14*$AM257^4+WeightSDS!T$14*$AM257^3+WeightSDS!U$14*$AM257^2+WeightSDS!V$14*$AM257+WeightSDS!W$14),IF($AM257&lt;156,WeightSDS!O$17*$AM257^8+WeightSDS!P$17*$AM257^7+WeightSDS!Q$17*$AM257^6+WeightSDS!R$17*$AM257^5+WeightSDS!S$17*$AM257^4+WeightSDS!T$17*$AM257^3+WeightSDS!U$17*$AM257^2+WeightSDS!V$17*$AM257+WeightSDS!W$17,IF($AM257&lt;186,WeightSDS!$U$18+(WeightSDS!$V$18-WeightSDS!$U$18)/24*($AM257-186)+WeightSDS!$W$18*(-$AM257+186)^2-0.005,WeightSDS!$U$18+(WeightSDS!$V$18-WeightSDS!$U$18)/24*($AM257-186)-0.005)))</f>
        <v>0.14604529399999999</v>
      </c>
      <c r="AT257" s="4">
        <f t="shared" si="70"/>
        <v>0.56299999999999994</v>
      </c>
      <c r="AU257" s="4">
        <f t="shared" si="71"/>
        <v>69</v>
      </c>
      <c r="AV257" s="4">
        <f t="shared" si="72"/>
        <v>0.51</v>
      </c>
    </row>
    <row r="258" spans="1:48" x14ac:dyDescent="0.15">
      <c r="A258" s="4"/>
      <c r="B258" s="21"/>
      <c r="C258" s="21"/>
      <c r="D258" s="21"/>
      <c r="E258" s="22"/>
      <c r="F258" s="22"/>
      <c r="G258" s="23"/>
      <c r="H258" s="23"/>
      <c r="I258" s="181"/>
      <c r="J258" s="8" t="str">
        <f t="shared" si="64"/>
        <v/>
      </c>
      <c r="K258" s="2" t="str">
        <f t="shared" si="73"/>
        <v/>
      </c>
      <c r="L258" s="2" t="str">
        <f t="shared" si="65"/>
        <v/>
      </c>
      <c r="M258" s="2" t="str">
        <f t="shared" si="74"/>
        <v/>
      </c>
      <c r="N258" s="2" t="str">
        <f t="shared" si="82"/>
        <v/>
      </c>
      <c r="O258" s="2" t="str">
        <f t="shared" si="75"/>
        <v/>
      </c>
      <c r="P258" s="8" t="str">
        <f t="shared" si="76"/>
        <v/>
      </c>
      <c r="Q258" s="8" t="str">
        <f t="shared" si="77"/>
        <v/>
      </c>
      <c r="R258" s="111" t="str">
        <f t="shared" si="78"/>
        <v/>
      </c>
      <c r="S258" s="44" t="str">
        <f t="shared" si="79"/>
        <v/>
      </c>
      <c r="T258" s="37" t="str">
        <f t="shared" si="80"/>
        <v/>
      </c>
      <c r="U258" s="44" t="str">
        <f t="shared" si="81"/>
        <v/>
      </c>
      <c r="V258" s="26"/>
      <c r="W258" s="26"/>
      <c r="X258" s="26"/>
      <c r="Y258" s="26"/>
      <c r="Z258" s="24"/>
      <c r="AA258" s="169">
        <f t="shared" si="66"/>
        <v>0</v>
      </c>
      <c r="AB258" s="4">
        <f t="shared" si="67"/>
        <v>0</v>
      </c>
      <c r="AC258" s="170">
        <f t="shared" si="84"/>
        <v>0</v>
      </c>
      <c r="AD258" s="58"/>
      <c r="AE258" s="58"/>
      <c r="AF258" s="58"/>
      <c r="AG258" s="59">
        <f t="shared" si="68"/>
        <v>9.0359999999999996</v>
      </c>
      <c r="AH258" s="59">
        <f t="shared" si="69"/>
        <v>-184.49199999999999</v>
      </c>
      <c r="AJ258" s="4">
        <f>IF(D258="M",IF(AM258&lt;78,BMILMS!$D$5*AM258^3+BMILMS!$E$5*AM258^2+BMILMS!$F$5*AM258+BMILMS!$G$5,IF(AM258&lt;150,BMILMS!$D$6*AM258^3+BMILMS!$E$6*AM258^2+BMILMS!$F$6*AM258+BMILMS!$G$6,BMILMS!$D$7*AM258^3+BMILMS!$E$7*AM258^2+BMILMS!$F$7*AM258+BMILMS!$G$7)),IF(AM258&lt;69,BMILMS!$D$9*AM258^3+BMILMS!$E$9*AM258^2+BMILMS!$F$9*AM258+BMILMS!$G$9,IF(AM258&lt;150,BMILMS!$D$10*AM258^3+BMILMS!$E$10*AM258^2+BMILMS!$F$10*AM258+BMILMS!$G$10,BMILMS!$D$11*AM258^3+BMILMS!$E$11*AM258^2+BMILMS!$F$11*AM258+BMILMS!$G$11)))</f>
        <v>0.79584630099999998</v>
      </c>
      <c r="AK258" s="4">
        <f>IF(D258="M",(IF(AM258&lt;2.5,BMILMS!$D$21*AM258^3+BMILMS!$E$21*AM258^2+BMILMS!$F$21*AM258+BMILMS!$G$21,IF(AM258&lt;9.5,BMILMS!$D$22*AM258^3+BMILMS!$E$22*AM258^2+BMILMS!$F$22*AM258+BMILMS!$G$22,IF(AM258&lt;26.75,BMILMS!$D$23*AM258^3+BMILMS!$E$23*AM258^2+BMILMS!$F$23*AM258+BMILMS!$G$23,IF(AM258&lt;90,BMILMS!$D$24*AM258^3+BMILMS!$E$24*AM258^2+BMILMS!$F$24*AM258+BMILMS!$G$24,BMILMS!$D$25*AM258^3+BMILMS!$E$25*AM258^2+BMILMS!$F$25*AM258+BMILMS!$G$25))))),(IF(AM258&lt;2.5,BMILMS!$D$27*AM258^3+BMILMS!$E$27*AM258^2+BMILMS!$F$27*AM258+BMILMS!$G$27,IF(AM258&lt;9.5,BMILMS!$D$28*AM258^3+BMILMS!$E$28*AM258^2+BMILMS!$F$28*AM258+BMILMS!$G$28,IF(AM258&lt;26.75,BMILMS!$D$29*AM258^3+BMILMS!$E$29*AM258^2+BMILMS!$F$29*AM258+BMILMS!$G$29,IF(AM258&lt;90,BMILMS!$D$30*AM258^3+BMILMS!$E$30*AM258^2+BMILMS!$F$30*AM258+BMILMS!$G$30,IF(AM258&lt;150,BMILMS!$D$31*AM258^3+BMILMS!$E$31*AM258^2+BMILMS!$F$31*AM258+BMILMS!$G$31,BMILMS!$D$32*AM258^3+BMILMS!$E$32*AM258^2+BMILMS!$F$32*AM258+BMILMS!$G$32)))))))</f>
        <v>12.568967990000001</v>
      </c>
      <c r="AL258" s="4">
        <f>IF(D258="M",(IF(AM258&lt;90,BMILMS!$D$14*AM258^3+BMILMS!$E$14*AM258^2+BMILMS!$F$14*AM258+BMILMS!$G$14,BMILMS!$D$15*AM258^3+BMILMS!$E$15*AM258^2+BMILMS!$F$15*AM258+BMILMS!$G$15)),(IF(AM258&lt;90,BMILMS!$D$17*AM258^3+BMILMS!$E$17*AM258^2+BMILMS!$F$17*AM258+BMILMS!$G$17,BMILMS!$D$18*AM258^3+BMILMS!$E$18*AM258^2+BMILMS!$F$18*AM258+BMILMS!$G$18)))</f>
        <v>8.8969350000000003E-2</v>
      </c>
      <c r="AM258" s="4">
        <f t="shared" si="83"/>
        <v>0</v>
      </c>
      <c r="AO258" s="56">
        <f>IF(D258="M",WeightSDS!P$5*$AM258^7+WeightSDS!Q$5*$AM258^6+WeightSDS!R$5*$AM258^5+WeightSDS!S$5*$AM258^4+WeightSDS!T$5*$AM258^3+WeightSDS!U$5*$AM258^2+WeightSDS!V$5*$AM258+WeightSDS!W$5,IF($AM258&lt;186,WeightSDS!P$8*$AM258^7+WeightSDS!Q$8*$AM258^6+WeightSDS!R$8*$AM258^5+WeightSDS!S$8*$AM258^4+WeightSDS!T$8*$AM258^3+WeightSDS!U$8*$AM258^2+WeightSDS!V$8*$AM258+WeightSDS!W$8,WeightSDS!$U$9+WeightSDS!$V$9*($AM258-WeightSDS!$W$9)))</f>
        <v>0.75407122999999998</v>
      </c>
      <c r="AP258" s="4">
        <f>IF(D258="M",IF($AM258&lt;45,WeightSDS!M$23*$AM258^10+WeightSDS!N$23*$AM258^9+WeightSDS!O$23*$AM258^8+WeightSDS!P$23*$AM258^7+WeightSDS!Q$23*$AM258^6+WeightSDS!R$23*$AM258^5+WeightSDS!S$23*$AM258^4+WeightSDS!T$23*$AM258^3+WeightSDS!U$23*$AM258^2+WeightSDS!V$23*$AM258+WeightSDS!W$23,IF($AM258&lt;153,WeightSDS!M$25*$AM258^10+WeightSDS!N$25*$AM258^9+WeightSDS!O$25*$AM258^8+WeightSDS!P$25*$AM258^7+WeightSDS!Q$25*$AM258^6+WeightSDS!R$25*$AM258^5+WeightSDS!S$25*$AM258^4+WeightSDS!T$25*$AM258^3+WeightSDS!U$25*$AM258^2+WeightSDS!V$25*$AM258+WeightSDS!W$25,WeightSDS!M$27+WeightSDS!N$27/(1+EXP(WeightSDS!O$27+WeightSDS!P$27*$AM258)))),IF($AM258&lt;43.8,WeightSDS!M$29*$AM258^10+WeightSDS!N$29*$AM258^9+WeightSDS!O$29*$AM258^8+WeightSDS!P$29*$AM258^7+WeightSDS!Q$29*$AM258^6+WeightSDS!R$29*$AM258^5+WeightSDS!S$29*$AM258^4+WeightSDS!T$29*$AM258^3+WeightSDS!U$29*$AM258^2+WeightSDS!V$29*$AM258+WeightSDS!W$29-0.010431*(1-$AM258/210),IF($AM258&lt;123,WeightSDS!M$30*$AM258^10+WeightSDS!N$30*$AM258^9+WeightSDS!O$30*$AM258^8+WeightSDS!P$30*$AM258^7+WeightSDS!Q$30*$AM258^6+WeightSDS!R$30*$AM258^5+WeightSDS!S$30*$AM258^4+WeightSDS!T$30*$AM258^3+WeightSDS!U$30*$AM258^2+WeightSDS!V$30*$AM258+WeightSDS!W$30-0.010431*(1-1/$AM258),WeightSDS!M$32+WeightSDS!N$32/(1+EXP(WeightSDS!O$32+WeightSDS!P$32*$AM258))-0.010431*(1-$AM258/210))))</f>
        <v>2.9500001032655536</v>
      </c>
      <c r="AQ258" s="4">
        <f>IF(D258="M",IF($AM258&lt;162,WeightSDS!P$12*$AM258^7+WeightSDS!Q$12*$AM258^6+WeightSDS!R$12*$AM258^5+WeightSDS!S$12*$AM258^4+WeightSDS!T$12*$AM258^3+WeightSDS!U$12*$AM258^2+WeightSDS!V$12*$AM258+WeightSDS!W$12,WeightSDS!P$14*$AM258^7+WeightSDS!Q$14*$AM258^6+WeightSDS!R$14*$AM258^5+WeightSDS!S$14*$AM258^4+WeightSDS!T$14*$AM258^3+WeightSDS!U$14*$AM258^2+WeightSDS!V$14*$AM258+WeightSDS!W$14),IF($AM258&lt;156,WeightSDS!O$17*$AM258^8+WeightSDS!P$17*$AM258^7+WeightSDS!Q$17*$AM258^6+WeightSDS!R$17*$AM258^5+WeightSDS!S$17*$AM258^4+WeightSDS!T$17*$AM258^3+WeightSDS!U$17*$AM258^2+WeightSDS!V$17*$AM258+WeightSDS!W$17,IF($AM258&lt;186,WeightSDS!$U$18+(WeightSDS!$V$18-WeightSDS!$U$18)/24*($AM258-186)+WeightSDS!$W$18*(-$AM258+186)^2-0.005,WeightSDS!$U$18+(WeightSDS!$V$18-WeightSDS!$U$18)/24*($AM258-186)-0.005)))</f>
        <v>0.14604529399999999</v>
      </c>
      <c r="AT258" s="4">
        <f t="shared" si="70"/>
        <v>0.56299999999999994</v>
      </c>
      <c r="AU258" s="4">
        <f t="shared" si="71"/>
        <v>69</v>
      </c>
      <c r="AV258" s="4">
        <f t="shared" si="72"/>
        <v>0.51</v>
      </c>
    </row>
    <row r="259" spans="1:48" x14ac:dyDescent="0.15">
      <c r="A259" s="4"/>
      <c r="B259" s="21"/>
      <c r="C259" s="21"/>
      <c r="D259" s="21"/>
      <c r="E259" s="22"/>
      <c r="F259" s="22"/>
      <c r="G259" s="23"/>
      <c r="H259" s="23"/>
      <c r="I259" s="181"/>
      <c r="J259" s="8" t="str">
        <f t="shared" ref="J259:J322" si="85">IF(COUNTA(D259,E259,F259,G259)=4,IF(AA259+AB259/12&gt;17.583,"       *",(G259-(INDEX(IF(D259="F",Hfemalemean,Hmalemean),AB259+1,AA259+1)))/(INDEX(IF(D259="F",Hfemalesd,Hmalesd),AB259+1,AA259+1))),"")</f>
        <v/>
      </c>
      <c r="K259" s="2" t="str">
        <f t="shared" si="73"/>
        <v/>
      </c>
      <c r="L259" s="2" t="str">
        <f t="shared" ref="L259:L322" si="86">IF(COUNTA(D259,E259,F259,G259,H259)&lt;5,"",IF(T259&lt;6,"       *",IF(AA259+AB259/12&gt;=17.583,"       *",(H259-G259*INDEX(IF(D259="F",muratafemale,muratamale),AA259-4,1)-INDEX(IF(D259="F",muratafemale,muratamale),AA259-4,2))/(G259*INDEX(IF(D259="F",muratafemale,muratamale),AA259-4,1)+INDEX(IF(D259="F",muratafemale,muratamale),AA259-4,2))*100)))</f>
        <v/>
      </c>
      <c r="M259" s="2" t="str">
        <f t="shared" si="74"/>
        <v/>
      </c>
      <c r="N259" s="2" t="str">
        <f t="shared" si="82"/>
        <v/>
      </c>
      <c r="O259" s="2" t="str">
        <f t="shared" si="75"/>
        <v/>
      </c>
      <c r="P259" s="8" t="str">
        <f t="shared" si="76"/>
        <v/>
      </c>
      <c r="Q259" s="8" t="str">
        <f t="shared" si="77"/>
        <v/>
      </c>
      <c r="R259" s="111" t="str">
        <f t="shared" si="78"/>
        <v/>
      </c>
      <c r="S259" s="44" t="str">
        <f t="shared" si="79"/>
        <v/>
      </c>
      <c r="T259" s="37" t="str">
        <f t="shared" si="80"/>
        <v/>
      </c>
      <c r="U259" s="44" t="str">
        <f t="shared" si="81"/>
        <v/>
      </c>
      <c r="V259" s="26"/>
      <c r="W259" s="26"/>
      <c r="X259" s="26"/>
      <c r="Y259" s="26"/>
      <c r="Z259" s="24"/>
      <c r="AA259" s="169">
        <f t="shared" ref="AA259:AA322" si="87">DATEDIF(E259,F259,"Y")</f>
        <v>0</v>
      </c>
      <c r="AB259" s="4">
        <f t="shared" ref="AB259:AB322" si="88">DATEDIF(E259,F259,"YM")</f>
        <v>0</v>
      </c>
      <c r="AC259" s="170">
        <f t="shared" si="84"/>
        <v>0</v>
      </c>
      <c r="AD259" s="58"/>
      <c r="AE259" s="58"/>
      <c r="AF259" s="58"/>
      <c r="AG259" s="59">
        <f t="shared" ref="AG259:AG322" si="89">IF(D259="M",2.06*10^-3*G259^2-0.1166*G259+6.5273,2.49*10^-3*G259^2-0.1858*G259+9.036)</f>
        <v>9.0359999999999996</v>
      </c>
      <c r="AH259" s="59">
        <f t="shared" ref="AH259:AH322" si="90">((G259/100)^3*INDEX(itoOI,IF(D259="M",0,3)+IF(G259&lt;140,1,IF(G259&lt;=149,2,3)),1)+(G259/100)^2*INDEX(itoOI,IF(D259="M",0,3)+IF(G259&lt;140,1,IF(G259&lt;=149,2,3)),2)+(G259/100)*INDEX(itoOI,IF(D259="M",0,3)+IF(G259&lt;140,1,IF(G259&lt;=149,2,3)),3)+INDEX(itoOI,IF(D259="M",0,3)+IF(G259&lt;140,1,IF(G259&lt;=149,2,3)),4))</f>
        <v>-184.49199999999999</v>
      </c>
      <c r="AJ259" s="4">
        <f>IF(D259="M",IF(AM259&lt;78,BMILMS!$D$5*AM259^3+BMILMS!$E$5*AM259^2+BMILMS!$F$5*AM259+BMILMS!$G$5,IF(AM259&lt;150,BMILMS!$D$6*AM259^3+BMILMS!$E$6*AM259^2+BMILMS!$F$6*AM259+BMILMS!$G$6,BMILMS!$D$7*AM259^3+BMILMS!$E$7*AM259^2+BMILMS!$F$7*AM259+BMILMS!$G$7)),IF(AM259&lt;69,BMILMS!$D$9*AM259^3+BMILMS!$E$9*AM259^2+BMILMS!$F$9*AM259+BMILMS!$G$9,IF(AM259&lt;150,BMILMS!$D$10*AM259^3+BMILMS!$E$10*AM259^2+BMILMS!$F$10*AM259+BMILMS!$G$10,BMILMS!$D$11*AM259^3+BMILMS!$E$11*AM259^2+BMILMS!$F$11*AM259+BMILMS!$G$11)))</f>
        <v>0.79584630099999998</v>
      </c>
      <c r="AK259" s="4">
        <f>IF(D259="M",(IF(AM259&lt;2.5,BMILMS!$D$21*AM259^3+BMILMS!$E$21*AM259^2+BMILMS!$F$21*AM259+BMILMS!$G$21,IF(AM259&lt;9.5,BMILMS!$D$22*AM259^3+BMILMS!$E$22*AM259^2+BMILMS!$F$22*AM259+BMILMS!$G$22,IF(AM259&lt;26.75,BMILMS!$D$23*AM259^3+BMILMS!$E$23*AM259^2+BMILMS!$F$23*AM259+BMILMS!$G$23,IF(AM259&lt;90,BMILMS!$D$24*AM259^3+BMILMS!$E$24*AM259^2+BMILMS!$F$24*AM259+BMILMS!$G$24,BMILMS!$D$25*AM259^3+BMILMS!$E$25*AM259^2+BMILMS!$F$25*AM259+BMILMS!$G$25))))),(IF(AM259&lt;2.5,BMILMS!$D$27*AM259^3+BMILMS!$E$27*AM259^2+BMILMS!$F$27*AM259+BMILMS!$G$27,IF(AM259&lt;9.5,BMILMS!$D$28*AM259^3+BMILMS!$E$28*AM259^2+BMILMS!$F$28*AM259+BMILMS!$G$28,IF(AM259&lt;26.75,BMILMS!$D$29*AM259^3+BMILMS!$E$29*AM259^2+BMILMS!$F$29*AM259+BMILMS!$G$29,IF(AM259&lt;90,BMILMS!$D$30*AM259^3+BMILMS!$E$30*AM259^2+BMILMS!$F$30*AM259+BMILMS!$G$30,IF(AM259&lt;150,BMILMS!$D$31*AM259^3+BMILMS!$E$31*AM259^2+BMILMS!$F$31*AM259+BMILMS!$G$31,BMILMS!$D$32*AM259^3+BMILMS!$E$32*AM259^2+BMILMS!$F$32*AM259+BMILMS!$G$32)))))))</f>
        <v>12.568967990000001</v>
      </c>
      <c r="AL259" s="4">
        <f>IF(D259="M",(IF(AM259&lt;90,BMILMS!$D$14*AM259^3+BMILMS!$E$14*AM259^2+BMILMS!$F$14*AM259+BMILMS!$G$14,BMILMS!$D$15*AM259^3+BMILMS!$E$15*AM259^2+BMILMS!$F$15*AM259+BMILMS!$G$15)),(IF(AM259&lt;90,BMILMS!$D$17*AM259^3+BMILMS!$E$17*AM259^2+BMILMS!$F$17*AM259+BMILMS!$G$17,BMILMS!$D$18*AM259^3+BMILMS!$E$18*AM259^2+BMILMS!$F$18*AM259+BMILMS!$G$18)))</f>
        <v>8.8969350000000003E-2</v>
      </c>
      <c r="AM259" s="4">
        <f t="shared" si="83"/>
        <v>0</v>
      </c>
      <c r="AO259" s="56">
        <f>IF(D259="M",WeightSDS!P$5*$AM259^7+WeightSDS!Q$5*$AM259^6+WeightSDS!R$5*$AM259^5+WeightSDS!S$5*$AM259^4+WeightSDS!T$5*$AM259^3+WeightSDS!U$5*$AM259^2+WeightSDS!V$5*$AM259+WeightSDS!W$5,IF($AM259&lt;186,WeightSDS!P$8*$AM259^7+WeightSDS!Q$8*$AM259^6+WeightSDS!R$8*$AM259^5+WeightSDS!S$8*$AM259^4+WeightSDS!T$8*$AM259^3+WeightSDS!U$8*$AM259^2+WeightSDS!V$8*$AM259+WeightSDS!W$8,WeightSDS!$U$9+WeightSDS!$V$9*($AM259-WeightSDS!$W$9)))</f>
        <v>0.75407122999999998</v>
      </c>
      <c r="AP259" s="4">
        <f>IF(D259="M",IF($AM259&lt;45,WeightSDS!M$23*$AM259^10+WeightSDS!N$23*$AM259^9+WeightSDS!O$23*$AM259^8+WeightSDS!P$23*$AM259^7+WeightSDS!Q$23*$AM259^6+WeightSDS!R$23*$AM259^5+WeightSDS!S$23*$AM259^4+WeightSDS!T$23*$AM259^3+WeightSDS!U$23*$AM259^2+WeightSDS!V$23*$AM259+WeightSDS!W$23,IF($AM259&lt;153,WeightSDS!M$25*$AM259^10+WeightSDS!N$25*$AM259^9+WeightSDS!O$25*$AM259^8+WeightSDS!P$25*$AM259^7+WeightSDS!Q$25*$AM259^6+WeightSDS!R$25*$AM259^5+WeightSDS!S$25*$AM259^4+WeightSDS!T$25*$AM259^3+WeightSDS!U$25*$AM259^2+WeightSDS!V$25*$AM259+WeightSDS!W$25,WeightSDS!M$27+WeightSDS!N$27/(1+EXP(WeightSDS!O$27+WeightSDS!P$27*$AM259)))),IF($AM259&lt;43.8,WeightSDS!M$29*$AM259^10+WeightSDS!N$29*$AM259^9+WeightSDS!O$29*$AM259^8+WeightSDS!P$29*$AM259^7+WeightSDS!Q$29*$AM259^6+WeightSDS!R$29*$AM259^5+WeightSDS!S$29*$AM259^4+WeightSDS!T$29*$AM259^3+WeightSDS!U$29*$AM259^2+WeightSDS!V$29*$AM259+WeightSDS!W$29-0.010431*(1-$AM259/210),IF($AM259&lt;123,WeightSDS!M$30*$AM259^10+WeightSDS!N$30*$AM259^9+WeightSDS!O$30*$AM259^8+WeightSDS!P$30*$AM259^7+WeightSDS!Q$30*$AM259^6+WeightSDS!R$30*$AM259^5+WeightSDS!S$30*$AM259^4+WeightSDS!T$30*$AM259^3+WeightSDS!U$30*$AM259^2+WeightSDS!V$30*$AM259+WeightSDS!W$30-0.010431*(1-1/$AM259),WeightSDS!M$32+WeightSDS!N$32/(1+EXP(WeightSDS!O$32+WeightSDS!P$32*$AM259))-0.010431*(1-$AM259/210))))</f>
        <v>2.9500001032655536</v>
      </c>
      <c r="AQ259" s="4">
        <f>IF(D259="M",IF($AM259&lt;162,WeightSDS!P$12*$AM259^7+WeightSDS!Q$12*$AM259^6+WeightSDS!R$12*$AM259^5+WeightSDS!S$12*$AM259^4+WeightSDS!T$12*$AM259^3+WeightSDS!U$12*$AM259^2+WeightSDS!V$12*$AM259+WeightSDS!W$12,WeightSDS!P$14*$AM259^7+WeightSDS!Q$14*$AM259^6+WeightSDS!R$14*$AM259^5+WeightSDS!S$14*$AM259^4+WeightSDS!T$14*$AM259^3+WeightSDS!U$14*$AM259^2+WeightSDS!V$14*$AM259+WeightSDS!W$14),IF($AM259&lt;156,WeightSDS!O$17*$AM259^8+WeightSDS!P$17*$AM259^7+WeightSDS!Q$17*$AM259^6+WeightSDS!R$17*$AM259^5+WeightSDS!S$17*$AM259^4+WeightSDS!T$17*$AM259^3+WeightSDS!U$17*$AM259^2+WeightSDS!V$17*$AM259+WeightSDS!W$17,IF($AM259&lt;186,WeightSDS!$U$18+(WeightSDS!$V$18-WeightSDS!$U$18)/24*($AM259-186)+WeightSDS!$W$18*(-$AM259+186)^2-0.005,WeightSDS!$U$18+(WeightSDS!$V$18-WeightSDS!$U$18)/24*($AM259-186)-0.005)))</f>
        <v>0.14604529399999999</v>
      </c>
      <c r="AT259" s="4">
        <f t="shared" ref="AT259:AT322" si="91">INDEX(IF(D259="M",IGFmale, IGFfemale), AA259+1,1)</f>
        <v>0.56299999999999994</v>
      </c>
      <c r="AU259" s="4">
        <f t="shared" ref="AU259:AU322" si="92">INDEX(IF(D259="M",IGFmale, IGFfemale), AA259+1,2)</f>
        <v>69</v>
      </c>
      <c r="AV259" s="4">
        <f t="shared" ref="AV259:AV322" si="93">INDEX(IF(D259="M",IGFmale, IGFfemale), AA259+1,3)</f>
        <v>0.51</v>
      </c>
    </row>
    <row r="260" spans="1:48" x14ac:dyDescent="0.15">
      <c r="A260" s="4"/>
      <c r="B260" s="21"/>
      <c r="C260" s="21"/>
      <c r="D260" s="21"/>
      <c r="E260" s="22"/>
      <c r="F260" s="22"/>
      <c r="G260" s="23"/>
      <c r="H260" s="23"/>
      <c r="I260" s="181"/>
      <c r="J260" s="8" t="str">
        <f t="shared" si="85"/>
        <v/>
      </c>
      <c r="K260" s="2" t="str">
        <f t="shared" ref="K260:K323" si="94">IF(COUNTA(D260,E260,F260,G260,H260)=5,IF(T260&lt;1,"       *",IF(T260&gt;=6,"       *",IF(G260&gt;=120,"       *",IF(G260&lt;70,"       *",(H260-AG260)/AG260*100)))),"")</f>
        <v/>
      </c>
      <c r="L260" s="2" t="str">
        <f t="shared" si="86"/>
        <v/>
      </c>
      <c r="M260" s="2" t="str">
        <f t="shared" ref="M260:M323" si="95">IF(COUNTA(D260,E260,F260,G260,H260)=5,IF(G260&gt;=IF(D260="M",181,174),"*",IF(G260&lt;101,"       *",IF(T260&lt;6,"       *",IF(AA260+AB260/12&gt;=17.583,"*",(H260-AH260)/AH260*100)))),"")</f>
        <v/>
      </c>
      <c r="N260" s="2" t="str">
        <f t="shared" si="82"/>
        <v/>
      </c>
      <c r="O260" s="2" t="str">
        <f t="shared" ref="O260:O323" si="96">IF(COUNTA(D260,E260,F260,G260,H260)=5,IF(AA260+AB260/12&gt;17.583,"   *",NORMSDIST(((N260/AK260)^(AJ260)-1)/AJ260/AL260)*100),"")</f>
        <v/>
      </c>
      <c r="P260" s="8" t="str">
        <f t="shared" ref="P260:P323" si="97">IF(COUNTA(D260,E260,F260,G260,H260)=5,IF(AA260+AB260/12&gt;17.583,"   *",((N260/AK260)^(AJ260)-1)/AJ260/AL260),"")</f>
        <v/>
      </c>
      <c r="Q260" s="8" t="str">
        <f t="shared" ref="Q260:Q323" si="98">IF(COUNTA(D260,E260,F260,H260)=4,IF(AA260+AB260/12&gt;17.583,"   *",((H260/AP260)^(AO260)-1)/AO260/AQ260),"")</f>
        <v/>
      </c>
      <c r="R260" s="111" t="str">
        <f t="shared" ref="R260:R323" si="99">IF(COUNTA(D260,E260,F260,I260)=4,IF(AC260&gt;77,"*",NORMSDIST(((I260/AU260)^(AT260)-1)/AT260/AV260)*100),"")</f>
        <v/>
      </c>
      <c r="S260" s="44" t="str">
        <f t="shared" ref="S260:S323" si="100">IF(COUNTA(D260,E260,F260,I260)=4,IF(AC260&gt;77,"*",((I260/AU260)^(AT260)-1)/AT260/AV260),"")</f>
        <v/>
      </c>
      <c r="T260" s="37" t="str">
        <f t="shared" ref="T260:T323" si="101">IF(COUNTA(E260,F260)=2,AC260,"")</f>
        <v/>
      </c>
      <c r="U260" s="44" t="str">
        <f t="shared" ref="U260:U323" si="102">IF(COUNTA(E260,F260)=2,AA260&amp;"歳"&amp;AB260&amp;"か月","")</f>
        <v/>
      </c>
      <c r="V260" s="26"/>
      <c r="W260" s="26"/>
      <c r="X260" s="26"/>
      <c r="Y260" s="26"/>
      <c r="Z260" s="24"/>
      <c r="AA260" s="169">
        <f t="shared" si="87"/>
        <v>0</v>
      </c>
      <c r="AB260" s="4">
        <f t="shared" si="88"/>
        <v>0</v>
      </c>
      <c r="AC260" s="170">
        <f t="shared" si="84"/>
        <v>0</v>
      </c>
      <c r="AD260" s="58"/>
      <c r="AE260" s="58"/>
      <c r="AF260" s="58"/>
      <c r="AG260" s="59">
        <f t="shared" si="89"/>
        <v>9.0359999999999996</v>
      </c>
      <c r="AH260" s="59">
        <f t="shared" si="90"/>
        <v>-184.49199999999999</v>
      </c>
      <c r="AJ260" s="4">
        <f>IF(D260="M",IF(AM260&lt;78,BMILMS!$D$5*AM260^3+BMILMS!$E$5*AM260^2+BMILMS!$F$5*AM260+BMILMS!$G$5,IF(AM260&lt;150,BMILMS!$D$6*AM260^3+BMILMS!$E$6*AM260^2+BMILMS!$F$6*AM260+BMILMS!$G$6,BMILMS!$D$7*AM260^3+BMILMS!$E$7*AM260^2+BMILMS!$F$7*AM260+BMILMS!$G$7)),IF(AM260&lt;69,BMILMS!$D$9*AM260^3+BMILMS!$E$9*AM260^2+BMILMS!$F$9*AM260+BMILMS!$G$9,IF(AM260&lt;150,BMILMS!$D$10*AM260^3+BMILMS!$E$10*AM260^2+BMILMS!$F$10*AM260+BMILMS!$G$10,BMILMS!$D$11*AM260^3+BMILMS!$E$11*AM260^2+BMILMS!$F$11*AM260+BMILMS!$G$11)))</f>
        <v>0.79584630099999998</v>
      </c>
      <c r="AK260" s="4">
        <f>IF(D260="M",(IF(AM260&lt;2.5,BMILMS!$D$21*AM260^3+BMILMS!$E$21*AM260^2+BMILMS!$F$21*AM260+BMILMS!$G$21,IF(AM260&lt;9.5,BMILMS!$D$22*AM260^3+BMILMS!$E$22*AM260^2+BMILMS!$F$22*AM260+BMILMS!$G$22,IF(AM260&lt;26.75,BMILMS!$D$23*AM260^3+BMILMS!$E$23*AM260^2+BMILMS!$F$23*AM260+BMILMS!$G$23,IF(AM260&lt;90,BMILMS!$D$24*AM260^3+BMILMS!$E$24*AM260^2+BMILMS!$F$24*AM260+BMILMS!$G$24,BMILMS!$D$25*AM260^3+BMILMS!$E$25*AM260^2+BMILMS!$F$25*AM260+BMILMS!$G$25))))),(IF(AM260&lt;2.5,BMILMS!$D$27*AM260^3+BMILMS!$E$27*AM260^2+BMILMS!$F$27*AM260+BMILMS!$G$27,IF(AM260&lt;9.5,BMILMS!$D$28*AM260^3+BMILMS!$E$28*AM260^2+BMILMS!$F$28*AM260+BMILMS!$G$28,IF(AM260&lt;26.75,BMILMS!$D$29*AM260^3+BMILMS!$E$29*AM260^2+BMILMS!$F$29*AM260+BMILMS!$G$29,IF(AM260&lt;90,BMILMS!$D$30*AM260^3+BMILMS!$E$30*AM260^2+BMILMS!$F$30*AM260+BMILMS!$G$30,IF(AM260&lt;150,BMILMS!$D$31*AM260^3+BMILMS!$E$31*AM260^2+BMILMS!$F$31*AM260+BMILMS!$G$31,BMILMS!$D$32*AM260^3+BMILMS!$E$32*AM260^2+BMILMS!$F$32*AM260+BMILMS!$G$32)))))))</f>
        <v>12.568967990000001</v>
      </c>
      <c r="AL260" s="4">
        <f>IF(D260="M",(IF(AM260&lt;90,BMILMS!$D$14*AM260^3+BMILMS!$E$14*AM260^2+BMILMS!$F$14*AM260+BMILMS!$G$14,BMILMS!$D$15*AM260^3+BMILMS!$E$15*AM260^2+BMILMS!$F$15*AM260+BMILMS!$G$15)),(IF(AM260&lt;90,BMILMS!$D$17*AM260^3+BMILMS!$E$17*AM260^2+BMILMS!$F$17*AM260+BMILMS!$G$17,BMILMS!$D$18*AM260^3+BMILMS!$E$18*AM260^2+BMILMS!$F$18*AM260+BMILMS!$G$18)))</f>
        <v>8.8969350000000003E-2</v>
      </c>
      <c r="AM260" s="4">
        <f t="shared" si="83"/>
        <v>0</v>
      </c>
      <c r="AO260" s="56">
        <f>IF(D260="M",WeightSDS!P$5*$AM260^7+WeightSDS!Q$5*$AM260^6+WeightSDS!R$5*$AM260^5+WeightSDS!S$5*$AM260^4+WeightSDS!T$5*$AM260^3+WeightSDS!U$5*$AM260^2+WeightSDS!V$5*$AM260+WeightSDS!W$5,IF($AM260&lt;186,WeightSDS!P$8*$AM260^7+WeightSDS!Q$8*$AM260^6+WeightSDS!R$8*$AM260^5+WeightSDS!S$8*$AM260^4+WeightSDS!T$8*$AM260^3+WeightSDS!U$8*$AM260^2+WeightSDS!V$8*$AM260+WeightSDS!W$8,WeightSDS!$U$9+WeightSDS!$V$9*($AM260-WeightSDS!$W$9)))</f>
        <v>0.75407122999999998</v>
      </c>
      <c r="AP260" s="4">
        <f>IF(D260="M",IF($AM260&lt;45,WeightSDS!M$23*$AM260^10+WeightSDS!N$23*$AM260^9+WeightSDS!O$23*$AM260^8+WeightSDS!P$23*$AM260^7+WeightSDS!Q$23*$AM260^6+WeightSDS!R$23*$AM260^5+WeightSDS!S$23*$AM260^4+WeightSDS!T$23*$AM260^3+WeightSDS!U$23*$AM260^2+WeightSDS!V$23*$AM260+WeightSDS!W$23,IF($AM260&lt;153,WeightSDS!M$25*$AM260^10+WeightSDS!N$25*$AM260^9+WeightSDS!O$25*$AM260^8+WeightSDS!P$25*$AM260^7+WeightSDS!Q$25*$AM260^6+WeightSDS!R$25*$AM260^5+WeightSDS!S$25*$AM260^4+WeightSDS!T$25*$AM260^3+WeightSDS!U$25*$AM260^2+WeightSDS!V$25*$AM260+WeightSDS!W$25,WeightSDS!M$27+WeightSDS!N$27/(1+EXP(WeightSDS!O$27+WeightSDS!P$27*$AM260)))),IF($AM260&lt;43.8,WeightSDS!M$29*$AM260^10+WeightSDS!N$29*$AM260^9+WeightSDS!O$29*$AM260^8+WeightSDS!P$29*$AM260^7+WeightSDS!Q$29*$AM260^6+WeightSDS!R$29*$AM260^5+WeightSDS!S$29*$AM260^4+WeightSDS!T$29*$AM260^3+WeightSDS!U$29*$AM260^2+WeightSDS!V$29*$AM260+WeightSDS!W$29-0.010431*(1-$AM260/210),IF($AM260&lt;123,WeightSDS!M$30*$AM260^10+WeightSDS!N$30*$AM260^9+WeightSDS!O$30*$AM260^8+WeightSDS!P$30*$AM260^7+WeightSDS!Q$30*$AM260^6+WeightSDS!R$30*$AM260^5+WeightSDS!S$30*$AM260^4+WeightSDS!T$30*$AM260^3+WeightSDS!U$30*$AM260^2+WeightSDS!V$30*$AM260+WeightSDS!W$30-0.010431*(1-1/$AM260),WeightSDS!M$32+WeightSDS!N$32/(1+EXP(WeightSDS!O$32+WeightSDS!P$32*$AM260))-0.010431*(1-$AM260/210))))</f>
        <v>2.9500001032655536</v>
      </c>
      <c r="AQ260" s="4">
        <f>IF(D260="M",IF($AM260&lt;162,WeightSDS!P$12*$AM260^7+WeightSDS!Q$12*$AM260^6+WeightSDS!R$12*$AM260^5+WeightSDS!S$12*$AM260^4+WeightSDS!T$12*$AM260^3+WeightSDS!U$12*$AM260^2+WeightSDS!V$12*$AM260+WeightSDS!W$12,WeightSDS!P$14*$AM260^7+WeightSDS!Q$14*$AM260^6+WeightSDS!R$14*$AM260^5+WeightSDS!S$14*$AM260^4+WeightSDS!T$14*$AM260^3+WeightSDS!U$14*$AM260^2+WeightSDS!V$14*$AM260+WeightSDS!W$14),IF($AM260&lt;156,WeightSDS!O$17*$AM260^8+WeightSDS!P$17*$AM260^7+WeightSDS!Q$17*$AM260^6+WeightSDS!R$17*$AM260^5+WeightSDS!S$17*$AM260^4+WeightSDS!T$17*$AM260^3+WeightSDS!U$17*$AM260^2+WeightSDS!V$17*$AM260+WeightSDS!W$17,IF($AM260&lt;186,WeightSDS!$U$18+(WeightSDS!$V$18-WeightSDS!$U$18)/24*($AM260-186)+WeightSDS!$W$18*(-$AM260+186)^2-0.005,WeightSDS!$U$18+(WeightSDS!$V$18-WeightSDS!$U$18)/24*($AM260-186)-0.005)))</f>
        <v>0.14604529399999999</v>
      </c>
      <c r="AT260" s="4">
        <f t="shared" si="91"/>
        <v>0.56299999999999994</v>
      </c>
      <c r="AU260" s="4">
        <f t="shared" si="92"/>
        <v>69</v>
      </c>
      <c r="AV260" s="4">
        <f t="shared" si="93"/>
        <v>0.51</v>
      </c>
    </row>
    <row r="261" spans="1:48" x14ac:dyDescent="0.15">
      <c r="A261" s="4"/>
      <c r="B261" s="21"/>
      <c r="C261" s="21"/>
      <c r="D261" s="21"/>
      <c r="E261" s="22"/>
      <c r="F261" s="22"/>
      <c r="G261" s="23"/>
      <c r="H261" s="23"/>
      <c r="I261" s="181"/>
      <c r="J261" s="8" t="str">
        <f t="shared" si="85"/>
        <v/>
      </c>
      <c r="K261" s="2" t="str">
        <f t="shared" si="94"/>
        <v/>
      </c>
      <c r="L261" s="2" t="str">
        <f t="shared" si="86"/>
        <v/>
      </c>
      <c r="M261" s="2" t="str">
        <f t="shared" si="95"/>
        <v/>
      </c>
      <c r="N261" s="2" t="str">
        <f t="shared" si="82"/>
        <v/>
      </c>
      <c r="O261" s="2" t="str">
        <f t="shared" si="96"/>
        <v/>
      </c>
      <c r="P261" s="8" t="str">
        <f t="shared" si="97"/>
        <v/>
      </c>
      <c r="Q261" s="8" t="str">
        <f t="shared" si="98"/>
        <v/>
      </c>
      <c r="R261" s="111" t="str">
        <f t="shared" si="99"/>
        <v/>
      </c>
      <c r="S261" s="44" t="str">
        <f t="shared" si="100"/>
        <v/>
      </c>
      <c r="T261" s="37" t="str">
        <f t="shared" si="101"/>
        <v/>
      </c>
      <c r="U261" s="44" t="str">
        <f t="shared" si="102"/>
        <v/>
      </c>
      <c r="V261" s="26"/>
      <c r="W261" s="26"/>
      <c r="X261" s="26"/>
      <c r="Y261" s="26"/>
      <c r="Z261" s="24"/>
      <c r="AA261" s="169">
        <f t="shared" si="87"/>
        <v>0</v>
      </c>
      <c r="AB261" s="4">
        <f t="shared" si="88"/>
        <v>0</v>
      </c>
      <c r="AC261" s="170">
        <f t="shared" si="84"/>
        <v>0</v>
      </c>
      <c r="AD261" s="58"/>
      <c r="AE261" s="58"/>
      <c r="AF261" s="58"/>
      <c r="AG261" s="59">
        <f t="shared" si="89"/>
        <v>9.0359999999999996</v>
      </c>
      <c r="AH261" s="59">
        <f t="shared" si="90"/>
        <v>-184.49199999999999</v>
      </c>
      <c r="AJ261" s="4">
        <f>IF(D261="M",IF(AM261&lt;78,BMILMS!$D$5*AM261^3+BMILMS!$E$5*AM261^2+BMILMS!$F$5*AM261+BMILMS!$G$5,IF(AM261&lt;150,BMILMS!$D$6*AM261^3+BMILMS!$E$6*AM261^2+BMILMS!$F$6*AM261+BMILMS!$G$6,BMILMS!$D$7*AM261^3+BMILMS!$E$7*AM261^2+BMILMS!$F$7*AM261+BMILMS!$G$7)),IF(AM261&lt;69,BMILMS!$D$9*AM261^3+BMILMS!$E$9*AM261^2+BMILMS!$F$9*AM261+BMILMS!$G$9,IF(AM261&lt;150,BMILMS!$D$10*AM261^3+BMILMS!$E$10*AM261^2+BMILMS!$F$10*AM261+BMILMS!$G$10,BMILMS!$D$11*AM261^3+BMILMS!$E$11*AM261^2+BMILMS!$F$11*AM261+BMILMS!$G$11)))</f>
        <v>0.79584630099999998</v>
      </c>
      <c r="AK261" s="4">
        <f>IF(D261="M",(IF(AM261&lt;2.5,BMILMS!$D$21*AM261^3+BMILMS!$E$21*AM261^2+BMILMS!$F$21*AM261+BMILMS!$G$21,IF(AM261&lt;9.5,BMILMS!$D$22*AM261^3+BMILMS!$E$22*AM261^2+BMILMS!$F$22*AM261+BMILMS!$G$22,IF(AM261&lt;26.75,BMILMS!$D$23*AM261^3+BMILMS!$E$23*AM261^2+BMILMS!$F$23*AM261+BMILMS!$G$23,IF(AM261&lt;90,BMILMS!$D$24*AM261^3+BMILMS!$E$24*AM261^2+BMILMS!$F$24*AM261+BMILMS!$G$24,BMILMS!$D$25*AM261^3+BMILMS!$E$25*AM261^2+BMILMS!$F$25*AM261+BMILMS!$G$25))))),(IF(AM261&lt;2.5,BMILMS!$D$27*AM261^3+BMILMS!$E$27*AM261^2+BMILMS!$F$27*AM261+BMILMS!$G$27,IF(AM261&lt;9.5,BMILMS!$D$28*AM261^3+BMILMS!$E$28*AM261^2+BMILMS!$F$28*AM261+BMILMS!$G$28,IF(AM261&lt;26.75,BMILMS!$D$29*AM261^3+BMILMS!$E$29*AM261^2+BMILMS!$F$29*AM261+BMILMS!$G$29,IF(AM261&lt;90,BMILMS!$D$30*AM261^3+BMILMS!$E$30*AM261^2+BMILMS!$F$30*AM261+BMILMS!$G$30,IF(AM261&lt;150,BMILMS!$D$31*AM261^3+BMILMS!$E$31*AM261^2+BMILMS!$F$31*AM261+BMILMS!$G$31,BMILMS!$D$32*AM261^3+BMILMS!$E$32*AM261^2+BMILMS!$F$32*AM261+BMILMS!$G$32)))))))</f>
        <v>12.568967990000001</v>
      </c>
      <c r="AL261" s="4">
        <f>IF(D261="M",(IF(AM261&lt;90,BMILMS!$D$14*AM261^3+BMILMS!$E$14*AM261^2+BMILMS!$F$14*AM261+BMILMS!$G$14,BMILMS!$D$15*AM261^3+BMILMS!$E$15*AM261^2+BMILMS!$F$15*AM261+BMILMS!$G$15)),(IF(AM261&lt;90,BMILMS!$D$17*AM261^3+BMILMS!$E$17*AM261^2+BMILMS!$F$17*AM261+BMILMS!$G$17,BMILMS!$D$18*AM261^3+BMILMS!$E$18*AM261^2+BMILMS!$F$18*AM261+BMILMS!$G$18)))</f>
        <v>8.8969350000000003E-2</v>
      </c>
      <c r="AM261" s="4">
        <f t="shared" si="83"/>
        <v>0</v>
      </c>
      <c r="AO261" s="56">
        <f>IF(D261="M",WeightSDS!P$5*$AM261^7+WeightSDS!Q$5*$AM261^6+WeightSDS!R$5*$AM261^5+WeightSDS!S$5*$AM261^4+WeightSDS!T$5*$AM261^3+WeightSDS!U$5*$AM261^2+WeightSDS!V$5*$AM261+WeightSDS!W$5,IF($AM261&lt;186,WeightSDS!P$8*$AM261^7+WeightSDS!Q$8*$AM261^6+WeightSDS!R$8*$AM261^5+WeightSDS!S$8*$AM261^4+WeightSDS!T$8*$AM261^3+WeightSDS!U$8*$AM261^2+WeightSDS!V$8*$AM261+WeightSDS!W$8,WeightSDS!$U$9+WeightSDS!$V$9*($AM261-WeightSDS!$W$9)))</f>
        <v>0.75407122999999998</v>
      </c>
      <c r="AP261" s="4">
        <f>IF(D261="M",IF($AM261&lt;45,WeightSDS!M$23*$AM261^10+WeightSDS!N$23*$AM261^9+WeightSDS!O$23*$AM261^8+WeightSDS!P$23*$AM261^7+WeightSDS!Q$23*$AM261^6+WeightSDS!R$23*$AM261^5+WeightSDS!S$23*$AM261^4+WeightSDS!T$23*$AM261^3+WeightSDS!U$23*$AM261^2+WeightSDS!V$23*$AM261+WeightSDS!W$23,IF($AM261&lt;153,WeightSDS!M$25*$AM261^10+WeightSDS!N$25*$AM261^9+WeightSDS!O$25*$AM261^8+WeightSDS!P$25*$AM261^7+WeightSDS!Q$25*$AM261^6+WeightSDS!R$25*$AM261^5+WeightSDS!S$25*$AM261^4+WeightSDS!T$25*$AM261^3+WeightSDS!U$25*$AM261^2+WeightSDS!V$25*$AM261+WeightSDS!W$25,WeightSDS!M$27+WeightSDS!N$27/(1+EXP(WeightSDS!O$27+WeightSDS!P$27*$AM261)))),IF($AM261&lt;43.8,WeightSDS!M$29*$AM261^10+WeightSDS!N$29*$AM261^9+WeightSDS!O$29*$AM261^8+WeightSDS!P$29*$AM261^7+WeightSDS!Q$29*$AM261^6+WeightSDS!R$29*$AM261^5+WeightSDS!S$29*$AM261^4+WeightSDS!T$29*$AM261^3+WeightSDS!U$29*$AM261^2+WeightSDS!V$29*$AM261+WeightSDS!W$29-0.010431*(1-$AM261/210),IF($AM261&lt;123,WeightSDS!M$30*$AM261^10+WeightSDS!N$30*$AM261^9+WeightSDS!O$30*$AM261^8+WeightSDS!P$30*$AM261^7+WeightSDS!Q$30*$AM261^6+WeightSDS!R$30*$AM261^5+WeightSDS!S$30*$AM261^4+WeightSDS!T$30*$AM261^3+WeightSDS!U$30*$AM261^2+WeightSDS!V$30*$AM261+WeightSDS!W$30-0.010431*(1-1/$AM261),WeightSDS!M$32+WeightSDS!N$32/(1+EXP(WeightSDS!O$32+WeightSDS!P$32*$AM261))-0.010431*(1-$AM261/210))))</f>
        <v>2.9500001032655536</v>
      </c>
      <c r="AQ261" s="4">
        <f>IF(D261="M",IF($AM261&lt;162,WeightSDS!P$12*$AM261^7+WeightSDS!Q$12*$AM261^6+WeightSDS!R$12*$AM261^5+WeightSDS!S$12*$AM261^4+WeightSDS!T$12*$AM261^3+WeightSDS!U$12*$AM261^2+WeightSDS!V$12*$AM261+WeightSDS!W$12,WeightSDS!P$14*$AM261^7+WeightSDS!Q$14*$AM261^6+WeightSDS!R$14*$AM261^5+WeightSDS!S$14*$AM261^4+WeightSDS!T$14*$AM261^3+WeightSDS!U$14*$AM261^2+WeightSDS!V$14*$AM261+WeightSDS!W$14),IF($AM261&lt;156,WeightSDS!O$17*$AM261^8+WeightSDS!P$17*$AM261^7+WeightSDS!Q$17*$AM261^6+WeightSDS!R$17*$AM261^5+WeightSDS!S$17*$AM261^4+WeightSDS!T$17*$AM261^3+WeightSDS!U$17*$AM261^2+WeightSDS!V$17*$AM261+WeightSDS!W$17,IF($AM261&lt;186,WeightSDS!$U$18+(WeightSDS!$V$18-WeightSDS!$U$18)/24*($AM261-186)+WeightSDS!$W$18*(-$AM261+186)^2-0.005,WeightSDS!$U$18+(WeightSDS!$V$18-WeightSDS!$U$18)/24*($AM261-186)-0.005)))</f>
        <v>0.14604529399999999</v>
      </c>
      <c r="AT261" s="4">
        <f t="shared" si="91"/>
        <v>0.56299999999999994</v>
      </c>
      <c r="AU261" s="4">
        <f t="shared" si="92"/>
        <v>69</v>
      </c>
      <c r="AV261" s="4">
        <f t="shared" si="93"/>
        <v>0.51</v>
      </c>
    </row>
    <row r="262" spans="1:48" x14ac:dyDescent="0.15">
      <c r="A262" s="4"/>
      <c r="B262" s="21"/>
      <c r="C262" s="21"/>
      <c r="D262" s="21"/>
      <c r="E262" s="22"/>
      <c r="F262" s="22"/>
      <c r="G262" s="23"/>
      <c r="H262" s="23"/>
      <c r="I262" s="181"/>
      <c r="J262" s="8" t="str">
        <f t="shared" si="85"/>
        <v/>
      </c>
      <c r="K262" s="2" t="str">
        <f t="shared" si="94"/>
        <v/>
      </c>
      <c r="L262" s="2" t="str">
        <f t="shared" si="86"/>
        <v/>
      </c>
      <c r="M262" s="2" t="str">
        <f t="shared" si="95"/>
        <v/>
      </c>
      <c r="N262" s="2" t="str">
        <f t="shared" si="82"/>
        <v/>
      </c>
      <c r="O262" s="2" t="str">
        <f t="shared" si="96"/>
        <v/>
      </c>
      <c r="P262" s="8" t="str">
        <f t="shared" si="97"/>
        <v/>
      </c>
      <c r="Q262" s="8" t="str">
        <f t="shared" si="98"/>
        <v/>
      </c>
      <c r="R262" s="111" t="str">
        <f t="shared" si="99"/>
        <v/>
      </c>
      <c r="S262" s="44" t="str">
        <f t="shared" si="100"/>
        <v/>
      </c>
      <c r="T262" s="37" t="str">
        <f t="shared" si="101"/>
        <v/>
      </c>
      <c r="U262" s="44" t="str">
        <f t="shared" si="102"/>
        <v/>
      </c>
      <c r="V262" s="26"/>
      <c r="W262" s="26"/>
      <c r="X262" s="26"/>
      <c r="Y262" s="26"/>
      <c r="Z262" s="24"/>
      <c r="AA262" s="169">
        <f t="shared" si="87"/>
        <v>0</v>
      </c>
      <c r="AB262" s="4">
        <f t="shared" si="88"/>
        <v>0</v>
      </c>
      <c r="AC262" s="170">
        <f t="shared" si="84"/>
        <v>0</v>
      </c>
      <c r="AD262" s="58"/>
      <c r="AE262" s="58"/>
      <c r="AF262" s="58"/>
      <c r="AG262" s="59">
        <f t="shared" si="89"/>
        <v>9.0359999999999996</v>
      </c>
      <c r="AH262" s="59">
        <f t="shared" si="90"/>
        <v>-184.49199999999999</v>
      </c>
      <c r="AJ262" s="4">
        <f>IF(D262="M",IF(AM262&lt;78,BMILMS!$D$5*AM262^3+BMILMS!$E$5*AM262^2+BMILMS!$F$5*AM262+BMILMS!$G$5,IF(AM262&lt;150,BMILMS!$D$6*AM262^3+BMILMS!$E$6*AM262^2+BMILMS!$F$6*AM262+BMILMS!$G$6,BMILMS!$D$7*AM262^3+BMILMS!$E$7*AM262^2+BMILMS!$F$7*AM262+BMILMS!$G$7)),IF(AM262&lt;69,BMILMS!$D$9*AM262^3+BMILMS!$E$9*AM262^2+BMILMS!$F$9*AM262+BMILMS!$G$9,IF(AM262&lt;150,BMILMS!$D$10*AM262^3+BMILMS!$E$10*AM262^2+BMILMS!$F$10*AM262+BMILMS!$G$10,BMILMS!$D$11*AM262^3+BMILMS!$E$11*AM262^2+BMILMS!$F$11*AM262+BMILMS!$G$11)))</f>
        <v>0.79584630099999998</v>
      </c>
      <c r="AK262" s="4">
        <f>IF(D262="M",(IF(AM262&lt;2.5,BMILMS!$D$21*AM262^3+BMILMS!$E$21*AM262^2+BMILMS!$F$21*AM262+BMILMS!$G$21,IF(AM262&lt;9.5,BMILMS!$D$22*AM262^3+BMILMS!$E$22*AM262^2+BMILMS!$F$22*AM262+BMILMS!$G$22,IF(AM262&lt;26.75,BMILMS!$D$23*AM262^3+BMILMS!$E$23*AM262^2+BMILMS!$F$23*AM262+BMILMS!$G$23,IF(AM262&lt;90,BMILMS!$D$24*AM262^3+BMILMS!$E$24*AM262^2+BMILMS!$F$24*AM262+BMILMS!$G$24,BMILMS!$D$25*AM262^3+BMILMS!$E$25*AM262^2+BMILMS!$F$25*AM262+BMILMS!$G$25))))),(IF(AM262&lt;2.5,BMILMS!$D$27*AM262^3+BMILMS!$E$27*AM262^2+BMILMS!$F$27*AM262+BMILMS!$G$27,IF(AM262&lt;9.5,BMILMS!$D$28*AM262^3+BMILMS!$E$28*AM262^2+BMILMS!$F$28*AM262+BMILMS!$G$28,IF(AM262&lt;26.75,BMILMS!$D$29*AM262^3+BMILMS!$E$29*AM262^2+BMILMS!$F$29*AM262+BMILMS!$G$29,IF(AM262&lt;90,BMILMS!$D$30*AM262^3+BMILMS!$E$30*AM262^2+BMILMS!$F$30*AM262+BMILMS!$G$30,IF(AM262&lt;150,BMILMS!$D$31*AM262^3+BMILMS!$E$31*AM262^2+BMILMS!$F$31*AM262+BMILMS!$G$31,BMILMS!$D$32*AM262^3+BMILMS!$E$32*AM262^2+BMILMS!$F$32*AM262+BMILMS!$G$32)))))))</f>
        <v>12.568967990000001</v>
      </c>
      <c r="AL262" s="4">
        <f>IF(D262="M",(IF(AM262&lt;90,BMILMS!$D$14*AM262^3+BMILMS!$E$14*AM262^2+BMILMS!$F$14*AM262+BMILMS!$G$14,BMILMS!$D$15*AM262^3+BMILMS!$E$15*AM262^2+BMILMS!$F$15*AM262+BMILMS!$G$15)),(IF(AM262&lt;90,BMILMS!$D$17*AM262^3+BMILMS!$E$17*AM262^2+BMILMS!$F$17*AM262+BMILMS!$G$17,BMILMS!$D$18*AM262^3+BMILMS!$E$18*AM262^2+BMILMS!$F$18*AM262+BMILMS!$G$18)))</f>
        <v>8.8969350000000003E-2</v>
      </c>
      <c r="AM262" s="4">
        <f t="shared" si="83"/>
        <v>0</v>
      </c>
      <c r="AO262" s="56">
        <f>IF(D262="M",WeightSDS!P$5*$AM262^7+WeightSDS!Q$5*$AM262^6+WeightSDS!R$5*$AM262^5+WeightSDS!S$5*$AM262^4+WeightSDS!T$5*$AM262^3+WeightSDS!U$5*$AM262^2+WeightSDS!V$5*$AM262+WeightSDS!W$5,IF($AM262&lt;186,WeightSDS!P$8*$AM262^7+WeightSDS!Q$8*$AM262^6+WeightSDS!R$8*$AM262^5+WeightSDS!S$8*$AM262^4+WeightSDS!T$8*$AM262^3+WeightSDS!U$8*$AM262^2+WeightSDS!V$8*$AM262+WeightSDS!W$8,WeightSDS!$U$9+WeightSDS!$V$9*($AM262-WeightSDS!$W$9)))</f>
        <v>0.75407122999999998</v>
      </c>
      <c r="AP262" s="4">
        <f>IF(D262="M",IF($AM262&lt;45,WeightSDS!M$23*$AM262^10+WeightSDS!N$23*$AM262^9+WeightSDS!O$23*$AM262^8+WeightSDS!P$23*$AM262^7+WeightSDS!Q$23*$AM262^6+WeightSDS!R$23*$AM262^5+WeightSDS!S$23*$AM262^4+WeightSDS!T$23*$AM262^3+WeightSDS!U$23*$AM262^2+WeightSDS!V$23*$AM262+WeightSDS!W$23,IF($AM262&lt;153,WeightSDS!M$25*$AM262^10+WeightSDS!N$25*$AM262^9+WeightSDS!O$25*$AM262^8+WeightSDS!P$25*$AM262^7+WeightSDS!Q$25*$AM262^6+WeightSDS!R$25*$AM262^5+WeightSDS!S$25*$AM262^4+WeightSDS!T$25*$AM262^3+WeightSDS!U$25*$AM262^2+WeightSDS!V$25*$AM262+WeightSDS!W$25,WeightSDS!M$27+WeightSDS!N$27/(1+EXP(WeightSDS!O$27+WeightSDS!P$27*$AM262)))),IF($AM262&lt;43.8,WeightSDS!M$29*$AM262^10+WeightSDS!N$29*$AM262^9+WeightSDS!O$29*$AM262^8+WeightSDS!P$29*$AM262^7+WeightSDS!Q$29*$AM262^6+WeightSDS!R$29*$AM262^5+WeightSDS!S$29*$AM262^4+WeightSDS!T$29*$AM262^3+WeightSDS!U$29*$AM262^2+WeightSDS!V$29*$AM262+WeightSDS!W$29-0.010431*(1-$AM262/210),IF($AM262&lt;123,WeightSDS!M$30*$AM262^10+WeightSDS!N$30*$AM262^9+WeightSDS!O$30*$AM262^8+WeightSDS!P$30*$AM262^7+WeightSDS!Q$30*$AM262^6+WeightSDS!R$30*$AM262^5+WeightSDS!S$30*$AM262^4+WeightSDS!T$30*$AM262^3+WeightSDS!U$30*$AM262^2+WeightSDS!V$30*$AM262+WeightSDS!W$30-0.010431*(1-1/$AM262),WeightSDS!M$32+WeightSDS!N$32/(1+EXP(WeightSDS!O$32+WeightSDS!P$32*$AM262))-0.010431*(1-$AM262/210))))</f>
        <v>2.9500001032655536</v>
      </c>
      <c r="AQ262" s="4">
        <f>IF(D262="M",IF($AM262&lt;162,WeightSDS!P$12*$AM262^7+WeightSDS!Q$12*$AM262^6+WeightSDS!R$12*$AM262^5+WeightSDS!S$12*$AM262^4+WeightSDS!T$12*$AM262^3+WeightSDS!U$12*$AM262^2+WeightSDS!V$12*$AM262+WeightSDS!W$12,WeightSDS!P$14*$AM262^7+WeightSDS!Q$14*$AM262^6+WeightSDS!R$14*$AM262^5+WeightSDS!S$14*$AM262^4+WeightSDS!T$14*$AM262^3+WeightSDS!U$14*$AM262^2+WeightSDS!V$14*$AM262+WeightSDS!W$14),IF($AM262&lt;156,WeightSDS!O$17*$AM262^8+WeightSDS!P$17*$AM262^7+WeightSDS!Q$17*$AM262^6+WeightSDS!R$17*$AM262^5+WeightSDS!S$17*$AM262^4+WeightSDS!T$17*$AM262^3+WeightSDS!U$17*$AM262^2+WeightSDS!V$17*$AM262+WeightSDS!W$17,IF($AM262&lt;186,WeightSDS!$U$18+(WeightSDS!$V$18-WeightSDS!$U$18)/24*($AM262-186)+WeightSDS!$W$18*(-$AM262+186)^2-0.005,WeightSDS!$U$18+(WeightSDS!$V$18-WeightSDS!$U$18)/24*($AM262-186)-0.005)))</f>
        <v>0.14604529399999999</v>
      </c>
      <c r="AT262" s="4">
        <f t="shared" si="91"/>
        <v>0.56299999999999994</v>
      </c>
      <c r="AU262" s="4">
        <f t="shared" si="92"/>
        <v>69</v>
      </c>
      <c r="AV262" s="4">
        <f t="shared" si="93"/>
        <v>0.51</v>
      </c>
    </row>
    <row r="263" spans="1:48" x14ac:dyDescent="0.15">
      <c r="A263" s="4"/>
      <c r="B263" s="21"/>
      <c r="C263" s="21"/>
      <c r="D263" s="21"/>
      <c r="E263" s="22"/>
      <c r="F263" s="22"/>
      <c r="G263" s="23"/>
      <c r="H263" s="23"/>
      <c r="I263" s="181"/>
      <c r="J263" s="8" t="str">
        <f t="shared" si="85"/>
        <v/>
      </c>
      <c r="K263" s="2" t="str">
        <f t="shared" si="94"/>
        <v/>
      </c>
      <c r="L263" s="2" t="str">
        <f t="shared" si="86"/>
        <v/>
      </c>
      <c r="M263" s="2" t="str">
        <f t="shared" si="95"/>
        <v/>
      </c>
      <c r="N263" s="2" t="str">
        <f t="shared" si="82"/>
        <v/>
      </c>
      <c r="O263" s="2" t="str">
        <f t="shared" si="96"/>
        <v/>
      </c>
      <c r="P263" s="8" t="str">
        <f t="shared" si="97"/>
        <v/>
      </c>
      <c r="Q263" s="8" t="str">
        <f t="shared" si="98"/>
        <v/>
      </c>
      <c r="R263" s="111" t="str">
        <f t="shared" si="99"/>
        <v/>
      </c>
      <c r="S263" s="44" t="str">
        <f t="shared" si="100"/>
        <v/>
      </c>
      <c r="T263" s="37" t="str">
        <f t="shared" si="101"/>
        <v/>
      </c>
      <c r="U263" s="44" t="str">
        <f t="shared" si="102"/>
        <v/>
      </c>
      <c r="V263" s="26"/>
      <c r="W263" s="26"/>
      <c r="X263" s="26"/>
      <c r="Y263" s="26"/>
      <c r="Z263" s="24"/>
      <c r="AA263" s="169">
        <f t="shared" si="87"/>
        <v>0</v>
      </c>
      <c r="AB263" s="4">
        <f t="shared" si="88"/>
        <v>0</v>
      </c>
      <c r="AC263" s="170">
        <f t="shared" si="84"/>
        <v>0</v>
      </c>
      <c r="AD263" s="58"/>
      <c r="AE263" s="58"/>
      <c r="AF263" s="58"/>
      <c r="AG263" s="59">
        <f t="shared" si="89"/>
        <v>9.0359999999999996</v>
      </c>
      <c r="AH263" s="59">
        <f t="shared" si="90"/>
        <v>-184.49199999999999</v>
      </c>
      <c r="AJ263" s="4">
        <f>IF(D263="M",IF(AM263&lt;78,BMILMS!$D$5*AM263^3+BMILMS!$E$5*AM263^2+BMILMS!$F$5*AM263+BMILMS!$G$5,IF(AM263&lt;150,BMILMS!$D$6*AM263^3+BMILMS!$E$6*AM263^2+BMILMS!$F$6*AM263+BMILMS!$G$6,BMILMS!$D$7*AM263^3+BMILMS!$E$7*AM263^2+BMILMS!$F$7*AM263+BMILMS!$G$7)),IF(AM263&lt;69,BMILMS!$D$9*AM263^3+BMILMS!$E$9*AM263^2+BMILMS!$F$9*AM263+BMILMS!$G$9,IF(AM263&lt;150,BMILMS!$D$10*AM263^3+BMILMS!$E$10*AM263^2+BMILMS!$F$10*AM263+BMILMS!$G$10,BMILMS!$D$11*AM263^3+BMILMS!$E$11*AM263^2+BMILMS!$F$11*AM263+BMILMS!$G$11)))</f>
        <v>0.79584630099999998</v>
      </c>
      <c r="AK263" s="4">
        <f>IF(D263="M",(IF(AM263&lt;2.5,BMILMS!$D$21*AM263^3+BMILMS!$E$21*AM263^2+BMILMS!$F$21*AM263+BMILMS!$G$21,IF(AM263&lt;9.5,BMILMS!$D$22*AM263^3+BMILMS!$E$22*AM263^2+BMILMS!$F$22*AM263+BMILMS!$G$22,IF(AM263&lt;26.75,BMILMS!$D$23*AM263^3+BMILMS!$E$23*AM263^2+BMILMS!$F$23*AM263+BMILMS!$G$23,IF(AM263&lt;90,BMILMS!$D$24*AM263^3+BMILMS!$E$24*AM263^2+BMILMS!$F$24*AM263+BMILMS!$G$24,BMILMS!$D$25*AM263^3+BMILMS!$E$25*AM263^2+BMILMS!$F$25*AM263+BMILMS!$G$25))))),(IF(AM263&lt;2.5,BMILMS!$D$27*AM263^3+BMILMS!$E$27*AM263^2+BMILMS!$F$27*AM263+BMILMS!$G$27,IF(AM263&lt;9.5,BMILMS!$D$28*AM263^3+BMILMS!$E$28*AM263^2+BMILMS!$F$28*AM263+BMILMS!$G$28,IF(AM263&lt;26.75,BMILMS!$D$29*AM263^3+BMILMS!$E$29*AM263^2+BMILMS!$F$29*AM263+BMILMS!$G$29,IF(AM263&lt;90,BMILMS!$D$30*AM263^3+BMILMS!$E$30*AM263^2+BMILMS!$F$30*AM263+BMILMS!$G$30,IF(AM263&lt;150,BMILMS!$D$31*AM263^3+BMILMS!$E$31*AM263^2+BMILMS!$F$31*AM263+BMILMS!$G$31,BMILMS!$D$32*AM263^3+BMILMS!$E$32*AM263^2+BMILMS!$F$32*AM263+BMILMS!$G$32)))))))</f>
        <v>12.568967990000001</v>
      </c>
      <c r="AL263" s="4">
        <f>IF(D263="M",(IF(AM263&lt;90,BMILMS!$D$14*AM263^3+BMILMS!$E$14*AM263^2+BMILMS!$F$14*AM263+BMILMS!$G$14,BMILMS!$D$15*AM263^3+BMILMS!$E$15*AM263^2+BMILMS!$F$15*AM263+BMILMS!$G$15)),(IF(AM263&lt;90,BMILMS!$D$17*AM263^3+BMILMS!$E$17*AM263^2+BMILMS!$F$17*AM263+BMILMS!$G$17,BMILMS!$D$18*AM263^3+BMILMS!$E$18*AM263^2+BMILMS!$F$18*AM263+BMILMS!$G$18)))</f>
        <v>8.8969350000000003E-2</v>
      </c>
      <c r="AM263" s="4">
        <f t="shared" si="83"/>
        <v>0</v>
      </c>
      <c r="AO263" s="56">
        <f>IF(D263="M",WeightSDS!P$5*$AM263^7+WeightSDS!Q$5*$AM263^6+WeightSDS!R$5*$AM263^5+WeightSDS!S$5*$AM263^4+WeightSDS!T$5*$AM263^3+WeightSDS!U$5*$AM263^2+WeightSDS!V$5*$AM263+WeightSDS!W$5,IF($AM263&lt;186,WeightSDS!P$8*$AM263^7+WeightSDS!Q$8*$AM263^6+WeightSDS!R$8*$AM263^5+WeightSDS!S$8*$AM263^4+WeightSDS!T$8*$AM263^3+WeightSDS!U$8*$AM263^2+WeightSDS!V$8*$AM263+WeightSDS!W$8,WeightSDS!$U$9+WeightSDS!$V$9*($AM263-WeightSDS!$W$9)))</f>
        <v>0.75407122999999998</v>
      </c>
      <c r="AP263" s="4">
        <f>IF(D263="M",IF($AM263&lt;45,WeightSDS!M$23*$AM263^10+WeightSDS!N$23*$AM263^9+WeightSDS!O$23*$AM263^8+WeightSDS!P$23*$AM263^7+WeightSDS!Q$23*$AM263^6+WeightSDS!R$23*$AM263^5+WeightSDS!S$23*$AM263^4+WeightSDS!T$23*$AM263^3+WeightSDS!U$23*$AM263^2+WeightSDS!V$23*$AM263+WeightSDS!W$23,IF($AM263&lt;153,WeightSDS!M$25*$AM263^10+WeightSDS!N$25*$AM263^9+WeightSDS!O$25*$AM263^8+WeightSDS!P$25*$AM263^7+WeightSDS!Q$25*$AM263^6+WeightSDS!R$25*$AM263^5+WeightSDS!S$25*$AM263^4+WeightSDS!T$25*$AM263^3+WeightSDS!U$25*$AM263^2+WeightSDS!V$25*$AM263+WeightSDS!W$25,WeightSDS!M$27+WeightSDS!N$27/(1+EXP(WeightSDS!O$27+WeightSDS!P$27*$AM263)))),IF($AM263&lt;43.8,WeightSDS!M$29*$AM263^10+WeightSDS!N$29*$AM263^9+WeightSDS!O$29*$AM263^8+WeightSDS!P$29*$AM263^7+WeightSDS!Q$29*$AM263^6+WeightSDS!R$29*$AM263^5+WeightSDS!S$29*$AM263^4+WeightSDS!T$29*$AM263^3+WeightSDS!U$29*$AM263^2+WeightSDS!V$29*$AM263+WeightSDS!W$29-0.010431*(1-$AM263/210),IF($AM263&lt;123,WeightSDS!M$30*$AM263^10+WeightSDS!N$30*$AM263^9+WeightSDS!O$30*$AM263^8+WeightSDS!P$30*$AM263^7+WeightSDS!Q$30*$AM263^6+WeightSDS!R$30*$AM263^5+WeightSDS!S$30*$AM263^4+WeightSDS!T$30*$AM263^3+WeightSDS!U$30*$AM263^2+WeightSDS!V$30*$AM263+WeightSDS!W$30-0.010431*(1-1/$AM263),WeightSDS!M$32+WeightSDS!N$32/(1+EXP(WeightSDS!O$32+WeightSDS!P$32*$AM263))-0.010431*(1-$AM263/210))))</f>
        <v>2.9500001032655536</v>
      </c>
      <c r="AQ263" s="4">
        <f>IF(D263="M",IF($AM263&lt;162,WeightSDS!P$12*$AM263^7+WeightSDS!Q$12*$AM263^6+WeightSDS!R$12*$AM263^5+WeightSDS!S$12*$AM263^4+WeightSDS!T$12*$AM263^3+WeightSDS!U$12*$AM263^2+WeightSDS!V$12*$AM263+WeightSDS!W$12,WeightSDS!P$14*$AM263^7+WeightSDS!Q$14*$AM263^6+WeightSDS!R$14*$AM263^5+WeightSDS!S$14*$AM263^4+WeightSDS!T$14*$AM263^3+WeightSDS!U$14*$AM263^2+WeightSDS!V$14*$AM263+WeightSDS!W$14),IF($AM263&lt;156,WeightSDS!O$17*$AM263^8+WeightSDS!P$17*$AM263^7+WeightSDS!Q$17*$AM263^6+WeightSDS!R$17*$AM263^5+WeightSDS!S$17*$AM263^4+WeightSDS!T$17*$AM263^3+WeightSDS!U$17*$AM263^2+WeightSDS!V$17*$AM263+WeightSDS!W$17,IF($AM263&lt;186,WeightSDS!$U$18+(WeightSDS!$V$18-WeightSDS!$U$18)/24*($AM263-186)+WeightSDS!$W$18*(-$AM263+186)^2-0.005,WeightSDS!$U$18+(WeightSDS!$V$18-WeightSDS!$U$18)/24*($AM263-186)-0.005)))</f>
        <v>0.14604529399999999</v>
      </c>
      <c r="AT263" s="4">
        <f t="shared" si="91"/>
        <v>0.56299999999999994</v>
      </c>
      <c r="AU263" s="4">
        <f t="shared" si="92"/>
        <v>69</v>
      </c>
      <c r="AV263" s="4">
        <f t="shared" si="93"/>
        <v>0.51</v>
      </c>
    </row>
    <row r="264" spans="1:48" x14ac:dyDescent="0.15">
      <c r="A264" s="4"/>
      <c r="B264" s="21"/>
      <c r="C264" s="21"/>
      <c r="D264" s="21"/>
      <c r="E264" s="22"/>
      <c r="F264" s="22"/>
      <c r="G264" s="23"/>
      <c r="H264" s="23"/>
      <c r="I264" s="181"/>
      <c r="J264" s="8" t="str">
        <f t="shared" si="85"/>
        <v/>
      </c>
      <c r="K264" s="2" t="str">
        <f t="shared" si="94"/>
        <v/>
      </c>
      <c r="L264" s="2" t="str">
        <f t="shared" si="86"/>
        <v/>
      </c>
      <c r="M264" s="2" t="str">
        <f t="shared" si="95"/>
        <v/>
      </c>
      <c r="N264" s="2" t="str">
        <f t="shared" ref="N264:N327" si="103">IF(COUNTA(D264,E264,F264,G264,H264)=5,H264/G264^2*10000,"")</f>
        <v/>
      </c>
      <c r="O264" s="2" t="str">
        <f t="shared" si="96"/>
        <v/>
      </c>
      <c r="P264" s="8" t="str">
        <f t="shared" si="97"/>
        <v/>
      </c>
      <c r="Q264" s="8" t="str">
        <f t="shared" si="98"/>
        <v/>
      </c>
      <c r="R264" s="111" t="str">
        <f t="shared" si="99"/>
        <v/>
      </c>
      <c r="S264" s="44" t="str">
        <f t="shared" si="100"/>
        <v/>
      </c>
      <c r="T264" s="37" t="str">
        <f t="shared" si="101"/>
        <v/>
      </c>
      <c r="U264" s="44" t="str">
        <f t="shared" si="102"/>
        <v/>
      </c>
      <c r="V264" s="26"/>
      <c r="W264" s="26"/>
      <c r="X264" s="26"/>
      <c r="Y264" s="26"/>
      <c r="Z264" s="24"/>
      <c r="AA264" s="169">
        <f t="shared" si="87"/>
        <v>0</v>
      </c>
      <c r="AB264" s="4">
        <f t="shared" si="88"/>
        <v>0</v>
      </c>
      <c r="AC264" s="170">
        <f t="shared" si="84"/>
        <v>0</v>
      </c>
      <c r="AD264" s="58"/>
      <c r="AE264" s="58"/>
      <c r="AF264" s="58"/>
      <c r="AG264" s="59">
        <f t="shared" si="89"/>
        <v>9.0359999999999996</v>
      </c>
      <c r="AH264" s="59">
        <f t="shared" si="90"/>
        <v>-184.49199999999999</v>
      </c>
      <c r="AJ264" s="4">
        <f>IF(D264="M",IF(AM264&lt;78,BMILMS!$D$5*AM264^3+BMILMS!$E$5*AM264^2+BMILMS!$F$5*AM264+BMILMS!$G$5,IF(AM264&lt;150,BMILMS!$D$6*AM264^3+BMILMS!$E$6*AM264^2+BMILMS!$F$6*AM264+BMILMS!$G$6,BMILMS!$D$7*AM264^3+BMILMS!$E$7*AM264^2+BMILMS!$F$7*AM264+BMILMS!$G$7)),IF(AM264&lt;69,BMILMS!$D$9*AM264^3+BMILMS!$E$9*AM264^2+BMILMS!$F$9*AM264+BMILMS!$G$9,IF(AM264&lt;150,BMILMS!$D$10*AM264^3+BMILMS!$E$10*AM264^2+BMILMS!$F$10*AM264+BMILMS!$G$10,BMILMS!$D$11*AM264^3+BMILMS!$E$11*AM264^2+BMILMS!$F$11*AM264+BMILMS!$G$11)))</f>
        <v>0.79584630099999998</v>
      </c>
      <c r="AK264" s="4">
        <f>IF(D264="M",(IF(AM264&lt;2.5,BMILMS!$D$21*AM264^3+BMILMS!$E$21*AM264^2+BMILMS!$F$21*AM264+BMILMS!$G$21,IF(AM264&lt;9.5,BMILMS!$D$22*AM264^3+BMILMS!$E$22*AM264^2+BMILMS!$F$22*AM264+BMILMS!$G$22,IF(AM264&lt;26.75,BMILMS!$D$23*AM264^3+BMILMS!$E$23*AM264^2+BMILMS!$F$23*AM264+BMILMS!$G$23,IF(AM264&lt;90,BMILMS!$D$24*AM264^3+BMILMS!$E$24*AM264^2+BMILMS!$F$24*AM264+BMILMS!$G$24,BMILMS!$D$25*AM264^3+BMILMS!$E$25*AM264^2+BMILMS!$F$25*AM264+BMILMS!$G$25))))),(IF(AM264&lt;2.5,BMILMS!$D$27*AM264^3+BMILMS!$E$27*AM264^2+BMILMS!$F$27*AM264+BMILMS!$G$27,IF(AM264&lt;9.5,BMILMS!$D$28*AM264^3+BMILMS!$E$28*AM264^2+BMILMS!$F$28*AM264+BMILMS!$G$28,IF(AM264&lt;26.75,BMILMS!$D$29*AM264^3+BMILMS!$E$29*AM264^2+BMILMS!$F$29*AM264+BMILMS!$G$29,IF(AM264&lt;90,BMILMS!$D$30*AM264^3+BMILMS!$E$30*AM264^2+BMILMS!$F$30*AM264+BMILMS!$G$30,IF(AM264&lt;150,BMILMS!$D$31*AM264^3+BMILMS!$E$31*AM264^2+BMILMS!$F$31*AM264+BMILMS!$G$31,BMILMS!$D$32*AM264^3+BMILMS!$E$32*AM264^2+BMILMS!$F$32*AM264+BMILMS!$G$32)))))))</f>
        <v>12.568967990000001</v>
      </c>
      <c r="AL264" s="4">
        <f>IF(D264="M",(IF(AM264&lt;90,BMILMS!$D$14*AM264^3+BMILMS!$E$14*AM264^2+BMILMS!$F$14*AM264+BMILMS!$G$14,BMILMS!$D$15*AM264^3+BMILMS!$E$15*AM264^2+BMILMS!$F$15*AM264+BMILMS!$G$15)),(IF(AM264&lt;90,BMILMS!$D$17*AM264^3+BMILMS!$E$17*AM264^2+BMILMS!$F$17*AM264+BMILMS!$G$17,BMILMS!$D$18*AM264^3+BMILMS!$E$18*AM264^2+BMILMS!$F$18*AM264+BMILMS!$G$18)))</f>
        <v>8.8969350000000003E-2</v>
      </c>
      <c r="AM264" s="4">
        <f t="shared" ref="AM264:AM327" si="104">AA264*12+AB264</f>
        <v>0</v>
      </c>
      <c r="AO264" s="56">
        <f>IF(D264="M",WeightSDS!P$5*$AM264^7+WeightSDS!Q$5*$AM264^6+WeightSDS!R$5*$AM264^5+WeightSDS!S$5*$AM264^4+WeightSDS!T$5*$AM264^3+WeightSDS!U$5*$AM264^2+WeightSDS!V$5*$AM264+WeightSDS!W$5,IF($AM264&lt;186,WeightSDS!P$8*$AM264^7+WeightSDS!Q$8*$AM264^6+WeightSDS!R$8*$AM264^5+WeightSDS!S$8*$AM264^4+WeightSDS!T$8*$AM264^3+WeightSDS!U$8*$AM264^2+WeightSDS!V$8*$AM264+WeightSDS!W$8,WeightSDS!$U$9+WeightSDS!$V$9*($AM264-WeightSDS!$W$9)))</f>
        <v>0.75407122999999998</v>
      </c>
      <c r="AP264" s="4">
        <f>IF(D264="M",IF($AM264&lt;45,WeightSDS!M$23*$AM264^10+WeightSDS!N$23*$AM264^9+WeightSDS!O$23*$AM264^8+WeightSDS!P$23*$AM264^7+WeightSDS!Q$23*$AM264^6+WeightSDS!R$23*$AM264^5+WeightSDS!S$23*$AM264^4+WeightSDS!T$23*$AM264^3+WeightSDS!U$23*$AM264^2+WeightSDS!V$23*$AM264+WeightSDS!W$23,IF($AM264&lt;153,WeightSDS!M$25*$AM264^10+WeightSDS!N$25*$AM264^9+WeightSDS!O$25*$AM264^8+WeightSDS!P$25*$AM264^7+WeightSDS!Q$25*$AM264^6+WeightSDS!R$25*$AM264^5+WeightSDS!S$25*$AM264^4+WeightSDS!T$25*$AM264^3+WeightSDS!U$25*$AM264^2+WeightSDS!V$25*$AM264+WeightSDS!W$25,WeightSDS!M$27+WeightSDS!N$27/(1+EXP(WeightSDS!O$27+WeightSDS!P$27*$AM264)))),IF($AM264&lt;43.8,WeightSDS!M$29*$AM264^10+WeightSDS!N$29*$AM264^9+WeightSDS!O$29*$AM264^8+WeightSDS!P$29*$AM264^7+WeightSDS!Q$29*$AM264^6+WeightSDS!R$29*$AM264^5+WeightSDS!S$29*$AM264^4+WeightSDS!T$29*$AM264^3+WeightSDS!U$29*$AM264^2+WeightSDS!V$29*$AM264+WeightSDS!W$29-0.010431*(1-$AM264/210),IF($AM264&lt;123,WeightSDS!M$30*$AM264^10+WeightSDS!N$30*$AM264^9+WeightSDS!O$30*$AM264^8+WeightSDS!P$30*$AM264^7+WeightSDS!Q$30*$AM264^6+WeightSDS!R$30*$AM264^5+WeightSDS!S$30*$AM264^4+WeightSDS!T$30*$AM264^3+WeightSDS!U$30*$AM264^2+WeightSDS!V$30*$AM264+WeightSDS!W$30-0.010431*(1-1/$AM264),WeightSDS!M$32+WeightSDS!N$32/(1+EXP(WeightSDS!O$32+WeightSDS!P$32*$AM264))-0.010431*(1-$AM264/210))))</f>
        <v>2.9500001032655536</v>
      </c>
      <c r="AQ264" s="4">
        <f>IF(D264="M",IF($AM264&lt;162,WeightSDS!P$12*$AM264^7+WeightSDS!Q$12*$AM264^6+WeightSDS!R$12*$AM264^5+WeightSDS!S$12*$AM264^4+WeightSDS!T$12*$AM264^3+WeightSDS!U$12*$AM264^2+WeightSDS!V$12*$AM264+WeightSDS!W$12,WeightSDS!P$14*$AM264^7+WeightSDS!Q$14*$AM264^6+WeightSDS!R$14*$AM264^5+WeightSDS!S$14*$AM264^4+WeightSDS!T$14*$AM264^3+WeightSDS!U$14*$AM264^2+WeightSDS!V$14*$AM264+WeightSDS!W$14),IF($AM264&lt;156,WeightSDS!O$17*$AM264^8+WeightSDS!P$17*$AM264^7+WeightSDS!Q$17*$AM264^6+WeightSDS!R$17*$AM264^5+WeightSDS!S$17*$AM264^4+WeightSDS!T$17*$AM264^3+WeightSDS!U$17*$AM264^2+WeightSDS!V$17*$AM264+WeightSDS!W$17,IF($AM264&lt;186,WeightSDS!$U$18+(WeightSDS!$V$18-WeightSDS!$U$18)/24*($AM264-186)+WeightSDS!$W$18*(-$AM264+186)^2-0.005,WeightSDS!$U$18+(WeightSDS!$V$18-WeightSDS!$U$18)/24*($AM264-186)-0.005)))</f>
        <v>0.14604529399999999</v>
      </c>
      <c r="AT264" s="4">
        <f t="shared" si="91"/>
        <v>0.56299999999999994</v>
      </c>
      <c r="AU264" s="4">
        <f t="shared" si="92"/>
        <v>69</v>
      </c>
      <c r="AV264" s="4">
        <f t="shared" si="93"/>
        <v>0.51</v>
      </c>
    </row>
    <row r="265" spans="1:48" x14ac:dyDescent="0.15">
      <c r="A265" s="4"/>
      <c r="B265" s="21"/>
      <c r="C265" s="21"/>
      <c r="D265" s="21"/>
      <c r="E265" s="22"/>
      <c r="F265" s="22"/>
      <c r="G265" s="23"/>
      <c r="H265" s="23"/>
      <c r="I265" s="181"/>
      <c r="J265" s="8" t="str">
        <f t="shared" si="85"/>
        <v/>
      </c>
      <c r="K265" s="2" t="str">
        <f t="shared" si="94"/>
        <v/>
      </c>
      <c r="L265" s="2" t="str">
        <f t="shared" si="86"/>
        <v/>
      </c>
      <c r="M265" s="2" t="str">
        <f t="shared" si="95"/>
        <v/>
      </c>
      <c r="N265" s="2" t="str">
        <f t="shared" si="103"/>
        <v/>
      </c>
      <c r="O265" s="2" t="str">
        <f t="shared" si="96"/>
        <v/>
      </c>
      <c r="P265" s="8" t="str">
        <f t="shared" si="97"/>
        <v/>
      </c>
      <c r="Q265" s="8" t="str">
        <f t="shared" si="98"/>
        <v/>
      </c>
      <c r="R265" s="111" t="str">
        <f t="shared" si="99"/>
        <v/>
      </c>
      <c r="S265" s="44" t="str">
        <f t="shared" si="100"/>
        <v/>
      </c>
      <c r="T265" s="37" t="str">
        <f t="shared" si="101"/>
        <v/>
      </c>
      <c r="U265" s="44" t="str">
        <f t="shared" si="102"/>
        <v/>
      </c>
      <c r="V265" s="26"/>
      <c r="W265" s="26"/>
      <c r="X265" s="26"/>
      <c r="Y265" s="26"/>
      <c r="Z265" s="24"/>
      <c r="AA265" s="169">
        <f t="shared" si="87"/>
        <v>0</v>
      </c>
      <c r="AB265" s="4">
        <f t="shared" si="88"/>
        <v>0</v>
      </c>
      <c r="AC265" s="170">
        <f t="shared" si="84"/>
        <v>0</v>
      </c>
      <c r="AD265" s="58"/>
      <c r="AE265" s="58"/>
      <c r="AF265" s="58"/>
      <c r="AG265" s="59">
        <f t="shared" si="89"/>
        <v>9.0359999999999996</v>
      </c>
      <c r="AH265" s="59">
        <f t="shared" si="90"/>
        <v>-184.49199999999999</v>
      </c>
      <c r="AJ265" s="4">
        <f>IF(D265="M",IF(AM265&lt;78,BMILMS!$D$5*AM265^3+BMILMS!$E$5*AM265^2+BMILMS!$F$5*AM265+BMILMS!$G$5,IF(AM265&lt;150,BMILMS!$D$6*AM265^3+BMILMS!$E$6*AM265^2+BMILMS!$F$6*AM265+BMILMS!$G$6,BMILMS!$D$7*AM265^3+BMILMS!$E$7*AM265^2+BMILMS!$F$7*AM265+BMILMS!$G$7)),IF(AM265&lt;69,BMILMS!$D$9*AM265^3+BMILMS!$E$9*AM265^2+BMILMS!$F$9*AM265+BMILMS!$G$9,IF(AM265&lt;150,BMILMS!$D$10*AM265^3+BMILMS!$E$10*AM265^2+BMILMS!$F$10*AM265+BMILMS!$G$10,BMILMS!$D$11*AM265^3+BMILMS!$E$11*AM265^2+BMILMS!$F$11*AM265+BMILMS!$G$11)))</f>
        <v>0.79584630099999998</v>
      </c>
      <c r="AK265" s="4">
        <f>IF(D265="M",(IF(AM265&lt;2.5,BMILMS!$D$21*AM265^3+BMILMS!$E$21*AM265^2+BMILMS!$F$21*AM265+BMILMS!$G$21,IF(AM265&lt;9.5,BMILMS!$D$22*AM265^3+BMILMS!$E$22*AM265^2+BMILMS!$F$22*AM265+BMILMS!$G$22,IF(AM265&lt;26.75,BMILMS!$D$23*AM265^3+BMILMS!$E$23*AM265^2+BMILMS!$F$23*AM265+BMILMS!$G$23,IF(AM265&lt;90,BMILMS!$D$24*AM265^3+BMILMS!$E$24*AM265^2+BMILMS!$F$24*AM265+BMILMS!$G$24,BMILMS!$D$25*AM265^3+BMILMS!$E$25*AM265^2+BMILMS!$F$25*AM265+BMILMS!$G$25))))),(IF(AM265&lt;2.5,BMILMS!$D$27*AM265^3+BMILMS!$E$27*AM265^2+BMILMS!$F$27*AM265+BMILMS!$G$27,IF(AM265&lt;9.5,BMILMS!$D$28*AM265^3+BMILMS!$E$28*AM265^2+BMILMS!$F$28*AM265+BMILMS!$G$28,IF(AM265&lt;26.75,BMILMS!$D$29*AM265^3+BMILMS!$E$29*AM265^2+BMILMS!$F$29*AM265+BMILMS!$G$29,IF(AM265&lt;90,BMILMS!$D$30*AM265^3+BMILMS!$E$30*AM265^2+BMILMS!$F$30*AM265+BMILMS!$G$30,IF(AM265&lt;150,BMILMS!$D$31*AM265^3+BMILMS!$E$31*AM265^2+BMILMS!$F$31*AM265+BMILMS!$G$31,BMILMS!$D$32*AM265^3+BMILMS!$E$32*AM265^2+BMILMS!$F$32*AM265+BMILMS!$G$32)))))))</f>
        <v>12.568967990000001</v>
      </c>
      <c r="AL265" s="4">
        <f>IF(D265="M",(IF(AM265&lt;90,BMILMS!$D$14*AM265^3+BMILMS!$E$14*AM265^2+BMILMS!$F$14*AM265+BMILMS!$G$14,BMILMS!$D$15*AM265^3+BMILMS!$E$15*AM265^2+BMILMS!$F$15*AM265+BMILMS!$G$15)),(IF(AM265&lt;90,BMILMS!$D$17*AM265^3+BMILMS!$E$17*AM265^2+BMILMS!$F$17*AM265+BMILMS!$G$17,BMILMS!$D$18*AM265^3+BMILMS!$E$18*AM265^2+BMILMS!$F$18*AM265+BMILMS!$G$18)))</f>
        <v>8.8969350000000003E-2</v>
      </c>
      <c r="AM265" s="4">
        <f t="shared" si="104"/>
        <v>0</v>
      </c>
      <c r="AO265" s="56">
        <f>IF(D265="M",WeightSDS!P$5*$AM265^7+WeightSDS!Q$5*$AM265^6+WeightSDS!R$5*$AM265^5+WeightSDS!S$5*$AM265^4+WeightSDS!T$5*$AM265^3+WeightSDS!U$5*$AM265^2+WeightSDS!V$5*$AM265+WeightSDS!W$5,IF($AM265&lt;186,WeightSDS!P$8*$AM265^7+WeightSDS!Q$8*$AM265^6+WeightSDS!R$8*$AM265^5+WeightSDS!S$8*$AM265^4+WeightSDS!T$8*$AM265^3+WeightSDS!U$8*$AM265^2+WeightSDS!V$8*$AM265+WeightSDS!W$8,WeightSDS!$U$9+WeightSDS!$V$9*($AM265-WeightSDS!$W$9)))</f>
        <v>0.75407122999999998</v>
      </c>
      <c r="AP265" s="4">
        <f>IF(D265="M",IF($AM265&lt;45,WeightSDS!M$23*$AM265^10+WeightSDS!N$23*$AM265^9+WeightSDS!O$23*$AM265^8+WeightSDS!P$23*$AM265^7+WeightSDS!Q$23*$AM265^6+WeightSDS!R$23*$AM265^5+WeightSDS!S$23*$AM265^4+WeightSDS!T$23*$AM265^3+WeightSDS!U$23*$AM265^2+WeightSDS!V$23*$AM265+WeightSDS!W$23,IF($AM265&lt;153,WeightSDS!M$25*$AM265^10+WeightSDS!N$25*$AM265^9+WeightSDS!O$25*$AM265^8+WeightSDS!P$25*$AM265^7+WeightSDS!Q$25*$AM265^6+WeightSDS!R$25*$AM265^5+WeightSDS!S$25*$AM265^4+WeightSDS!T$25*$AM265^3+WeightSDS!U$25*$AM265^2+WeightSDS!V$25*$AM265+WeightSDS!W$25,WeightSDS!M$27+WeightSDS!N$27/(1+EXP(WeightSDS!O$27+WeightSDS!P$27*$AM265)))),IF($AM265&lt;43.8,WeightSDS!M$29*$AM265^10+WeightSDS!N$29*$AM265^9+WeightSDS!O$29*$AM265^8+WeightSDS!P$29*$AM265^7+WeightSDS!Q$29*$AM265^6+WeightSDS!R$29*$AM265^5+WeightSDS!S$29*$AM265^4+WeightSDS!T$29*$AM265^3+WeightSDS!U$29*$AM265^2+WeightSDS!V$29*$AM265+WeightSDS!W$29-0.010431*(1-$AM265/210),IF($AM265&lt;123,WeightSDS!M$30*$AM265^10+WeightSDS!N$30*$AM265^9+WeightSDS!O$30*$AM265^8+WeightSDS!P$30*$AM265^7+WeightSDS!Q$30*$AM265^6+WeightSDS!R$30*$AM265^5+WeightSDS!S$30*$AM265^4+WeightSDS!T$30*$AM265^3+WeightSDS!U$30*$AM265^2+WeightSDS!V$30*$AM265+WeightSDS!W$30-0.010431*(1-1/$AM265),WeightSDS!M$32+WeightSDS!N$32/(1+EXP(WeightSDS!O$32+WeightSDS!P$32*$AM265))-0.010431*(1-$AM265/210))))</f>
        <v>2.9500001032655536</v>
      </c>
      <c r="AQ265" s="4">
        <f>IF(D265="M",IF($AM265&lt;162,WeightSDS!P$12*$AM265^7+WeightSDS!Q$12*$AM265^6+WeightSDS!R$12*$AM265^5+WeightSDS!S$12*$AM265^4+WeightSDS!T$12*$AM265^3+WeightSDS!U$12*$AM265^2+WeightSDS!V$12*$AM265+WeightSDS!W$12,WeightSDS!P$14*$AM265^7+WeightSDS!Q$14*$AM265^6+WeightSDS!R$14*$AM265^5+WeightSDS!S$14*$AM265^4+WeightSDS!T$14*$AM265^3+WeightSDS!U$14*$AM265^2+WeightSDS!V$14*$AM265+WeightSDS!W$14),IF($AM265&lt;156,WeightSDS!O$17*$AM265^8+WeightSDS!P$17*$AM265^7+WeightSDS!Q$17*$AM265^6+WeightSDS!R$17*$AM265^5+WeightSDS!S$17*$AM265^4+WeightSDS!T$17*$AM265^3+WeightSDS!U$17*$AM265^2+WeightSDS!V$17*$AM265+WeightSDS!W$17,IF($AM265&lt;186,WeightSDS!$U$18+(WeightSDS!$V$18-WeightSDS!$U$18)/24*($AM265-186)+WeightSDS!$W$18*(-$AM265+186)^2-0.005,WeightSDS!$U$18+(WeightSDS!$V$18-WeightSDS!$U$18)/24*($AM265-186)-0.005)))</f>
        <v>0.14604529399999999</v>
      </c>
      <c r="AT265" s="4">
        <f t="shared" si="91"/>
        <v>0.56299999999999994</v>
      </c>
      <c r="AU265" s="4">
        <f t="shared" si="92"/>
        <v>69</v>
      </c>
      <c r="AV265" s="4">
        <f t="shared" si="93"/>
        <v>0.51</v>
      </c>
    </row>
    <row r="266" spans="1:48" x14ac:dyDescent="0.15">
      <c r="A266" s="4"/>
      <c r="B266" s="21"/>
      <c r="C266" s="21"/>
      <c r="D266" s="21"/>
      <c r="E266" s="22"/>
      <c r="F266" s="22"/>
      <c r="G266" s="23"/>
      <c r="H266" s="23"/>
      <c r="I266" s="181"/>
      <c r="J266" s="8" t="str">
        <f t="shared" si="85"/>
        <v/>
      </c>
      <c r="K266" s="2" t="str">
        <f t="shared" si="94"/>
        <v/>
      </c>
      <c r="L266" s="2" t="str">
        <f t="shared" si="86"/>
        <v/>
      </c>
      <c r="M266" s="2" t="str">
        <f t="shared" si="95"/>
        <v/>
      </c>
      <c r="N266" s="2" t="str">
        <f t="shared" si="103"/>
        <v/>
      </c>
      <c r="O266" s="2" t="str">
        <f t="shared" si="96"/>
        <v/>
      </c>
      <c r="P266" s="8" t="str">
        <f t="shared" si="97"/>
        <v/>
      </c>
      <c r="Q266" s="8" t="str">
        <f t="shared" si="98"/>
        <v/>
      </c>
      <c r="R266" s="111" t="str">
        <f t="shared" si="99"/>
        <v/>
      </c>
      <c r="S266" s="44" t="str">
        <f t="shared" si="100"/>
        <v/>
      </c>
      <c r="T266" s="37" t="str">
        <f t="shared" si="101"/>
        <v/>
      </c>
      <c r="U266" s="44" t="str">
        <f t="shared" si="102"/>
        <v/>
      </c>
      <c r="V266" s="26"/>
      <c r="W266" s="26"/>
      <c r="X266" s="26"/>
      <c r="Y266" s="26"/>
      <c r="Z266" s="24"/>
      <c r="AA266" s="169">
        <f t="shared" si="87"/>
        <v>0</v>
      </c>
      <c r="AB266" s="4">
        <f t="shared" si="88"/>
        <v>0</v>
      </c>
      <c r="AC266" s="170">
        <f t="shared" si="84"/>
        <v>0</v>
      </c>
      <c r="AD266" s="58"/>
      <c r="AE266" s="58"/>
      <c r="AF266" s="58"/>
      <c r="AG266" s="59">
        <f t="shared" si="89"/>
        <v>9.0359999999999996</v>
      </c>
      <c r="AH266" s="59">
        <f t="shared" si="90"/>
        <v>-184.49199999999999</v>
      </c>
      <c r="AJ266" s="4">
        <f>IF(D266="M",IF(AM266&lt;78,BMILMS!$D$5*AM266^3+BMILMS!$E$5*AM266^2+BMILMS!$F$5*AM266+BMILMS!$G$5,IF(AM266&lt;150,BMILMS!$D$6*AM266^3+BMILMS!$E$6*AM266^2+BMILMS!$F$6*AM266+BMILMS!$G$6,BMILMS!$D$7*AM266^3+BMILMS!$E$7*AM266^2+BMILMS!$F$7*AM266+BMILMS!$G$7)),IF(AM266&lt;69,BMILMS!$D$9*AM266^3+BMILMS!$E$9*AM266^2+BMILMS!$F$9*AM266+BMILMS!$G$9,IF(AM266&lt;150,BMILMS!$D$10*AM266^3+BMILMS!$E$10*AM266^2+BMILMS!$F$10*AM266+BMILMS!$G$10,BMILMS!$D$11*AM266^3+BMILMS!$E$11*AM266^2+BMILMS!$F$11*AM266+BMILMS!$G$11)))</f>
        <v>0.79584630099999998</v>
      </c>
      <c r="AK266" s="4">
        <f>IF(D266="M",(IF(AM266&lt;2.5,BMILMS!$D$21*AM266^3+BMILMS!$E$21*AM266^2+BMILMS!$F$21*AM266+BMILMS!$G$21,IF(AM266&lt;9.5,BMILMS!$D$22*AM266^3+BMILMS!$E$22*AM266^2+BMILMS!$F$22*AM266+BMILMS!$G$22,IF(AM266&lt;26.75,BMILMS!$D$23*AM266^3+BMILMS!$E$23*AM266^2+BMILMS!$F$23*AM266+BMILMS!$G$23,IF(AM266&lt;90,BMILMS!$D$24*AM266^3+BMILMS!$E$24*AM266^2+BMILMS!$F$24*AM266+BMILMS!$G$24,BMILMS!$D$25*AM266^3+BMILMS!$E$25*AM266^2+BMILMS!$F$25*AM266+BMILMS!$G$25))))),(IF(AM266&lt;2.5,BMILMS!$D$27*AM266^3+BMILMS!$E$27*AM266^2+BMILMS!$F$27*AM266+BMILMS!$G$27,IF(AM266&lt;9.5,BMILMS!$D$28*AM266^3+BMILMS!$E$28*AM266^2+BMILMS!$F$28*AM266+BMILMS!$G$28,IF(AM266&lt;26.75,BMILMS!$D$29*AM266^3+BMILMS!$E$29*AM266^2+BMILMS!$F$29*AM266+BMILMS!$G$29,IF(AM266&lt;90,BMILMS!$D$30*AM266^3+BMILMS!$E$30*AM266^2+BMILMS!$F$30*AM266+BMILMS!$G$30,IF(AM266&lt;150,BMILMS!$D$31*AM266^3+BMILMS!$E$31*AM266^2+BMILMS!$F$31*AM266+BMILMS!$G$31,BMILMS!$D$32*AM266^3+BMILMS!$E$32*AM266^2+BMILMS!$F$32*AM266+BMILMS!$G$32)))))))</f>
        <v>12.568967990000001</v>
      </c>
      <c r="AL266" s="4">
        <f>IF(D266="M",(IF(AM266&lt;90,BMILMS!$D$14*AM266^3+BMILMS!$E$14*AM266^2+BMILMS!$F$14*AM266+BMILMS!$G$14,BMILMS!$D$15*AM266^3+BMILMS!$E$15*AM266^2+BMILMS!$F$15*AM266+BMILMS!$G$15)),(IF(AM266&lt;90,BMILMS!$D$17*AM266^3+BMILMS!$E$17*AM266^2+BMILMS!$F$17*AM266+BMILMS!$G$17,BMILMS!$D$18*AM266^3+BMILMS!$E$18*AM266^2+BMILMS!$F$18*AM266+BMILMS!$G$18)))</f>
        <v>8.8969350000000003E-2</v>
      </c>
      <c r="AM266" s="4">
        <f t="shared" si="104"/>
        <v>0</v>
      </c>
      <c r="AO266" s="56">
        <f>IF(D266="M",WeightSDS!P$5*$AM266^7+WeightSDS!Q$5*$AM266^6+WeightSDS!R$5*$AM266^5+WeightSDS!S$5*$AM266^4+WeightSDS!T$5*$AM266^3+WeightSDS!U$5*$AM266^2+WeightSDS!V$5*$AM266+WeightSDS!W$5,IF($AM266&lt;186,WeightSDS!P$8*$AM266^7+WeightSDS!Q$8*$AM266^6+WeightSDS!R$8*$AM266^5+WeightSDS!S$8*$AM266^4+WeightSDS!T$8*$AM266^3+WeightSDS!U$8*$AM266^2+WeightSDS!V$8*$AM266+WeightSDS!W$8,WeightSDS!$U$9+WeightSDS!$V$9*($AM266-WeightSDS!$W$9)))</f>
        <v>0.75407122999999998</v>
      </c>
      <c r="AP266" s="4">
        <f>IF(D266="M",IF($AM266&lt;45,WeightSDS!M$23*$AM266^10+WeightSDS!N$23*$AM266^9+WeightSDS!O$23*$AM266^8+WeightSDS!P$23*$AM266^7+WeightSDS!Q$23*$AM266^6+WeightSDS!R$23*$AM266^5+WeightSDS!S$23*$AM266^4+WeightSDS!T$23*$AM266^3+WeightSDS!U$23*$AM266^2+WeightSDS!V$23*$AM266+WeightSDS!W$23,IF($AM266&lt;153,WeightSDS!M$25*$AM266^10+WeightSDS!N$25*$AM266^9+WeightSDS!O$25*$AM266^8+WeightSDS!P$25*$AM266^7+WeightSDS!Q$25*$AM266^6+WeightSDS!R$25*$AM266^5+WeightSDS!S$25*$AM266^4+WeightSDS!T$25*$AM266^3+WeightSDS!U$25*$AM266^2+WeightSDS!V$25*$AM266+WeightSDS!W$25,WeightSDS!M$27+WeightSDS!N$27/(1+EXP(WeightSDS!O$27+WeightSDS!P$27*$AM266)))),IF($AM266&lt;43.8,WeightSDS!M$29*$AM266^10+WeightSDS!N$29*$AM266^9+WeightSDS!O$29*$AM266^8+WeightSDS!P$29*$AM266^7+WeightSDS!Q$29*$AM266^6+WeightSDS!R$29*$AM266^5+WeightSDS!S$29*$AM266^4+WeightSDS!T$29*$AM266^3+WeightSDS!U$29*$AM266^2+WeightSDS!V$29*$AM266+WeightSDS!W$29-0.010431*(1-$AM266/210),IF($AM266&lt;123,WeightSDS!M$30*$AM266^10+WeightSDS!N$30*$AM266^9+WeightSDS!O$30*$AM266^8+WeightSDS!P$30*$AM266^7+WeightSDS!Q$30*$AM266^6+WeightSDS!R$30*$AM266^5+WeightSDS!S$30*$AM266^4+WeightSDS!T$30*$AM266^3+WeightSDS!U$30*$AM266^2+WeightSDS!V$30*$AM266+WeightSDS!W$30-0.010431*(1-1/$AM266),WeightSDS!M$32+WeightSDS!N$32/(1+EXP(WeightSDS!O$32+WeightSDS!P$32*$AM266))-0.010431*(1-$AM266/210))))</f>
        <v>2.9500001032655536</v>
      </c>
      <c r="AQ266" s="4">
        <f>IF(D266="M",IF($AM266&lt;162,WeightSDS!P$12*$AM266^7+WeightSDS!Q$12*$AM266^6+WeightSDS!R$12*$AM266^5+WeightSDS!S$12*$AM266^4+WeightSDS!T$12*$AM266^3+WeightSDS!U$12*$AM266^2+WeightSDS!V$12*$AM266+WeightSDS!W$12,WeightSDS!P$14*$AM266^7+WeightSDS!Q$14*$AM266^6+WeightSDS!R$14*$AM266^5+WeightSDS!S$14*$AM266^4+WeightSDS!T$14*$AM266^3+WeightSDS!U$14*$AM266^2+WeightSDS!V$14*$AM266+WeightSDS!W$14),IF($AM266&lt;156,WeightSDS!O$17*$AM266^8+WeightSDS!P$17*$AM266^7+WeightSDS!Q$17*$AM266^6+WeightSDS!R$17*$AM266^5+WeightSDS!S$17*$AM266^4+WeightSDS!T$17*$AM266^3+WeightSDS!U$17*$AM266^2+WeightSDS!V$17*$AM266+WeightSDS!W$17,IF($AM266&lt;186,WeightSDS!$U$18+(WeightSDS!$V$18-WeightSDS!$U$18)/24*($AM266-186)+WeightSDS!$W$18*(-$AM266+186)^2-0.005,WeightSDS!$U$18+(WeightSDS!$V$18-WeightSDS!$U$18)/24*($AM266-186)-0.005)))</f>
        <v>0.14604529399999999</v>
      </c>
      <c r="AT266" s="4">
        <f t="shared" si="91"/>
        <v>0.56299999999999994</v>
      </c>
      <c r="AU266" s="4">
        <f t="shared" si="92"/>
        <v>69</v>
      </c>
      <c r="AV266" s="4">
        <f t="shared" si="93"/>
        <v>0.51</v>
      </c>
    </row>
    <row r="267" spans="1:48" x14ac:dyDescent="0.15">
      <c r="A267" s="4"/>
      <c r="B267" s="21"/>
      <c r="C267" s="21"/>
      <c r="D267" s="21"/>
      <c r="E267" s="22"/>
      <c r="F267" s="22"/>
      <c r="G267" s="23"/>
      <c r="H267" s="23"/>
      <c r="I267" s="181"/>
      <c r="J267" s="8" t="str">
        <f t="shared" si="85"/>
        <v/>
      </c>
      <c r="K267" s="2" t="str">
        <f t="shared" si="94"/>
        <v/>
      </c>
      <c r="L267" s="2" t="str">
        <f t="shared" si="86"/>
        <v/>
      </c>
      <c r="M267" s="2" t="str">
        <f t="shared" si="95"/>
        <v/>
      </c>
      <c r="N267" s="2" t="str">
        <f t="shared" si="103"/>
        <v/>
      </c>
      <c r="O267" s="2" t="str">
        <f t="shared" si="96"/>
        <v/>
      </c>
      <c r="P267" s="8" t="str">
        <f t="shared" si="97"/>
        <v/>
      </c>
      <c r="Q267" s="8" t="str">
        <f t="shared" si="98"/>
        <v/>
      </c>
      <c r="R267" s="111" t="str">
        <f t="shared" si="99"/>
        <v/>
      </c>
      <c r="S267" s="44" t="str">
        <f t="shared" si="100"/>
        <v/>
      </c>
      <c r="T267" s="37" t="str">
        <f t="shared" si="101"/>
        <v/>
      </c>
      <c r="U267" s="44" t="str">
        <f t="shared" si="102"/>
        <v/>
      </c>
      <c r="V267" s="26"/>
      <c r="W267" s="26"/>
      <c r="X267" s="26"/>
      <c r="Y267" s="26"/>
      <c r="Z267" s="24"/>
      <c r="AA267" s="169">
        <f t="shared" si="87"/>
        <v>0</v>
      </c>
      <c r="AB267" s="4">
        <f t="shared" si="88"/>
        <v>0</v>
      </c>
      <c r="AC267" s="170">
        <f t="shared" si="84"/>
        <v>0</v>
      </c>
      <c r="AD267" s="58"/>
      <c r="AE267" s="58"/>
      <c r="AF267" s="58"/>
      <c r="AG267" s="59">
        <f t="shared" si="89"/>
        <v>9.0359999999999996</v>
      </c>
      <c r="AH267" s="59">
        <f t="shared" si="90"/>
        <v>-184.49199999999999</v>
      </c>
      <c r="AJ267" s="4">
        <f>IF(D267="M",IF(AM267&lt;78,BMILMS!$D$5*AM267^3+BMILMS!$E$5*AM267^2+BMILMS!$F$5*AM267+BMILMS!$G$5,IF(AM267&lt;150,BMILMS!$D$6*AM267^3+BMILMS!$E$6*AM267^2+BMILMS!$F$6*AM267+BMILMS!$G$6,BMILMS!$D$7*AM267^3+BMILMS!$E$7*AM267^2+BMILMS!$F$7*AM267+BMILMS!$G$7)),IF(AM267&lt;69,BMILMS!$D$9*AM267^3+BMILMS!$E$9*AM267^2+BMILMS!$F$9*AM267+BMILMS!$G$9,IF(AM267&lt;150,BMILMS!$D$10*AM267^3+BMILMS!$E$10*AM267^2+BMILMS!$F$10*AM267+BMILMS!$G$10,BMILMS!$D$11*AM267^3+BMILMS!$E$11*AM267^2+BMILMS!$F$11*AM267+BMILMS!$G$11)))</f>
        <v>0.79584630099999998</v>
      </c>
      <c r="AK267" s="4">
        <f>IF(D267="M",(IF(AM267&lt;2.5,BMILMS!$D$21*AM267^3+BMILMS!$E$21*AM267^2+BMILMS!$F$21*AM267+BMILMS!$G$21,IF(AM267&lt;9.5,BMILMS!$D$22*AM267^3+BMILMS!$E$22*AM267^2+BMILMS!$F$22*AM267+BMILMS!$G$22,IF(AM267&lt;26.75,BMILMS!$D$23*AM267^3+BMILMS!$E$23*AM267^2+BMILMS!$F$23*AM267+BMILMS!$G$23,IF(AM267&lt;90,BMILMS!$D$24*AM267^3+BMILMS!$E$24*AM267^2+BMILMS!$F$24*AM267+BMILMS!$G$24,BMILMS!$D$25*AM267^3+BMILMS!$E$25*AM267^2+BMILMS!$F$25*AM267+BMILMS!$G$25))))),(IF(AM267&lt;2.5,BMILMS!$D$27*AM267^3+BMILMS!$E$27*AM267^2+BMILMS!$F$27*AM267+BMILMS!$G$27,IF(AM267&lt;9.5,BMILMS!$D$28*AM267^3+BMILMS!$E$28*AM267^2+BMILMS!$F$28*AM267+BMILMS!$G$28,IF(AM267&lt;26.75,BMILMS!$D$29*AM267^3+BMILMS!$E$29*AM267^2+BMILMS!$F$29*AM267+BMILMS!$G$29,IF(AM267&lt;90,BMILMS!$D$30*AM267^3+BMILMS!$E$30*AM267^2+BMILMS!$F$30*AM267+BMILMS!$G$30,IF(AM267&lt;150,BMILMS!$D$31*AM267^3+BMILMS!$E$31*AM267^2+BMILMS!$F$31*AM267+BMILMS!$G$31,BMILMS!$D$32*AM267^3+BMILMS!$E$32*AM267^2+BMILMS!$F$32*AM267+BMILMS!$G$32)))))))</f>
        <v>12.568967990000001</v>
      </c>
      <c r="AL267" s="4">
        <f>IF(D267="M",(IF(AM267&lt;90,BMILMS!$D$14*AM267^3+BMILMS!$E$14*AM267^2+BMILMS!$F$14*AM267+BMILMS!$G$14,BMILMS!$D$15*AM267^3+BMILMS!$E$15*AM267^2+BMILMS!$F$15*AM267+BMILMS!$G$15)),(IF(AM267&lt;90,BMILMS!$D$17*AM267^3+BMILMS!$E$17*AM267^2+BMILMS!$F$17*AM267+BMILMS!$G$17,BMILMS!$D$18*AM267^3+BMILMS!$E$18*AM267^2+BMILMS!$F$18*AM267+BMILMS!$G$18)))</f>
        <v>8.8969350000000003E-2</v>
      </c>
      <c r="AM267" s="4">
        <f t="shared" si="104"/>
        <v>0</v>
      </c>
      <c r="AO267" s="56">
        <f>IF(D267="M",WeightSDS!P$5*$AM267^7+WeightSDS!Q$5*$AM267^6+WeightSDS!R$5*$AM267^5+WeightSDS!S$5*$AM267^4+WeightSDS!T$5*$AM267^3+WeightSDS!U$5*$AM267^2+WeightSDS!V$5*$AM267+WeightSDS!W$5,IF($AM267&lt;186,WeightSDS!P$8*$AM267^7+WeightSDS!Q$8*$AM267^6+WeightSDS!R$8*$AM267^5+WeightSDS!S$8*$AM267^4+WeightSDS!T$8*$AM267^3+WeightSDS!U$8*$AM267^2+WeightSDS!V$8*$AM267+WeightSDS!W$8,WeightSDS!$U$9+WeightSDS!$V$9*($AM267-WeightSDS!$W$9)))</f>
        <v>0.75407122999999998</v>
      </c>
      <c r="AP267" s="4">
        <f>IF(D267="M",IF($AM267&lt;45,WeightSDS!M$23*$AM267^10+WeightSDS!N$23*$AM267^9+WeightSDS!O$23*$AM267^8+WeightSDS!P$23*$AM267^7+WeightSDS!Q$23*$AM267^6+WeightSDS!R$23*$AM267^5+WeightSDS!S$23*$AM267^4+WeightSDS!T$23*$AM267^3+WeightSDS!U$23*$AM267^2+WeightSDS!V$23*$AM267+WeightSDS!W$23,IF($AM267&lt;153,WeightSDS!M$25*$AM267^10+WeightSDS!N$25*$AM267^9+WeightSDS!O$25*$AM267^8+WeightSDS!P$25*$AM267^7+WeightSDS!Q$25*$AM267^6+WeightSDS!R$25*$AM267^5+WeightSDS!S$25*$AM267^4+WeightSDS!T$25*$AM267^3+WeightSDS!U$25*$AM267^2+WeightSDS!V$25*$AM267+WeightSDS!W$25,WeightSDS!M$27+WeightSDS!N$27/(1+EXP(WeightSDS!O$27+WeightSDS!P$27*$AM267)))),IF($AM267&lt;43.8,WeightSDS!M$29*$AM267^10+WeightSDS!N$29*$AM267^9+WeightSDS!O$29*$AM267^8+WeightSDS!P$29*$AM267^7+WeightSDS!Q$29*$AM267^6+WeightSDS!R$29*$AM267^5+WeightSDS!S$29*$AM267^4+WeightSDS!T$29*$AM267^3+WeightSDS!U$29*$AM267^2+WeightSDS!V$29*$AM267+WeightSDS!W$29-0.010431*(1-$AM267/210),IF($AM267&lt;123,WeightSDS!M$30*$AM267^10+WeightSDS!N$30*$AM267^9+WeightSDS!O$30*$AM267^8+WeightSDS!P$30*$AM267^7+WeightSDS!Q$30*$AM267^6+WeightSDS!R$30*$AM267^5+WeightSDS!S$30*$AM267^4+WeightSDS!T$30*$AM267^3+WeightSDS!U$30*$AM267^2+WeightSDS!V$30*$AM267+WeightSDS!W$30-0.010431*(1-1/$AM267),WeightSDS!M$32+WeightSDS!N$32/(1+EXP(WeightSDS!O$32+WeightSDS!P$32*$AM267))-0.010431*(1-$AM267/210))))</f>
        <v>2.9500001032655536</v>
      </c>
      <c r="AQ267" s="4">
        <f>IF(D267="M",IF($AM267&lt;162,WeightSDS!P$12*$AM267^7+WeightSDS!Q$12*$AM267^6+WeightSDS!R$12*$AM267^5+WeightSDS!S$12*$AM267^4+WeightSDS!T$12*$AM267^3+WeightSDS!U$12*$AM267^2+WeightSDS!V$12*$AM267+WeightSDS!W$12,WeightSDS!P$14*$AM267^7+WeightSDS!Q$14*$AM267^6+WeightSDS!R$14*$AM267^5+WeightSDS!S$14*$AM267^4+WeightSDS!T$14*$AM267^3+WeightSDS!U$14*$AM267^2+WeightSDS!V$14*$AM267+WeightSDS!W$14),IF($AM267&lt;156,WeightSDS!O$17*$AM267^8+WeightSDS!P$17*$AM267^7+WeightSDS!Q$17*$AM267^6+WeightSDS!R$17*$AM267^5+WeightSDS!S$17*$AM267^4+WeightSDS!T$17*$AM267^3+WeightSDS!U$17*$AM267^2+WeightSDS!V$17*$AM267+WeightSDS!W$17,IF($AM267&lt;186,WeightSDS!$U$18+(WeightSDS!$V$18-WeightSDS!$U$18)/24*($AM267-186)+WeightSDS!$W$18*(-$AM267+186)^2-0.005,WeightSDS!$U$18+(WeightSDS!$V$18-WeightSDS!$U$18)/24*($AM267-186)-0.005)))</f>
        <v>0.14604529399999999</v>
      </c>
      <c r="AT267" s="4">
        <f t="shared" si="91"/>
        <v>0.56299999999999994</v>
      </c>
      <c r="AU267" s="4">
        <f t="shared" si="92"/>
        <v>69</v>
      </c>
      <c r="AV267" s="4">
        <f t="shared" si="93"/>
        <v>0.51</v>
      </c>
    </row>
    <row r="268" spans="1:48" x14ac:dyDescent="0.15">
      <c r="A268" s="4"/>
      <c r="B268" s="21"/>
      <c r="C268" s="21"/>
      <c r="D268" s="21"/>
      <c r="E268" s="22"/>
      <c r="F268" s="22"/>
      <c r="G268" s="23"/>
      <c r="H268" s="23"/>
      <c r="I268" s="181"/>
      <c r="J268" s="8" t="str">
        <f t="shared" si="85"/>
        <v/>
      </c>
      <c r="K268" s="2" t="str">
        <f t="shared" si="94"/>
        <v/>
      </c>
      <c r="L268" s="2" t="str">
        <f t="shared" si="86"/>
        <v/>
      </c>
      <c r="M268" s="2" t="str">
        <f t="shared" si="95"/>
        <v/>
      </c>
      <c r="N268" s="2" t="str">
        <f t="shared" si="103"/>
        <v/>
      </c>
      <c r="O268" s="2" t="str">
        <f t="shared" si="96"/>
        <v/>
      </c>
      <c r="P268" s="8" t="str">
        <f t="shared" si="97"/>
        <v/>
      </c>
      <c r="Q268" s="8" t="str">
        <f t="shared" si="98"/>
        <v/>
      </c>
      <c r="R268" s="111" t="str">
        <f t="shared" si="99"/>
        <v/>
      </c>
      <c r="S268" s="44" t="str">
        <f t="shared" si="100"/>
        <v/>
      </c>
      <c r="T268" s="37" t="str">
        <f t="shared" si="101"/>
        <v/>
      </c>
      <c r="U268" s="44" t="str">
        <f t="shared" si="102"/>
        <v/>
      </c>
      <c r="V268" s="26"/>
      <c r="W268" s="26"/>
      <c r="X268" s="26"/>
      <c r="Y268" s="26"/>
      <c r="Z268" s="24"/>
      <c r="AA268" s="169">
        <f t="shared" si="87"/>
        <v>0</v>
      </c>
      <c r="AB268" s="4">
        <f t="shared" si="88"/>
        <v>0</v>
      </c>
      <c r="AC268" s="170">
        <f t="shared" si="84"/>
        <v>0</v>
      </c>
      <c r="AD268" s="58"/>
      <c r="AE268" s="58"/>
      <c r="AF268" s="58"/>
      <c r="AG268" s="59">
        <f t="shared" si="89"/>
        <v>9.0359999999999996</v>
      </c>
      <c r="AH268" s="59">
        <f t="shared" si="90"/>
        <v>-184.49199999999999</v>
      </c>
      <c r="AJ268" s="4">
        <f>IF(D268="M",IF(AM268&lt;78,BMILMS!$D$5*AM268^3+BMILMS!$E$5*AM268^2+BMILMS!$F$5*AM268+BMILMS!$G$5,IF(AM268&lt;150,BMILMS!$D$6*AM268^3+BMILMS!$E$6*AM268^2+BMILMS!$F$6*AM268+BMILMS!$G$6,BMILMS!$D$7*AM268^3+BMILMS!$E$7*AM268^2+BMILMS!$F$7*AM268+BMILMS!$G$7)),IF(AM268&lt;69,BMILMS!$D$9*AM268^3+BMILMS!$E$9*AM268^2+BMILMS!$F$9*AM268+BMILMS!$G$9,IF(AM268&lt;150,BMILMS!$D$10*AM268^3+BMILMS!$E$10*AM268^2+BMILMS!$F$10*AM268+BMILMS!$G$10,BMILMS!$D$11*AM268^3+BMILMS!$E$11*AM268^2+BMILMS!$F$11*AM268+BMILMS!$G$11)))</f>
        <v>0.79584630099999998</v>
      </c>
      <c r="AK268" s="4">
        <f>IF(D268="M",(IF(AM268&lt;2.5,BMILMS!$D$21*AM268^3+BMILMS!$E$21*AM268^2+BMILMS!$F$21*AM268+BMILMS!$G$21,IF(AM268&lt;9.5,BMILMS!$D$22*AM268^3+BMILMS!$E$22*AM268^2+BMILMS!$F$22*AM268+BMILMS!$G$22,IF(AM268&lt;26.75,BMILMS!$D$23*AM268^3+BMILMS!$E$23*AM268^2+BMILMS!$F$23*AM268+BMILMS!$G$23,IF(AM268&lt;90,BMILMS!$D$24*AM268^3+BMILMS!$E$24*AM268^2+BMILMS!$F$24*AM268+BMILMS!$G$24,BMILMS!$D$25*AM268^3+BMILMS!$E$25*AM268^2+BMILMS!$F$25*AM268+BMILMS!$G$25))))),(IF(AM268&lt;2.5,BMILMS!$D$27*AM268^3+BMILMS!$E$27*AM268^2+BMILMS!$F$27*AM268+BMILMS!$G$27,IF(AM268&lt;9.5,BMILMS!$D$28*AM268^3+BMILMS!$E$28*AM268^2+BMILMS!$F$28*AM268+BMILMS!$G$28,IF(AM268&lt;26.75,BMILMS!$D$29*AM268^3+BMILMS!$E$29*AM268^2+BMILMS!$F$29*AM268+BMILMS!$G$29,IF(AM268&lt;90,BMILMS!$D$30*AM268^3+BMILMS!$E$30*AM268^2+BMILMS!$F$30*AM268+BMILMS!$G$30,IF(AM268&lt;150,BMILMS!$D$31*AM268^3+BMILMS!$E$31*AM268^2+BMILMS!$F$31*AM268+BMILMS!$G$31,BMILMS!$D$32*AM268^3+BMILMS!$E$32*AM268^2+BMILMS!$F$32*AM268+BMILMS!$G$32)))))))</f>
        <v>12.568967990000001</v>
      </c>
      <c r="AL268" s="4">
        <f>IF(D268="M",(IF(AM268&lt;90,BMILMS!$D$14*AM268^3+BMILMS!$E$14*AM268^2+BMILMS!$F$14*AM268+BMILMS!$G$14,BMILMS!$D$15*AM268^3+BMILMS!$E$15*AM268^2+BMILMS!$F$15*AM268+BMILMS!$G$15)),(IF(AM268&lt;90,BMILMS!$D$17*AM268^3+BMILMS!$E$17*AM268^2+BMILMS!$F$17*AM268+BMILMS!$G$17,BMILMS!$D$18*AM268^3+BMILMS!$E$18*AM268^2+BMILMS!$F$18*AM268+BMILMS!$G$18)))</f>
        <v>8.8969350000000003E-2</v>
      </c>
      <c r="AM268" s="4">
        <f t="shared" si="104"/>
        <v>0</v>
      </c>
      <c r="AO268" s="56">
        <f>IF(D268="M",WeightSDS!P$5*$AM268^7+WeightSDS!Q$5*$AM268^6+WeightSDS!R$5*$AM268^5+WeightSDS!S$5*$AM268^4+WeightSDS!T$5*$AM268^3+WeightSDS!U$5*$AM268^2+WeightSDS!V$5*$AM268+WeightSDS!W$5,IF($AM268&lt;186,WeightSDS!P$8*$AM268^7+WeightSDS!Q$8*$AM268^6+WeightSDS!R$8*$AM268^5+WeightSDS!S$8*$AM268^4+WeightSDS!T$8*$AM268^3+WeightSDS!U$8*$AM268^2+WeightSDS!V$8*$AM268+WeightSDS!W$8,WeightSDS!$U$9+WeightSDS!$V$9*($AM268-WeightSDS!$W$9)))</f>
        <v>0.75407122999999998</v>
      </c>
      <c r="AP268" s="4">
        <f>IF(D268="M",IF($AM268&lt;45,WeightSDS!M$23*$AM268^10+WeightSDS!N$23*$AM268^9+WeightSDS!O$23*$AM268^8+WeightSDS!P$23*$AM268^7+WeightSDS!Q$23*$AM268^6+WeightSDS!R$23*$AM268^5+WeightSDS!S$23*$AM268^4+WeightSDS!T$23*$AM268^3+WeightSDS!U$23*$AM268^2+WeightSDS!V$23*$AM268+WeightSDS!W$23,IF($AM268&lt;153,WeightSDS!M$25*$AM268^10+WeightSDS!N$25*$AM268^9+WeightSDS!O$25*$AM268^8+WeightSDS!P$25*$AM268^7+WeightSDS!Q$25*$AM268^6+WeightSDS!R$25*$AM268^5+WeightSDS!S$25*$AM268^4+WeightSDS!T$25*$AM268^3+WeightSDS!U$25*$AM268^2+WeightSDS!V$25*$AM268+WeightSDS!W$25,WeightSDS!M$27+WeightSDS!N$27/(1+EXP(WeightSDS!O$27+WeightSDS!P$27*$AM268)))),IF($AM268&lt;43.8,WeightSDS!M$29*$AM268^10+WeightSDS!N$29*$AM268^9+WeightSDS!O$29*$AM268^8+WeightSDS!P$29*$AM268^7+WeightSDS!Q$29*$AM268^6+WeightSDS!R$29*$AM268^5+WeightSDS!S$29*$AM268^4+WeightSDS!T$29*$AM268^3+WeightSDS!U$29*$AM268^2+WeightSDS!V$29*$AM268+WeightSDS!W$29-0.010431*(1-$AM268/210),IF($AM268&lt;123,WeightSDS!M$30*$AM268^10+WeightSDS!N$30*$AM268^9+WeightSDS!O$30*$AM268^8+WeightSDS!P$30*$AM268^7+WeightSDS!Q$30*$AM268^6+WeightSDS!R$30*$AM268^5+WeightSDS!S$30*$AM268^4+WeightSDS!T$30*$AM268^3+WeightSDS!U$30*$AM268^2+WeightSDS!V$30*$AM268+WeightSDS!W$30-0.010431*(1-1/$AM268),WeightSDS!M$32+WeightSDS!N$32/(1+EXP(WeightSDS!O$32+WeightSDS!P$32*$AM268))-0.010431*(1-$AM268/210))))</f>
        <v>2.9500001032655536</v>
      </c>
      <c r="AQ268" s="4">
        <f>IF(D268="M",IF($AM268&lt;162,WeightSDS!P$12*$AM268^7+WeightSDS!Q$12*$AM268^6+WeightSDS!R$12*$AM268^5+WeightSDS!S$12*$AM268^4+WeightSDS!T$12*$AM268^3+WeightSDS!U$12*$AM268^2+WeightSDS!V$12*$AM268+WeightSDS!W$12,WeightSDS!P$14*$AM268^7+WeightSDS!Q$14*$AM268^6+WeightSDS!R$14*$AM268^5+WeightSDS!S$14*$AM268^4+WeightSDS!T$14*$AM268^3+WeightSDS!U$14*$AM268^2+WeightSDS!V$14*$AM268+WeightSDS!W$14),IF($AM268&lt;156,WeightSDS!O$17*$AM268^8+WeightSDS!P$17*$AM268^7+WeightSDS!Q$17*$AM268^6+WeightSDS!R$17*$AM268^5+WeightSDS!S$17*$AM268^4+WeightSDS!T$17*$AM268^3+WeightSDS!U$17*$AM268^2+WeightSDS!V$17*$AM268+WeightSDS!W$17,IF($AM268&lt;186,WeightSDS!$U$18+(WeightSDS!$V$18-WeightSDS!$U$18)/24*($AM268-186)+WeightSDS!$W$18*(-$AM268+186)^2-0.005,WeightSDS!$U$18+(WeightSDS!$V$18-WeightSDS!$U$18)/24*($AM268-186)-0.005)))</f>
        <v>0.14604529399999999</v>
      </c>
      <c r="AT268" s="4">
        <f t="shared" si="91"/>
        <v>0.56299999999999994</v>
      </c>
      <c r="AU268" s="4">
        <f t="shared" si="92"/>
        <v>69</v>
      </c>
      <c r="AV268" s="4">
        <f t="shared" si="93"/>
        <v>0.51</v>
      </c>
    </row>
    <row r="269" spans="1:48" x14ac:dyDescent="0.15">
      <c r="A269" s="4"/>
      <c r="B269" s="21"/>
      <c r="C269" s="21"/>
      <c r="D269" s="21"/>
      <c r="E269" s="22"/>
      <c r="F269" s="22"/>
      <c r="G269" s="23"/>
      <c r="H269" s="23"/>
      <c r="I269" s="181"/>
      <c r="J269" s="8" t="str">
        <f t="shared" si="85"/>
        <v/>
      </c>
      <c r="K269" s="2" t="str">
        <f t="shared" si="94"/>
        <v/>
      </c>
      <c r="L269" s="2" t="str">
        <f t="shared" si="86"/>
        <v/>
      </c>
      <c r="M269" s="2" t="str">
        <f t="shared" si="95"/>
        <v/>
      </c>
      <c r="N269" s="2" t="str">
        <f t="shared" si="103"/>
        <v/>
      </c>
      <c r="O269" s="2" t="str">
        <f t="shared" si="96"/>
        <v/>
      </c>
      <c r="P269" s="8" t="str">
        <f t="shared" si="97"/>
        <v/>
      </c>
      <c r="Q269" s="8" t="str">
        <f t="shared" si="98"/>
        <v/>
      </c>
      <c r="R269" s="111" t="str">
        <f t="shared" si="99"/>
        <v/>
      </c>
      <c r="S269" s="44" t="str">
        <f t="shared" si="100"/>
        <v/>
      </c>
      <c r="T269" s="37" t="str">
        <f t="shared" si="101"/>
        <v/>
      </c>
      <c r="U269" s="44" t="str">
        <f t="shared" si="102"/>
        <v/>
      </c>
      <c r="V269" s="26"/>
      <c r="W269" s="26"/>
      <c r="X269" s="26"/>
      <c r="Y269" s="26"/>
      <c r="Z269" s="24"/>
      <c r="AA269" s="169">
        <f t="shared" si="87"/>
        <v>0</v>
      </c>
      <c r="AB269" s="4">
        <f t="shared" si="88"/>
        <v>0</v>
      </c>
      <c r="AC269" s="170">
        <f t="shared" si="84"/>
        <v>0</v>
      </c>
      <c r="AD269" s="58"/>
      <c r="AE269" s="58"/>
      <c r="AF269" s="58"/>
      <c r="AG269" s="59">
        <f t="shared" si="89"/>
        <v>9.0359999999999996</v>
      </c>
      <c r="AH269" s="59">
        <f t="shared" si="90"/>
        <v>-184.49199999999999</v>
      </c>
      <c r="AJ269" s="4">
        <f>IF(D269="M",IF(AM269&lt;78,BMILMS!$D$5*AM269^3+BMILMS!$E$5*AM269^2+BMILMS!$F$5*AM269+BMILMS!$G$5,IF(AM269&lt;150,BMILMS!$D$6*AM269^3+BMILMS!$E$6*AM269^2+BMILMS!$F$6*AM269+BMILMS!$G$6,BMILMS!$D$7*AM269^3+BMILMS!$E$7*AM269^2+BMILMS!$F$7*AM269+BMILMS!$G$7)),IF(AM269&lt;69,BMILMS!$D$9*AM269^3+BMILMS!$E$9*AM269^2+BMILMS!$F$9*AM269+BMILMS!$G$9,IF(AM269&lt;150,BMILMS!$D$10*AM269^3+BMILMS!$E$10*AM269^2+BMILMS!$F$10*AM269+BMILMS!$G$10,BMILMS!$D$11*AM269^3+BMILMS!$E$11*AM269^2+BMILMS!$F$11*AM269+BMILMS!$G$11)))</f>
        <v>0.79584630099999998</v>
      </c>
      <c r="AK269" s="4">
        <f>IF(D269="M",(IF(AM269&lt;2.5,BMILMS!$D$21*AM269^3+BMILMS!$E$21*AM269^2+BMILMS!$F$21*AM269+BMILMS!$G$21,IF(AM269&lt;9.5,BMILMS!$D$22*AM269^3+BMILMS!$E$22*AM269^2+BMILMS!$F$22*AM269+BMILMS!$G$22,IF(AM269&lt;26.75,BMILMS!$D$23*AM269^3+BMILMS!$E$23*AM269^2+BMILMS!$F$23*AM269+BMILMS!$G$23,IF(AM269&lt;90,BMILMS!$D$24*AM269^3+BMILMS!$E$24*AM269^2+BMILMS!$F$24*AM269+BMILMS!$G$24,BMILMS!$D$25*AM269^3+BMILMS!$E$25*AM269^2+BMILMS!$F$25*AM269+BMILMS!$G$25))))),(IF(AM269&lt;2.5,BMILMS!$D$27*AM269^3+BMILMS!$E$27*AM269^2+BMILMS!$F$27*AM269+BMILMS!$G$27,IF(AM269&lt;9.5,BMILMS!$D$28*AM269^3+BMILMS!$E$28*AM269^2+BMILMS!$F$28*AM269+BMILMS!$G$28,IF(AM269&lt;26.75,BMILMS!$D$29*AM269^3+BMILMS!$E$29*AM269^2+BMILMS!$F$29*AM269+BMILMS!$G$29,IF(AM269&lt;90,BMILMS!$D$30*AM269^3+BMILMS!$E$30*AM269^2+BMILMS!$F$30*AM269+BMILMS!$G$30,IF(AM269&lt;150,BMILMS!$D$31*AM269^3+BMILMS!$E$31*AM269^2+BMILMS!$F$31*AM269+BMILMS!$G$31,BMILMS!$D$32*AM269^3+BMILMS!$E$32*AM269^2+BMILMS!$F$32*AM269+BMILMS!$G$32)))))))</f>
        <v>12.568967990000001</v>
      </c>
      <c r="AL269" s="4">
        <f>IF(D269="M",(IF(AM269&lt;90,BMILMS!$D$14*AM269^3+BMILMS!$E$14*AM269^2+BMILMS!$F$14*AM269+BMILMS!$G$14,BMILMS!$D$15*AM269^3+BMILMS!$E$15*AM269^2+BMILMS!$F$15*AM269+BMILMS!$G$15)),(IF(AM269&lt;90,BMILMS!$D$17*AM269^3+BMILMS!$E$17*AM269^2+BMILMS!$F$17*AM269+BMILMS!$G$17,BMILMS!$D$18*AM269^3+BMILMS!$E$18*AM269^2+BMILMS!$F$18*AM269+BMILMS!$G$18)))</f>
        <v>8.8969350000000003E-2</v>
      </c>
      <c r="AM269" s="4">
        <f t="shared" si="104"/>
        <v>0</v>
      </c>
      <c r="AO269" s="56">
        <f>IF(D269="M",WeightSDS!P$5*$AM269^7+WeightSDS!Q$5*$AM269^6+WeightSDS!R$5*$AM269^5+WeightSDS!S$5*$AM269^4+WeightSDS!T$5*$AM269^3+WeightSDS!U$5*$AM269^2+WeightSDS!V$5*$AM269+WeightSDS!W$5,IF($AM269&lt;186,WeightSDS!P$8*$AM269^7+WeightSDS!Q$8*$AM269^6+WeightSDS!R$8*$AM269^5+WeightSDS!S$8*$AM269^4+WeightSDS!T$8*$AM269^3+WeightSDS!U$8*$AM269^2+WeightSDS!V$8*$AM269+WeightSDS!W$8,WeightSDS!$U$9+WeightSDS!$V$9*($AM269-WeightSDS!$W$9)))</f>
        <v>0.75407122999999998</v>
      </c>
      <c r="AP269" s="4">
        <f>IF(D269="M",IF($AM269&lt;45,WeightSDS!M$23*$AM269^10+WeightSDS!N$23*$AM269^9+WeightSDS!O$23*$AM269^8+WeightSDS!P$23*$AM269^7+WeightSDS!Q$23*$AM269^6+WeightSDS!R$23*$AM269^5+WeightSDS!S$23*$AM269^4+WeightSDS!T$23*$AM269^3+WeightSDS!U$23*$AM269^2+WeightSDS!V$23*$AM269+WeightSDS!W$23,IF($AM269&lt;153,WeightSDS!M$25*$AM269^10+WeightSDS!N$25*$AM269^9+WeightSDS!O$25*$AM269^8+WeightSDS!P$25*$AM269^7+WeightSDS!Q$25*$AM269^6+WeightSDS!R$25*$AM269^5+WeightSDS!S$25*$AM269^4+WeightSDS!T$25*$AM269^3+WeightSDS!U$25*$AM269^2+WeightSDS!V$25*$AM269+WeightSDS!W$25,WeightSDS!M$27+WeightSDS!N$27/(1+EXP(WeightSDS!O$27+WeightSDS!P$27*$AM269)))),IF($AM269&lt;43.8,WeightSDS!M$29*$AM269^10+WeightSDS!N$29*$AM269^9+WeightSDS!O$29*$AM269^8+WeightSDS!P$29*$AM269^7+WeightSDS!Q$29*$AM269^6+WeightSDS!R$29*$AM269^5+WeightSDS!S$29*$AM269^4+WeightSDS!T$29*$AM269^3+WeightSDS!U$29*$AM269^2+WeightSDS!V$29*$AM269+WeightSDS!W$29-0.010431*(1-$AM269/210),IF($AM269&lt;123,WeightSDS!M$30*$AM269^10+WeightSDS!N$30*$AM269^9+WeightSDS!O$30*$AM269^8+WeightSDS!P$30*$AM269^7+WeightSDS!Q$30*$AM269^6+WeightSDS!R$30*$AM269^5+WeightSDS!S$30*$AM269^4+WeightSDS!T$30*$AM269^3+WeightSDS!U$30*$AM269^2+WeightSDS!V$30*$AM269+WeightSDS!W$30-0.010431*(1-1/$AM269),WeightSDS!M$32+WeightSDS!N$32/(1+EXP(WeightSDS!O$32+WeightSDS!P$32*$AM269))-0.010431*(1-$AM269/210))))</f>
        <v>2.9500001032655536</v>
      </c>
      <c r="AQ269" s="4">
        <f>IF(D269="M",IF($AM269&lt;162,WeightSDS!P$12*$AM269^7+WeightSDS!Q$12*$AM269^6+WeightSDS!R$12*$AM269^5+WeightSDS!S$12*$AM269^4+WeightSDS!T$12*$AM269^3+WeightSDS!U$12*$AM269^2+WeightSDS!V$12*$AM269+WeightSDS!W$12,WeightSDS!P$14*$AM269^7+WeightSDS!Q$14*$AM269^6+WeightSDS!R$14*$AM269^5+WeightSDS!S$14*$AM269^4+WeightSDS!T$14*$AM269^3+WeightSDS!U$14*$AM269^2+WeightSDS!V$14*$AM269+WeightSDS!W$14),IF($AM269&lt;156,WeightSDS!O$17*$AM269^8+WeightSDS!P$17*$AM269^7+WeightSDS!Q$17*$AM269^6+WeightSDS!R$17*$AM269^5+WeightSDS!S$17*$AM269^4+WeightSDS!T$17*$AM269^3+WeightSDS!U$17*$AM269^2+WeightSDS!V$17*$AM269+WeightSDS!W$17,IF($AM269&lt;186,WeightSDS!$U$18+(WeightSDS!$V$18-WeightSDS!$U$18)/24*($AM269-186)+WeightSDS!$W$18*(-$AM269+186)^2-0.005,WeightSDS!$U$18+(WeightSDS!$V$18-WeightSDS!$U$18)/24*($AM269-186)-0.005)))</f>
        <v>0.14604529399999999</v>
      </c>
      <c r="AT269" s="4">
        <f t="shared" si="91"/>
        <v>0.56299999999999994</v>
      </c>
      <c r="AU269" s="4">
        <f t="shared" si="92"/>
        <v>69</v>
      </c>
      <c r="AV269" s="4">
        <f t="shared" si="93"/>
        <v>0.51</v>
      </c>
    </row>
    <row r="270" spans="1:48" x14ac:dyDescent="0.15">
      <c r="A270" s="4"/>
      <c r="B270" s="21"/>
      <c r="C270" s="21"/>
      <c r="D270" s="21"/>
      <c r="E270" s="22"/>
      <c r="F270" s="22"/>
      <c r="G270" s="23"/>
      <c r="H270" s="23"/>
      <c r="I270" s="181"/>
      <c r="J270" s="8" t="str">
        <f t="shared" si="85"/>
        <v/>
      </c>
      <c r="K270" s="2" t="str">
        <f t="shared" si="94"/>
        <v/>
      </c>
      <c r="L270" s="2" t="str">
        <f t="shared" si="86"/>
        <v/>
      </c>
      <c r="M270" s="2" t="str">
        <f t="shared" si="95"/>
        <v/>
      </c>
      <c r="N270" s="2" t="str">
        <f t="shared" si="103"/>
        <v/>
      </c>
      <c r="O270" s="2" t="str">
        <f t="shared" si="96"/>
        <v/>
      </c>
      <c r="P270" s="8" t="str">
        <f t="shared" si="97"/>
        <v/>
      </c>
      <c r="Q270" s="8" t="str">
        <f t="shared" si="98"/>
        <v/>
      </c>
      <c r="R270" s="111" t="str">
        <f t="shared" si="99"/>
        <v/>
      </c>
      <c r="S270" s="44" t="str">
        <f t="shared" si="100"/>
        <v/>
      </c>
      <c r="T270" s="37" t="str">
        <f t="shared" si="101"/>
        <v/>
      </c>
      <c r="U270" s="44" t="str">
        <f t="shared" si="102"/>
        <v/>
      </c>
      <c r="V270" s="26"/>
      <c r="W270" s="26"/>
      <c r="X270" s="26"/>
      <c r="Y270" s="26"/>
      <c r="Z270" s="24"/>
      <c r="AA270" s="169">
        <f t="shared" si="87"/>
        <v>0</v>
      </c>
      <c r="AB270" s="4">
        <f t="shared" si="88"/>
        <v>0</v>
      </c>
      <c r="AC270" s="170">
        <f t="shared" si="84"/>
        <v>0</v>
      </c>
      <c r="AD270" s="58"/>
      <c r="AE270" s="58"/>
      <c r="AF270" s="58"/>
      <c r="AG270" s="59">
        <f t="shared" si="89"/>
        <v>9.0359999999999996</v>
      </c>
      <c r="AH270" s="59">
        <f t="shared" si="90"/>
        <v>-184.49199999999999</v>
      </c>
      <c r="AJ270" s="4">
        <f>IF(D270="M",IF(AM270&lt;78,BMILMS!$D$5*AM270^3+BMILMS!$E$5*AM270^2+BMILMS!$F$5*AM270+BMILMS!$G$5,IF(AM270&lt;150,BMILMS!$D$6*AM270^3+BMILMS!$E$6*AM270^2+BMILMS!$F$6*AM270+BMILMS!$G$6,BMILMS!$D$7*AM270^3+BMILMS!$E$7*AM270^2+BMILMS!$F$7*AM270+BMILMS!$G$7)),IF(AM270&lt;69,BMILMS!$D$9*AM270^3+BMILMS!$E$9*AM270^2+BMILMS!$F$9*AM270+BMILMS!$G$9,IF(AM270&lt;150,BMILMS!$D$10*AM270^3+BMILMS!$E$10*AM270^2+BMILMS!$F$10*AM270+BMILMS!$G$10,BMILMS!$D$11*AM270^3+BMILMS!$E$11*AM270^2+BMILMS!$F$11*AM270+BMILMS!$G$11)))</f>
        <v>0.79584630099999998</v>
      </c>
      <c r="AK270" s="4">
        <f>IF(D270="M",(IF(AM270&lt;2.5,BMILMS!$D$21*AM270^3+BMILMS!$E$21*AM270^2+BMILMS!$F$21*AM270+BMILMS!$G$21,IF(AM270&lt;9.5,BMILMS!$D$22*AM270^3+BMILMS!$E$22*AM270^2+BMILMS!$F$22*AM270+BMILMS!$G$22,IF(AM270&lt;26.75,BMILMS!$D$23*AM270^3+BMILMS!$E$23*AM270^2+BMILMS!$F$23*AM270+BMILMS!$G$23,IF(AM270&lt;90,BMILMS!$D$24*AM270^3+BMILMS!$E$24*AM270^2+BMILMS!$F$24*AM270+BMILMS!$G$24,BMILMS!$D$25*AM270^3+BMILMS!$E$25*AM270^2+BMILMS!$F$25*AM270+BMILMS!$G$25))))),(IF(AM270&lt;2.5,BMILMS!$D$27*AM270^3+BMILMS!$E$27*AM270^2+BMILMS!$F$27*AM270+BMILMS!$G$27,IF(AM270&lt;9.5,BMILMS!$D$28*AM270^3+BMILMS!$E$28*AM270^2+BMILMS!$F$28*AM270+BMILMS!$G$28,IF(AM270&lt;26.75,BMILMS!$D$29*AM270^3+BMILMS!$E$29*AM270^2+BMILMS!$F$29*AM270+BMILMS!$G$29,IF(AM270&lt;90,BMILMS!$D$30*AM270^3+BMILMS!$E$30*AM270^2+BMILMS!$F$30*AM270+BMILMS!$G$30,IF(AM270&lt;150,BMILMS!$D$31*AM270^3+BMILMS!$E$31*AM270^2+BMILMS!$F$31*AM270+BMILMS!$G$31,BMILMS!$D$32*AM270^3+BMILMS!$E$32*AM270^2+BMILMS!$F$32*AM270+BMILMS!$G$32)))))))</f>
        <v>12.568967990000001</v>
      </c>
      <c r="AL270" s="4">
        <f>IF(D270="M",(IF(AM270&lt;90,BMILMS!$D$14*AM270^3+BMILMS!$E$14*AM270^2+BMILMS!$F$14*AM270+BMILMS!$G$14,BMILMS!$D$15*AM270^3+BMILMS!$E$15*AM270^2+BMILMS!$F$15*AM270+BMILMS!$G$15)),(IF(AM270&lt;90,BMILMS!$D$17*AM270^3+BMILMS!$E$17*AM270^2+BMILMS!$F$17*AM270+BMILMS!$G$17,BMILMS!$D$18*AM270^3+BMILMS!$E$18*AM270^2+BMILMS!$F$18*AM270+BMILMS!$G$18)))</f>
        <v>8.8969350000000003E-2</v>
      </c>
      <c r="AM270" s="4">
        <f t="shared" si="104"/>
        <v>0</v>
      </c>
      <c r="AO270" s="56">
        <f>IF(D270="M",WeightSDS!P$5*$AM270^7+WeightSDS!Q$5*$AM270^6+WeightSDS!R$5*$AM270^5+WeightSDS!S$5*$AM270^4+WeightSDS!T$5*$AM270^3+WeightSDS!U$5*$AM270^2+WeightSDS!V$5*$AM270+WeightSDS!W$5,IF($AM270&lt;186,WeightSDS!P$8*$AM270^7+WeightSDS!Q$8*$AM270^6+WeightSDS!R$8*$AM270^5+WeightSDS!S$8*$AM270^4+WeightSDS!T$8*$AM270^3+WeightSDS!U$8*$AM270^2+WeightSDS!V$8*$AM270+WeightSDS!W$8,WeightSDS!$U$9+WeightSDS!$V$9*($AM270-WeightSDS!$W$9)))</f>
        <v>0.75407122999999998</v>
      </c>
      <c r="AP270" s="4">
        <f>IF(D270="M",IF($AM270&lt;45,WeightSDS!M$23*$AM270^10+WeightSDS!N$23*$AM270^9+WeightSDS!O$23*$AM270^8+WeightSDS!P$23*$AM270^7+WeightSDS!Q$23*$AM270^6+WeightSDS!R$23*$AM270^5+WeightSDS!S$23*$AM270^4+WeightSDS!T$23*$AM270^3+WeightSDS!U$23*$AM270^2+WeightSDS!V$23*$AM270+WeightSDS!W$23,IF($AM270&lt;153,WeightSDS!M$25*$AM270^10+WeightSDS!N$25*$AM270^9+WeightSDS!O$25*$AM270^8+WeightSDS!P$25*$AM270^7+WeightSDS!Q$25*$AM270^6+WeightSDS!R$25*$AM270^5+WeightSDS!S$25*$AM270^4+WeightSDS!T$25*$AM270^3+WeightSDS!U$25*$AM270^2+WeightSDS!V$25*$AM270+WeightSDS!W$25,WeightSDS!M$27+WeightSDS!N$27/(1+EXP(WeightSDS!O$27+WeightSDS!P$27*$AM270)))),IF($AM270&lt;43.8,WeightSDS!M$29*$AM270^10+WeightSDS!N$29*$AM270^9+WeightSDS!O$29*$AM270^8+WeightSDS!P$29*$AM270^7+WeightSDS!Q$29*$AM270^6+WeightSDS!R$29*$AM270^5+WeightSDS!S$29*$AM270^4+WeightSDS!T$29*$AM270^3+WeightSDS!U$29*$AM270^2+WeightSDS!V$29*$AM270+WeightSDS!W$29-0.010431*(1-$AM270/210),IF($AM270&lt;123,WeightSDS!M$30*$AM270^10+WeightSDS!N$30*$AM270^9+WeightSDS!O$30*$AM270^8+WeightSDS!P$30*$AM270^7+WeightSDS!Q$30*$AM270^6+WeightSDS!R$30*$AM270^5+WeightSDS!S$30*$AM270^4+WeightSDS!T$30*$AM270^3+WeightSDS!U$30*$AM270^2+WeightSDS!V$30*$AM270+WeightSDS!W$30-0.010431*(1-1/$AM270),WeightSDS!M$32+WeightSDS!N$32/(1+EXP(WeightSDS!O$32+WeightSDS!P$32*$AM270))-0.010431*(1-$AM270/210))))</f>
        <v>2.9500001032655536</v>
      </c>
      <c r="AQ270" s="4">
        <f>IF(D270="M",IF($AM270&lt;162,WeightSDS!P$12*$AM270^7+WeightSDS!Q$12*$AM270^6+WeightSDS!R$12*$AM270^5+WeightSDS!S$12*$AM270^4+WeightSDS!T$12*$AM270^3+WeightSDS!U$12*$AM270^2+WeightSDS!V$12*$AM270+WeightSDS!W$12,WeightSDS!P$14*$AM270^7+WeightSDS!Q$14*$AM270^6+WeightSDS!R$14*$AM270^5+WeightSDS!S$14*$AM270^4+WeightSDS!T$14*$AM270^3+WeightSDS!U$14*$AM270^2+WeightSDS!V$14*$AM270+WeightSDS!W$14),IF($AM270&lt;156,WeightSDS!O$17*$AM270^8+WeightSDS!P$17*$AM270^7+WeightSDS!Q$17*$AM270^6+WeightSDS!R$17*$AM270^5+WeightSDS!S$17*$AM270^4+WeightSDS!T$17*$AM270^3+WeightSDS!U$17*$AM270^2+WeightSDS!V$17*$AM270+WeightSDS!W$17,IF($AM270&lt;186,WeightSDS!$U$18+(WeightSDS!$V$18-WeightSDS!$U$18)/24*($AM270-186)+WeightSDS!$W$18*(-$AM270+186)^2-0.005,WeightSDS!$U$18+(WeightSDS!$V$18-WeightSDS!$U$18)/24*($AM270-186)-0.005)))</f>
        <v>0.14604529399999999</v>
      </c>
      <c r="AT270" s="4">
        <f t="shared" si="91"/>
        <v>0.56299999999999994</v>
      </c>
      <c r="AU270" s="4">
        <f t="shared" si="92"/>
        <v>69</v>
      </c>
      <c r="AV270" s="4">
        <f t="shared" si="93"/>
        <v>0.51</v>
      </c>
    </row>
    <row r="271" spans="1:48" x14ac:dyDescent="0.15">
      <c r="A271" s="4"/>
      <c r="B271" s="21"/>
      <c r="C271" s="21"/>
      <c r="D271" s="21"/>
      <c r="E271" s="22"/>
      <c r="F271" s="22"/>
      <c r="G271" s="23"/>
      <c r="H271" s="23"/>
      <c r="I271" s="181"/>
      <c r="J271" s="8" t="str">
        <f t="shared" si="85"/>
        <v/>
      </c>
      <c r="K271" s="2" t="str">
        <f t="shared" si="94"/>
        <v/>
      </c>
      <c r="L271" s="2" t="str">
        <f t="shared" si="86"/>
        <v/>
      </c>
      <c r="M271" s="2" t="str">
        <f t="shared" si="95"/>
        <v/>
      </c>
      <c r="N271" s="2" t="str">
        <f t="shared" si="103"/>
        <v/>
      </c>
      <c r="O271" s="2" t="str">
        <f t="shared" si="96"/>
        <v/>
      </c>
      <c r="P271" s="8" t="str">
        <f t="shared" si="97"/>
        <v/>
      </c>
      <c r="Q271" s="8" t="str">
        <f t="shared" si="98"/>
        <v/>
      </c>
      <c r="R271" s="111" t="str">
        <f t="shared" si="99"/>
        <v/>
      </c>
      <c r="S271" s="44" t="str">
        <f t="shared" si="100"/>
        <v/>
      </c>
      <c r="T271" s="37" t="str">
        <f t="shared" si="101"/>
        <v/>
      </c>
      <c r="U271" s="44" t="str">
        <f t="shared" si="102"/>
        <v/>
      </c>
      <c r="V271" s="26"/>
      <c r="W271" s="26"/>
      <c r="X271" s="26"/>
      <c r="Y271" s="26"/>
      <c r="Z271" s="24"/>
      <c r="AA271" s="169">
        <f t="shared" si="87"/>
        <v>0</v>
      </c>
      <c r="AB271" s="4">
        <f t="shared" si="88"/>
        <v>0</v>
      </c>
      <c r="AC271" s="170">
        <f t="shared" si="84"/>
        <v>0</v>
      </c>
      <c r="AD271" s="58"/>
      <c r="AE271" s="58"/>
      <c r="AF271" s="58"/>
      <c r="AG271" s="59">
        <f t="shared" si="89"/>
        <v>9.0359999999999996</v>
      </c>
      <c r="AH271" s="59">
        <f t="shared" si="90"/>
        <v>-184.49199999999999</v>
      </c>
      <c r="AJ271" s="4">
        <f>IF(D271="M",IF(AM271&lt;78,BMILMS!$D$5*AM271^3+BMILMS!$E$5*AM271^2+BMILMS!$F$5*AM271+BMILMS!$G$5,IF(AM271&lt;150,BMILMS!$D$6*AM271^3+BMILMS!$E$6*AM271^2+BMILMS!$F$6*AM271+BMILMS!$G$6,BMILMS!$D$7*AM271^3+BMILMS!$E$7*AM271^2+BMILMS!$F$7*AM271+BMILMS!$G$7)),IF(AM271&lt;69,BMILMS!$D$9*AM271^3+BMILMS!$E$9*AM271^2+BMILMS!$F$9*AM271+BMILMS!$G$9,IF(AM271&lt;150,BMILMS!$D$10*AM271^3+BMILMS!$E$10*AM271^2+BMILMS!$F$10*AM271+BMILMS!$G$10,BMILMS!$D$11*AM271^3+BMILMS!$E$11*AM271^2+BMILMS!$F$11*AM271+BMILMS!$G$11)))</f>
        <v>0.79584630099999998</v>
      </c>
      <c r="AK271" s="4">
        <f>IF(D271="M",(IF(AM271&lt;2.5,BMILMS!$D$21*AM271^3+BMILMS!$E$21*AM271^2+BMILMS!$F$21*AM271+BMILMS!$G$21,IF(AM271&lt;9.5,BMILMS!$D$22*AM271^3+BMILMS!$E$22*AM271^2+BMILMS!$F$22*AM271+BMILMS!$G$22,IF(AM271&lt;26.75,BMILMS!$D$23*AM271^3+BMILMS!$E$23*AM271^2+BMILMS!$F$23*AM271+BMILMS!$G$23,IF(AM271&lt;90,BMILMS!$D$24*AM271^3+BMILMS!$E$24*AM271^2+BMILMS!$F$24*AM271+BMILMS!$G$24,BMILMS!$D$25*AM271^3+BMILMS!$E$25*AM271^2+BMILMS!$F$25*AM271+BMILMS!$G$25))))),(IF(AM271&lt;2.5,BMILMS!$D$27*AM271^3+BMILMS!$E$27*AM271^2+BMILMS!$F$27*AM271+BMILMS!$G$27,IF(AM271&lt;9.5,BMILMS!$D$28*AM271^3+BMILMS!$E$28*AM271^2+BMILMS!$F$28*AM271+BMILMS!$G$28,IF(AM271&lt;26.75,BMILMS!$D$29*AM271^3+BMILMS!$E$29*AM271^2+BMILMS!$F$29*AM271+BMILMS!$G$29,IF(AM271&lt;90,BMILMS!$D$30*AM271^3+BMILMS!$E$30*AM271^2+BMILMS!$F$30*AM271+BMILMS!$G$30,IF(AM271&lt;150,BMILMS!$D$31*AM271^3+BMILMS!$E$31*AM271^2+BMILMS!$F$31*AM271+BMILMS!$G$31,BMILMS!$D$32*AM271^3+BMILMS!$E$32*AM271^2+BMILMS!$F$32*AM271+BMILMS!$G$32)))))))</f>
        <v>12.568967990000001</v>
      </c>
      <c r="AL271" s="4">
        <f>IF(D271="M",(IF(AM271&lt;90,BMILMS!$D$14*AM271^3+BMILMS!$E$14*AM271^2+BMILMS!$F$14*AM271+BMILMS!$G$14,BMILMS!$D$15*AM271^3+BMILMS!$E$15*AM271^2+BMILMS!$F$15*AM271+BMILMS!$G$15)),(IF(AM271&lt;90,BMILMS!$D$17*AM271^3+BMILMS!$E$17*AM271^2+BMILMS!$F$17*AM271+BMILMS!$G$17,BMILMS!$D$18*AM271^3+BMILMS!$E$18*AM271^2+BMILMS!$F$18*AM271+BMILMS!$G$18)))</f>
        <v>8.8969350000000003E-2</v>
      </c>
      <c r="AM271" s="4">
        <f t="shared" si="104"/>
        <v>0</v>
      </c>
      <c r="AO271" s="56">
        <f>IF(D271="M",WeightSDS!P$5*$AM271^7+WeightSDS!Q$5*$AM271^6+WeightSDS!R$5*$AM271^5+WeightSDS!S$5*$AM271^4+WeightSDS!T$5*$AM271^3+WeightSDS!U$5*$AM271^2+WeightSDS!V$5*$AM271+WeightSDS!W$5,IF($AM271&lt;186,WeightSDS!P$8*$AM271^7+WeightSDS!Q$8*$AM271^6+WeightSDS!R$8*$AM271^5+WeightSDS!S$8*$AM271^4+WeightSDS!T$8*$AM271^3+WeightSDS!U$8*$AM271^2+WeightSDS!V$8*$AM271+WeightSDS!W$8,WeightSDS!$U$9+WeightSDS!$V$9*($AM271-WeightSDS!$W$9)))</f>
        <v>0.75407122999999998</v>
      </c>
      <c r="AP271" s="4">
        <f>IF(D271="M",IF($AM271&lt;45,WeightSDS!M$23*$AM271^10+WeightSDS!N$23*$AM271^9+WeightSDS!O$23*$AM271^8+WeightSDS!P$23*$AM271^7+WeightSDS!Q$23*$AM271^6+WeightSDS!R$23*$AM271^5+WeightSDS!S$23*$AM271^4+WeightSDS!T$23*$AM271^3+WeightSDS!U$23*$AM271^2+WeightSDS!V$23*$AM271+WeightSDS!W$23,IF($AM271&lt;153,WeightSDS!M$25*$AM271^10+WeightSDS!N$25*$AM271^9+WeightSDS!O$25*$AM271^8+WeightSDS!P$25*$AM271^7+WeightSDS!Q$25*$AM271^6+WeightSDS!R$25*$AM271^5+WeightSDS!S$25*$AM271^4+WeightSDS!T$25*$AM271^3+WeightSDS!U$25*$AM271^2+WeightSDS!V$25*$AM271+WeightSDS!W$25,WeightSDS!M$27+WeightSDS!N$27/(1+EXP(WeightSDS!O$27+WeightSDS!P$27*$AM271)))),IF($AM271&lt;43.8,WeightSDS!M$29*$AM271^10+WeightSDS!N$29*$AM271^9+WeightSDS!O$29*$AM271^8+WeightSDS!P$29*$AM271^7+WeightSDS!Q$29*$AM271^6+WeightSDS!R$29*$AM271^5+WeightSDS!S$29*$AM271^4+WeightSDS!T$29*$AM271^3+WeightSDS!U$29*$AM271^2+WeightSDS!V$29*$AM271+WeightSDS!W$29-0.010431*(1-$AM271/210),IF($AM271&lt;123,WeightSDS!M$30*$AM271^10+WeightSDS!N$30*$AM271^9+WeightSDS!O$30*$AM271^8+WeightSDS!P$30*$AM271^7+WeightSDS!Q$30*$AM271^6+WeightSDS!R$30*$AM271^5+WeightSDS!S$30*$AM271^4+WeightSDS!T$30*$AM271^3+WeightSDS!U$30*$AM271^2+WeightSDS!V$30*$AM271+WeightSDS!W$30-0.010431*(1-1/$AM271),WeightSDS!M$32+WeightSDS!N$32/(1+EXP(WeightSDS!O$32+WeightSDS!P$32*$AM271))-0.010431*(1-$AM271/210))))</f>
        <v>2.9500001032655536</v>
      </c>
      <c r="AQ271" s="4">
        <f>IF(D271="M",IF($AM271&lt;162,WeightSDS!P$12*$AM271^7+WeightSDS!Q$12*$AM271^6+WeightSDS!R$12*$AM271^5+WeightSDS!S$12*$AM271^4+WeightSDS!T$12*$AM271^3+WeightSDS!U$12*$AM271^2+WeightSDS!V$12*$AM271+WeightSDS!W$12,WeightSDS!P$14*$AM271^7+WeightSDS!Q$14*$AM271^6+WeightSDS!R$14*$AM271^5+WeightSDS!S$14*$AM271^4+WeightSDS!T$14*$AM271^3+WeightSDS!U$14*$AM271^2+WeightSDS!V$14*$AM271+WeightSDS!W$14),IF($AM271&lt;156,WeightSDS!O$17*$AM271^8+WeightSDS!P$17*$AM271^7+WeightSDS!Q$17*$AM271^6+WeightSDS!R$17*$AM271^5+WeightSDS!S$17*$AM271^4+WeightSDS!T$17*$AM271^3+WeightSDS!U$17*$AM271^2+WeightSDS!V$17*$AM271+WeightSDS!W$17,IF($AM271&lt;186,WeightSDS!$U$18+(WeightSDS!$V$18-WeightSDS!$U$18)/24*($AM271-186)+WeightSDS!$W$18*(-$AM271+186)^2-0.005,WeightSDS!$U$18+(WeightSDS!$V$18-WeightSDS!$U$18)/24*($AM271-186)-0.005)))</f>
        <v>0.14604529399999999</v>
      </c>
      <c r="AT271" s="4">
        <f t="shared" si="91"/>
        <v>0.56299999999999994</v>
      </c>
      <c r="AU271" s="4">
        <f t="shared" si="92"/>
        <v>69</v>
      </c>
      <c r="AV271" s="4">
        <f t="shared" si="93"/>
        <v>0.51</v>
      </c>
    </row>
    <row r="272" spans="1:48" x14ac:dyDescent="0.15">
      <c r="A272" s="4"/>
      <c r="B272" s="21"/>
      <c r="C272" s="21"/>
      <c r="D272" s="21"/>
      <c r="E272" s="22"/>
      <c r="F272" s="22"/>
      <c r="G272" s="23"/>
      <c r="H272" s="23"/>
      <c r="I272" s="181"/>
      <c r="J272" s="8" t="str">
        <f t="shared" si="85"/>
        <v/>
      </c>
      <c r="K272" s="2" t="str">
        <f t="shared" si="94"/>
        <v/>
      </c>
      <c r="L272" s="2" t="str">
        <f t="shared" si="86"/>
        <v/>
      </c>
      <c r="M272" s="2" t="str">
        <f t="shared" si="95"/>
        <v/>
      </c>
      <c r="N272" s="2" t="str">
        <f t="shared" si="103"/>
        <v/>
      </c>
      <c r="O272" s="2" t="str">
        <f t="shared" si="96"/>
        <v/>
      </c>
      <c r="P272" s="8" t="str">
        <f t="shared" si="97"/>
        <v/>
      </c>
      <c r="Q272" s="8" t="str">
        <f t="shared" si="98"/>
        <v/>
      </c>
      <c r="R272" s="111" t="str">
        <f t="shared" si="99"/>
        <v/>
      </c>
      <c r="S272" s="44" t="str">
        <f t="shared" si="100"/>
        <v/>
      </c>
      <c r="T272" s="37" t="str">
        <f t="shared" si="101"/>
        <v/>
      </c>
      <c r="U272" s="44" t="str">
        <f t="shared" si="102"/>
        <v/>
      </c>
      <c r="V272" s="26"/>
      <c r="W272" s="26"/>
      <c r="X272" s="26"/>
      <c r="Y272" s="26"/>
      <c r="Z272" s="24"/>
      <c r="AA272" s="169">
        <f t="shared" si="87"/>
        <v>0</v>
      </c>
      <c r="AB272" s="4">
        <f t="shared" si="88"/>
        <v>0</v>
      </c>
      <c r="AC272" s="170">
        <f t="shared" si="84"/>
        <v>0</v>
      </c>
      <c r="AD272" s="58"/>
      <c r="AE272" s="58"/>
      <c r="AF272" s="58"/>
      <c r="AG272" s="59">
        <f t="shared" si="89"/>
        <v>9.0359999999999996</v>
      </c>
      <c r="AH272" s="59">
        <f t="shared" si="90"/>
        <v>-184.49199999999999</v>
      </c>
      <c r="AJ272" s="4">
        <f>IF(D272="M",IF(AM272&lt;78,BMILMS!$D$5*AM272^3+BMILMS!$E$5*AM272^2+BMILMS!$F$5*AM272+BMILMS!$G$5,IF(AM272&lt;150,BMILMS!$D$6*AM272^3+BMILMS!$E$6*AM272^2+BMILMS!$F$6*AM272+BMILMS!$G$6,BMILMS!$D$7*AM272^3+BMILMS!$E$7*AM272^2+BMILMS!$F$7*AM272+BMILMS!$G$7)),IF(AM272&lt;69,BMILMS!$D$9*AM272^3+BMILMS!$E$9*AM272^2+BMILMS!$F$9*AM272+BMILMS!$G$9,IF(AM272&lt;150,BMILMS!$D$10*AM272^3+BMILMS!$E$10*AM272^2+BMILMS!$F$10*AM272+BMILMS!$G$10,BMILMS!$D$11*AM272^3+BMILMS!$E$11*AM272^2+BMILMS!$F$11*AM272+BMILMS!$G$11)))</f>
        <v>0.79584630099999998</v>
      </c>
      <c r="AK272" s="4">
        <f>IF(D272="M",(IF(AM272&lt;2.5,BMILMS!$D$21*AM272^3+BMILMS!$E$21*AM272^2+BMILMS!$F$21*AM272+BMILMS!$G$21,IF(AM272&lt;9.5,BMILMS!$D$22*AM272^3+BMILMS!$E$22*AM272^2+BMILMS!$F$22*AM272+BMILMS!$G$22,IF(AM272&lt;26.75,BMILMS!$D$23*AM272^3+BMILMS!$E$23*AM272^2+BMILMS!$F$23*AM272+BMILMS!$G$23,IF(AM272&lt;90,BMILMS!$D$24*AM272^3+BMILMS!$E$24*AM272^2+BMILMS!$F$24*AM272+BMILMS!$G$24,BMILMS!$D$25*AM272^3+BMILMS!$E$25*AM272^2+BMILMS!$F$25*AM272+BMILMS!$G$25))))),(IF(AM272&lt;2.5,BMILMS!$D$27*AM272^3+BMILMS!$E$27*AM272^2+BMILMS!$F$27*AM272+BMILMS!$G$27,IF(AM272&lt;9.5,BMILMS!$D$28*AM272^3+BMILMS!$E$28*AM272^2+BMILMS!$F$28*AM272+BMILMS!$G$28,IF(AM272&lt;26.75,BMILMS!$D$29*AM272^3+BMILMS!$E$29*AM272^2+BMILMS!$F$29*AM272+BMILMS!$G$29,IF(AM272&lt;90,BMILMS!$D$30*AM272^3+BMILMS!$E$30*AM272^2+BMILMS!$F$30*AM272+BMILMS!$G$30,IF(AM272&lt;150,BMILMS!$D$31*AM272^3+BMILMS!$E$31*AM272^2+BMILMS!$F$31*AM272+BMILMS!$G$31,BMILMS!$D$32*AM272^3+BMILMS!$E$32*AM272^2+BMILMS!$F$32*AM272+BMILMS!$G$32)))))))</f>
        <v>12.568967990000001</v>
      </c>
      <c r="AL272" s="4">
        <f>IF(D272="M",(IF(AM272&lt;90,BMILMS!$D$14*AM272^3+BMILMS!$E$14*AM272^2+BMILMS!$F$14*AM272+BMILMS!$G$14,BMILMS!$D$15*AM272^3+BMILMS!$E$15*AM272^2+BMILMS!$F$15*AM272+BMILMS!$G$15)),(IF(AM272&lt;90,BMILMS!$D$17*AM272^3+BMILMS!$E$17*AM272^2+BMILMS!$F$17*AM272+BMILMS!$G$17,BMILMS!$D$18*AM272^3+BMILMS!$E$18*AM272^2+BMILMS!$F$18*AM272+BMILMS!$G$18)))</f>
        <v>8.8969350000000003E-2</v>
      </c>
      <c r="AM272" s="4">
        <f t="shared" si="104"/>
        <v>0</v>
      </c>
      <c r="AO272" s="56">
        <f>IF(D272="M",WeightSDS!P$5*$AM272^7+WeightSDS!Q$5*$AM272^6+WeightSDS!R$5*$AM272^5+WeightSDS!S$5*$AM272^4+WeightSDS!T$5*$AM272^3+WeightSDS!U$5*$AM272^2+WeightSDS!V$5*$AM272+WeightSDS!W$5,IF($AM272&lt;186,WeightSDS!P$8*$AM272^7+WeightSDS!Q$8*$AM272^6+WeightSDS!R$8*$AM272^5+WeightSDS!S$8*$AM272^4+WeightSDS!T$8*$AM272^3+WeightSDS!U$8*$AM272^2+WeightSDS!V$8*$AM272+WeightSDS!W$8,WeightSDS!$U$9+WeightSDS!$V$9*($AM272-WeightSDS!$W$9)))</f>
        <v>0.75407122999999998</v>
      </c>
      <c r="AP272" s="4">
        <f>IF(D272="M",IF($AM272&lt;45,WeightSDS!M$23*$AM272^10+WeightSDS!N$23*$AM272^9+WeightSDS!O$23*$AM272^8+WeightSDS!P$23*$AM272^7+WeightSDS!Q$23*$AM272^6+WeightSDS!R$23*$AM272^5+WeightSDS!S$23*$AM272^4+WeightSDS!T$23*$AM272^3+WeightSDS!U$23*$AM272^2+WeightSDS!V$23*$AM272+WeightSDS!W$23,IF($AM272&lt;153,WeightSDS!M$25*$AM272^10+WeightSDS!N$25*$AM272^9+WeightSDS!O$25*$AM272^8+WeightSDS!P$25*$AM272^7+WeightSDS!Q$25*$AM272^6+WeightSDS!R$25*$AM272^5+WeightSDS!S$25*$AM272^4+WeightSDS!T$25*$AM272^3+WeightSDS!U$25*$AM272^2+WeightSDS!V$25*$AM272+WeightSDS!W$25,WeightSDS!M$27+WeightSDS!N$27/(1+EXP(WeightSDS!O$27+WeightSDS!P$27*$AM272)))),IF($AM272&lt;43.8,WeightSDS!M$29*$AM272^10+WeightSDS!N$29*$AM272^9+WeightSDS!O$29*$AM272^8+WeightSDS!P$29*$AM272^7+WeightSDS!Q$29*$AM272^6+WeightSDS!R$29*$AM272^5+WeightSDS!S$29*$AM272^4+WeightSDS!T$29*$AM272^3+WeightSDS!U$29*$AM272^2+WeightSDS!V$29*$AM272+WeightSDS!W$29-0.010431*(1-$AM272/210),IF($AM272&lt;123,WeightSDS!M$30*$AM272^10+WeightSDS!N$30*$AM272^9+WeightSDS!O$30*$AM272^8+WeightSDS!P$30*$AM272^7+WeightSDS!Q$30*$AM272^6+WeightSDS!R$30*$AM272^5+WeightSDS!S$30*$AM272^4+WeightSDS!T$30*$AM272^3+WeightSDS!U$30*$AM272^2+WeightSDS!V$30*$AM272+WeightSDS!W$30-0.010431*(1-1/$AM272),WeightSDS!M$32+WeightSDS!N$32/(1+EXP(WeightSDS!O$32+WeightSDS!P$32*$AM272))-0.010431*(1-$AM272/210))))</f>
        <v>2.9500001032655536</v>
      </c>
      <c r="AQ272" s="4">
        <f>IF(D272="M",IF($AM272&lt;162,WeightSDS!P$12*$AM272^7+WeightSDS!Q$12*$AM272^6+WeightSDS!R$12*$AM272^5+WeightSDS!S$12*$AM272^4+WeightSDS!T$12*$AM272^3+WeightSDS!U$12*$AM272^2+WeightSDS!V$12*$AM272+WeightSDS!W$12,WeightSDS!P$14*$AM272^7+WeightSDS!Q$14*$AM272^6+WeightSDS!R$14*$AM272^5+WeightSDS!S$14*$AM272^4+WeightSDS!T$14*$AM272^3+WeightSDS!U$14*$AM272^2+WeightSDS!V$14*$AM272+WeightSDS!W$14),IF($AM272&lt;156,WeightSDS!O$17*$AM272^8+WeightSDS!P$17*$AM272^7+WeightSDS!Q$17*$AM272^6+WeightSDS!R$17*$AM272^5+WeightSDS!S$17*$AM272^4+WeightSDS!T$17*$AM272^3+WeightSDS!U$17*$AM272^2+WeightSDS!V$17*$AM272+WeightSDS!W$17,IF($AM272&lt;186,WeightSDS!$U$18+(WeightSDS!$V$18-WeightSDS!$U$18)/24*($AM272-186)+WeightSDS!$W$18*(-$AM272+186)^2-0.005,WeightSDS!$U$18+(WeightSDS!$V$18-WeightSDS!$U$18)/24*($AM272-186)-0.005)))</f>
        <v>0.14604529399999999</v>
      </c>
      <c r="AT272" s="4">
        <f t="shared" si="91"/>
        <v>0.56299999999999994</v>
      </c>
      <c r="AU272" s="4">
        <f t="shared" si="92"/>
        <v>69</v>
      </c>
      <c r="AV272" s="4">
        <f t="shared" si="93"/>
        <v>0.51</v>
      </c>
    </row>
    <row r="273" spans="1:48" x14ac:dyDescent="0.15">
      <c r="A273" s="4"/>
      <c r="B273" s="21"/>
      <c r="C273" s="21"/>
      <c r="D273" s="21"/>
      <c r="E273" s="22"/>
      <c r="F273" s="22"/>
      <c r="G273" s="23"/>
      <c r="H273" s="23"/>
      <c r="I273" s="181"/>
      <c r="J273" s="8" t="str">
        <f t="shared" si="85"/>
        <v/>
      </c>
      <c r="K273" s="2" t="str">
        <f t="shared" si="94"/>
        <v/>
      </c>
      <c r="L273" s="2" t="str">
        <f t="shared" si="86"/>
        <v/>
      </c>
      <c r="M273" s="2" t="str">
        <f t="shared" si="95"/>
        <v/>
      </c>
      <c r="N273" s="2" t="str">
        <f t="shared" si="103"/>
        <v/>
      </c>
      <c r="O273" s="2" t="str">
        <f t="shared" si="96"/>
        <v/>
      </c>
      <c r="P273" s="8" t="str">
        <f t="shared" si="97"/>
        <v/>
      </c>
      <c r="Q273" s="8" t="str">
        <f t="shared" si="98"/>
        <v/>
      </c>
      <c r="R273" s="111" t="str">
        <f t="shared" si="99"/>
        <v/>
      </c>
      <c r="S273" s="44" t="str">
        <f t="shared" si="100"/>
        <v/>
      </c>
      <c r="T273" s="37" t="str">
        <f t="shared" si="101"/>
        <v/>
      </c>
      <c r="U273" s="44" t="str">
        <f t="shared" si="102"/>
        <v/>
      </c>
      <c r="V273" s="26"/>
      <c r="W273" s="26"/>
      <c r="X273" s="26"/>
      <c r="Y273" s="26"/>
      <c r="Z273" s="24"/>
      <c r="AA273" s="169">
        <f t="shared" si="87"/>
        <v>0</v>
      </c>
      <c r="AB273" s="4">
        <f t="shared" si="88"/>
        <v>0</v>
      </c>
      <c r="AC273" s="170">
        <f t="shared" si="84"/>
        <v>0</v>
      </c>
      <c r="AD273" s="58"/>
      <c r="AE273" s="58"/>
      <c r="AF273" s="58"/>
      <c r="AG273" s="59">
        <f t="shared" si="89"/>
        <v>9.0359999999999996</v>
      </c>
      <c r="AH273" s="59">
        <f t="shared" si="90"/>
        <v>-184.49199999999999</v>
      </c>
      <c r="AJ273" s="4">
        <f>IF(D273="M",IF(AM273&lt;78,BMILMS!$D$5*AM273^3+BMILMS!$E$5*AM273^2+BMILMS!$F$5*AM273+BMILMS!$G$5,IF(AM273&lt;150,BMILMS!$D$6*AM273^3+BMILMS!$E$6*AM273^2+BMILMS!$F$6*AM273+BMILMS!$G$6,BMILMS!$D$7*AM273^3+BMILMS!$E$7*AM273^2+BMILMS!$F$7*AM273+BMILMS!$G$7)),IF(AM273&lt;69,BMILMS!$D$9*AM273^3+BMILMS!$E$9*AM273^2+BMILMS!$F$9*AM273+BMILMS!$G$9,IF(AM273&lt;150,BMILMS!$D$10*AM273^3+BMILMS!$E$10*AM273^2+BMILMS!$F$10*AM273+BMILMS!$G$10,BMILMS!$D$11*AM273^3+BMILMS!$E$11*AM273^2+BMILMS!$F$11*AM273+BMILMS!$G$11)))</f>
        <v>0.79584630099999998</v>
      </c>
      <c r="AK273" s="4">
        <f>IF(D273="M",(IF(AM273&lt;2.5,BMILMS!$D$21*AM273^3+BMILMS!$E$21*AM273^2+BMILMS!$F$21*AM273+BMILMS!$G$21,IF(AM273&lt;9.5,BMILMS!$D$22*AM273^3+BMILMS!$E$22*AM273^2+BMILMS!$F$22*AM273+BMILMS!$G$22,IF(AM273&lt;26.75,BMILMS!$D$23*AM273^3+BMILMS!$E$23*AM273^2+BMILMS!$F$23*AM273+BMILMS!$G$23,IF(AM273&lt;90,BMILMS!$D$24*AM273^3+BMILMS!$E$24*AM273^2+BMILMS!$F$24*AM273+BMILMS!$G$24,BMILMS!$D$25*AM273^3+BMILMS!$E$25*AM273^2+BMILMS!$F$25*AM273+BMILMS!$G$25))))),(IF(AM273&lt;2.5,BMILMS!$D$27*AM273^3+BMILMS!$E$27*AM273^2+BMILMS!$F$27*AM273+BMILMS!$G$27,IF(AM273&lt;9.5,BMILMS!$D$28*AM273^3+BMILMS!$E$28*AM273^2+BMILMS!$F$28*AM273+BMILMS!$G$28,IF(AM273&lt;26.75,BMILMS!$D$29*AM273^3+BMILMS!$E$29*AM273^2+BMILMS!$F$29*AM273+BMILMS!$G$29,IF(AM273&lt;90,BMILMS!$D$30*AM273^3+BMILMS!$E$30*AM273^2+BMILMS!$F$30*AM273+BMILMS!$G$30,IF(AM273&lt;150,BMILMS!$D$31*AM273^3+BMILMS!$E$31*AM273^2+BMILMS!$F$31*AM273+BMILMS!$G$31,BMILMS!$D$32*AM273^3+BMILMS!$E$32*AM273^2+BMILMS!$F$32*AM273+BMILMS!$G$32)))))))</f>
        <v>12.568967990000001</v>
      </c>
      <c r="AL273" s="4">
        <f>IF(D273="M",(IF(AM273&lt;90,BMILMS!$D$14*AM273^3+BMILMS!$E$14*AM273^2+BMILMS!$F$14*AM273+BMILMS!$G$14,BMILMS!$D$15*AM273^3+BMILMS!$E$15*AM273^2+BMILMS!$F$15*AM273+BMILMS!$G$15)),(IF(AM273&lt;90,BMILMS!$D$17*AM273^3+BMILMS!$E$17*AM273^2+BMILMS!$F$17*AM273+BMILMS!$G$17,BMILMS!$D$18*AM273^3+BMILMS!$E$18*AM273^2+BMILMS!$F$18*AM273+BMILMS!$G$18)))</f>
        <v>8.8969350000000003E-2</v>
      </c>
      <c r="AM273" s="4">
        <f t="shared" si="104"/>
        <v>0</v>
      </c>
      <c r="AO273" s="56">
        <f>IF(D273="M",WeightSDS!P$5*$AM273^7+WeightSDS!Q$5*$AM273^6+WeightSDS!R$5*$AM273^5+WeightSDS!S$5*$AM273^4+WeightSDS!T$5*$AM273^3+WeightSDS!U$5*$AM273^2+WeightSDS!V$5*$AM273+WeightSDS!W$5,IF($AM273&lt;186,WeightSDS!P$8*$AM273^7+WeightSDS!Q$8*$AM273^6+WeightSDS!R$8*$AM273^5+WeightSDS!S$8*$AM273^4+WeightSDS!T$8*$AM273^3+WeightSDS!U$8*$AM273^2+WeightSDS!V$8*$AM273+WeightSDS!W$8,WeightSDS!$U$9+WeightSDS!$V$9*($AM273-WeightSDS!$W$9)))</f>
        <v>0.75407122999999998</v>
      </c>
      <c r="AP273" s="4">
        <f>IF(D273="M",IF($AM273&lt;45,WeightSDS!M$23*$AM273^10+WeightSDS!N$23*$AM273^9+WeightSDS!O$23*$AM273^8+WeightSDS!P$23*$AM273^7+WeightSDS!Q$23*$AM273^6+WeightSDS!R$23*$AM273^5+WeightSDS!S$23*$AM273^4+WeightSDS!T$23*$AM273^3+WeightSDS!U$23*$AM273^2+WeightSDS!V$23*$AM273+WeightSDS!W$23,IF($AM273&lt;153,WeightSDS!M$25*$AM273^10+WeightSDS!N$25*$AM273^9+WeightSDS!O$25*$AM273^8+WeightSDS!P$25*$AM273^7+WeightSDS!Q$25*$AM273^6+WeightSDS!R$25*$AM273^5+WeightSDS!S$25*$AM273^4+WeightSDS!T$25*$AM273^3+WeightSDS!U$25*$AM273^2+WeightSDS!V$25*$AM273+WeightSDS!W$25,WeightSDS!M$27+WeightSDS!N$27/(1+EXP(WeightSDS!O$27+WeightSDS!P$27*$AM273)))),IF($AM273&lt;43.8,WeightSDS!M$29*$AM273^10+WeightSDS!N$29*$AM273^9+WeightSDS!O$29*$AM273^8+WeightSDS!P$29*$AM273^7+WeightSDS!Q$29*$AM273^6+WeightSDS!R$29*$AM273^5+WeightSDS!S$29*$AM273^4+WeightSDS!T$29*$AM273^3+WeightSDS!U$29*$AM273^2+WeightSDS!V$29*$AM273+WeightSDS!W$29-0.010431*(1-$AM273/210),IF($AM273&lt;123,WeightSDS!M$30*$AM273^10+WeightSDS!N$30*$AM273^9+WeightSDS!O$30*$AM273^8+WeightSDS!P$30*$AM273^7+WeightSDS!Q$30*$AM273^6+WeightSDS!R$30*$AM273^5+WeightSDS!S$30*$AM273^4+WeightSDS!T$30*$AM273^3+WeightSDS!U$30*$AM273^2+WeightSDS!V$30*$AM273+WeightSDS!W$30-0.010431*(1-1/$AM273),WeightSDS!M$32+WeightSDS!N$32/(1+EXP(WeightSDS!O$32+WeightSDS!P$32*$AM273))-0.010431*(1-$AM273/210))))</f>
        <v>2.9500001032655536</v>
      </c>
      <c r="AQ273" s="4">
        <f>IF(D273="M",IF($AM273&lt;162,WeightSDS!P$12*$AM273^7+WeightSDS!Q$12*$AM273^6+WeightSDS!R$12*$AM273^5+WeightSDS!S$12*$AM273^4+WeightSDS!T$12*$AM273^3+WeightSDS!U$12*$AM273^2+WeightSDS!V$12*$AM273+WeightSDS!W$12,WeightSDS!P$14*$AM273^7+WeightSDS!Q$14*$AM273^6+WeightSDS!R$14*$AM273^5+WeightSDS!S$14*$AM273^4+WeightSDS!T$14*$AM273^3+WeightSDS!U$14*$AM273^2+WeightSDS!V$14*$AM273+WeightSDS!W$14),IF($AM273&lt;156,WeightSDS!O$17*$AM273^8+WeightSDS!P$17*$AM273^7+WeightSDS!Q$17*$AM273^6+WeightSDS!R$17*$AM273^5+WeightSDS!S$17*$AM273^4+WeightSDS!T$17*$AM273^3+WeightSDS!U$17*$AM273^2+WeightSDS!V$17*$AM273+WeightSDS!W$17,IF($AM273&lt;186,WeightSDS!$U$18+(WeightSDS!$V$18-WeightSDS!$U$18)/24*($AM273-186)+WeightSDS!$W$18*(-$AM273+186)^2-0.005,WeightSDS!$U$18+(WeightSDS!$V$18-WeightSDS!$U$18)/24*($AM273-186)-0.005)))</f>
        <v>0.14604529399999999</v>
      </c>
      <c r="AT273" s="4">
        <f t="shared" si="91"/>
        <v>0.56299999999999994</v>
      </c>
      <c r="AU273" s="4">
        <f t="shared" si="92"/>
        <v>69</v>
      </c>
      <c r="AV273" s="4">
        <f t="shared" si="93"/>
        <v>0.51</v>
      </c>
    </row>
    <row r="274" spans="1:48" x14ac:dyDescent="0.15">
      <c r="A274" s="4"/>
      <c r="B274" s="21"/>
      <c r="C274" s="21"/>
      <c r="D274" s="21"/>
      <c r="E274" s="22"/>
      <c r="F274" s="22"/>
      <c r="G274" s="23"/>
      <c r="H274" s="23"/>
      <c r="I274" s="181"/>
      <c r="J274" s="8" t="str">
        <f t="shared" si="85"/>
        <v/>
      </c>
      <c r="K274" s="2" t="str">
        <f t="shared" si="94"/>
        <v/>
      </c>
      <c r="L274" s="2" t="str">
        <f t="shared" si="86"/>
        <v/>
      </c>
      <c r="M274" s="2" t="str">
        <f t="shared" si="95"/>
        <v/>
      </c>
      <c r="N274" s="2" t="str">
        <f t="shared" si="103"/>
        <v/>
      </c>
      <c r="O274" s="2" t="str">
        <f t="shared" si="96"/>
        <v/>
      </c>
      <c r="P274" s="8" t="str">
        <f t="shared" si="97"/>
        <v/>
      </c>
      <c r="Q274" s="8" t="str">
        <f t="shared" si="98"/>
        <v/>
      </c>
      <c r="R274" s="111" t="str">
        <f t="shared" si="99"/>
        <v/>
      </c>
      <c r="S274" s="44" t="str">
        <f t="shared" si="100"/>
        <v/>
      </c>
      <c r="T274" s="37" t="str">
        <f t="shared" si="101"/>
        <v/>
      </c>
      <c r="U274" s="44" t="str">
        <f t="shared" si="102"/>
        <v/>
      </c>
      <c r="V274" s="26"/>
      <c r="W274" s="26"/>
      <c r="X274" s="26"/>
      <c r="Y274" s="26"/>
      <c r="Z274" s="24"/>
      <c r="AA274" s="169">
        <f t="shared" si="87"/>
        <v>0</v>
      </c>
      <c r="AB274" s="4">
        <f t="shared" si="88"/>
        <v>0</v>
      </c>
      <c r="AC274" s="170">
        <f t="shared" si="84"/>
        <v>0</v>
      </c>
      <c r="AD274" s="58"/>
      <c r="AE274" s="58"/>
      <c r="AF274" s="58"/>
      <c r="AG274" s="59">
        <f t="shared" si="89"/>
        <v>9.0359999999999996</v>
      </c>
      <c r="AH274" s="59">
        <f t="shared" si="90"/>
        <v>-184.49199999999999</v>
      </c>
      <c r="AJ274" s="4">
        <f>IF(D274="M",IF(AM274&lt;78,BMILMS!$D$5*AM274^3+BMILMS!$E$5*AM274^2+BMILMS!$F$5*AM274+BMILMS!$G$5,IF(AM274&lt;150,BMILMS!$D$6*AM274^3+BMILMS!$E$6*AM274^2+BMILMS!$F$6*AM274+BMILMS!$G$6,BMILMS!$D$7*AM274^3+BMILMS!$E$7*AM274^2+BMILMS!$F$7*AM274+BMILMS!$G$7)),IF(AM274&lt;69,BMILMS!$D$9*AM274^3+BMILMS!$E$9*AM274^2+BMILMS!$F$9*AM274+BMILMS!$G$9,IF(AM274&lt;150,BMILMS!$D$10*AM274^3+BMILMS!$E$10*AM274^2+BMILMS!$F$10*AM274+BMILMS!$G$10,BMILMS!$D$11*AM274^3+BMILMS!$E$11*AM274^2+BMILMS!$F$11*AM274+BMILMS!$G$11)))</f>
        <v>0.79584630099999998</v>
      </c>
      <c r="AK274" s="4">
        <f>IF(D274="M",(IF(AM274&lt;2.5,BMILMS!$D$21*AM274^3+BMILMS!$E$21*AM274^2+BMILMS!$F$21*AM274+BMILMS!$G$21,IF(AM274&lt;9.5,BMILMS!$D$22*AM274^3+BMILMS!$E$22*AM274^2+BMILMS!$F$22*AM274+BMILMS!$G$22,IF(AM274&lt;26.75,BMILMS!$D$23*AM274^3+BMILMS!$E$23*AM274^2+BMILMS!$F$23*AM274+BMILMS!$G$23,IF(AM274&lt;90,BMILMS!$D$24*AM274^3+BMILMS!$E$24*AM274^2+BMILMS!$F$24*AM274+BMILMS!$G$24,BMILMS!$D$25*AM274^3+BMILMS!$E$25*AM274^2+BMILMS!$F$25*AM274+BMILMS!$G$25))))),(IF(AM274&lt;2.5,BMILMS!$D$27*AM274^3+BMILMS!$E$27*AM274^2+BMILMS!$F$27*AM274+BMILMS!$G$27,IF(AM274&lt;9.5,BMILMS!$D$28*AM274^3+BMILMS!$E$28*AM274^2+BMILMS!$F$28*AM274+BMILMS!$G$28,IF(AM274&lt;26.75,BMILMS!$D$29*AM274^3+BMILMS!$E$29*AM274^2+BMILMS!$F$29*AM274+BMILMS!$G$29,IF(AM274&lt;90,BMILMS!$D$30*AM274^3+BMILMS!$E$30*AM274^2+BMILMS!$F$30*AM274+BMILMS!$G$30,IF(AM274&lt;150,BMILMS!$D$31*AM274^3+BMILMS!$E$31*AM274^2+BMILMS!$F$31*AM274+BMILMS!$G$31,BMILMS!$D$32*AM274^3+BMILMS!$E$32*AM274^2+BMILMS!$F$32*AM274+BMILMS!$G$32)))))))</f>
        <v>12.568967990000001</v>
      </c>
      <c r="AL274" s="4">
        <f>IF(D274="M",(IF(AM274&lt;90,BMILMS!$D$14*AM274^3+BMILMS!$E$14*AM274^2+BMILMS!$F$14*AM274+BMILMS!$G$14,BMILMS!$D$15*AM274^3+BMILMS!$E$15*AM274^2+BMILMS!$F$15*AM274+BMILMS!$G$15)),(IF(AM274&lt;90,BMILMS!$D$17*AM274^3+BMILMS!$E$17*AM274^2+BMILMS!$F$17*AM274+BMILMS!$G$17,BMILMS!$D$18*AM274^3+BMILMS!$E$18*AM274^2+BMILMS!$F$18*AM274+BMILMS!$G$18)))</f>
        <v>8.8969350000000003E-2</v>
      </c>
      <c r="AM274" s="4">
        <f t="shared" si="104"/>
        <v>0</v>
      </c>
      <c r="AO274" s="56">
        <f>IF(D274="M",WeightSDS!P$5*$AM274^7+WeightSDS!Q$5*$AM274^6+WeightSDS!R$5*$AM274^5+WeightSDS!S$5*$AM274^4+WeightSDS!T$5*$AM274^3+WeightSDS!U$5*$AM274^2+WeightSDS!V$5*$AM274+WeightSDS!W$5,IF($AM274&lt;186,WeightSDS!P$8*$AM274^7+WeightSDS!Q$8*$AM274^6+WeightSDS!R$8*$AM274^5+WeightSDS!S$8*$AM274^4+WeightSDS!T$8*$AM274^3+WeightSDS!U$8*$AM274^2+WeightSDS!V$8*$AM274+WeightSDS!W$8,WeightSDS!$U$9+WeightSDS!$V$9*($AM274-WeightSDS!$W$9)))</f>
        <v>0.75407122999999998</v>
      </c>
      <c r="AP274" s="4">
        <f>IF(D274="M",IF($AM274&lt;45,WeightSDS!M$23*$AM274^10+WeightSDS!N$23*$AM274^9+WeightSDS!O$23*$AM274^8+WeightSDS!P$23*$AM274^7+WeightSDS!Q$23*$AM274^6+WeightSDS!R$23*$AM274^5+WeightSDS!S$23*$AM274^4+WeightSDS!T$23*$AM274^3+WeightSDS!U$23*$AM274^2+WeightSDS!V$23*$AM274+WeightSDS!W$23,IF($AM274&lt;153,WeightSDS!M$25*$AM274^10+WeightSDS!N$25*$AM274^9+WeightSDS!O$25*$AM274^8+WeightSDS!P$25*$AM274^7+WeightSDS!Q$25*$AM274^6+WeightSDS!R$25*$AM274^5+WeightSDS!S$25*$AM274^4+WeightSDS!T$25*$AM274^3+WeightSDS!U$25*$AM274^2+WeightSDS!V$25*$AM274+WeightSDS!W$25,WeightSDS!M$27+WeightSDS!N$27/(1+EXP(WeightSDS!O$27+WeightSDS!P$27*$AM274)))),IF($AM274&lt;43.8,WeightSDS!M$29*$AM274^10+WeightSDS!N$29*$AM274^9+WeightSDS!O$29*$AM274^8+WeightSDS!P$29*$AM274^7+WeightSDS!Q$29*$AM274^6+WeightSDS!R$29*$AM274^5+WeightSDS!S$29*$AM274^4+WeightSDS!T$29*$AM274^3+WeightSDS!U$29*$AM274^2+WeightSDS!V$29*$AM274+WeightSDS!W$29-0.010431*(1-$AM274/210),IF($AM274&lt;123,WeightSDS!M$30*$AM274^10+WeightSDS!N$30*$AM274^9+WeightSDS!O$30*$AM274^8+WeightSDS!P$30*$AM274^7+WeightSDS!Q$30*$AM274^6+WeightSDS!R$30*$AM274^5+WeightSDS!S$30*$AM274^4+WeightSDS!T$30*$AM274^3+WeightSDS!U$30*$AM274^2+WeightSDS!V$30*$AM274+WeightSDS!W$30-0.010431*(1-1/$AM274),WeightSDS!M$32+WeightSDS!N$32/(1+EXP(WeightSDS!O$32+WeightSDS!P$32*$AM274))-0.010431*(1-$AM274/210))))</f>
        <v>2.9500001032655536</v>
      </c>
      <c r="AQ274" s="4">
        <f>IF(D274="M",IF($AM274&lt;162,WeightSDS!P$12*$AM274^7+WeightSDS!Q$12*$AM274^6+WeightSDS!R$12*$AM274^5+WeightSDS!S$12*$AM274^4+WeightSDS!T$12*$AM274^3+WeightSDS!U$12*$AM274^2+WeightSDS!V$12*$AM274+WeightSDS!W$12,WeightSDS!P$14*$AM274^7+WeightSDS!Q$14*$AM274^6+WeightSDS!R$14*$AM274^5+WeightSDS!S$14*$AM274^4+WeightSDS!T$14*$AM274^3+WeightSDS!U$14*$AM274^2+WeightSDS!V$14*$AM274+WeightSDS!W$14),IF($AM274&lt;156,WeightSDS!O$17*$AM274^8+WeightSDS!P$17*$AM274^7+WeightSDS!Q$17*$AM274^6+WeightSDS!R$17*$AM274^5+WeightSDS!S$17*$AM274^4+WeightSDS!T$17*$AM274^3+WeightSDS!U$17*$AM274^2+WeightSDS!V$17*$AM274+WeightSDS!W$17,IF($AM274&lt;186,WeightSDS!$U$18+(WeightSDS!$V$18-WeightSDS!$U$18)/24*($AM274-186)+WeightSDS!$W$18*(-$AM274+186)^2-0.005,WeightSDS!$U$18+(WeightSDS!$V$18-WeightSDS!$U$18)/24*($AM274-186)-0.005)))</f>
        <v>0.14604529399999999</v>
      </c>
      <c r="AT274" s="4">
        <f t="shared" si="91"/>
        <v>0.56299999999999994</v>
      </c>
      <c r="AU274" s="4">
        <f t="shared" si="92"/>
        <v>69</v>
      </c>
      <c r="AV274" s="4">
        <f t="shared" si="93"/>
        <v>0.51</v>
      </c>
    </row>
    <row r="275" spans="1:48" x14ac:dyDescent="0.15">
      <c r="A275" s="4"/>
      <c r="B275" s="21"/>
      <c r="C275" s="21"/>
      <c r="D275" s="21"/>
      <c r="E275" s="22"/>
      <c r="F275" s="22"/>
      <c r="G275" s="23"/>
      <c r="H275" s="23"/>
      <c r="I275" s="181"/>
      <c r="J275" s="8" t="str">
        <f t="shared" si="85"/>
        <v/>
      </c>
      <c r="K275" s="2" t="str">
        <f t="shared" si="94"/>
        <v/>
      </c>
      <c r="L275" s="2" t="str">
        <f t="shared" si="86"/>
        <v/>
      </c>
      <c r="M275" s="2" t="str">
        <f t="shared" si="95"/>
        <v/>
      </c>
      <c r="N275" s="2" t="str">
        <f t="shared" si="103"/>
        <v/>
      </c>
      <c r="O275" s="2" t="str">
        <f t="shared" si="96"/>
        <v/>
      </c>
      <c r="P275" s="8" t="str">
        <f t="shared" si="97"/>
        <v/>
      </c>
      <c r="Q275" s="8" t="str">
        <f t="shared" si="98"/>
        <v/>
      </c>
      <c r="R275" s="111" t="str">
        <f t="shared" si="99"/>
        <v/>
      </c>
      <c r="S275" s="44" t="str">
        <f t="shared" si="100"/>
        <v/>
      </c>
      <c r="T275" s="37" t="str">
        <f t="shared" si="101"/>
        <v/>
      </c>
      <c r="U275" s="44" t="str">
        <f t="shared" si="102"/>
        <v/>
      </c>
      <c r="V275" s="26"/>
      <c r="W275" s="26"/>
      <c r="X275" s="26"/>
      <c r="Y275" s="26"/>
      <c r="Z275" s="24"/>
      <c r="AA275" s="169">
        <f t="shared" si="87"/>
        <v>0</v>
      </c>
      <c r="AB275" s="4">
        <f t="shared" si="88"/>
        <v>0</v>
      </c>
      <c r="AC275" s="170">
        <f t="shared" si="84"/>
        <v>0</v>
      </c>
      <c r="AD275" s="58"/>
      <c r="AE275" s="58"/>
      <c r="AF275" s="58"/>
      <c r="AG275" s="59">
        <f t="shared" si="89"/>
        <v>9.0359999999999996</v>
      </c>
      <c r="AH275" s="59">
        <f t="shared" si="90"/>
        <v>-184.49199999999999</v>
      </c>
      <c r="AJ275" s="4">
        <f>IF(D275="M",IF(AM275&lt;78,BMILMS!$D$5*AM275^3+BMILMS!$E$5*AM275^2+BMILMS!$F$5*AM275+BMILMS!$G$5,IF(AM275&lt;150,BMILMS!$D$6*AM275^3+BMILMS!$E$6*AM275^2+BMILMS!$F$6*AM275+BMILMS!$G$6,BMILMS!$D$7*AM275^3+BMILMS!$E$7*AM275^2+BMILMS!$F$7*AM275+BMILMS!$G$7)),IF(AM275&lt;69,BMILMS!$D$9*AM275^3+BMILMS!$E$9*AM275^2+BMILMS!$F$9*AM275+BMILMS!$G$9,IF(AM275&lt;150,BMILMS!$D$10*AM275^3+BMILMS!$E$10*AM275^2+BMILMS!$F$10*AM275+BMILMS!$G$10,BMILMS!$D$11*AM275^3+BMILMS!$E$11*AM275^2+BMILMS!$F$11*AM275+BMILMS!$G$11)))</f>
        <v>0.79584630099999998</v>
      </c>
      <c r="AK275" s="4">
        <f>IF(D275="M",(IF(AM275&lt;2.5,BMILMS!$D$21*AM275^3+BMILMS!$E$21*AM275^2+BMILMS!$F$21*AM275+BMILMS!$G$21,IF(AM275&lt;9.5,BMILMS!$D$22*AM275^3+BMILMS!$E$22*AM275^2+BMILMS!$F$22*AM275+BMILMS!$G$22,IF(AM275&lt;26.75,BMILMS!$D$23*AM275^3+BMILMS!$E$23*AM275^2+BMILMS!$F$23*AM275+BMILMS!$G$23,IF(AM275&lt;90,BMILMS!$D$24*AM275^3+BMILMS!$E$24*AM275^2+BMILMS!$F$24*AM275+BMILMS!$G$24,BMILMS!$D$25*AM275^3+BMILMS!$E$25*AM275^2+BMILMS!$F$25*AM275+BMILMS!$G$25))))),(IF(AM275&lt;2.5,BMILMS!$D$27*AM275^3+BMILMS!$E$27*AM275^2+BMILMS!$F$27*AM275+BMILMS!$G$27,IF(AM275&lt;9.5,BMILMS!$D$28*AM275^3+BMILMS!$E$28*AM275^2+BMILMS!$F$28*AM275+BMILMS!$G$28,IF(AM275&lt;26.75,BMILMS!$D$29*AM275^3+BMILMS!$E$29*AM275^2+BMILMS!$F$29*AM275+BMILMS!$G$29,IF(AM275&lt;90,BMILMS!$D$30*AM275^3+BMILMS!$E$30*AM275^2+BMILMS!$F$30*AM275+BMILMS!$G$30,IF(AM275&lt;150,BMILMS!$D$31*AM275^3+BMILMS!$E$31*AM275^2+BMILMS!$F$31*AM275+BMILMS!$G$31,BMILMS!$D$32*AM275^3+BMILMS!$E$32*AM275^2+BMILMS!$F$32*AM275+BMILMS!$G$32)))))))</f>
        <v>12.568967990000001</v>
      </c>
      <c r="AL275" s="4">
        <f>IF(D275="M",(IF(AM275&lt;90,BMILMS!$D$14*AM275^3+BMILMS!$E$14*AM275^2+BMILMS!$F$14*AM275+BMILMS!$G$14,BMILMS!$D$15*AM275^3+BMILMS!$E$15*AM275^2+BMILMS!$F$15*AM275+BMILMS!$G$15)),(IF(AM275&lt;90,BMILMS!$D$17*AM275^3+BMILMS!$E$17*AM275^2+BMILMS!$F$17*AM275+BMILMS!$G$17,BMILMS!$D$18*AM275^3+BMILMS!$E$18*AM275^2+BMILMS!$F$18*AM275+BMILMS!$G$18)))</f>
        <v>8.8969350000000003E-2</v>
      </c>
      <c r="AM275" s="4">
        <f t="shared" si="104"/>
        <v>0</v>
      </c>
      <c r="AO275" s="56">
        <f>IF(D275="M",WeightSDS!P$5*$AM275^7+WeightSDS!Q$5*$AM275^6+WeightSDS!R$5*$AM275^5+WeightSDS!S$5*$AM275^4+WeightSDS!T$5*$AM275^3+WeightSDS!U$5*$AM275^2+WeightSDS!V$5*$AM275+WeightSDS!W$5,IF($AM275&lt;186,WeightSDS!P$8*$AM275^7+WeightSDS!Q$8*$AM275^6+WeightSDS!R$8*$AM275^5+WeightSDS!S$8*$AM275^4+WeightSDS!T$8*$AM275^3+WeightSDS!U$8*$AM275^2+WeightSDS!V$8*$AM275+WeightSDS!W$8,WeightSDS!$U$9+WeightSDS!$V$9*($AM275-WeightSDS!$W$9)))</f>
        <v>0.75407122999999998</v>
      </c>
      <c r="AP275" s="4">
        <f>IF(D275="M",IF($AM275&lt;45,WeightSDS!M$23*$AM275^10+WeightSDS!N$23*$AM275^9+WeightSDS!O$23*$AM275^8+WeightSDS!P$23*$AM275^7+WeightSDS!Q$23*$AM275^6+WeightSDS!R$23*$AM275^5+WeightSDS!S$23*$AM275^4+WeightSDS!T$23*$AM275^3+WeightSDS!U$23*$AM275^2+WeightSDS!V$23*$AM275+WeightSDS!W$23,IF($AM275&lt;153,WeightSDS!M$25*$AM275^10+WeightSDS!N$25*$AM275^9+WeightSDS!O$25*$AM275^8+WeightSDS!P$25*$AM275^7+WeightSDS!Q$25*$AM275^6+WeightSDS!R$25*$AM275^5+WeightSDS!S$25*$AM275^4+WeightSDS!T$25*$AM275^3+WeightSDS!U$25*$AM275^2+WeightSDS!V$25*$AM275+WeightSDS!W$25,WeightSDS!M$27+WeightSDS!N$27/(1+EXP(WeightSDS!O$27+WeightSDS!P$27*$AM275)))),IF($AM275&lt;43.8,WeightSDS!M$29*$AM275^10+WeightSDS!N$29*$AM275^9+WeightSDS!O$29*$AM275^8+WeightSDS!P$29*$AM275^7+WeightSDS!Q$29*$AM275^6+WeightSDS!R$29*$AM275^5+WeightSDS!S$29*$AM275^4+WeightSDS!T$29*$AM275^3+WeightSDS!U$29*$AM275^2+WeightSDS!V$29*$AM275+WeightSDS!W$29-0.010431*(1-$AM275/210),IF($AM275&lt;123,WeightSDS!M$30*$AM275^10+WeightSDS!N$30*$AM275^9+WeightSDS!O$30*$AM275^8+WeightSDS!P$30*$AM275^7+WeightSDS!Q$30*$AM275^6+WeightSDS!R$30*$AM275^5+WeightSDS!S$30*$AM275^4+WeightSDS!T$30*$AM275^3+WeightSDS!U$30*$AM275^2+WeightSDS!V$30*$AM275+WeightSDS!W$30-0.010431*(1-1/$AM275),WeightSDS!M$32+WeightSDS!N$32/(1+EXP(WeightSDS!O$32+WeightSDS!P$32*$AM275))-0.010431*(1-$AM275/210))))</f>
        <v>2.9500001032655536</v>
      </c>
      <c r="AQ275" s="4">
        <f>IF(D275="M",IF($AM275&lt;162,WeightSDS!P$12*$AM275^7+WeightSDS!Q$12*$AM275^6+WeightSDS!R$12*$AM275^5+WeightSDS!S$12*$AM275^4+WeightSDS!T$12*$AM275^3+WeightSDS!U$12*$AM275^2+WeightSDS!V$12*$AM275+WeightSDS!W$12,WeightSDS!P$14*$AM275^7+WeightSDS!Q$14*$AM275^6+WeightSDS!R$14*$AM275^5+WeightSDS!S$14*$AM275^4+WeightSDS!T$14*$AM275^3+WeightSDS!U$14*$AM275^2+WeightSDS!V$14*$AM275+WeightSDS!W$14),IF($AM275&lt;156,WeightSDS!O$17*$AM275^8+WeightSDS!P$17*$AM275^7+WeightSDS!Q$17*$AM275^6+WeightSDS!R$17*$AM275^5+WeightSDS!S$17*$AM275^4+WeightSDS!T$17*$AM275^3+WeightSDS!U$17*$AM275^2+WeightSDS!V$17*$AM275+WeightSDS!W$17,IF($AM275&lt;186,WeightSDS!$U$18+(WeightSDS!$V$18-WeightSDS!$U$18)/24*($AM275-186)+WeightSDS!$W$18*(-$AM275+186)^2-0.005,WeightSDS!$U$18+(WeightSDS!$V$18-WeightSDS!$U$18)/24*($AM275-186)-0.005)))</f>
        <v>0.14604529399999999</v>
      </c>
      <c r="AT275" s="4">
        <f t="shared" si="91"/>
        <v>0.56299999999999994</v>
      </c>
      <c r="AU275" s="4">
        <f t="shared" si="92"/>
        <v>69</v>
      </c>
      <c r="AV275" s="4">
        <f t="shared" si="93"/>
        <v>0.51</v>
      </c>
    </row>
    <row r="276" spans="1:48" x14ac:dyDescent="0.15">
      <c r="A276" s="4"/>
      <c r="B276" s="21"/>
      <c r="C276" s="21"/>
      <c r="D276" s="21"/>
      <c r="E276" s="22"/>
      <c r="F276" s="22"/>
      <c r="G276" s="23"/>
      <c r="H276" s="23"/>
      <c r="I276" s="181"/>
      <c r="J276" s="8" t="str">
        <f t="shared" si="85"/>
        <v/>
      </c>
      <c r="K276" s="2" t="str">
        <f t="shared" si="94"/>
        <v/>
      </c>
      <c r="L276" s="2" t="str">
        <f t="shared" si="86"/>
        <v/>
      </c>
      <c r="M276" s="2" t="str">
        <f t="shared" si="95"/>
        <v/>
      </c>
      <c r="N276" s="2" t="str">
        <f t="shared" si="103"/>
        <v/>
      </c>
      <c r="O276" s="2" t="str">
        <f t="shared" si="96"/>
        <v/>
      </c>
      <c r="P276" s="8" t="str">
        <f t="shared" si="97"/>
        <v/>
      </c>
      <c r="Q276" s="8" t="str">
        <f t="shared" si="98"/>
        <v/>
      </c>
      <c r="R276" s="111" t="str">
        <f t="shared" si="99"/>
        <v/>
      </c>
      <c r="S276" s="44" t="str">
        <f t="shared" si="100"/>
        <v/>
      </c>
      <c r="T276" s="37" t="str">
        <f t="shared" si="101"/>
        <v/>
      </c>
      <c r="U276" s="44" t="str">
        <f t="shared" si="102"/>
        <v/>
      </c>
      <c r="V276" s="26"/>
      <c r="W276" s="26"/>
      <c r="X276" s="26"/>
      <c r="Y276" s="26"/>
      <c r="Z276" s="24"/>
      <c r="AA276" s="169">
        <f t="shared" si="87"/>
        <v>0</v>
      </c>
      <c r="AB276" s="4">
        <f t="shared" si="88"/>
        <v>0</v>
      </c>
      <c r="AC276" s="170">
        <f t="shared" si="84"/>
        <v>0</v>
      </c>
      <c r="AD276" s="58"/>
      <c r="AE276" s="58"/>
      <c r="AF276" s="58"/>
      <c r="AG276" s="59">
        <f t="shared" si="89"/>
        <v>9.0359999999999996</v>
      </c>
      <c r="AH276" s="59">
        <f t="shared" si="90"/>
        <v>-184.49199999999999</v>
      </c>
      <c r="AJ276" s="4">
        <f>IF(D276="M",IF(AM276&lt;78,BMILMS!$D$5*AM276^3+BMILMS!$E$5*AM276^2+BMILMS!$F$5*AM276+BMILMS!$G$5,IF(AM276&lt;150,BMILMS!$D$6*AM276^3+BMILMS!$E$6*AM276^2+BMILMS!$F$6*AM276+BMILMS!$G$6,BMILMS!$D$7*AM276^3+BMILMS!$E$7*AM276^2+BMILMS!$F$7*AM276+BMILMS!$G$7)),IF(AM276&lt;69,BMILMS!$D$9*AM276^3+BMILMS!$E$9*AM276^2+BMILMS!$F$9*AM276+BMILMS!$G$9,IF(AM276&lt;150,BMILMS!$D$10*AM276^3+BMILMS!$E$10*AM276^2+BMILMS!$F$10*AM276+BMILMS!$G$10,BMILMS!$D$11*AM276^3+BMILMS!$E$11*AM276^2+BMILMS!$F$11*AM276+BMILMS!$G$11)))</f>
        <v>0.79584630099999998</v>
      </c>
      <c r="AK276" s="4">
        <f>IF(D276="M",(IF(AM276&lt;2.5,BMILMS!$D$21*AM276^3+BMILMS!$E$21*AM276^2+BMILMS!$F$21*AM276+BMILMS!$G$21,IF(AM276&lt;9.5,BMILMS!$D$22*AM276^3+BMILMS!$E$22*AM276^2+BMILMS!$F$22*AM276+BMILMS!$G$22,IF(AM276&lt;26.75,BMILMS!$D$23*AM276^3+BMILMS!$E$23*AM276^2+BMILMS!$F$23*AM276+BMILMS!$G$23,IF(AM276&lt;90,BMILMS!$D$24*AM276^3+BMILMS!$E$24*AM276^2+BMILMS!$F$24*AM276+BMILMS!$G$24,BMILMS!$D$25*AM276^3+BMILMS!$E$25*AM276^2+BMILMS!$F$25*AM276+BMILMS!$G$25))))),(IF(AM276&lt;2.5,BMILMS!$D$27*AM276^3+BMILMS!$E$27*AM276^2+BMILMS!$F$27*AM276+BMILMS!$G$27,IF(AM276&lt;9.5,BMILMS!$D$28*AM276^3+BMILMS!$E$28*AM276^2+BMILMS!$F$28*AM276+BMILMS!$G$28,IF(AM276&lt;26.75,BMILMS!$D$29*AM276^3+BMILMS!$E$29*AM276^2+BMILMS!$F$29*AM276+BMILMS!$G$29,IF(AM276&lt;90,BMILMS!$D$30*AM276^3+BMILMS!$E$30*AM276^2+BMILMS!$F$30*AM276+BMILMS!$G$30,IF(AM276&lt;150,BMILMS!$D$31*AM276^3+BMILMS!$E$31*AM276^2+BMILMS!$F$31*AM276+BMILMS!$G$31,BMILMS!$D$32*AM276^3+BMILMS!$E$32*AM276^2+BMILMS!$F$32*AM276+BMILMS!$G$32)))))))</f>
        <v>12.568967990000001</v>
      </c>
      <c r="AL276" s="4">
        <f>IF(D276="M",(IF(AM276&lt;90,BMILMS!$D$14*AM276^3+BMILMS!$E$14*AM276^2+BMILMS!$F$14*AM276+BMILMS!$G$14,BMILMS!$D$15*AM276^3+BMILMS!$E$15*AM276^2+BMILMS!$F$15*AM276+BMILMS!$G$15)),(IF(AM276&lt;90,BMILMS!$D$17*AM276^3+BMILMS!$E$17*AM276^2+BMILMS!$F$17*AM276+BMILMS!$G$17,BMILMS!$D$18*AM276^3+BMILMS!$E$18*AM276^2+BMILMS!$F$18*AM276+BMILMS!$G$18)))</f>
        <v>8.8969350000000003E-2</v>
      </c>
      <c r="AM276" s="4">
        <f t="shared" si="104"/>
        <v>0</v>
      </c>
      <c r="AO276" s="56">
        <f>IF(D276="M",WeightSDS!P$5*$AM276^7+WeightSDS!Q$5*$AM276^6+WeightSDS!R$5*$AM276^5+WeightSDS!S$5*$AM276^4+WeightSDS!T$5*$AM276^3+WeightSDS!U$5*$AM276^2+WeightSDS!V$5*$AM276+WeightSDS!W$5,IF($AM276&lt;186,WeightSDS!P$8*$AM276^7+WeightSDS!Q$8*$AM276^6+WeightSDS!R$8*$AM276^5+WeightSDS!S$8*$AM276^4+WeightSDS!T$8*$AM276^3+WeightSDS!U$8*$AM276^2+WeightSDS!V$8*$AM276+WeightSDS!W$8,WeightSDS!$U$9+WeightSDS!$V$9*($AM276-WeightSDS!$W$9)))</f>
        <v>0.75407122999999998</v>
      </c>
      <c r="AP276" s="4">
        <f>IF(D276="M",IF($AM276&lt;45,WeightSDS!M$23*$AM276^10+WeightSDS!N$23*$AM276^9+WeightSDS!O$23*$AM276^8+WeightSDS!P$23*$AM276^7+WeightSDS!Q$23*$AM276^6+WeightSDS!R$23*$AM276^5+WeightSDS!S$23*$AM276^4+WeightSDS!T$23*$AM276^3+WeightSDS!U$23*$AM276^2+WeightSDS!V$23*$AM276+WeightSDS!W$23,IF($AM276&lt;153,WeightSDS!M$25*$AM276^10+WeightSDS!N$25*$AM276^9+WeightSDS!O$25*$AM276^8+WeightSDS!P$25*$AM276^7+WeightSDS!Q$25*$AM276^6+WeightSDS!R$25*$AM276^5+WeightSDS!S$25*$AM276^4+WeightSDS!T$25*$AM276^3+WeightSDS!U$25*$AM276^2+WeightSDS!V$25*$AM276+WeightSDS!W$25,WeightSDS!M$27+WeightSDS!N$27/(1+EXP(WeightSDS!O$27+WeightSDS!P$27*$AM276)))),IF($AM276&lt;43.8,WeightSDS!M$29*$AM276^10+WeightSDS!N$29*$AM276^9+WeightSDS!O$29*$AM276^8+WeightSDS!P$29*$AM276^7+WeightSDS!Q$29*$AM276^6+WeightSDS!R$29*$AM276^5+WeightSDS!S$29*$AM276^4+WeightSDS!T$29*$AM276^3+WeightSDS!U$29*$AM276^2+WeightSDS!V$29*$AM276+WeightSDS!W$29-0.010431*(1-$AM276/210),IF($AM276&lt;123,WeightSDS!M$30*$AM276^10+WeightSDS!N$30*$AM276^9+WeightSDS!O$30*$AM276^8+WeightSDS!P$30*$AM276^7+WeightSDS!Q$30*$AM276^6+WeightSDS!R$30*$AM276^5+WeightSDS!S$30*$AM276^4+WeightSDS!T$30*$AM276^3+WeightSDS!U$30*$AM276^2+WeightSDS!V$30*$AM276+WeightSDS!W$30-0.010431*(1-1/$AM276),WeightSDS!M$32+WeightSDS!N$32/(1+EXP(WeightSDS!O$32+WeightSDS!P$32*$AM276))-0.010431*(1-$AM276/210))))</f>
        <v>2.9500001032655536</v>
      </c>
      <c r="AQ276" s="4">
        <f>IF(D276="M",IF($AM276&lt;162,WeightSDS!P$12*$AM276^7+WeightSDS!Q$12*$AM276^6+WeightSDS!R$12*$AM276^5+WeightSDS!S$12*$AM276^4+WeightSDS!T$12*$AM276^3+WeightSDS!U$12*$AM276^2+WeightSDS!V$12*$AM276+WeightSDS!W$12,WeightSDS!P$14*$AM276^7+WeightSDS!Q$14*$AM276^6+WeightSDS!R$14*$AM276^5+WeightSDS!S$14*$AM276^4+WeightSDS!T$14*$AM276^3+WeightSDS!U$14*$AM276^2+WeightSDS!V$14*$AM276+WeightSDS!W$14),IF($AM276&lt;156,WeightSDS!O$17*$AM276^8+WeightSDS!P$17*$AM276^7+WeightSDS!Q$17*$AM276^6+WeightSDS!R$17*$AM276^5+WeightSDS!S$17*$AM276^4+WeightSDS!T$17*$AM276^3+WeightSDS!U$17*$AM276^2+WeightSDS!V$17*$AM276+WeightSDS!W$17,IF($AM276&lt;186,WeightSDS!$U$18+(WeightSDS!$V$18-WeightSDS!$U$18)/24*($AM276-186)+WeightSDS!$W$18*(-$AM276+186)^2-0.005,WeightSDS!$U$18+(WeightSDS!$V$18-WeightSDS!$U$18)/24*($AM276-186)-0.005)))</f>
        <v>0.14604529399999999</v>
      </c>
      <c r="AT276" s="4">
        <f t="shared" si="91"/>
        <v>0.56299999999999994</v>
      </c>
      <c r="AU276" s="4">
        <f t="shared" si="92"/>
        <v>69</v>
      </c>
      <c r="AV276" s="4">
        <f t="shared" si="93"/>
        <v>0.51</v>
      </c>
    </row>
    <row r="277" spans="1:48" x14ac:dyDescent="0.15">
      <c r="A277" s="4"/>
      <c r="B277" s="21"/>
      <c r="C277" s="21"/>
      <c r="D277" s="21"/>
      <c r="E277" s="22"/>
      <c r="F277" s="22"/>
      <c r="G277" s="23"/>
      <c r="H277" s="23"/>
      <c r="I277" s="181"/>
      <c r="J277" s="8" t="str">
        <f t="shared" si="85"/>
        <v/>
      </c>
      <c r="K277" s="2" t="str">
        <f t="shared" si="94"/>
        <v/>
      </c>
      <c r="L277" s="2" t="str">
        <f t="shared" si="86"/>
        <v/>
      </c>
      <c r="M277" s="2" t="str">
        <f t="shared" si="95"/>
        <v/>
      </c>
      <c r="N277" s="2" t="str">
        <f t="shared" si="103"/>
        <v/>
      </c>
      <c r="O277" s="2" t="str">
        <f t="shared" si="96"/>
        <v/>
      </c>
      <c r="P277" s="8" t="str">
        <f t="shared" si="97"/>
        <v/>
      </c>
      <c r="Q277" s="8" t="str">
        <f t="shared" si="98"/>
        <v/>
      </c>
      <c r="R277" s="111" t="str">
        <f t="shared" si="99"/>
        <v/>
      </c>
      <c r="S277" s="44" t="str">
        <f t="shared" si="100"/>
        <v/>
      </c>
      <c r="T277" s="37" t="str">
        <f t="shared" si="101"/>
        <v/>
      </c>
      <c r="U277" s="44" t="str">
        <f t="shared" si="102"/>
        <v/>
      </c>
      <c r="V277" s="26"/>
      <c r="W277" s="26"/>
      <c r="X277" s="26"/>
      <c r="Y277" s="26"/>
      <c r="Z277" s="24"/>
      <c r="AA277" s="169">
        <f t="shared" si="87"/>
        <v>0</v>
      </c>
      <c r="AB277" s="4">
        <f t="shared" si="88"/>
        <v>0</v>
      </c>
      <c r="AC277" s="170">
        <f t="shared" si="84"/>
        <v>0</v>
      </c>
      <c r="AD277" s="58"/>
      <c r="AE277" s="58"/>
      <c r="AF277" s="58"/>
      <c r="AG277" s="59">
        <f t="shared" si="89"/>
        <v>9.0359999999999996</v>
      </c>
      <c r="AH277" s="59">
        <f t="shared" si="90"/>
        <v>-184.49199999999999</v>
      </c>
      <c r="AJ277" s="4">
        <f>IF(D277="M",IF(AM277&lt;78,BMILMS!$D$5*AM277^3+BMILMS!$E$5*AM277^2+BMILMS!$F$5*AM277+BMILMS!$G$5,IF(AM277&lt;150,BMILMS!$D$6*AM277^3+BMILMS!$E$6*AM277^2+BMILMS!$F$6*AM277+BMILMS!$G$6,BMILMS!$D$7*AM277^3+BMILMS!$E$7*AM277^2+BMILMS!$F$7*AM277+BMILMS!$G$7)),IF(AM277&lt;69,BMILMS!$D$9*AM277^3+BMILMS!$E$9*AM277^2+BMILMS!$F$9*AM277+BMILMS!$G$9,IF(AM277&lt;150,BMILMS!$D$10*AM277^3+BMILMS!$E$10*AM277^2+BMILMS!$F$10*AM277+BMILMS!$G$10,BMILMS!$D$11*AM277^3+BMILMS!$E$11*AM277^2+BMILMS!$F$11*AM277+BMILMS!$G$11)))</f>
        <v>0.79584630099999998</v>
      </c>
      <c r="AK277" s="4">
        <f>IF(D277="M",(IF(AM277&lt;2.5,BMILMS!$D$21*AM277^3+BMILMS!$E$21*AM277^2+BMILMS!$F$21*AM277+BMILMS!$G$21,IF(AM277&lt;9.5,BMILMS!$D$22*AM277^3+BMILMS!$E$22*AM277^2+BMILMS!$F$22*AM277+BMILMS!$G$22,IF(AM277&lt;26.75,BMILMS!$D$23*AM277^3+BMILMS!$E$23*AM277^2+BMILMS!$F$23*AM277+BMILMS!$G$23,IF(AM277&lt;90,BMILMS!$D$24*AM277^3+BMILMS!$E$24*AM277^2+BMILMS!$F$24*AM277+BMILMS!$G$24,BMILMS!$D$25*AM277^3+BMILMS!$E$25*AM277^2+BMILMS!$F$25*AM277+BMILMS!$G$25))))),(IF(AM277&lt;2.5,BMILMS!$D$27*AM277^3+BMILMS!$E$27*AM277^2+BMILMS!$F$27*AM277+BMILMS!$G$27,IF(AM277&lt;9.5,BMILMS!$D$28*AM277^3+BMILMS!$E$28*AM277^2+BMILMS!$F$28*AM277+BMILMS!$G$28,IF(AM277&lt;26.75,BMILMS!$D$29*AM277^3+BMILMS!$E$29*AM277^2+BMILMS!$F$29*AM277+BMILMS!$G$29,IF(AM277&lt;90,BMILMS!$D$30*AM277^3+BMILMS!$E$30*AM277^2+BMILMS!$F$30*AM277+BMILMS!$G$30,IF(AM277&lt;150,BMILMS!$D$31*AM277^3+BMILMS!$E$31*AM277^2+BMILMS!$F$31*AM277+BMILMS!$G$31,BMILMS!$D$32*AM277^3+BMILMS!$E$32*AM277^2+BMILMS!$F$32*AM277+BMILMS!$G$32)))))))</f>
        <v>12.568967990000001</v>
      </c>
      <c r="AL277" s="4">
        <f>IF(D277="M",(IF(AM277&lt;90,BMILMS!$D$14*AM277^3+BMILMS!$E$14*AM277^2+BMILMS!$F$14*AM277+BMILMS!$G$14,BMILMS!$D$15*AM277^3+BMILMS!$E$15*AM277^2+BMILMS!$F$15*AM277+BMILMS!$G$15)),(IF(AM277&lt;90,BMILMS!$D$17*AM277^3+BMILMS!$E$17*AM277^2+BMILMS!$F$17*AM277+BMILMS!$G$17,BMILMS!$D$18*AM277^3+BMILMS!$E$18*AM277^2+BMILMS!$F$18*AM277+BMILMS!$G$18)))</f>
        <v>8.8969350000000003E-2</v>
      </c>
      <c r="AM277" s="4">
        <f t="shared" si="104"/>
        <v>0</v>
      </c>
      <c r="AO277" s="56">
        <f>IF(D277="M",WeightSDS!P$5*$AM277^7+WeightSDS!Q$5*$AM277^6+WeightSDS!R$5*$AM277^5+WeightSDS!S$5*$AM277^4+WeightSDS!T$5*$AM277^3+WeightSDS!U$5*$AM277^2+WeightSDS!V$5*$AM277+WeightSDS!W$5,IF($AM277&lt;186,WeightSDS!P$8*$AM277^7+WeightSDS!Q$8*$AM277^6+WeightSDS!R$8*$AM277^5+WeightSDS!S$8*$AM277^4+WeightSDS!T$8*$AM277^3+WeightSDS!U$8*$AM277^2+WeightSDS!V$8*$AM277+WeightSDS!W$8,WeightSDS!$U$9+WeightSDS!$V$9*($AM277-WeightSDS!$W$9)))</f>
        <v>0.75407122999999998</v>
      </c>
      <c r="AP277" s="4">
        <f>IF(D277="M",IF($AM277&lt;45,WeightSDS!M$23*$AM277^10+WeightSDS!N$23*$AM277^9+WeightSDS!O$23*$AM277^8+WeightSDS!P$23*$AM277^7+WeightSDS!Q$23*$AM277^6+WeightSDS!R$23*$AM277^5+WeightSDS!S$23*$AM277^4+WeightSDS!T$23*$AM277^3+WeightSDS!U$23*$AM277^2+WeightSDS!V$23*$AM277+WeightSDS!W$23,IF($AM277&lt;153,WeightSDS!M$25*$AM277^10+WeightSDS!N$25*$AM277^9+WeightSDS!O$25*$AM277^8+WeightSDS!P$25*$AM277^7+WeightSDS!Q$25*$AM277^6+WeightSDS!R$25*$AM277^5+WeightSDS!S$25*$AM277^4+WeightSDS!T$25*$AM277^3+WeightSDS!U$25*$AM277^2+WeightSDS!V$25*$AM277+WeightSDS!W$25,WeightSDS!M$27+WeightSDS!N$27/(1+EXP(WeightSDS!O$27+WeightSDS!P$27*$AM277)))),IF($AM277&lt;43.8,WeightSDS!M$29*$AM277^10+WeightSDS!N$29*$AM277^9+WeightSDS!O$29*$AM277^8+WeightSDS!P$29*$AM277^7+WeightSDS!Q$29*$AM277^6+WeightSDS!R$29*$AM277^5+WeightSDS!S$29*$AM277^4+WeightSDS!T$29*$AM277^3+WeightSDS!U$29*$AM277^2+WeightSDS!V$29*$AM277+WeightSDS!W$29-0.010431*(1-$AM277/210),IF($AM277&lt;123,WeightSDS!M$30*$AM277^10+WeightSDS!N$30*$AM277^9+WeightSDS!O$30*$AM277^8+WeightSDS!P$30*$AM277^7+WeightSDS!Q$30*$AM277^6+WeightSDS!R$30*$AM277^5+WeightSDS!S$30*$AM277^4+WeightSDS!T$30*$AM277^3+WeightSDS!U$30*$AM277^2+WeightSDS!V$30*$AM277+WeightSDS!W$30-0.010431*(1-1/$AM277),WeightSDS!M$32+WeightSDS!N$32/(1+EXP(WeightSDS!O$32+WeightSDS!P$32*$AM277))-0.010431*(1-$AM277/210))))</f>
        <v>2.9500001032655536</v>
      </c>
      <c r="AQ277" s="4">
        <f>IF(D277="M",IF($AM277&lt;162,WeightSDS!P$12*$AM277^7+WeightSDS!Q$12*$AM277^6+WeightSDS!R$12*$AM277^5+WeightSDS!S$12*$AM277^4+WeightSDS!T$12*$AM277^3+WeightSDS!U$12*$AM277^2+WeightSDS!V$12*$AM277+WeightSDS!W$12,WeightSDS!P$14*$AM277^7+WeightSDS!Q$14*$AM277^6+WeightSDS!R$14*$AM277^5+WeightSDS!S$14*$AM277^4+WeightSDS!T$14*$AM277^3+WeightSDS!U$14*$AM277^2+WeightSDS!V$14*$AM277+WeightSDS!W$14),IF($AM277&lt;156,WeightSDS!O$17*$AM277^8+WeightSDS!P$17*$AM277^7+WeightSDS!Q$17*$AM277^6+WeightSDS!R$17*$AM277^5+WeightSDS!S$17*$AM277^4+WeightSDS!T$17*$AM277^3+WeightSDS!U$17*$AM277^2+WeightSDS!V$17*$AM277+WeightSDS!W$17,IF($AM277&lt;186,WeightSDS!$U$18+(WeightSDS!$V$18-WeightSDS!$U$18)/24*($AM277-186)+WeightSDS!$W$18*(-$AM277+186)^2-0.005,WeightSDS!$U$18+(WeightSDS!$V$18-WeightSDS!$U$18)/24*($AM277-186)-0.005)))</f>
        <v>0.14604529399999999</v>
      </c>
      <c r="AT277" s="4">
        <f t="shared" si="91"/>
        <v>0.56299999999999994</v>
      </c>
      <c r="AU277" s="4">
        <f t="shared" si="92"/>
        <v>69</v>
      </c>
      <c r="AV277" s="4">
        <f t="shared" si="93"/>
        <v>0.51</v>
      </c>
    </row>
    <row r="278" spans="1:48" x14ac:dyDescent="0.15">
      <c r="A278" s="4"/>
      <c r="B278" s="21"/>
      <c r="C278" s="21"/>
      <c r="D278" s="21"/>
      <c r="E278" s="22"/>
      <c r="F278" s="22"/>
      <c r="G278" s="23"/>
      <c r="H278" s="23"/>
      <c r="I278" s="181"/>
      <c r="J278" s="8" t="str">
        <f t="shared" si="85"/>
        <v/>
      </c>
      <c r="K278" s="2" t="str">
        <f t="shared" si="94"/>
        <v/>
      </c>
      <c r="L278" s="2" t="str">
        <f t="shared" si="86"/>
        <v/>
      </c>
      <c r="M278" s="2" t="str">
        <f t="shared" si="95"/>
        <v/>
      </c>
      <c r="N278" s="2" t="str">
        <f t="shared" si="103"/>
        <v/>
      </c>
      <c r="O278" s="2" t="str">
        <f t="shared" si="96"/>
        <v/>
      </c>
      <c r="P278" s="8" t="str">
        <f t="shared" si="97"/>
        <v/>
      </c>
      <c r="Q278" s="8" t="str">
        <f t="shared" si="98"/>
        <v/>
      </c>
      <c r="R278" s="111" t="str">
        <f t="shared" si="99"/>
        <v/>
      </c>
      <c r="S278" s="44" t="str">
        <f t="shared" si="100"/>
        <v/>
      </c>
      <c r="T278" s="37" t="str">
        <f t="shared" si="101"/>
        <v/>
      </c>
      <c r="U278" s="44" t="str">
        <f t="shared" si="102"/>
        <v/>
      </c>
      <c r="V278" s="26"/>
      <c r="W278" s="26"/>
      <c r="X278" s="26"/>
      <c r="Y278" s="26"/>
      <c r="Z278" s="24"/>
      <c r="AA278" s="169">
        <f t="shared" si="87"/>
        <v>0</v>
      </c>
      <c r="AB278" s="4">
        <f t="shared" si="88"/>
        <v>0</v>
      </c>
      <c r="AC278" s="170">
        <f t="shared" si="84"/>
        <v>0</v>
      </c>
      <c r="AD278" s="58"/>
      <c r="AE278" s="58"/>
      <c r="AF278" s="58"/>
      <c r="AG278" s="59">
        <f t="shared" si="89"/>
        <v>9.0359999999999996</v>
      </c>
      <c r="AH278" s="59">
        <f t="shared" si="90"/>
        <v>-184.49199999999999</v>
      </c>
      <c r="AJ278" s="4">
        <f>IF(D278="M",IF(AM278&lt;78,BMILMS!$D$5*AM278^3+BMILMS!$E$5*AM278^2+BMILMS!$F$5*AM278+BMILMS!$G$5,IF(AM278&lt;150,BMILMS!$D$6*AM278^3+BMILMS!$E$6*AM278^2+BMILMS!$F$6*AM278+BMILMS!$G$6,BMILMS!$D$7*AM278^3+BMILMS!$E$7*AM278^2+BMILMS!$F$7*AM278+BMILMS!$G$7)),IF(AM278&lt;69,BMILMS!$D$9*AM278^3+BMILMS!$E$9*AM278^2+BMILMS!$F$9*AM278+BMILMS!$G$9,IF(AM278&lt;150,BMILMS!$D$10*AM278^3+BMILMS!$E$10*AM278^2+BMILMS!$F$10*AM278+BMILMS!$G$10,BMILMS!$D$11*AM278^3+BMILMS!$E$11*AM278^2+BMILMS!$F$11*AM278+BMILMS!$G$11)))</f>
        <v>0.79584630099999998</v>
      </c>
      <c r="AK278" s="4">
        <f>IF(D278="M",(IF(AM278&lt;2.5,BMILMS!$D$21*AM278^3+BMILMS!$E$21*AM278^2+BMILMS!$F$21*AM278+BMILMS!$G$21,IF(AM278&lt;9.5,BMILMS!$D$22*AM278^3+BMILMS!$E$22*AM278^2+BMILMS!$F$22*AM278+BMILMS!$G$22,IF(AM278&lt;26.75,BMILMS!$D$23*AM278^3+BMILMS!$E$23*AM278^2+BMILMS!$F$23*AM278+BMILMS!$G$23,IF(AM278&lt;90,BMILMS!$D$24*AM278^3+BMILMS!$E$24*AM278^2+BMILMS!$F$24*AM278+BMILMS!$G$24,BMILMS!$D$25*AM278^3+BMILMS!$E$25*AM278^2+BMILMS!$F$25*AM278+BMILMS!$G$25))))),(IF(AM278&lt;2.5,BMILMS!$D$27*AM278^3+BMILMS!$E$27*AM278^2+BMILMS!$F$27*AM278+BMILMS!$G$27,IF(AM278&lt;9.5,BMILMS!$D$28*AM278^3+BMILMS!$E$28*AM278^2+BMILMS!$F$28*AM278+BMILMS!$G$28,IF(AM278&lt;26.75,BMILMS!$D$29*AM278^3+BMILMS!$E$29*AM278^2+BMILMS!$F$29*AM278+BMILMS!$G$29,IF(AM278&lt;90,BMILMS!$D$30*AM278^3+BMILMS!$E$30*AM278^2+BMILMS!$F$30*AM278+BMILMS!$G$30,IF(AM278&lt;150,BMILMS!$D$31*AM278^3+BMILMS!$E$31*AM278^2+BMILMS!$F$31*AM278+BMILMS!$G$31,BMILMS!$D$32*AM278^3+BMILMS!$E$32*AM278^2+BMILMS!$F$32*AM278+BMILMS!$G$32)))))))</f>
        <v>12.568967990000001</v>
      </c>
      <c r="AL278" s="4">
        <f>IF(D278="M",(IF(AM278&lt;90,BMILMS!$D$14*AM278^3+BMILMS!$E$14*AM278^2+BMILMS!$F$14*AM278+BMILMS!$G$14,BMILMS!$D$15*AM278^3+BMILMS!$E$15*AM278^2+BMILMS!$F$15*AM278+BMILMS!$G$15)),(IF(AM278&lt;90,BMILMS!$D$17*AM278^3+BMILMS!$E$17*AM278^2+BMILMS!$F$17*AM278+BMILMS!$G$17,BMILMS!$D$18*AM278^3+BMILMS!$E$18*AM278^2+BMILMS!$F$18*AM278+BMILMS!$G$18)))</f>
        <v>8.8969350000000003E-2</v>
      </c>
      <c r="AM278" s="4">
        <f t="shared" si="104"/>
        <v>0</v>
      </c>
      <c r="AO278" s="56">
        <f>IF(D278="M",WeightSDS!P$5*$AM278^7+WeightSDS!Q$5*$AM278^6+WeightSDS!R$5*$AM278^5+WeightSDS!S$5*$AM278^4+WeightSDS!T$5*$AM278^3+WeightSDS!U$5*$AM278^2+WeightSDS!V$5*$AM278+WeightSDS!W$5,IF($AM278&lt;186,WeightSDS!P$8*$AM278^7+WeightSDS!Q$8*$AM278^6+WeightSDS!R$8*$AM278^5+WeightSDS!S$8*$AM278^4+WeightSDS!T$8*$AM278^3+WeightSDS!U$8*$AM278^2+WeightSDS!V$8*$AM278+WeightSDS!W$8,WeightSDS!$U$9+WeightSDS!$V$9*($AM278-WeightSDS!$W$9)))</f>
        <v>0.75407122999999998</v>
      </c>
      <c r="AP278" s="4">
        <f>IF(D278="M",IF($AM278&lt;45,WeightSDS!M$23*$AM278^10+WeightSDS!N$23*$AM278^9+WeightSDS!O$23*$AM278^8+WeightSDS!P$23*$AM278^7+WeightSDS!Q$23*$AM278^6+WeightSDS!R$23*$AM278^5+WeightSDS!S$23*$AM278^4+WeightSDS!T$23*$AM278^3+WeightSDS!U$23*$AM278^2+WeightSDS!V$23*$AM278+WeightSDS!W$23,IF($AM278&lt;153,WeightSDS!M$25*$AM278^10+WeightSDS!N$25*$AM278^9+WeightSDS!O$25*$AM278^8+WeightSDS!P$25*$AM278^7+WeightSDS!Q$25*$AM278^6+WeightSDS!R$25*$AM278^5+WeightSDS!S$25*$AM278^4+WeightSDS!T$25*$AM278^3+WeightSDS!U$25*$AM278^2+WeightSDS!V$25*$AM278+WeightSDS!W$25,WeightSDS!M$27+WeightSDS!N$27/(1+EXP(WeightSDS!O$27+WeightSDS!P$27*$AM278)))),IF($AM278&lt;43.8,WeightSDS!M$29*$AM278^10+WeightSDS!N$29*$AM278^9+WeightSDS!O$29*$AM278^8+WeightSDS!P$29*$AM278^7+WeightSDS!Q$29*$AM278^6+WeightSDS!R$29*$AM278^5+WeightSDS!S$29*$AM278^4+WeightSDS!T$29*$AM278^3+WeightSDS!U$29*$AM278^2+WeightSDS!V$29*$AM278+WeightSDS!W$29-0.010431*(1-$AM278/210),IF($AM278&lt;123,WeightSDS!M$30*$AM278^10+WeightSDS!N$30*$AM278^9+WeightSDS!O$30*$AM278^8+WeightSDS!P$30*$AM278^7+WeightSDS!Q$30*$AM278^6+WeightSDS!R$30*$AM278^5+WeightSDS!S$30*$AM278^4+WeightSDS!T$30*$AM278^3+WeightSDS!U$30*$AM278^2+WeightSDS!V$30*$AM278+WeightSDS!W$30-0.010431*(1-1/$AM278),WeightSDS!M$32+WeightSDS!N$32/(1+EXP(WeightSDS!O$32+WeightSDS!P$32*$AM278))-0.010431*(1-$AM278/210))))</f>
        <v>2.9500001032655536</v>
      </c>
      <c r="AQ278" s="4">
        <f>IF(D278="M",IF($AM278&lt;162,WeightSDS!P$12*$AM278^7+WeightSDS!Q$12*$AM278^6+WeightSDS!R$12*$AM278^5+WeightSDS!S$12*$AM278^4+WeightSDS!T$12*$AM278^3+WeightSDS!U$12*$AM278^2+WeightSDS!V$12*$AM278+WeightSDS!W$12,WeightSDS!P$14*$AM278^7+WeightSDS!Q$14*$AM278^6+WeightSDS!R$14*$AM278^5+WeightSDS!S$14*$AM278^4+WeightSDS!T$14*$AM278^3+WeightSDS!U$14*$AM278^2+WeightSDS!V$14*$AM278+WeightSDS!W$14),IF($AM278&lt;156,WeightSDS!O$17*$AM278^8+WeightSDS!P$17*$AM278^7+WeightSDS!Q$17*$AM278^6+WeightSDS!R$17*$AM278^5+WeightSDS!S$17*$AM278^4+WeightSDS!T$17*$AM278^3+WeightSDS!U$17*$AM278^2+WeightSDS!V$17*$AM278+WeightSDS!W$17,IF($AM278&lt;186,WeightSDS!$U$18+(WeightSDS!$V$18-WeightSDS!$U$18)/24*($AM278-186)+WeightSDS!$W$18*(-$AM278+186)^2-0.005,WeightSDS!$U$18+(WeightSDS!$V$18-WeightSDS!$U$18)/24*($AM278-186)-0.005)))</f>
        <v>0.14604529399999999</v>
      </c>
      <c r="AT278" s="4">
        <f t="shared" si="91"/>
        <v>0.56299999999999994</v>
      </c>
      <c r="AU278" s="4">
        <f t="shared" si="92"/>
        <v>69</v>
      </c>
      <c r="AV278" s="4">
        <f t="shared" si="93"/>
        <v>0.51</v>
      </c>
    </row>
    <row r="279" spans="1:48" x14ac:dyDescent="0.15">
      <c r="A279" s="4"/>
      <c r="B279" s="21"/>
      <c r="C279" s="21"/>
      <c r="D279" s="21"/>
      <c r="E279" s="22"/>
      <c r="F279" s="22"/>
      <c r="G279" s="23"/>
      <c r="H279" s="23"/>
      <c r="I279" s="181"/>
      <c r="J279" s="8" t="str">
        <f t="shared" si="85"/>
        <v/>
      </c>
      <c r="K279" s="2" t="str">
        <f t="shared" si="94"/>
        <v/>
      </c>
      <c r="L279" s="2" t="str">
        <f t="shared" si="86"/>
        <v/>
      </c>
      <c r="M279" s="2" t="str">
        <f t="shared" si="95"/>
        <v/>
      </c>
      <c r="N279" s="2" t="str">
        <f t="shared" si="103"/>
        <v/>
      </c>
      <c r="O279" s="2" t="str">
        <f t="shared" si="96"/>
        <v/>
      </c>
      <c r="P279" s="8" t="str">
        <f t="shared" si="97"/>
        <v/>
      </c>
      <c r="Q279" s="8" t="str">
        <f t="shared" si="98"/>
        <v/>
      </c>
      <c r="R279" s="111" t="str">
        <f t="shared" si="99"/>
        <v/>
      </c>
      <c r="S279" s="44" t="str">
        <f t="shared" si="100"/>
        <v/>
      </c>
      <c r="T279" s="37" t="str">
        <f t="shared" si="101"/>
        <v/>
      </c>
      <c r="U279" s="44" t="str">
        <f t="shared" si="102"/>
        <v/>
      </c>
      <c r="V279" s="26"/>
      <c r="W279" s="26"/>
      <c r="X279" s="26"/>
      <c r="Y279" s="26"/>
      <c r="Z279" s="24"/>
      <c r="AA279" s="169">
        <f t="shared" si="87"/>
        <v>0</v>
      </c>
      <c r="AB279" s="4">
        <f t="shared" si="88"/>
        <v>0</v>
      </c>
      <c r="AC279" s="170">
        <f t="shared" si="84"/>
        <v>0</v>
      </c>
      <c r="AD279" s="58"/>
      <c r="AE279" s="58"/>
      <c r="AF279" s="58"/>
      <c r="AG279" s="59">
        <f t="shared" si="89"/>
        <v>9.0359999999999996</v>
      </c>
      <c r="AH279" s="59">
        <f t="shared" si="90"/>
        <v>-184.49199999999999</v>
      </c>
      <c r="AJ279" s="4">
        <f>IF(D279="M",IF(AM279&lt;78,BMILMS!$D$5*AM279^3+BMILMS!$E$5*AM279^2+BMILMS!$F$5*AM279+BMILMS!$G$5,IF(AM279&lt;150,BMILMS!$D$6*AM279^3+BMILMS!$E$6*AM279^2+BMILMS!$F$6*AM279+BMILMS!$G$6,BMILMS!$D$7*AM279^3+BMILMS!$E$7*AM279^2+BMILMS!$F$7*AM279+BMILMS!$G$7)),IF(AM279&lt;69,BMILMS!$D$9*AM279^3+BMILMS!$E$9*AM279^2+BMILMS!$F$9*AM279+BMILMS!$G$9,IF(AM279&lt;150,BMILMS!$D$10*AM279^3+BMILMS!$E$10*AM279^2+BMILMS!$F$10*AM279+BMILMS!$G$10,BMILMS!$D$11*AM279^3+BMILMS!$E$11*AM279^2+BMILMS!$F$11*AM279+BMILMS!$G$11)))</f>
        <v>0.79584630099999998</v>
      </c>
      <c r="AK279" s="4">
        <f>IF(D279="M",(IF(AM279&lt;2.5,BMILMS!$D$21*AM279^3+BMILMS!$E$21*AM279^2+BMILMS!$F$21*AM279+BMILMS!$G$21,IF(AM279&lt;9.5,BMILMS!$D$22*AM279^3+BMILMS!$E$22*AM279^2+BMILMS!$F$22*AM279+BMILMS!$G$22,IF(AM279&lt;26.75,BMILMS!$D$23*AM279^3+BMILMS!$E$23*AM279^2+BMILMS!$F$23*AM279+BMILMS!$G$23,IF(AM279&lt;90,BMILMS!$D$24*AM279^3+BMILMS!$E$24*AM279^2+BMILMS!$F$24*AM279+BMILMS!$G$24,BMILMS!$D$25*AM279^3+BMILMS!$E$25*AM279^2+BMILMS!$F$25*AM279+BMILMS!$G$25))))),(IF(AM279&lt;2.5,BMILMS!$D$27*AM279^3+BMILMS!$E$27*AM279^2+BMILMS!$F$27*AM279+BMILMS!$G$27,IF(AM279&lt;9.5,BMILMS!$D$28*AM279^3+BMILMS!$E$28*AM279^2+BMILMS!$F$28*AM279+BMILMS!$G$28,IF(AM279&lt;26.75,BMILMS!$D$29*AM279^3+BMILMS!$E$29*AM279^2+BMILMS!$F$29*AM279+BMILMS!$G$29,IF(AM279&lt;90,BMILMS!$D$30*AM279^3+BMILMS!$E$30*AM279^2+BMILMS!$F$30*AM279+BMILMS!$G$30,IF(AM279&lt;150,BMILMS!$D$31*AM279^3+BMILMS!$E$31*AM279^2+BMILMS!$F$31*AM279+BMILMS!$G$31,BMILMS!$D$32*AM279^3+BMILMS!$E$32*AM279^2+BMILMS!$F$32*AM279+BMILMS!$G$32)))))))</f>
        <v>12.568967990000001</v>
      </c>
      <c r="AL279" s="4">
        <f>IF(D279="M",(IF(AM279&lt;90,BMILMS!$D$14*AM279^3+BMILMS!$E$14*AM279^2+BMILMS!$F$14*AM279+BMILMS!$G$14,BMILMS!$D$15*AM279^3+BMILMS!$E$15*AM279^2+BMILMS!$F$15*AM279+BMILMS!$G$15)),(IF(AM279&lt;90,BMILMS!$D$17*AM279^3+BMILMS!$E$17*AM279^2+BMILMS!$F$17*AM279+BMILMS!$G$17,BMILMS!$D$18*AM279^3+BMILMS!$E$18*AM279^2+BMILMS!$F$18*AM279+BMILMS!$G$18)))</f>
        <v>8.8969350000000003E-2</v>
      </c>
      <c r="AM279" s="4">
        <f t="shared" si="104"/>
        <v>0</v>
      </c>
      <c r="AO279" s="56">
        <f>IF(D279="M",WeightSDS!P$5*$AM279^7+WeightSDS!Q$5*$AM279^6+WeightSDS!R$5*$AM279^5+WeightSDS!S$5*$AM279^4+WeightSDS!T$5*$AM279^3+WeightSDS!U$5*$AM279^2+WeightSDS!V$5*$AM279+WeightSDS!W$5,IF($AM279&lt;186,WeightSDS!P$8*$AM279^7+WeightSDS!Q$8*$AM279^6+WeightSDS!R$8*$AM279^5+WeightSDS!S$8*$AM279^4+WeightSDS!T$8*$AM279^3+WeightSDS!U$8*$AM279^2+WeightSDS!V$8*$AM279+WeightSDS!W$8,WeightSDS!$U$9+WeightSDS!$V$9*($AM279-WeightSDS!$W$9)))</f>
        <v>0.75407122999999998</v>
      </c>
      <c r="AP279" s="4">
        <f>IF(D279="M",IF($AM279&lt;45,WeightSDS!M$23*$AM279^10+WeightSDS!N$23*$AM279^9+WeightSDS!O$23*$AM279^8+WeightSDS!P$23*$AM279^7+WeightSDS!Q$23*$AM279^6+WeightSDS!R$23*$AM279^5+WeightSDS!S$23*$AM279^4+WeightSDS!T$23*$AM279^3+WeightSDS!U$23*$AM279^2+WeightSDS!V$23*$AM279+WeightSDS!W$23,IF($AM279&lt;153,WeightSDS!M$25*$AM279^10+WeightSDS!N$25*$AM279^9+WeightSDS!O$25*$AM279^8+WeightSDS!P$25*$AM279^7+WeightSDS!Q$25*$AM279^6+WeightSDS!R$25*$AM279^5+WeightSDS!S$25*$AM279^4+WeightSDS!T$25*$AM279^3+WeightSDS!U$25*$AM279^2+WeightSDS!V$25*$AM279+WeightSDS!W$25,WeightSDS!M$27+WeightSDS!N$27/(1+EXP(WeightSDS!O$27+WeightSDS!P$27*$AM279)))),IF($AM279&lt;43.8,WeightSDS!M$29*$AM279^10+WeightSDS!N$29*$AM279^9+WeightSDS!O$29*$AM279^8+WeightSDS!P$29*$AM279^7+WeightSDS!Q$29*$AM279^6+WeightSDS!R$29*$AM279^5+WeightSDS!S$29*$AM279^4+WeightSDS!T$29*$AM279^3+WeightSDS!U$29*$AM279^2+WeightSDS!V$29*$AM279+WeightSDS!W$29-0.010431*(1-$AM279/210),IF($AM279&lt;123,WeightSDS!M$30*$AM279^10+WeightSDS!N$30*$AM279^9+WeightSDS!O$30*$AM279^8+WeightSDS!P$30*$AM279^7+WeightSDS!Q$30*$AM279^6+WeightSDS!R$30*$AM279^5+WeightSDS!S$30*$AM279^4+WeightSDS!T$30*$AM279^3+WeightSDS!U$30*$AM279^2+WeightSDS!V$30*$AM279+WeightSDS!W$30-0.010431*(1-1/$AM279),WeightSDS!M$32+WeightSDS!N$32/(1+EXP(WeightSDS!O$32+WeightSDS!P$32*$AM279))-0.010431*(1-$AM279/210))))</f>
        <v>2.9500001032655536</v>
      </c>
      <c r="AQ279" s="4">
        <f>IF(D279="M",IF($AM279&lt;162,WeightSDS!P$12*$AM279^7+WeightSDS!Q$12*$AM279^6+WeightSDS!R$12*$AM279^5+WeightSDS!S$12*$AM279^4+WeightSDS!T$12*$AM279^3+WeightSDS!U$12*$AM279^2+WeightSDS!V$12*$AM279+WeightSDS!W$12,WeightSDS!P$14*$AM279^7+WeightSDS!Q$14*$AM279^6+WeightSDS!R$14*$AM279^5+WeightSDS!S$14*$AM279^4+WeightSDS!T$14*$AM279^3+WeightSDS!U$14*$AM279^2+WeightSDS!V$14*$AM279+WeightSDS!W$14),IF($AM279&lt;156,WeightSDS!O$17*$AM279^8+WeightSDS!P$17*$AM279^7+WeightSDS!Q$17*$AM279^6+WeightSDS!R$17*$AM279^5+WeightSDS!S$17*$AM279^4+WeightSDS!T$17*$AM279^3+WeightSDS!U$17*$AM279^2+WeightSDS!V$17*$AM279+WeightSDS!W$17,IF($AM279&lt;186,WeightSDS!$U$18+(WeightSDS!$V$18-WeightSDS!$U$18)/24*($AM279-186)+WeightSDS!$W$18*(-$AM279+186)^2-0.005,WeightSDS!$U$18+(WeightSDS!$V$18-WeightSDS!$U$18)/24*($AM279-186)-0.005)))</f>
        <v>0.14604529399999999</v>
      </c>
      <c r="AT279" s="4">
        <f t="shared" si="91"/>
        <v>0.56299999999999994</v>
      </c>
      <c r="AU279" s="4">
        <f t="shared" si="92"/>
        <v>69</v>
      </c>
      <c r="AV279" s="4">
        <f t="shared" si="93"/>
        <v>0.51</v>
      </c>
    </row>
    <row r="280" spans="1:48" x14ac:dyDescent="0.15">
      <c r="A280" s="4"/>
      <c r="B280" s="21"/>
      <c r="C280" s="21"/>
      <c r="D280" s="21"/>
      <c r="E280" s="22"/>
      <c r="F280" s="22"/>
      <c r="G280" s="23"/>
      <c r="H280" s="23"/>
      <c r="I280" s="181"/>
      <c r="J280" s="8" t="str">
        <f t="shared" si="85"/>
        <v/>
      </c>
      <c r="K280" s="2" t="str">
        <f t="shared" si="94"/>
        <v/>
      </c>
      <c r="L280" s="2" t="str">
        <f t="shared" si="86"/>
        <v/>
      </c>
      <c r="M280" s="2" t="str">
        <f t="shared" si="95"/>
        <v/>
      </c>
      <c r="N280" s="2" t="str">
        <f t="shared" si="103"/>
        <v/>
      </c>
      <c r="O280" s="2" t="str">
        <f t="shared" si="96"/>
        <v/>
      </c>
      <c r="P280" s="8" t="str">
        <f t="shared" si="97"/>
        <v/>
      </c>
      <c r="Q280" s="8" t="str">
        <f t="shared" si="98"/>
        <v/>
      </c>
      <c r="R280" s="111" t="str">
        <f t="shared" si="99"/>
        <v/>
      </c>
      <c r="S280" s="44" t="str">
        <f t="shared" si="100"/>
        <v/>
      </c>
      <c r="T280" s="37" t="str">
        <f t="shared" si="101"/>
        <v/>
      </c>
      <c r="U280" s="44" t="str">
        <f t="shared" si="102"/>
        <v/>
      </c>
      <c r="V280" s="26"/>
      <c r="W280" s="26"/>
      <c r="X280" s="26"/>
      <c r="Y280" s="26"/>
      <c r="Z280" s="24"/>
      <c r="AA280" s="169">
        <f t="shared" si="87"/>
        <v>0</v>
      </c>
      <c r="AB280" s="4">
        <f t="shared" si="88"/>
        <v>0</v>
      </c>
      <c r="AC280" s="170">
        <f t="shared" si="84"/>
        <v>0</v>
      </c>
      <c r="AD280" s="58"/>
      <c r="AE280" s="58"/>
      <c r="AF280" s="58"/>
      <c r="AG280" s="59">
        <f t="shared" si="89"/>
        <v>9.0359999999999996</v>
      </c>
      <c r="AH280" s="59">
        <f t="shared" si="90"/>
        <v>-184.49199999999999</v>
      </c>
      <c r="AJ280" s="4">
        <f>IF(D280="M",IF(AM280&lt;78,BMILMS!$D$5*AM280^3+BMILMS!$E$5*AM280^2+BMILMS!$F$5*AM280+BMILMS!$G$5,IF(AM280&lt;150,BMILMS!$D$6*AM280^3+BMILMS!$E$6*AM280^2+BMILMS!$F$6*AM280+BMILMS!$G$6,BMILMS!$D$7*AM280^3+BMILMS!$E$7*AM280^2+BMILMS!$F$7*AM280+BMILMS!$G$7)),IF(AM280&lt;69,BMILMS!$D$9*AM280^3+BMILMS!$E$9*AM280^2+BMILMS!$F$9*AM280+BMILMS!$G$9,IF(AM280&lt;150,BMILMS!$D$10*AM280^3+BMILMS!$E$10*AM280^2+BMILMS!$F$10*AM280+BMILMS!$G$10,BMILMS!$D$11*AM280^3+BMILMS!$E$11*AM280^2+BMILMS!$F$11*AM280+BMILMS!$G$11)))</f>
        <v>0.79584630099999998</v>
      </c>
      <c r="AK280" s="4">
        <f>IF(D280="M",(IF(AM280&lt;2.5,BMILMS!$D$21*AM280^3+BMILMS!$E$21*AM280^2+BMILMS!$F$21*AM280+BMILMS!$G$21,IF(AM280&lt;9.5,BMILMS!$D$22*AM280^3+BMILMS!$E$22*AM280^2+BMILMS!$F$22*AM280+BMILMS!$G$22,IF(AM280&lt;26.75,BMILMS!$D$23*AM280^3+BMILMS!$E$23*AM280^2+BMILMS!$F$23*AM280+BMILMS!$G$23,IF(AM280&lt;90,BMILMS!$D$24*AM280^3+BMILMS!$E$24*AM280^2+BMILMS!$F$24*AM280+BMILMS!$G$24,BMILMS!$D$25*AM280^3+BMILMS!$E$25*AM280^2+BMILMS!$F$25*AM280+BMILMS!$G$25))))),(IF(AM280&lt;2.5,BMILMS!$D$27*AM280^3+BMILMS!$E$27*AM280^2+BMILMS!$F$27*AM280+BMILMS!$G$27,IF(AM280&lt;9.5,BMILMS!$D$28*AM280^3+BMILMS!$E$28*AM280^2+BMILMS!$F$28*AM280+BMILMS!$G$28,IF(AM280&lt;26.75,BMILMS!$D$29*AM280^3+BMILMS!$E$29*AM280^2+BMILMS!$F$29*AM280+BMILMS!$G$29,IF(AM280&lt;90,BMILMS!$D$30*AM280^3+BMILMS!$E$30*AM280^2+BMILMS!$F$30*AM280+BMILMS!$G$30,IF(AM280&lt;150,BMILMS!$D$31*AM280^3+BMILMS!$E$31*AM280^2+BMILMS!$F$31*AM280+BMILMS!$G$31,BMILMS!$D$32*AM280^3+BMILMS!$E$32*AM280^2+BMILMS!$F$32*AM280+BMILMS!$G$32)))))))</f>
        <v>12.568967990000001</v>
      </c>
      <c r="AL280" s="4">
        <f>IF(D280="M",(IF(AM280&lt;90,BMILMS!$D$14*AM280^3+BMILMS!$E$14*AM280^2+BMILMS!$F$14*AM280+BMILMS!$G$14,BMILMS!$D$15*AM280^3+BMILMS!$E$15*AM280^2+BMILMS!$F$15*AM280+BMILMS!$G$15)),(IF(AM280&lt;90,BMILMS!$D$17*AM280^3+BMILMS!$E$17*AM280^2+BMILMS!$F$17*AM280+BMILMS!$G$17,BMILMS!$D$18*AM280^3+BMILMS!$E$18*AM280^2+BMILMS!$F$18*AM280+BMILMS!$G$18)))</f>
        <v>8.8969350000000003E-2</v>
      </c>
      <c r="AM280" s="4">
        <f t="shared" si="104"/>
        <v>0</v>
      </c>
      <c r="AO280" s="56">
        <f>IF(D280="M",WeightSDS!P$5*$AM280^7+WeightSDS!Q$5*$AM280^6+WeightSDS!R$5*$AM280^5+WeightSDS!S$5*$AM280^4+WeightSDS!T$5*$AM280^3+WeightSDS!U$5*$AM280^2+WeightSDS!V$5*$AM280+WeightSDS!W$5,IF($AM280&lt;186,WeightSDS!P$8*$AM280^7+WeightSDS!Q$8*$AM280^6+WeightSDS!R$8*$AM280^5+WeightSDS!S$8*$AM280^4+WeightSDS!T$8*$AM280^3+WeightSDS!U$8*$AM280^2+WeightSDS!V$8*$AM280+WeightSDS!W$8,WeightSDS!$U$9+WeightSDS!$V$9*($AM280-WeightSDS!$W$9)))</f>
        <v>0.75407122999999998</v>
      </c>
      <c r="AP280" s="4">
        <f>IF(D280="M",IF($AM280&lt;45,WeightSDS!M$23*$AM280^10+WeightSDS!N$23*$AM280^9+WeightSDS!O$23*$AM280^8+WeightSDS!P$23*$AM280^7+WeightSDS!Q$23*$AM280^6+WeightSDS!R$23*$AM280^5+WeightSDS!S$23*$AM280^4+WeightSDS!T$23*$AM280^3+WeightSDS!U$23*$AM280^2+WeightSDS!V$23*$AM280+WeightSDS!W$23,IF($AM280&lt;153,WeightSDS!M$25*$AM280^10+WeightSDS!N$25*$AM280^9+WeightSDS!O$25*$AM280^8+WeightSDS!P$25*$AM280^7+WeightSDS!Q$25*$AM280^6+WeightSDS!R$25*$AM280^5+WeightSDS!S$25*$AM280^4+WeightSDS!T$25*$AM280^3+WeightSDS!U$25*$AM280^2+WeightSDS!V$25*$AM280+WeightSDS!W$25,WeightSDS!M$27+WeightSDS!N$27/(1+EXP(WeightSDS!O$27+WeightSDS!P$27*$AM280)))),IF($AM280&lt;43.8,WeightSDS!M$29*$AM280^10+WeightSDS!N$29*$AM280^9+WeightSDS!O$29*$AM280^8+WeightSDS!P$29*$AM280^7+WeightSDS!Q$29*$AM280^6+WeightSDS!R$29*$AM280^5+WeightSDS!S$29*$AM280^4+WeightSDS!T$29*$AM280^3+WeightSDS!U$29*$AM280^2+WeightSDS!V$29*$AM280+WeightSDS!W$29-0.010431*(1-$AM280/210),IF($AM280&lt;123,WeightSDS!M$30*$AM280^10+WeightSDS!N$30*$AM280^9+WeightSDS!O$30*$AM280^8+WeightSDS!P$30*$AM280^7+WeightSDS!Q$30*$AM280^6+WeightSDS!R$30*$AM280^5+WeightSDS!S$30*$AM280^4+WeightSDS!T$30*$AM280^3+WeightSDS!U$30*$AM280^2+WeightSDS!V$30*$AM280+WeightSDS!W$30-0.010431*(1-1/$AM280),WeightSDS!M$32+WeightSDS!N$32/(1+EXP(WeightSDS!O$32+WeightSDS!P$32*$AM280))-0.010431*(1-$AM280/210))))</f>
        <v>2.9500001032655536</v>
      </c>
      <c r="AQ280" s="4">
        <f>IF(D280="M",IF($AM280&lt;162,WeightSDS!P$12*$AM280^7+WeightSDS!Q$12*$AM280^6+WeightSDS!R$12*$AM280^5+WeightSDS!S$12*$AM280^4+WeightSDS!T$12*$AM280^3+WeightSDS!U$12*$AM280^2+WeightSDS!V$12*$AM280+WeightSDS!W$12,WeightSDS!P$14*$AM280^7+WeightSDS!Q$14*$AM280^6+WeightSDS!R$14*$AM280^5+WeightSDS!S$14*$AM280^4+WeightSDS!T$14*$AM280^3+WeightSDS!U$14*$AM280^2+WeightSDS!V$14*$AM280+WeightSDS!W$14),IF($AM280&lt;156,WeightSDS!O$17*$AM280^8+WeightSDS!P$17*$AM280^7+WeightSDS!Q$17*$AM280^6+WeightSDS!R$17*$AM280^5+WeightSDS!S$17*$AM280^4+WeightSDS!T$17*$AM280^3+WeightSDS!U$17*$AM280^2+WeightSDS!V$17*$AM280+WeightSDS!W$17,IF($AM280&lt;186,WeightSDS!$U$18+(WeightSDS!$V$18-WeightSDS!$U$18)/24*($AM280-186)+WeightSDS!$W$18*(-$AM280+186)^2-0.005,WeightSDS!$U$18+(WeightSDS!$V$18-WeightSDS!$U$18)/24*($AM280-186)-0.005)))</f>
        <v>0.14604529399999999</v>
      </c>
      <c r="AT280" s="4">
        <f t="shared" si="91"/>
        <v>0.56299999999999994</v>
      </c>
      <c r="AU280" s="4">
        <f t="shared" si="92"/>
        <v>69</v>
      </c>
      <c r="AV280" s="4">
        <f t="shared" si="93"/>
        <v>0.51</v>
      </c>
    </row>
    <row r="281" spans="1:48" x14ac:dyDescent="0.15">
      <c r="A281" s="4"/>
      <c r="B281" s="21"/>
      <c r="C281" s="21"/>
      <c r="D281" s="21"/>
      <c r="E281" s="22"/>
      <c r="F281" s="22"/>
      <c r="G281" s="23"/>
      <c r="H281" s="23"/>
      <c r="I281" s="181"/>
      <c r="J281" s="8" t="str">
        <f t="shared" si="85"/>
        <v/>
      </c>
      <c r="K281" s="2" t="str">
        <f t="shared" si="94"/>
        <v/>
      </c>
      <c r="L281" s="2" t="str">
        <f t="shared" si="86"/>
        <v/>
      </c>
      <c r="M281" s="2" t="str">
        <f t="shared" si="95"/>
        <v/>
      </c>
      <c r="N281" s="2" t="str">
        <f t="shared" si="103"/>
        <v/>
      </c>
      <c r="O281" s="2" t="str">
        <f t="shared" si="96"/>
        <v/>
      </c>
      <c r="P281" s="8" t="str">
        <f t="shared" si="97"/>
        <v/>
      </c>
      <c r="Q281" s="8" t="str">
        <f t="shared" si="98"/>
        <v/>
      </c>
      <c r="R281" s="111" t="str">
        <f t="shared" si="99"/>
        <v/>
      </c>
      <c r="S281" s="44" t="str">
        <f t="shared" si="100"/>
        <v/>
      </c>
      <c r="T281" s="37" t="str">
        <f t="shared" si="101"/>
        <v/>
      </c>
      <c r="U281" s="44" t="str">
        <f t="shared" si="102"/>
        <v/>
      </c>
      <c r="V281" s="26"/>
      <c r="W281" s="26"/>
      <c r="X281" s="26"/>
      <c r="Y281" s="26"/>
      <c r="Z281" s="24"/>
      <c r="AA281" s="169">
        <f t="shared" si="87"/>
        <v>0</v>
      </c>
      <c r="AB281" s="4">
        <f t="shared" si="88"/>
        <v>0</v>
      </c>
      <c r="AC281" s="170">
        <f t="shared" si="84"/>
        <v>0</v>
      </c>
      <c r="AD281" s="58"/>
      <c r="AE281" s="58"/>
      <c r="AF281" s="58"/>
      <c r="AG281" s="59">
        <f t="shared" si="89"/>
        <v>9.0359999999999996</v>
      </c>
      <c r="AH281" s="59">
        <f t="shared" si="90"/>
        <v>-184.49199999999999</v>
      </c>
      <c r="AJ281" s="4">
        <f>IF(D281="M",IF(AM281&lt;78,BMILMS!$D$5*AM281^3+BMILMS!$E$5*AM281^2+BMILMS!$F$5*AM281+BMILMS!$G$5,IF(AM281&lt;150,BMILMS!$D$6*AM281^3+BMILMS!$E$6*AM281^2+BMILMS!$F$6*AM281+BMILMS!$G$6,BMILMS!$D$7*AM281^3+BMILMS!$E$7*AM281^2+BMILMS!$F$7*AM281+BMILMS!$G$7)),IF(AM281&lt;69,BMILMS!$D$9*AM281^3+BMILMS!$E$9*AM281^2+BMILMS!$F$9*AM281+BMILMS!$G$9,IF(AM281&lt;150,BMILMS!$D$10*AM281^3+BMILMS!$E$10*AM281^2+BMILMS!$F$10*AM281+BMILMS!$G$10,BMILMS!$D$11*AM281^3+BMILMS!$E$11*AM281^2+BMILMS!$F$11*AM281+BMILMS!$G$11)))</f>
        <v>0.79584630099999998</v>
      </c>
      <c r="AK281" s="4">
        <f>IF(D281="M",(IF(AM281&lt;2.5,BMILMS!$D$21*AM281^3+BMILMS!$E$21*AM281^2+BMILMS!$F$21*AM281+BMILMS!$G$21,IF(AM281&lt;9.5,BMILMS!$D$22*AM281^3+BMILMS!$E$22*AM281^2+BMILMS!$F$22*AM281+BMILMS!$G$22,IF(AM281&lt;26.75,BMILMS!$D$23*AM281^3+BMILMS!$E$23*AM281^2+BMILMS!$F$23*AM281+BMILMS!$G$23,IF(AM281&lt;90,BMILMS!$D$24*AM281^3+BMILMS!$E$24*AM281^2+BMILMS!$F$24*AM281+BMILMS!$G$24,BMILMS!$D$25*AM281^3+BMILMS!$E$25*AM281^2+BMILMS!$F$25*AM281+BMILMS!$G$25))))),(IF(AM281&lt;2.5,BMILMS!$D$27*AM281^3+BMILMS!$E$27*AM281^2+BMILMS!$F$27*AM281+BMILMS!$G$27,IF(AM281&lt;9.5,BMILMS!$D$28*AM281^3+BMILMS!$E$28*AM281^2+BMILMS!$F$28*AM281+BMILMS!$G$28,IF(AM281&lt;26.75,BMILMS!$D$29*AM281^3+BMILMS!$E$29*AM281^2+BMILMS!$F$29*AM281+BMILMS!$G$29,IF(AM281&lt;90,BMILMS!$D$30*AM281^3+BMILMS!$E$30*AM281^2+BMILMS!$F$30*AM281+BMILMS!$G$30,IF(AM281&lt;150,BMILMS!$D$31*AM281^3+BMILMS!$E$31*AM281^2+BMILMS!$F$31*AM281+BMILMS!$G$31,BMILMS!$D$32*AM281^3+BMILMS!$E$32*AM281^2+BMILMS!$F$32*AM281+BMILMS!$G$32)))))))</f>
        <v>12.568967990000001</v>
      </c>
      <c r="AL281" s="4">
        <f>IF(D281="M",(IF(AM281&lt;90,BMILMS!$D$14*AM281^3+BMILMS!$E$14*AM281^2+BMILMS!$F$14*AM281+BMILMS!$G$14,BMILMS!$D$15*AM281^3+BMILMS!$E$15*AM281^2+BMILMS!$F$15*AM281+BMILMS!$G$15)),(IF(AM281&lt;90,BMILMS!$D$17*AM281^3+BMILMS!$E$17*AM281^2+BMILMS!$F$17*AM281+BMILMS!$G$17,BMILMS!$D$18*AM281^3+BMILMS!$E$18*AM281^2+BMILMS!$F$18*AM281+BMILMS!$G$18)))</f>
        <v>8.8969350000000003E-2</v>
      </c>
      <c r="AM281" s="4">
        <f t="shared" si="104"/>
        <v>0</v>
      </c>
      <c r="AO281" s="56">
        <f>IF(D281="M",WeightSDS!P$5*$AM281^7+WeightSDS!Q$5*$AM281^6+WeightSDS!R$5*$AM281^5+WeightSDS!S$5*$AM281^4+WeightSDS!T$5*$AM281^3+WeightSDS!U$5*$AM281^2+WeightSDS!V$5*$AM281+WeightSDS!W$5,IF($AM281&lt;186,WeightSDS!P$8*$AM281^7+WeightSDS!Q$8*$AM281^6+WeightSDS!R$8*$AM281^5+WeightSDS!S$8*$AM281^4+WeightSDS!T$8*$AM281^3+WeightSDS!U$8*$AM281^2+WeightSDS!V$8*$AM281+WeightSDS!W$8,WeightSDS!$U$9+WeightSDS!$V$9*($AM281-WeightSDS!$W$9)))</f>
        <v>0.75407122999999998</v>
      </c>
      <c r="AP281" s="4">
        <f>IF(D281="M",IF($AM281&lt;45,WeightSDS!M$23*$AM281^10+WeightSDS!N$23*$AM281^9+WeightSDS!O$23*$AM281^8+WeightSDS!P$23*$AM281^7+WeightSDS!Q$23*$AM281^6+WeightSDS!R$23*$AM281^5+WeightSDS!S$23*$AM281^4+WeightSDS!T$23*$AM281^3+WeightSDS!U$23*$AM281^2+WeightSDS!V$23*$AM281+WeightSDS!W$23,IF($AM281&lt;153,WeightSDS!M$25*$AM281^10+WeightSDS!N$25*$AM281^9+WeightSDS!O$25*$AM281^8+WeightSDS!P$25*$AM281^7+WeightSDS!Q$25*$AM281^6+WeightSDS!R$25*$AM281^5+WeightSDS!S$25*$AM281^4+WeightSDS!T$25*$AM281^3+WeightSDS!U$25*$AM281^2+WeightSDS!V$25*$AM281+WeightSDS!W$25,WeightSDS!M$27+WeightSDS!N$27/(1+EXP(WeightSDS!O$27+WeightSDS!P$27*$AM281)))),IF($AM281&lt;43.8,WeightSDS!M$29*$AM281^10+WeightSDS!N$29*$AM281^9+WeightSDS!O$29*$AM281^8+WeightSDS!P$29*$AM281^7+WeightSDS!Q$29*$AM281^6+WeightSDS!R$29*$AM281^5+WeightSDS!S$29*$AM281^4+WeightSDS!T$29*$AM281^3+WeightSDS!U$29*$AM281^2+WeightSDS!V$29*$AM281+WeightSDS!W$29-0.010431*(1-$AM281/210),IF($AM281&lt;123,WeightSDS!M$30*$AM281^10+WeightSDS!N$30*$AM281^9+WeightSDS!O$30*$AM281^8+WeightSDS!P$30*$AM281^7+WeightSDS!Q$30*$AM281^6+WeightSDS!R$30*$AM281^5+WeightSDS!S$30*$AM281^4+WeightSDS!T$30*$AM281^3+WeightSDS!U$30*$AM281^2+WeightSDS!V$30*$AM281+WeightSDS!W$30-0.010431*(1-1/$AM281),WeightSDS!M$32+WeightSDS!N$32/(1+EXP(WeightSDS!O$32+WeightSDS!P$32*$AM281))-0.010431*(1-$AM281/210))))</f>
        <v>2.9500001032655536</v>
      </c>
      <c r="AQ281" s="4">
        <f>IF(D281="M",IF($AM281&lt;162,WeightSDS!P$12*$AM281^7+WeightSDS!Q$12*$AM281^6+WeightSDS!R$12*$AM281^5+WeightSDS!S$12*$AM281^4+WeightSDS!T$12*$AM281^3+WeightSDS!U$12*$AM281^2+WeightSDS!V$12*$AM281+WeightSDS!W$12,WeightSDS!P$14*$AM281^7+WeightSDS!Q$14*$AM281^6+WeightSDS!R$14*$AM281^5+WeightSDS!S$14*$AM281^4+WeightSDS!T$14*$AM281^3+WeightSDS!U$14*$AM281^2+WeightSDS!V$14*$AM281+WeightSDS!W$14),IF($AM281&lt;156,WeightSDS!O$17*$AM281^8+WeightSDS!P$17*$AM281^7+WeightSDS!Q$17*$AM281^6+WeightSDS!R$17*$AM281^5+WeightSDS!S$17*$AM281^4+WeightSDS!T$17*$AM281^3+WeightSDS!U$17*$AM281^2+WeightSDS!V$17*$AM281+WeightSDS!W$17,IF($AM281&lt;186,WeightSDS!$U$18+(WeightSDS!$V$18-WeightSDS!$U$18)/24*($AM281-186)+WeightSDS!$W$18*(-$AM281+186)^2-0.005,WeightSDS!$U$18+(WeightSDS!$V$18-WeightSDS!$U$18)/24*($AM281-186)-0.005)))</f>
        <v>0.14604529399999999</v>
      </c>
      <c r="AT281" s="4">
        <f t="shared" si="91"/>
        <v>0.56299999999999994</v>
      </c>
      <c r="AU281" s="4">
        <f t="shared" si="92"/>
        <v>69</v>
      </c>
      <c r="AV281" s="4">
        <f t="shared" si="93"/>
        <v>0.51</v>
      </c>
    </row>
    <row r="282" spans="1:48" x14ac:dyDescent="0.15">
      <c r="A282" s="4"/>
      <c r="B282" s="21"/>
      <c r="C282" s="21"/>
      <c r="D282" s="21"/>
      <c r="E282" s="22"/>
      <c r="F282" s="22"/>
      <c r="G282" s="23"/>
      <c r="H282" s="23"/>
      <c r="I282" s="181"/>
      <c r="J282" s="8" t="str">
        <f t="shared" si="85"/>
        <v/>
      </c>
      <c r="K282" s="2" t="str">
        <f t="shared" si="94"/>
        <v/>
      </c>
      <c r="L282" s="2" t="str">
        <f t="shared" si="86"/>
        <v/>
      </c>
      <c r="M282" s="2" t="str">
        <f t="shared" si="95"/>
        <v/>
      </c>
      <c r="N282" s="2" t="str">
        <f t="shared" si="103"/>
        <v/>
      </c>
      <c r="O282" s="2" t="str">
        <f t="shared" si="96"/>
        <v/>
      </c>
      <c r="P282" s="8" t="str">
        <f t="shared" si="97"/>
        <v/>
      </c>
      <c r="Q282" s="8" t="str">
        <f t="shared" si="98"/>
        <v/>
      </c>
      <c r="R282" s="111" t="str">
        <f t="shared" si="99"/>
        <v/>
      </c>
      <c r="S282" s="44" t="str">
        <f t="shared" si="100"/>
        <v/>
      </c>
      <c r="T282" s="37" t="str">
        <f t="shared" si="101"/>
        <v/>
      </c>
      <c r="U282" s="44" t="str">
        <f t="shared" si="102"/>
        <v/>
      </c>
      <c r="V282" s="26"/>
      <c r="W282" s="26"/>
      <c r="X282" s="26"/>
      <c r="Y282" s="26"/>
      <c r="Z282" s="24"/>
      <c r="AA282" s="169">
        <f t="shared" si="87"/>
        <v>0</v>
      </c>
      <c r="AB282" s="4">
        <f t="shared" si="88"/>
        <v>0</v>
      </c>
      <c r="AC282" s="170">
        <f t="shared" si="84"/>
        <v>0</v>
      </c>
      <c r="AD282" s="58"/>
      <c r="AE282" s="58"/>
      <c r="AF282" s="58"/>
      <c r="AG282" s="59">
        <f t="shared" si="89"/>
        <v>9.0359999999999996</v>
      </c>
      <c r="AH282" s="59">
        <f t="shared" si="90"/>
        <v>-184.49199999999999</v>
      </c>
      <c r="AJ282" s="4">
        <f>IF(D282="M",IF(AM282&lt;78,BMILMS!$D$5*AM282^3+BMILMS!$E$5*AM282^2+BMILMS!$F$5*AM282+BMILMS!$G$5,IF(AM282&lt;150,BMILMS!$D$6*AM282^3+BMILMS!$E$6*AM282^2+BMILMS!$F$6*AM282+BMILMS!$G$6,BMILMS!$D$7*AM282^3+BMILMS!$E$7*AM282^2+BMILMS!$F$7*AM282+BMILMS!$G$7)),IF(AM282&lt;69,BMILMS!$D$9*AM282^3+BMILMS!$E$9*AM282^2+BMILMS!$F$9*AM282+BMILMS!$G$9,IF(AM282&lt;150,BMILMS!$D$10*AM282^3+BMILMS!$E$10*AM282^2+BMILMS!$F$10*AM282+BMILMS!$G$10,BMILMS!$D$11*AM282^3+BMILMS!$E$11*AM282^2+BMILMS!$F$11*AM282+BMILMS!$G$11)))</f>
        <v>0.79584630099999998</v>
      </c>
      <c r="AK282" s="4">
        <f>IF(D282="M",(IF(AM282&lt;2.5,BMILMS!$D$21*AM282^3+BMILMS!$E$21*AM282^2+BMILMS!$F$21*AM282+BMILMS!$G$21,IF(AM282&lt;9.5,BMILMS!$D$22*AM282^3+BMILMS!$E$22*AM282^2+BMILMS!$F$22*AM282+BMILMS!$G$22,IF(AM282&lt;26.75,BMILMS!$D$23*AM282^3+BMILMS!$E$23*AM282^2+BMILMS!$F$23*AM282+BMILMS!$G$23,IF(AM282&lt;90,BMILMS!$D$24*AM282^3+BMILMS!$E$24*AM282^2+BMILMS!$F$24*AM282+BMILMS!$G$24,BMILMS!$D$25*AM282^3+BMILMS!$E$25*AM282^2+BMILMS!$F$25*AM282+BMILMS!$G$25))))),(IF(AM282&lt;2.5,BMILMS!$D$27*AM282^3+BMILMS!$E$27*AM282^2+BMILMS!$F$27*AM282+BMILMS!$G$27,IF(AM282&lt;9.5,BMILMS!$D$28*AM282^3+BMILMS!$E$28*AM282^2+BMILMS!$F$28*AM282+BMILMS!$G$28,IF(AM282&lt;26.75,BMILMS!$D$29*AM282^3+BMILMS!$E$29*AM282^2+BMILMS!$F$29*AM282+BMILMS!$G$29,IF(AM282&lt;90,BMILMS!$D$30*AM282^3+BMILMS!$E$30*AM282^2+BMILMS!$F$30*AM282+BMILMS!$G$30,IF(AM282&lt;150,BMILMS!$D$31*AM282^3+BMILMS!$E$31*AM282^2+BMILMS!$F$31*AM282+BMILMS!$G$31,BMILMS!$D$32*AM282^3+BMILMS!$E$32*AM282^2+BMILMS!$F$32*AM282+BMILMS!$G$32)))))))</f>
        <v>12.568967990000001</v>
      </c>
      <c r="AL282" s="4">
        <f>IF(D282="M",(IF(AM282&lt;90,BMILMS!$D$14*AM282^3+BMILMS!$E$14*AM282^2+BMILMS!$F$14*AM282+BMILMS!$G$14,BMILMS!$D$15*AM282^3+BMILMS!$E$15*AM282^2+BMILMS!$F$15*AM282+BMILMS!$G$15)),(IF(AM282&lt;90,BMILMS!$D$17*AM282^3+BMILMS!$E$17*AM282^2+BMILMS!$F$17*AM282+BMILMS!$G$17,BMILMS!$D$18*AM282^3+BMILMS!$E$18*AM282^2+BMILMS!$F$18*AM282+BMILMS!$G$18)))</f>
        <v>8.8969350000000003E-2</v>
      </c>
      <c r="AM282" s="4">
        <f t="shared" si="104"/>
        <v>0</v>
      </c>
      <c r="AO282" s="56">
        <f>IF(D282="M",WeightSDS!P$5*$AM282^7+WeightSDS!Q$5*$AM282^6+WeightSDS!R$5*$AM282^5+WeightSDS!S$5*$AM282^4+WeightSDS!T$5*$AM282^3+WeightSDS!U$5*$AM282^2+WeightSDS!V$5*$AM282+WeightSDS!W$5,IF($AM282&lt;186,WeightSDS!P$8*$AM282^7+WeightSDS!Q$8*$AM282^6+WeightSDS!R$8*$AM282^5+WeightSDS!S$8*$AM282^4+WeightSDS!T$8*$AM282^3+WeightSDS!U$8*$AM282^2+WeightSDS!V$8*$AM282+WeightSDS!W$8,WeightSDS!$U$9+WeightSDS!$V$9*($AM282-WeightSDS!$W$9)))</f>
        <v>0.75407122999999998</v>
      </c>
      <c r="AP282" s="4">
        <f>IF(D282="M",IF($AM282&lt;45,WeightSDS!M$23*$AM282^10+WeightSDS!N$23*$AM282^9+WeightSDS!O$23*$AM282^8+WeightSDS!P$23*$AM282^7+WeightSDS!Q$23*$AM282^6+WeightSDS!R$23*$AM282^5+WeightSDS!S$23*$AM282^4+WeightSDS!T$23*$AM282^3+WeightSDS!U$23*$AM282^2+WeightSDS!V$23*$AM282+WeightSDS!W$23,IF($AM282&lt;153,WeightSDS!M$25*$AM282^10+WeightSDS!N$25*$AM282^9+WeightSDS!O$25*$AM282^8+WeightSDS!P$25*$AM282^7+WeightSDS!Q$25*$AM282^6+WeightSDS!R$25*$AM282^5+WeightSDS!S$25*$AM282^4+WeightSDS!T$25*$AM282^3+WeightSDS!U$25*$AM282^2+WeightSDS!V$25*$AM282+WeightSDS!W$25,WeightSDS!M$27+WeightSDS!N$27/(1+EXP(WeightSDS!O$27+WeightSDS!P$27*$AM282)))),IF($AM282&lt;43.8,WeightSDS!M$29*$AM282^10+WeightSDS!N$29*$AM282^9+WeightSDS!O$29*$AM282^8+WeightSDS!P$29*$AM282^7+WeightSDS!Q$29*$AM282^6+WeightSDS!R$29*$AM282^5+WeightSDS!S$29*$AM282^4+WeightSDS!T$29*$AM282^3+WeightSDS!U$29*$AM282^2+WeightSDS!V$29*$AM282+WeightSDS!W$29-0.010431*(1-$AM282/210),IF($AM282&lt;123,WeightSDS!M$30*$AM282^10+WeightSDS!N$30*$AM282^9+WeightSDS!O$30*$AM282^8+WeightSDS!P$30*$AM282^7+WeightSDS!Q$30*$AM282^6+WeightSDS!R$30*$AM282^5+WeightSDS!S$30*$AM282^4+WeightSDS!T$30*$AM282^3+WeightSDS!U$30*$AM282^2+WeightSDS!V$30*$AM282+WeightSDS!W$30-0.010431*(1-1/$AM282),WeightSDS!M$32+WeightSDS!N$32/(1+EXP(WeightSDS!O$32+WeightSDS!P$32*$AM282))-0.010431*(1-$AM282/210))))</f>
        <v>2.9500001032655536</v>
      </c>
      <c r="AQ282" s="4">
        <f>IF(D282="M",IF($AM282&lt;162,WeightSDS!P$12*$AM282^7+WeightSDS!Q$12*$AM282^6+WeightSDS!R$12*$AM282^5+WeightSDS!S$12*$AM282^4+WeightSDS!T$12*$AM282^3+WeightSDS!U$12*$AM282^2+WeightSDS!V$12*$AM282+WeightSDS!W$12,WeightSDS!P$14*$AM282^7+WeightSDS!Q$14*$AM282^6+WeightSDS!R$14*$AM282^5+WeightSDS!S$14*$AM282^4+WeightSDS!T$14*$AM282^3+WeightSDS!U$14*$AM282^2+WeightSDS!V$14*$AM282+WeightSDS!W$14),IF($AM282&lt;156,WeightSDS!O$17*$AM282^8+WeightSDS!P$17*$AM282^7+WeightSDS!Q$17*$AM282^6+WeightSDS!R$17*$AM282^5+WeightSDS!S$17*$AM282^4+WeightSDS!T$17*$AM282^3+WeightSDS!U$17*$AM282^2+WeightSDS!V$17*$AM282+WeightSDS!W$17,IF($AM282&lt;186,WeightSDS!$U$18+(WeightSDS!$V$18-WeightSDS!$U$18)/24*($AM282-186)+WeightSDS!$W$18*(-$AM282+186)^2-0.005,WeightSDS!$U$18+(WeightSDS!$V$18-WeightSDS!$U$18)/24*($AM282-186)-0.005)))</f>
        <v>0.14604529399999999</v>
      </c>
      <c r="AT282" s="4">
        <f t="shared" si="91"/>
        <v>0.56299999999999994</v>
      </c>
      <c r="AU282" s="4">
        <f t="shared" si="92"/>
        <v>69</v>
      </c>
      <c r="AV282" s="4">
        <f t="shared" si="93"/>
        <v>0.51</v>
      </c>
    </row>
    <row r="283" spans="1:48" x14ac:dyDescent="0.15">
      <c r="A283" s="4"/>
      <c r="B283" s="21"/>
      <c r="C283" s="21"/>
      <c r="D283" s="21"/>
      <c r="E283" s="22"/>
      <c r="F283" s="22"/>
      <c r="G283" s="23"/>
      <c r="H283" s="23"/>
      <c r="I283" s="181"/>
      <c r="J283" s="8" t="str">
        <f t="shared" si="85"/>
        <v/>
      </c>
      <c r="K283" s="2" t="str">
        <f t="shared" si="94"/>
        <v/>
      </c>
      <c r="L283" s="2" t="str">
        <f t="shared" si="86"/>
        <v/>
      </c>
      <c r="M283" s="2" t="str">
        <f t="shared" si="95"/>
        <v/>
      </c>
      <c r="N283" s="2" t="str">
        <f t="shared" si="103"/>
        <v/>
      </c>
      <c r="O283" s="2" t="str">
        <f t="shared" si="96"/>
        <v/>
      </c>
      <c r="P283" s="8" t="str">
        <f t="shared" si="97"/>
        <v/>
      </c>
      <c r="Q283" s="8" t="str">
        <f t="shared" si="98"/>
        <v/>
      </c>
      <c r="R283" s="111" t="str">
        <f t="shared" si="99"/>
        <v/>
      </c>
      <c r="S283" s="44" t="str">
        <f t="shared" si="100"/>
        <v/>
      </c>
      <c r="T283" s="37" t="str">
        <f t="shared" si="101"/>
        <v/>
      </c>
      <c r="U283" s="44" t="str">
        <f t="shared" si="102"/>
        <v/>
      </c>
      <c r="V283" s="26"/>
      <c r="W283" s="26"/>
      <c r="X283" s="26"/>
      <c r="Y283" s="26"/>
      <c r="Z283" s="24"/>
      <c r="AA283" s="169">
        <f t="shared" si="87"/>
        <v>0</v>
      </c>
      <c r="AB283" s="4">
        <f t="shared" si="88"/>
        <v>0</v>
      </c>
      <c r="AC283" s="170">
        <f t="shared" si="84"/>
        <v>0</v>
      </c>
      <c r="AD283" s="58"/>
      <c r="AE283" s="58"/>
      <c r="AF283" s="58"/>
      <c r="AG283" s="59">
        <f t="shared" si="89"/>
        <v>9.0359999999999996</v>
      </c>
      <c r="AH283" s="59">
        <f t="shared" si="90"/>
        <v>-184.49199999999999</v>
      </c>
      <c r="AJ283" s="4">
        <f>IF(D283="M",IF(AM283&lt;78,BMILMS!$D$5*AM283^3+BMILMS!$E$5*AM283^2+BMILMS!$F$5*AM283+BMILMS!$G$5,IF(AM283&lt;150,BMILMS!$D$6*AM283^3+BMILMS!$E$6*AM283^2+BMILMS!$F$6*AM283+BMILMS!$G$6,BMILMS!$D$7*AM283^3+BMILMS!$E$7*AM283^2+BMILMS!$F$7*AM283+BMILMS!$G$7)),IF(AM283&lt;69,BMILMS!$D$9*AM283^3+BMILMS!$E$9*AM283^2+BMILMS!$F$9*AM283+BMILMS!$G$9,IF(AM283&lt;150,BMILMS!$D$10*AM283^3+BMILMS!$E$10*AM283^2+BMILMS!$F$10*AM283+BMILMS!$G$10,BMILMS!$D$11*AM283^3+BMILMS!$E$11*AM283^2+BMILMS!$F$11*AM283+BMILMS!$G$11)))</f>
        <v>0.79584630099999998</v>
      </c>
      <c r="AK283" s="4">
        <f>IF(D283="M",(IF(AM283&lt;2.5,BMILMS!$D$21*AM283^3+BMILMS!$E$21*AM283^2+BMILMS!$F$21*AM283+BMILMS!$G$21,IF(AM283&lt;9.5,BMILMS!$D$22*AM283^3+BMILMS!$E$22*AM283^2+BMILMS!$F$22*AM283+BMILMS!$G$22,IF(AM283&lt;26.75,BMILMS!$D$23*AM283^3+BMILMS!$E$23*AM283^2+BMILMS!$F$23*AM283+BMILMS!$G$23,IF(AM283&lt;90,BMILMS!$D$24*AM283^3+BMILMS!$E$24*AM283^2+BMILMS!$F$24*AM283+BMILMS!$G$24,BMILMS!$D$25*AM283^3+BMILMS!$E$25*AM283^2+BMILMS!$F$25*AM283+BMILMS!$G$25))))),(IF(AM283&lt;2.5,BMILMS!$D$27*AM283^3+BMILMS!$E$27*AM283^2+BMILMS!$F$27*AM283+BMILMS!$G$27,IF(AM283&lt;9.5,BMILMS!$D$28*AM283^3+BMILMS!$E$28*AM283^2+BMILMS!$F$28*AM283+BMILMS!$G$28,IF(AM283&lt;26.75,BMILMS!$D$29*AM283^3+BMILMS!$E$29*AM283^2+BMILMS!$F$29*AM283+BMILMS!$G$29,IF(AM283&lt;90,BMILMS!$D$30*AM283^3+BMILMS!$E$30*AM283^2+BMILMS!$F$30*AM283+BMILMS!$G$30,IF(AM283&lt;150,BMILMS!$D$31*AM283^3+BMILMS!$E$31*AM283^2+BMILMS!$F$31*AM283+BMILMS!$G$31,BMILMS!$D$32*AM283^3+BMILMS!$E$32*AM283^2+BMILMS!$F$32*AM283+BMILMS!$G$32)))))))</f>
        <v>12.568967990000001</v>
      </c>
      <c r="AL283" s="4">
        <f>IF(D283="M",(IF(AM283&lt;90,BMILMS!$D$14*AM283^3+BMILMS!$E$14*AM283^2+BMILMS!$F$14*AM283+BMILMS!$G$14,BMILMS!$D$15*AM283^3+BMILMS!$E$15*AM283^2+BMILMS!$F$15*AM283+BMILMS!$G$15)),(IF(AM283&lt;90,BMILMS!$D$17*AM283^3+BMILMS!$E$17*AM283^2+BMILMS!$F$17*AM283+BMILMS!$G$17,BMILMS!$D$18*AM283^3+BMILMS!$E$18*AM283^2+BMILMS!$F$18*AM283+BMILMS!$G$18)))</f>
        <v>8.8969350000000003E-2</v>
      </c>
      <c r="AM283" s="4">
        <f t="shared" si="104"/>
        <v>0</v>
      </c>
      <c r="AO283" s="56">
        <f>IF(D283="M",WeightSDS!P$5*$AM283^7+WeightSDS!Q$5*$AM283^6+WeightSDS!R$5*$AM283^5+WeightSDS!S$5*$AM283^4+WeightSDS!T$5*$AM283^3+WeightSDS!U$5*$AM283^2+WeightSDS!V$5*$AM283+WeightSDS!W$5,IF($AM283&lt;186,WeightSDS!P$8*$AM283^7+WeightSDS!Q$8*$AM283^6+WeightSDS!R$8*$AM283^5+WeightSDS!S$8*$AM283^4+WeightSDS!T$8*$AM283^3+WeightSDS!U$8*$AM283^2+WeightSDS!V$8*$AM283+WeightSDS!W$8,WeightSDS!$U$9+WeightSDS!$V$9*($AM283-WeightSDS!$W$9)))</f>
        <v>0.75407122999999998</v>
      </c>
      <c r="AP283" s="4">
        <f>IF(D283="M",IF($AM283&lt;45,WeightSDS!M$23*$AM283^10+WeightSDS!N$23*$AM283^9+WeightSDS!O$23*$AM283^8+WeightSDS!P$23*$AM283^7+WeightSDS!Q$23*$AM283^6+WeightSDS!R$23*$AM283^5+WeightSDS!S$23*$AM283^4+WeightSDS!T$23*$AM283^3+WeightSDS!U$23*$AM283^2+WeightSDS!V$23*$AM283+WeightSDS!W$23,IF($AM283&lt;153,WeightSDS!M$25*$AM283^10+WeightSDS!N$25*$AM283^9+WeightSDS!O$25*$AM283^8+WeightSDS!P$25*$AM283^7+WeightSDS!Q$25*$AM283^6+WeightSDS!R$25*$AM283^5+WeightSDS!S$25*$AM283^4+WeightSDS!T$25*$AM283^3+WeightSDS!U$25*$AM283^2+WeightSDS!V$25*$AM283+WeightSDS!W$25,WeightSDS!M$27+WeightSDS!N$27/(1+EXP(WeightSDS!O$27+WeightSDS!P$27*$AM283)))),IF($AM283&lt;43.8,WeightSDS!M$29*$AM283^10+WeightSDS!N$29*$AM283^9+WeightSDS!O$29*$AM283^8+WeightSDS!P$29*$AM283^7+WeightSDS!Q$29*$AM283^6+WeightSDS!R$29*$AM283^5+WeightSDS!S$29*$AM283^4+WeightSDS!T$29*$AM283^3+WeightSDS!U$29*$AM283^2+WeightSDS!V$29*$AM283+WeightSDS!W$29-0.010431*(1-$AM283/210),IF($AM283&lt;123,WeightSDS!M$30*$AM283^10+WeightSDS!N$30*$AM283^9+WeightSDS!O$30*$AM283^8+WeightSDS!P$30*$AM283^7+WeightSDS!Q$30*$AM283^6+WeightSDS!R$30*$AM283^5+WeightSDS!S$30*$AM283^4+WeightSDS!T$30*$AM283^3+WeightSDS!U$30*$AM283^2+WeightSDS!V$30*$AM283+WeightSDS!W$30-0.010431*(1-1/$AM283),WeightSDS!M$32+WeightSDS!N$32/(1+EXP(WeightSDS!O$32+WeightSDS!P$32*$AM283))-0.010431*(1-$AM283/210))))</f>
        <v>2.9500001032655536</v>
      </c>
      <c r="AQ283" s="4">
        <f>IF(D283="M",IF($AM283&lt;162,WeightSDS!P$12*$AM283^7+WeightSDS!Q$12*$AM283^6+WeightSDS!R$12*$AM283^5+WeightSDS!S$12*$AM283^4+WeightSDS!T$12*$AM283^3+WeightSDS!U$12*$AM283^2+WeightSDS!V$12*$AM283+WeightSDS!W$12,WeightSDS!P$14*$AM283^7+WeightSDS!Q$14*$AM283^6+WeightSDS!R$14*$AM283^5+WeightSDS!S$14*$AM283^4+WeightSDS!T$14*$AM283^3+WeightSDS!U$14*$AM283^2+WeightSDS!V$14*$AM283+WeightSDS!W$14),IF($AM283&lt;156,WeightSDS!O$17*$AM283^8+WeightSDS!P$17*$AM283^7+WeightSDS!Q$17*$AM283^6+WeightSDS!R$17*$AM283^5+WeightSDS!S$17*$AM283^4+WeightSDS!T$17*$AM283^3+WeightSDS!U$17*$AM283^2+WeightSDS!V$17*$AM283+WeightSDS!W$17,IF($AM283&lt;186,WeightSDS!$U$18+(WeightSDS!$V$18-WeightSDS!$U$18)/24*($AM283-186)+WeightSDS!$W$18*(-$AM283+186)^2-0.005,WeightSDS!$U$18+(WeightSDS!$V$18-WeightSDS!$U$18)/24*($AM283-186)-0.005)))</f>
        <v>0.14604529399999999</v>
      </c>
      <c r="AT283" s="4">
        <f t="shared" si="91"/>
        <v>0.56299999999999994</v>
      </c>
      <c r="AU283" s="4">
        <f t="shared" si="92"/>
        <v>69</v>
      </c>
      <c r="AV283" s="4">
        <f t="shared" si="93"/>
        <v>0.51</v>
      </c>
    </row>
    <row r="284" spans="1:48" x14ac:dyDescent="0.15">
      <c r="A284" s="4"/>
      <c r="B284" s="21"/>
      <c r="C284" s="21"/>
      <c r="D284" s="21"/>
      <c r="E284" s="22"/>
      <c r="F284" s="22"/>
      <c r="G284" s="23"/>
      <c r="H284" s="23"/>
      <c r="I284" s="181"/>
      <c r="J284" s="8" t="str">
        <f t="shared" si="85"/>
        <v/>
      </c>
      <c r="K284" s="2" t="str">
        <f t="shared" si="94"/>
        <v/>
      </c>
      <c r="L284" s="2" t="str">
        <f t="shared" si="86"/>
        <v/>
      </c>
      <c r="M284" s="2" t="str">
        <f t="shared" si="95"/>
        <v/>
      </c>
      <c r="N284" s="2" t="str">
        <f t="shared" si="103"/>
        <v/>
      </c>
      <c r="O284" s="2" t="str">
        <f t="shared" si="96"/>
        <v/>
      </c>
      <c r="P284" s="8" t="str">
        <f t="shared" si="97"/>
        <v/>
      </c>
      <c r="Q284" s="8" t="str">
        <f t="shared" si="98"/>
        <v/>
      </c>
      <c r="R284" s="111" t="str">
        <f t="shared" si="99"/>
        <v/>
      </c>
      <c r="S284" s="44" t="str">
        <f t="shared" si="100"/>
        <v/>
      </c>
      <c r="T284" s="37" t="str">
        <f t="shared" si="101"/>
        <v/>
      </c>
      <c r="U284" s="44" t="str">
        <f t="shared" si="102"/>
        <v/>
      </c>
      <c r="V284" s="26"/>
      <c r="W284" s="26"/>
      <c r="X284" s="26"/>
      <c r="Y284" s="26"/>
      <c r="Z284" s="24"/>
      <c r="AA284" s="169">
        <f t="shared" si="87"/>
        <v>0</v>
      </c>
      <c r="AB284" s="4">
        <f t="shared" si="88"/>
        <v>0</v>
      </c>
      <c r="AC284" s="170">
        <f t="shared" si="84"/>
        <v>0</v>
      </c>
      <c r="AD284" s="58"/>
      <c r="AE284" s="58"/>
      <c r="AF284" s="58"/>
      <c r="AG284" s="59">
        <f t="shared" si="89"/>
        <v>9.0359999999999996</v>
      </c>
      <c r="AH284" s="59">
        <f t="shared" si="90"/>
        <v>-184.49199999999999</v>
      </c>
      <c r="AJ284" s="4">
        <f>IF(D284="M",IF(AM284&lt;78,BMILMS!$D$5*AM284^3+BMILMS!$E$5*AM284^2+BMILMS!$F$5*AM284+BMILMS!$G$5,IF(AM284&lt;150,BMILMS!$D$6*AM284^3+BMILMS!$E$6*AM284^2+BMILMS!$F$6*AM284+BMILMS!$G$6,BMILMS!$D$7*AM284^3+BMILMS!$E$7*AM284^2+BMILMS!$F$7*AM284+BMILMS!$G$7)),IF(AM284&lt;69,BMILMS!$D$9*AM284^3+BMILMS!$E$9*AM284^2+BMILMS!$F$9*AM284+BMILMS!$G$9,IF(AM284&lt;150,BMILMS!$D$10*AM284^3+BMILMS!$E$10*AM284^2+BMILMS!$F$10*AM284+BMILMS!$G$10,BMILMS!$D$11*AM284^3+BMILMS!$E$11*AM284^2+BMILMS!$F$11*AM284+BMILMS!$G$11)))</f>
        <v>0.79584630099999998</v>
      </c>
      <c r="AK284" s="4">
        <f>IF(D284="M",(IF(AM284&lt;2.5,BMILMS!$D$21*AM284^3+BMILMS!$E$21*AM284^2+BMILMS!$F$21*AM284+BMILMS!$G$21,IF(AM284&lt;9.5,BMILMS!$D$22*AM284^3+BMILMS!$E$22*AM284^2+BMILMS!$F$22*AM284+BMILMS!$G$22,IF(AM284&lt;26.75,BMILMS!$D$23*AM284^3+BMILMS!$E$23*AM284^2+BMILMS!$F$23*AM284+BMILMS!$G$23,IF(AM284&lt;90,BMILMS!$D$24*AM284^3+BMILMS!$E$24*AM284^2+BMILMS!$F$24*AM284+BMILMS!$G$24,BMILMS!$D$25*AM284^3+BMILMS!$E$25*AM284^2+BMILMS!$F$25*AM284+BMILMS!$G$25))))),(IF(AM284&lt;2.5,BMILMS!$D$27*AM284^3+BMILMS!$E$27*AM284^2+BMILMS!$F$27*AM284+BMILMS!$G$27,IF(AM284&lt;9.5,BMILMS!$D$28*AM284^3+BMILMS!$E$28*AM284^2+BMILMS!$F$28*AM284+BMILMS!$G$28,IF(AM284&lt;26.75,BMILMS!$D$29*AM284^3+BMILMS!$E$29*AM284^2+BMILMS!$F$29*AM284+BMILMS!$G$29,IF(AM284&lt;90,BMILMS!$D$30*AM284^3+BMILMS!$E$30*AM284^2+BMILMS!$F$30*AM284+BMILMS!$G$30,IF(AM284&lt;150,BMILMS!$D$31*AM284^3+BMILMS!$E$31*AM284^2+BMILMS!$F$31*AM284+BMILMS!$G$31,BMILMS!$D$32*AM284^3+BMILMS!$E$32*AM284^2+BMILMS!$F$32*AM284+BMILMS!$G$32)))))))</f>
        <v>12.568967990000001</v>
      </c>
      <c r="AL284" s="4">
        <f>IF(D284="M",(IF(AM284&lt;90,BMILMS!$D$14*AM284^3+BMILMS!$E$14*AM284^2+BMILMS!$F$14*AM284+BMILMS!$G$14,BMILMS!$D$15*AM284^3+BMILMS!$E$15*AM284^2+BMILMS!$F$15*AM284+BMILMS!$G$15)),(IF(AM284&lt;90,BMILMS!$D$17*AM284^3+BMILMS!$E$17*AM284^2+BMILMS!$F$17*AM284+BMILMS!$G$17,BMILMS!$D$18*AM284^3+BMILMS!$E$18*AM284^2+BMILMS!$F$18*AM284+BMILMS!$G$18)))</f>
        <v>8.8969350000000003E-2</v>
      </c>
      <c r="AM284" s="4">
        <f t="shared" si="104"/>
        <v>0</v>
      </c>
      <c r="AO284" s="56">
        <f>IF(D284="M",WeightSDS!P$5*$AM284^7+WeightSDS!Q$5*$AM284^6+WeightSDS!R$5*$AM284^5+WeightSDS!S$5*$AM284^4+WeightSDS!T$5*$AM284^3+WeightSDS!U$5*$AM284^2+WeightSDS!V$5*$AM284+WeightSDS!W$5,IF($AM284&lt;186,WeightSDS!P$8*$AM284^7+WeightSDS!Q$8*$AM284^6+WeightSDS!R$8*$AM284^5+WeightSDS!S$8*$AM284^4+WeightSDS!T$8*$AM284^3+WeightSDS!U$8*$AM284^2+WeightSDS!V$8*$AM284+WeightSDS!W$8,WeightSDS!$U$9+WeightSDS!$V$9*($AM284-WeightSDS!$W$9)))</f>
        <v>0.75407122999999998</v>
      </c>
      <c r="AP284" s="4">
        <f>IF(D284="M",IF($AM284&lt;45,WeightSDS!M$23*$AM284^10+WeightSDS!N$23*$AM284^9+WeightSDS!O$23*$AM284^8+WeightSDS!P$23*$AM284^7+WeightSDS!Q$23*$AM284^6+WeightSDS!R$23*$AM284^5+WeightSDS!S$23*$AM284^4+WeightSDS!T$23*$AM284^3+WeightSDS!U$23*$AM284^2+WeightSDS!V$23*$AM284+WeightSDS!W$23,IF($AM284&lt;153,WeightSDS!M$25*$AM284^10+WeightSDS!N$25*$AM284^9+WeightSDS!O$25*$AM284^8+WeightSDS!P$25*$AM284^7+WeightSDS!Q$25*$AM284^6+WeightSDS!R$25*$AM284^5+WeightSDS!S$25*$AM284^4+WeightSDS!T$25*$AM284^3+WeightSDS!U$25*$AM284^2+WeightSDS!V$25*$AM284+WeightSDS!W$25,WeightSDS!M$27+WeightSDS!N$27/(1+EXP(WeightSDS!O$27+WeightSDS!P$27*$AM284)))),IF($AM284&lt;43.8,WeightSDS!M$29*$AM284^10+WeightSDS!N$29*$AM284^9+WeightSDS!O$29*$AM284^8+WeightSDS!P$29*$AM284^7+WeightSDS!Q$29*$AM284^6+WeightSDS!R$29*$AM284^5+WeightSDS!S$29*$AM284^4+WeightSDS!T$29*$AM284^3+WeightSDS!U$29*$AM284^2+WeightSDS!V$29*$AM284+WeightSDS!W$29-0.010431*(1-$AM284/210),IF($AM284&lt;123,WeightSDS!M$30*$AM284^10+WeightSDS!N$30*$AM284^9+WeightSDS!O$30*$AM284^8+WeightSDS!P$30*$AM284^7+WeightSDS!Q$30*$AM284^6+WeightSDS!R$30*$AM284^5+WeightSDS!S$30*$AM284^4+WeightSDS!T$30*$AM284^3+WeightSDS!U$30*$AM284^2+WeightSDS!V$30*$AM284+WeightSDS!W$30-0.010431*(1-1/$AM284),WeightSDS!M$32+WeightSDS!N$32/(1+EXP(WeightSDS!O$32+WeightSDS!P$32*$AM284))-0.010431*(1-$AM284/210))))</f>
        <v>2.9500001032655536</v>
      </c>
      <c r="AQ284" s="4">
        <f>IF(D284="M",IF($AM284&lt;162,WeightSDS!P$12*$AM284^7+WeightSDS!Q$12*$AM284^6+WeightSDS!R$12*$AM284^5+WeightSDS!S$12*$AM284^4+WeightSDS!T$12*$AM284^3+WeightSDS!U$12*$AM284^2+WeightSDS!V$12*$AM284+WeightSDS!W$12,WeightSDS!P$14*$AM284^7+WeightSDS!Q$14*$AM284^6+WeightSDS!R$14*$AM284^5+WeightSDS!S$14*$AM284^4+WeightSDS!T$14*$AM284^3+WeightSDS!U$14*$AM284^2+WeightSDS!V$14*$AM284+WeightSDS!W$14),IF($AM284&lt;156,WeightSDS!O$17*$AM284^8+WeightSDS!P$17*$AM284^7+WeightSDS!Q$17*$AM284^6+WeightSDS!R$17*$AM284^5+WeightSDS!S$17*$AM284^4+WeightSDS!T$17*$AM284^3+WeightSDS!U$17*$AM284^2+WeightSDS!V$17*$AM284+WeightSDS!W$17,IF($AM284&lt;186,WeightSDS!$U$18+(WeightSDS!$V$18-WeightSDS!$U$18)/24*($AM284-186)+WeightSDS!$W$18*(-$AM284+186)^2-0.005,WeightSDS!$U$18+(WeightSDS!$V$18-WeightSDS!$U$18)/24*($AM284-186)-0.005)))</f>
        <v>0.14604529399999999</v>
      </c>
      <c r="AT284" s="4">
        <f t="shared" si="91"/>
        <v>0.56299999999999994</v>
      </c>
      <c r="AU284" s="4">
        <f t="shared" si="92"/>
        <v>69</v>
      </c>
      <c r="AV284" s="4">
        <f t="shared" si="93"/>
        <v>0.51</v>
      </c>
    </row>
    <row r="285" spans="1:48" x14ac:dyDescent="0.15">
      <c r="A285" s="4"/>
      <c r="B285" s="21"/>
      <c r="C285" s="21"/>
      <c r="D285" s="21"/>
      <c r="E285" s="22"/>
      <c r="F285" s="22"/>
      <c r="G285" s="23"/>
      <c r="H285" s="23"/>
      <c r="I285" s="181"/>
      <c r="J285" s="8" t="str">
        <f t="shared" si="85"/>
        <v/>
      </c>
      <c r="K285" s="2" t="str">
        <f t="shared" si="94"/>
        <v/>
      </c>
      <c r="L285" s="2" t="str">
        <f t="shared" si="86"/>
        <v/>
      </c>
      <c r="M285" s="2" t="str">
        <f t="shared" si="95"/>
        <v/>
      </c>
      <c r="N285" s="2" t="str">
        <f t="shared" si="103"/>
        <v/>
      </c>
      <c r="O285" s="2" t="str">
        <f t="shared" si="96"/>
        <v/>
      </c>
      <c r="P285" s="8" t="str">
        <f t="shared" si="97"/>
        <v/>
      </c>
      <c r="Q285" s="8" t="str">
        <f t="shared" si="98"/>
        <v/>
      </c>
      <c r="R285" s="111" t="str">
        <f t="shared" si="99"/>
        <v/>
      </c>
      <c r="S285" s="44" t="str">
        <f t="shared" si="100"/>
        <v/>
      </c>
      <c r="T285" s="37" t="str">
        <f t="shared" si="101"/>
        <v/>
      </c>
      <c r="U285" s="44" t="str">
        <f t="shared" si="102"/>
        <v/>
      </c>
      <c r="V285" s="26"/>
      <c r="W285" s="26"/>
      <c r="X285" s="26"/>
      <c r="Y285" s="26"/>
      <c r="Z285" s="24"/>
      <c r="AA285" s="169">
        <f t="shared" si="87"/>
        <v>0</v>
      </c>
      <c r="AB285" s="4">
        <f t="shared" si="88"/>
        <v>0</v>
      </c>
      <c r="AC285" s="170">
        <f t="shared" si="84"/>
        <v>0</v>
      </c>
      <c r="AD285" s="58"/>
      <c r="AE285" s="58"/>
      <c r="AF285" s="58"/>
      <c r="AG285" s="59">
        <f t="shared" si="89"/>
        <v>9.0359999999999996</v>
      </c>
      <c r="AH285" s="59">
        <f t="shared" si="90"/>
        <v>-184.49199999999999</v>
      </c>
      <c r="AJ285" s="4">
        <f>IF(D285="M",IF(AM285&lt;78,BMILMS!$D$5*AM285^3+BMILMS!$E$5*AM285^2+BMILMS!$F$5*AM285+BMILMS!$G$5,IF(AM285&lt;150,BMILMS!$D$6*AM285^3+BMILMS!$E$6*AM285^2+BMILMS!$F$6*AM285+BMILMS!$G$6,BMILMS!$D$7*AM285^3+BMILMS!$E$7*AM285^2+BMILMS!$F$7*AM285+BMILMS!$G$7)),IF(AM285&lt;69,BMILMS!$D$9*AM285^3+BMILMS!$E$9*AM285^2+BMILMS!$F$9*AM285+BMILMS!$G$9,IF(AM285&lt;150,BMILMS!$D$10*AM285^3+BMILMS!$E$10*AM285^2+BMILMS!$F$10*AM285+BMILMS!$G$10,BMILMS!$D$11*AM285^3+BMILMS!$E$11*AM285^2+BMILMS!$F$11*AM285+BMILMS!$G$11)))</f>
        <v>0.79584630099999998</v>
      </c>
      <c r="AK285" s="4">
        <f>IF(D285="M",(IF(AM285&lt;2.5,BMILMS!$D$21*AM285^3+BMILMS!$E$21*AM285^2+BMILMS!$F$21*AM285+BMILMS!$G$21,IF(AM285&lt;9.5,BMILMS!$D$22*AM285^3+BMILMS!$E$22*AM285^2+BMILMS!$F$22*AM285+BMILMS!$G$22,IF(AM285&lt;26.75,BMILMS!$D$23*AM285^3+BMILMS!$E$23*AM285^2+BMILMS!$F$23*AM285+BMILMS!$G$23,IF(AM285&lt;90,BMILMS!$D$24*AM285^3+BMILMS!$E$24*AM285^2+BMILMS!$F$24*AM285+BMILMS!$G$24,BMILMS!$D$25*AM285^3+BMILMS!$E$25*AM285^2+BMILMS!$F$25*AM285+BMILMS!$G$25))))),(IF(AM285&lt;2.5,BMILMS!$D$27*AM285^3+BMILMS!$E$27*AM285^2+BMILMS!$F$27*AM285+BMILMS!$G$27,IF(AM285&lt;9.5,BMILMS!$D$28*AM285^3+BMILMS!$E$28*AM285^2+BMILMS!$F$28*AM285+BMILMS!$G$28,IF(AM285&lt;26.75,BMILMS!$D$29*AM285^3+BMILMS!$E$29*AM285^2+BMILMS!$F$29*AM285+BMILMS!$G$29,IF(AM285&lt;90,BMILMS!$D$30*AM285^3+BMILMS!$E$30*AM285^2+BMILMS!$F$30*AM285+BMILMS!$G$30,IF(AM285&lt;150,BMILMS!$D$31*AM285^3+BMILMS!$E$31*AM285^2+BMILMS!$F$31*AM285+BMILMS!$G$31,BMILMS!$D$32*AM285^3+BMILMS!$E$32*AM285^2+BMILMS!$F$32*AM285+BMILMS!$G$32)))))))</f>
        <v>12.568967990000001</v>
      </c>
      <c r="AL285" s="4">
        <f>IF(D285="M",(IF(AM285&lt;90,BMILMS!$D$14*AM285^3+BMILMS!$E$14*AM285^2+BMILMS!$F$14*AM285+BMILMS!$G$14,BMILMS!$D$15*AM285^3+BMILMS!$E$15*AM285^2+BMILMS!$F$15*AM285+BMILMS!$G$15)),(IF(AM285&lt;90,BMILMS!$D$17*AM285^3+BMILMS!$E$17*AM285^2+BMILMS!$F$17*AM285+BMILMS!$G$17,BMILMS!$D$18*AM285^3+BMILMS!$E$18*AM285^2+BMILMS!$F$18*AM285+BMILMS!$G$18)))</f>
        <v>8.8969350000000003E-2</v>
      </c>
      <c r="AM285" s="4">
        <f t="shared" si="104"/>
        <v>0</v>
      </c>
      <c r="AO285" s="56">
        <f>IF(D285="M",WeightSDS!P$5*$AM285^7+WeightSDS!Q$5*$AM285^6+WeightSDS!R$5*$AM285^5+WeightSDS!S$5*$AM285^4+WeightSDS!T$5*$AM285^3+WeightSDS!U$5*$AM285^2+WeightSDS!V$5*$AM285+WeightSDS!W$5,IF($AM285&lt;186,WeightSDS!P$8*$AM285^7+WeightSDS!Q$8*$AM285^6+WeightSDS!R$8*$AM285^5+WeightSDS!S$8*$AM285^4+WeightSDS!T$8*$AM285^3+WeightSDS!U$8*$AM285^2+WeightSDS!V$8*$AM285+WeightSDS!W$8,WeightSDS!$U$9+WeightSDS!$V$9*($AM285-WeightSDS!$W$9)))</f>
        <v>0.75407122999999998</v>
      </c>
      <c r="AP285" s="4">
        <f>IF(D285="M",IF($AM285&lt;45,WeightSDS!M$23*$AM285^10+WeightSDS!N$23*$AM285^9+WeightSDS!O$23*$AM285^8+WeightSDS!P$23*$AM285^7+WeightSDS!Q$23*$AM285^6+WeightSDS!R$23*$AM285^5+WeightSDS!S$23*$AM285^4+WeightSDS!T$23*$AM285^3+WeightSDS!U$23*$AM285^2+WeightSDS!V$23*$AM285+WeightSDS!W$23,IF($AM285&lt;153,WeightSDS!M$25*$AM285^10+WeightSDS!N$25*$AM285^9+WeightSDS!O$25*$AM285^8+WeightSDS!P$25*$AM285^7+WeightSDS!Q$25*$AM285^6+WeightSDS!R$25*$AM285^5+WeightSDS!S$25*$AM285^4+WeightSDS!T$25*$AM285^3+WeightSDS!U$25*$AM285^2+WeightSDS!V$25*$AM285+WeightSDS!W$25,WeightSDS!M$27+WeightSDS!N$27/(1+EXP(WeightSDS!O$27+WeightSDS!P$27*$AM285)))),IF($AM285&lt;43.8,WeightSDS!M$29*$AM285^10+WeightSDS!N$29*$AM285^9+WeightSDS!O$29*$AM285^8+WeightSDS!P$29*$AM285^7+WeightSDS!Q$29*$AM285^6+WeightSDS!R$29*$AM285^5+WeightSDS!S$29*$AM285^4+WeightSDS!T$29*$AM285^3+WeightSDS!U$29*$AM285^2+WeightSDS!V$29*$AM285+WeightSDS!W$29-0.010431*(1-$AM285/210),IF($AM285&lt;123,WeightSDS!M$30*$AM285^10+WeightSDS!N$30*$AM285^9+WeightSDS!O$30*$AM285^8+WeightSDS!P$30*$AM285^7+WeightSDS!Q$30*$AM285^6+WeightSDS!R$30*$AM285^5+WeightSDS!S$30*$AM285^4+WeightSDS!T$30*$AM285^3+WeightSDS!U$30*$AM285^2+WeightSDS!V$30*$AM285+WeightSDS!W$30-0.010431*(1-1/$AM285),WeightSDS!M$32+WeightSDS!N$32/(1+EXP(WeightSDS!O$32+WeightSDS!P$32*$AM285))-0.010431*(1-$AM285/210))))</f>
        <v>2.9500001032655536</v>
      </c>
      <c r="AQ285" s="4">
        <f>IF(D285="M",IF($AM285&lt;162,WeightSDS!P$12*$AM285^7+WeightSDS!Q$12*$AM285^6+WeightSDS!R$12*$AM285^5+WeightSDS!S$12*$AM285^4+WeightSDS!T$12*$AM285^3+WeightSDS!U$12*$AM285^2+WeightSDS!V$12*$AM285+WeightSDS!W$12,WeightSDS!P$14*$AM285^7+WeightSDS!Q$14*$AM285^6+WeightSDS!R$14*$AM285^5+WeightSDS!S$14*$AM285^4+WeightSDS!T$14*$AM285^3+WeightSDS!U$14*$AM285^2+WeightSDS!V$14*$AM285+WeightSDS!W$14),IF($AM285&lt;156,WeightSDS!O$17*$AM285^8+WeightSDS!P$17*$AM285^7+WeightSDS!Q$17*$AM285^6+WeightSDS!R$17*$AM285^5+WeightSDS!S$17*$AM285^4+WeightSDS!T$17*$AM285^3+WeightSDS!U$17*$AM285^2+WeightSDS!V$17*$AM285+WeightSDS!W$17,IF($AM285&lt;186,WeightSDS!$U$18+(WeightSDS!$V$18-WeightSDS!$U$18)/24*($AM285-186)+WeightSDS!$W$18*(-$AM285+186)^2-0.005,WeightSDS!$U$18+(WeightSDS!$V$18-WeightSDS!$U$18)/24*($AM285-186)-0.005)))</f>
        <v>0.14604529399999999</v>
      </c>
      <c r="AT285" s="4">
        <f t="shared" si="91"/>
        <v>0.56299999999999994</v>
      </c>
      <c r="AU285" s="4">
        <f t="shared" si="92"/>
        <v>69</v>
      </c>
      <c r="AV285" s="4">
        <f t="shared" si="93"/>
        <v>0.51</v>
      </c>
    </row>
    <row r="286" spans="1:48" x14ac:dyDescent="0.15">
      <c r="A286" s="4"/>
      <c r="B286" s="21"/>
      <c r="C286" s="21"/>
      <c r="D286" s="21"/>
      <c r="E286" s="22"/>
      <c r="F286" s="22"/>
      <c r="G286" s="23"/>
      <c r="H286" s="23"/>
      <c r="I286" s="181"/>
      <c r="J286" s="8" t="str">
        <f t="shared" si="85"/>
        <v/>
      </c>
      <c r="K286" s="2" t="str">
        <f t="shared" si="94"/>
        <v/>
      </c>
      <c r="L286" s="2" t="str">
        <f t="shared" si="86"/>
        <v/>
      </c>
      <c r="M286" s="2" t="str">
        <f t="shared" si="95"/>
        <v/>
      </c>
      <c r="N286" s="2" t="str">
        <f t="shared" si="103"/>
        <v/>
      </c>
      <c r="O286" s="2" t="str">
        <f t="shared" si="96"/>
        <v/>
      </c>
      <c r="P286" s="8" t="str">
        <f t="shared" si="97"/>
        <v/>
      </c>
      <c r="Q286" s="8" t="str">
        <f t="shared" si="98"/>
        <v/>
      </c>
      <c r="R286" s="111" t="str">
        <f t="shared" si="99"/>
        <v/>
      </c>
      <c r="S286" s="44" t="str">
        <f t="shared" si="100"/>
        <v/>
      </c>
      <c r="T286" s="37" t="str">
        <f t="shared" si="101"/>
        <v/>
      </c>
      <c r="U286" s="44" t="str">
        <f t="shared" si="102"/>
        <v/>
      </c>
      <c r="V286" s="26"/>
      <c r="W286" s="26"/>
      <c r="X286" s="26"/>
      <c r="Y286" s="26"/>
      <c r="Z286" s="24"/>
      <c r="AA286" s="169">
        <f t="shared" si="87"/>
        <v>0</v>
      </c>
      <c r="AB286" s="4">
        <f t="shared" si="88"/>
        <v>0</v>
      </c>
      <c r="AC286" s="170">
        <f t="shared" ref="AC286:AC349" si="105">DATEDIF(E286,F286,"Y")+(F286-(DATE(YEAR(E286)+DATEDIF(E286,F286,"Y"),MONTH(E286),DAY(E286))))/(365+IF(MOD(YEAR((DATE(YEAR(F286)-1,MONTH(E286),DAY(E286)))),4)=0,IF((DATE(YEAR(F286)-1,MONTH(E286),DAY(E286)))&gt;DATE(YEAR((DATE(YEAR(F286)-1,MONTH(E286),DAY(E286)))),2,29),0,1),0)+IF(MOD(YEAR(F286),4)=0,IF(F286&gt;DATE(YEAR(F286),2,29),1,0),0))</f>
        <v>0</v>
      </c>
      <c r="AD286" s="58"/>
      <c r="AE286" s="58"/>
      <c r="AF286" s="58"/>
      <c r="AG286" s="59">
        <f t="shared" si="89"/>
        <v>9.0359999999999996</v>
      </c>
      <c r="AH286" s="59">
        <f t="shared" si="90"/>
        <v>-184.49199999999999</v>
      </c>
      <c r="AJ286" s="4">
        <f>IF(D286="M",IF(AM286&lt;78,BMILMS!$D$5*AM286^3+BMILMS!$E$5*AM286^2+BMILMS!$F$5*AM286+BMILMS!$G$5,IF(AM286&lt;150,BMILMS!$D$6*AM286^3+BMILMS!$E$6*AM286^2+BMILMS!$F$6*AM286+BMILMS!$G$6,BMILMS!$D$7*AM286^3+BMILMS!$E$7*AM286^2+BMILMS!$F$7*AM286+BMILMS!$G$7)),IF(AM286&lt;69,BMILMS!$D$9*AM286^3+BMILMS!$E$9*AM286^2+BMILMS!$F$9*AM286+BMILMS!$G$9,IF(AM286&lt;150,BMILMS!$D$10*AM286^3+BMILMS!$E$10*AM286^2+BMILMS!$F$10*AM286+BMILMS!$G$10,BMILMS!$D$11*AM286^3+BMILMS!$E$11*AM286^2+BMILMS!$F$11*AM286+BMILMS!$G$11)))</f>
        <v>0.79584630099999998</v>
      </c>
      <c r="AK286" s="4">
        <f>IF(D286="M",(IF(AM286&lt;2.5,BMILMS!$D$21*AM286^3+BMILMS!$E$21*AM286^2+BMILMS!$F$21*AM286+BMILMS!$G$21,IF(AM286&lt;9.5,BMILMS!$D$22*AM286^3+BMILMS!$E$22*AM286^2+BMILMS!$F$22*AM286+BMILMS!$G$22,IF(AM286&lt;26.75,BMILMS!$D$23*AM286^3+BMILMS!$E$23*AM286^2+BMILMS!$F$23*AM286+BMILMS!$G$23,IF(AM286&lt;90,BMILMS!$D$24*AM286^3+BMILMS!$E$24*AM286^2+BMILMS!$F$24*AM286+BMILMS!$G$24,BMILMS!$D$25*AM286^3+BMILMS!$E$25*AM286^2+BMILMS!$F$25*AM286+BMILMS!$G$25))))),(IF(AM286&lt;2.5,BMILMS!$D$27*AM286^3+BMILMS!$E$27*AM286^2+BMILMS!$F$27*AM286+BMILMS!$G$27,IF(AM286&lt;9.5,BMILMS!$D$28*AM286^3+BMILMS!$E$28*AM286^2+BMILMS!$F$28*AM286+BMILMS!$G$28,IF(AM286&lt;26.75,BMILMS!$D$29*AM286^3+BMILMS!$E$29*AM286^2+BMILMS!$F$29*AM286+BMILMS!$G$29,IF(AM286&lt;90,BMILMS!$D$30*AM286^3+BMILMS!$E$30*AM286^2+BMILMS!$F$30*AM286+BMILMS!$G$30,IF(AM286&lt;150,BMILMS!$D$31*AM286^3+BMILMS!$E$31*AM286^2+BMILMS!$F$31*AM286+BMILMS!$G$31,BMILMS!$D$32*AM286^3+BMILMS!$E$32*AM286^2+BMILMS!$F$32*AM286+BMILMS!$G$32)))))))</f>
        <v>12.568967990000001</v>
      </c>
      <c r="AL286" s="4">
        <f>IF(D286="M",(IF(AM286&lt;90,BMILMS!$D$14*AM286^3+BMILMS!$E$14*AM286^2+BMILMS!$F$14*AM286+BMILMS!$G$14,BMILMS!$D$15*AM286^3+BMILMS!$E$15*AM286^2+BMILMS!$F$15*AM286+BMILMS!$G$15)),(IF(AM286&lt;90,BMILMS!$D$17*AM286^3+BMILMS!$E$17*AM286^2+BMILMS!$F$17*AM286+BMILMS!$G$17,BMILMS!$D$18*AM286^3+BMILMS!$E$18*AM286^2+BMILMS!$F$18*AM286+BMILMS!$G$18)))</f>
        <v>8.8969350000000003E-2</v>
      </c>
      <c r="AM286" s="4">
        <f t="shared" si="104"/>
        <v>0</v>
      </c>
      <c r="AO286" s="56">
        <f>IF(D286="M",WeightSDS!P$5*$AM286^7+WeightSDS!Q$5*$AM286^6+WeightSDS!R$5*$AM286^5+WeightSDS!S$5*$AM286^4+WeightSDS!T$5*$AM286^3+WeightSDS!U$5*$AM286^2+WeightSDS!V$5*$AM286+WeightSDS!W$5,IF($AM286&lt;186,WeightSDS!P$8*$AM286^7+WeightSDS!Q$8*$AM286^6+WeightSDS!R$8*$AM286^5+WeightSDS!S$8*$AM286^4+WeightSDS!T$8*$AM286^3+WeightSDS!U$8*$AM286^2+WeightSDS!V$8*$AM286+WeightSDS!W$8,WeightSDS!$U$9+WeightSDS!$V$9*($AM286-WeightSDS!$W$9)))</f>
        <v>0.75407122999999998</v>
      </c>
      <c r="AP286" s="4">
        <f>IF(D286="M",IF($AM286&lt;45,WeightSDS!M$23*$AM286^10+WeightSDS!N$23*$AM286^9+WeightSDS!O$23*$AM286^8+WeightSDS!P$23*$AM286^7+WeightSDS!Q$23*$AM286^6+WeightSDS!R$23*$AM286^5+WeightSDS!S$23*$AM286^4+WeightSDS!T$23*$AM286^3+WeightSDS!U$23*$AM286^2+WeightSDS!V$23*$AM286+WeightSDS!W$23,IF($AM286&lt;153,WeightSDS!M$25*$AM286^10+WeightSDS!N$25*$AM286^9+WeightSDS!O$25*$AM286^8+WeightSDS!P$25*$AM286^7+WeightSDS!Q$25*$AM286^6+WeightSDS!R$25*$AM286^5+WeightSDS!S$25*$AM286^4+WeightSDS!T$25*$AM286^3+WeightSDS!U$25*$AM286^2+WeightSDS!V$25*$AM286+WeightSDS!W$25,WeightSDS!M$27+WeightSDS!N$27/(1+EXP(WeightSDS!O$27+WeightSDS!P$27*$AM286)))),IF($AM286&lt;43.8,WeightSDS!M$29*$AM286^10+WeightSDS!N$29*$AM286^9+WeightSDS!O$29*$AM286^8+WeightSDS!P$29*$AM286^7+WeightSDS!Q$29*$AM286^6+WeightSDS!R$29*$AM286^5+WeightSDS!S$29*$AM286^4+WeightSDS!T$29*$AM286^3+WeightSDS!U$29*$AM286^2+WeightSDS!V$29*$AM286+WeightSDS!W$29-0.010431*(1-$AM286/210),IF($AM286&lt;123,WeightSDS!M$30*$AM286^10+WeightSDS!N$30*$AM286^9+WeightSDS!O$30*$AM286^8+WeightSDS!P$30*$AM286^7+WeightSDS!Q$30*$AM286^6+WeightSDS!R$30*$AM286^5+WeightSDS!S$30*$AM286^4+WeightSDS!T$30*$AM286^3+WeightSDS!U$30*$AM286^2+WeightSDS!V$30*$AM286+WeightSDS!W$30-0.010431*(1-1/$AM286),WeightSDS!M$32+WeightSDS!N$32/(1+EXP(WeightSDS!O$32+WeightSDS!P$32*$AM286))-0.010431*(1-$AM286/210))))</f>
        <v>2.9500001032655536</v>
      </c>
      <c r="AQ286" s="4">
        <f>IF(D286="M",IF($AM286&lt;162,WeightSDS!P$12*$AM286^7+WeightSDS!Q$12*$AM286^6+WeightSDS!R$12*$AM286^5+WeightSDS!S$12*$AM286^4+WeightSDS!T$12*$AM286^3+WeightSDS!U$12*$AM286^2+WeightSDS!V$12*$AM286+WeightSDS!W$12,WeightSDS!P$14*$AM286^7+WeightSDS!Q$14*$AM286^6+WeightSDS!R$14*$AM286^5+WeightSDS!S$14*$AM286^4+WeightSDS!T$14*$AM286^3+WeightSDS!U$14*$AM286^2+WeightSDS!V$14*$AM286+WeightSDS!W$14),IF($AM286&lt;156,WeightSDS!O$17*$AM286^8+WeightSDS!P$17*$AM286^7+WeightSDS!Q$17*$AM286^6+WeightSDS!R$17*$AM286^5+WeightSDS!S$17*$AM286^4+WeightSDS!T$17*$AM286^3+WeightSDS!U$17*$AM286^2+WeightSDS!V$17*$AM286+WeightSDS!W$17,IF($AM286&lt;186,WeightSDS!$U$18+(WeightSDS!$V$18-WeightSDS!$U$18)/24*($AM286-186)+WeightSDS!$W$18*(-$AM286+186)^2-0.005,WeightSDS!$U$18+(WeightSDS!$V$18-WeightSDS!$U$18)/24*($AM286-186)-0.005)))</f>
        <v>0.14604529399999999</v>
      </c>
      <c r="AT286" s="4">
        <f t="shared" si="91"/>
        <v>0.56299999999999994</v>
      </c>
      <c r="AU286" s="4">
        <f t="shared" si="92"/>
        <v>69</v>
      </c>
      <c r="AV286" s="4">
        <f t="shared" si="93"/>
        <v>0.51</v>
      </c>
    </row>
    <row r="287" spans="1:48" x14ac:dyDescent="0.15">
      <c r="A287" s="4"/>
      <c r="B287" s="21"/>
      <c r="C287" s="21"/>
      <c r="D287" s="21"/>
      <c r="E287" s="22"/>
      <c r="F287" s="22"/>
      <c r="G287" s="23"/>
      <c r="H287" s="23"/>
      <c r="I287" s="181"/>
      <c r="J287" s="8" t="str">
        <f t="shared" si="85"/>
        <v/>
      </c>
      <c r="K287" s="2" t="str">
        <f t="shared" si="94"/>
        <v/>
      </c>
      <c r="L287" s="2" t="str">
        <f t="shared" si="86"/>
        <v/>
      </c>
      <c r="M287" s="2" t="str">
        <f t="shared" si="95"/>
        <v/>
      </c>
      <c r="N287" s="2" t="str">
        <f t="shared" si="103"/>
        <v/>
      </c>
      <c r="O287" s="2" t="str">
        <f t="shared" si="96"/>
        <v/>
      </c>
      <c r="P287" s="8" t="str">
        <f t="shared" si="97"/>
        <v/>
      </c>
      <c r="Q287" s="8" t="str">
        <f t="shared" si="98"/>
        <v/>
      </c>
      <c r="R287" s="111" t="str">
        <f t="shared" si="99"/>
        <v/>
      </c>
      <c r="S287" s="44" t="str">
        <f t="shared" si="100"/>
        <v/>
      </c>
      <c r="T287" s="37" t="str">
        <f t="shared" si="101"/>
        <v/>
      </c>
      <c r="U287" s="44" t="str">
        <f t="shared" si="102"/>
        <v/>
      </c>
      <c r="V287" s="26"/>
      <c r="W287" s="26"/>
      <c r="X287" s="26"/>
      <c r="Y287" s="26"/>
      <c r="Z287" s="24"/>
      <c r="AA287" s="169">
        <f t="shared" si="87"/>
        <v>0</v>
      </c>
      <c r="AB287" s="4">
        <f t="shared" si="88"/>
        <v>0</v>
      </c>
      <c r="AC287" s="170">
        <f t="shared" si="105"/>
        <v>0</v>
      </c>
      <c r="AD287" s="58"/>
      <c r="AE287" s="58"/>
      <c r="AF287" s="58"/>
      <c r="AG287" s="59">
        <f t="shared" si="89"/>
        <v>9.0359999999999996</v>
      </c>
      <c r="AH287" s="59">
        <f t="shared" si="90"/>
        <v>-184.49199999999999</v>
      </c>
      <c r="AJ287" s="4">
        <f>IF(D287="M",IF(AM287&lt;78,BMILMS!$D$5*AM287^3+BMILMS!$E$5*AM287^2+BMILMS!$F$5*AM287+BMILMS!$G$5,IF(AM287&lt;150,BMILMS!$D$6*AM287^3+BMILMS!$E$6*AM287^2+BMILMS!$F$6*AM287+BMILMS!$G$6,BMILMS!$D$7*AM287^3+BMILMS!$E$7*AM287^2+BMILMS!$F$7*AM287+BMILMS!$G$7)),IF(AM287&lt;69,BMILMS!$D$9*AM287^3+BMILMS!$E$9*AM287^2+BMILMS!$F$9*AM287+BMILMS!$G$9,IF(AM287&lt;150,BMILMS!$D$10*AM287^3+BMILMS!$E$10*AM287^2+BMILMS!$F$10*AM287+BMILMS!$G$10,BMILMS!$D$11*AM287^3+BMILMS!$E$11*AM287^2+BMILMS!$F$11*AM287+BMILMS!$G$11)))</f>
        <v>0.79584630099999998</v>
      </c>
      <c r="AK287" s="4">
        <f>IF(D287="M",(IF(AM287&lt;2.5,BMILMS!$D$21*AM287^3+BMILMS!$E$21*AM287^2+BMILMS!$F$21*AM287+BMILMS!$G$21,IF(AM287&lt;9.5,BMILMS!$D$22*AM287^3+BMILMS!$E$22*AM287^2+BMILMS!$F$22*AM287+BMILMS!$G$22,IF(AM287&lt;26.75,BMILMS!$D$23*AM287^3+BMILMS!$E$23*AM287^2+BMILMS!$F$23*AM287+BMILMS!$G$23,IF(AM287&lt;90,BMILMS!$D$24*AM287^3+BMILMS!$E$24*AM287^2+BMILMS!$F$24*AM287+BMILMS!$G$24,BMILMS!$D$25*AM287^3+BMILMS!$E$25*AM287^2+BMILMS!$F$25*AM287+BMILMS!$G$25))))),(IF(AM287&lt;2.5,BMILMS!$D$27*AM287^3+BMILMS!$E$27*AM287^2+BMILMS!$F$27*AM287+BMILMS!$G$27,IF(AM287&lt;9.5,BMILMS!$D$28*AM287^3+BMILMS!$E$28*AM287^2+BMILMS!$F$28*AM287+BMILMS!$G$28,IF(AM287&lt;26.75,BMILMS!$D$29*AM287^3+BMILMS!$E$29*AM287^2+BMILMS!$F$29*AM287+BMILMS!$G$29,IF(AM287&lt;90,BMILMS!$D$30*AM287^3+BMILMS!$E$30*AM287^2+BMILMS!$F$30*AM287+BMILMS!$G$30,IF(AM287&lt;150,BMILMS!$D$31*AM287^3+BMILMS!$E$31*AM287^2+BMILMS!$F$31*AM287+BMILMS!$G$31,BMILMS!$D$32*AM287^3+BMILMS!$E$32*AM287^2+BMILMS!$F$32*AM287+BMILMS!$G$32)))))))</f>
        <v>12.568967990000001</v>
      </c>
      <c r="AL287" s="4">
        <f>IF(D287="M",(IF(AM287&lt;90,BMILMS!$D$14*AM287^3+BMILMS!$E$14*AM287^2+BMILMS!$F$14*AM287+BMILMS!$G$14,BMILMS!$D$15*AM287^3+BMILMS!$E$15*AM287^2+BMILMS!$F$15*AM287+BMILMS!$G$15)),(IF(AM287&lt;90,BMILMS!$D$17*AM287^3+BMILMS!$E$17*AM287^2+BMILMS!$F$17*AM287+BMILMS!$G$17,BMILMS!$D$18*AM287^3+BMILMS!$E$18*AM287^2+BMILMS!$F$18*AM287+BMILMS!$G$18)))</f>
        <v>8.8969350000000003E-2</v>
      </c>
      <c r="AM287" s="4">
        <f t="shared" si="104"/>
        <v>0</v>
      </c>
      <c r="AO287" s="56">
        <f>IF(D287="M",WeightSDS!P$5*$AM287^7+WeightSDS!Q$5*$AM287^6+WeightSDS!R$5*$AM287^5+WeightSDS!S$5*$AM287^4+WeightSDS!T$5*$AM287^3+WeightSDS!U$5*$AM287^2+WeightSDS!V$5*$AM287+WeightSDS!W$5,IF($AM287&lt;186,WeightSDS!P$8*$AM287^7+WeightSDS!Q$8*$AM287^6+WeightSDS!R$8*$AM287^5+WeightSDS!S$8*$AM287^4+WeightSDS!T$8*$AM287^3+WeightSDS!U$8*$AM287^2+WeightSDS!V$8*$AM287+WeightSDS!W$8,WeightSDS!$U$9+WeightSDS!$V$9*($AM287-WeightSDS!$W$9)))</f>
        <v>0.75407122999999998</v>
      </c>
      <c r="AP287" s="4">
        <f>IF(D287="M",IF($AM287&lt;45,WeightSDS!M$23*$AM287^10+WeightSDS!N$23*$AM287^9+WeightSDS!O$23*$AM287^8+WeightSDS!P$23*$AM287^7+WeightSDS!Q$23*$AM287^6+WeightSDS!R$23*$AM287^5+WeightSDS!S$23*$AM287^4+WeightSDS!T$23*$AM287^3+WeightSDS!U$23*$AM287^2+WeightSDS!V$23*$AM287+WeightSDS!W$23,IF($AM287&lt;153,WeightSDS!M$25*$AM287^10+WeightSDS!N$25*$AM287^9+WeightSDS!O$25*$AM287^8+WeightSDS!P$25*$AM287^7+WeightSDS!Q$25*$AM287^6+WeightSDS!R$25*$AM287^5+WeightSDS!S$25*$AM287^4+WeightSDS!T$25*$AM287^3+WeightSDS!U$25*$AM287^2+WeightSDS!V$25*$AM287+WeightSDS!W$25,WeightSDS!M$27+WeightSDS!N$27/(1+EXP(WeightSDS!O$27+WeightSDS!P$27*$AM287)))),IF($AM287&lt;43.8,WeightSDS!M$29*$AM287^10+WeightSDS!N$29*$AM287^9+WeightSDS!O$29*$AM287^8+WeightSDS!P$29*$AM287^7+WeightSDS!Q$29*$AM287^6+WeightSDS!R$29*$AM287^5+WeightSDS!S$29*$AM287^4+WeightSDS!T$29*$AM287^3+WeightSDS!U$29*$AM287^2+WeightSDS!V$29*$AM287+WeightSDS!W$29-0.010431*(1-$AM287/210),IF($AM287&lt;123,WeightSDS!M$30*$AM287^10+WeightSDS!N$30*$AM287^9+WeightSDS!O$30*$AM287^8+WeightSDS!P$30*$AM287^7+WeightSDS!Q$30*$AM287^6+WeightSDS!R$30*$AM287^5+WeightSDS!S$30*$AM287^4+WeightSDS!T$30*$AM287^3+WeightSDS!U$30*$AM287^2+WeightSDS!V$30*$AM287+WeightSDS!W$30-0.010431*(1-1/$AM287),WeightSDS!M$32+WeightSDS!N$32/(1+EXP(WeightSDS!O$32+WeightSDS!P$32*$AM287))-0.010431*(1-$AM287/210))))</f>
        <v>2.9500001032655536</v>
      </c>
      <c r="AQ287" s="4">
        <f>IF(D287="M",IF($AM287&lt;162,WeightSDS!P$12*$AM287^7+WeightSDS!Q$12*$AM287^6+WeightSDS!R$12*$AM287^5+WeightSDS!S$12*$AM287^4+WeightSDS!T$12*$AM287^3+WeightSDS!U$12*$AM287^2+WeightSDS!V$12*$AM287+WeightSDS!W$12,WeightSDS!P$14*$AM287^7+WeightSDS!Q$14*$AM287^6+WeightSDS!R$14*$AM287^5+WeightSDS!S$14*$AM287^4+WeightSDS!T$14*$AM287^3+WeightSDS!U$14*$AM287^2+WeightSDS!V$14*$AM287+WeightSDS!W$14),IF($AM287&lt;156,WeightSDS!O$17*$AM287^8+WeightSDS!P$17*$AM287^7+WeightSDS!Q$17*$AM287^6+WeightSDS!R$17*$AM287^5+WeightSDS!S$17*$AM287^4+WeightSDS!T$17*$AM287^3+WeightSDS!U$17*$AM287^2+WeightSDS!V$17*$AM287+WeightSDS!W$17,IF($AM287&lt;186,WeightSDS!$U$18+(WeightSDS!$V$18-WeightSDS!$U$18)/24*($AM287-186)+WeightSDS!$W$18*(-$AM287+186)^2-0.005,WeightSDS!$U$18+(WeightSDS!$V$18-WeightSDS!$U$18)/24*($AM287-186)-0.005)))</f>
        <v>0.14604529399999999</v>
      </c>
      <c r="AT287" s="4">
        <f t="shared" si="91"/>
        <v>0.56299999999999994</v>
      </c>
      <c r="AU287" s="4">
        <f t="shared" si="92"/>
        <v>69</v>
      </c>
      <c r="AV287" s="4">
        <f t="shared" si="93"/>
        <v>0.51</v>
      </c>
    </row>
    <row r="288" spans="1:48" x14ac:dyDescent="0.15">
      <c r="A288" s="4"/>
      <c r="B288" s="21"/>
      <c r="C288" s="21"/>
      <c r="D288" s="21"/>
      <c r="E288" s="22"/>
      <c r="F288" s="22"/>
      <c r="G288" s="23"/>
      <c r="H288" s="23"/>
      <c r="I288" s="181"/>
      <c r="J288" s="8" t="str">
        <f t="shared" si="85"/>
        <v/>
      </c>
      <c r="K288" s="2" t="str">
        <f t="shared" si="94"/>
        <v/>
      </c>
      <c r="L288" s="2" t="str">
        <f t="shared" si="86"/>
        <v/>
      </c>
      <c r="M288" s="2" t="str">
        <f t="shared" si="95"/>
        <v/>
      </c>
      <c r="N288" s="2" t="str">
        <f t="shared" si="103"/>
        <v/>
      </c>
      <c r="O288" s="2" t="str">
        <f t="shared" si="96"/>
        <v/>
      </c>
      <c r="P288" s="8" t="str">
        <f t="shared" si="97"/>
        <v/>
      </c>
      <c r="Q288" s="8" t="str">
        <f t="shared" si="98"/>
        <v/>
      </c>
      <c r="R288" s="111" t="str">
        <f t="shared" si="99"/>
        <v/>
      </c>
      <c r="S288" s="44" t="str">
        <f t="shared" si="100"/>
        <v/>
      </c>
      <c r="T288" s="37" t="str">
        <f t="shared" si="101"/>
        <v/>
      </c>
      <c r="U288" s="44" t="str">
        <f t="shared" si="102"/>
        <v/>
      </c>
      <c r="V288" s="26"/>
      <c r="W288" s="26"/>
      <c r="X288" s="26"/>
      <c r="Y288" s="26"/>
      <c r="Z288" s="24"/>
      <c r="AA288" s="169">
        <f t="shared" si="87"/>
        <v>0</v>
      </c>
      <c r="AB288" s="4">
        <f t="shared" si="88"/>
        <v>0</v>
      </c>
      <c r="AC288" s="170">
        <f t="shared" si="105"/>
        <v>0</v>
      </c>
      <c r="AD288" s="58"/>
      <c r="AE288" s="58"/>
      <c r="AF288" s="58"/>
      <c r="AG288" s="59">
        <f t="shared" si="89"/>
        <v>9.0359999999999996</v>
      </c>
      <c r="AH288" s="59">
        <f t="shared" si="90"/>
        <v>-184.49199999999999</v>
      </c>
      <c r="AJ288" s="4">
        <f>IF(D288="M",IF(AM288&lt;78,BMILMS!$D$5*AM288^3+BMILMS!$E$5*AM288^2+BMILMS!$F$5*AM288+BMILMS!$G$5,IF(AM288&lt;150,BMILMS!$D$6*AM288^3+BMILMS!$E$6*AM288^2+BMILMS!$F$6*AM288+BMILMS!$G$6,BMILMS!$D$7*AM288^3+BMILMS!$E$7*AM288^2+BMILMS!$F$7*AM288+BMILMS!$G$7)),IF(AM288&lt;69,BMILMS!$D$9*AM288^3+BMILMS!$E$9*AM288^2+BMILMS!$F$9*AM288+BMILMS!$G$9,IF(AM288&lt;150,BMILMS!$D$10*AM288^3+BMILMS!$E$10*AM288^2+BMILMS!$F$10*AM288+BMILMS!$G$10,BMILMS!$D$11*AM288^3+BMILMS!$E$11*AM288^2+BMILMS!$F$11*AM288+BMILMS!$G$11)))</f>
        <v>0.79584630099999998</v>
      </c>
      <c r="AK288" s="4">
        <f>IF(D288="M",(IF(AM288&lt;2.5,BMILMS!$D$21*AM288^3+BMILMS!$E$21*AM288^2+BMILMS!$F$21*AM288+BMILMS!$G$21,IF(AM288&lt;9.5,BMILMS!$D$22*AM288^3+BMILMS!$E$22*AM288^2+BMILMS!$F$22*AM288+BMILMS!$G$22,IF(AM288&lt;26.75,BMILMS!$D$23*AM288^3+BMILMS!$E$23*AM288^2+BMILMS!$F$23*AM288+BMILMS!$G$23,IF(AM288&lt;90,BMILMS!$D$24*AM288^3+BMILMS!$E$24*AM288^2+BMILMS!$F$24*AM288+BMILMS!$G$24,BMILMS!$D$25*AM288^3+BMILMS!$E$25*AM288^2+BMILMS!$F$25*AM288+BMILMS!$G$25))))),(IF(AM288&lt;2.5,BMILMS!$D$27*AM288^3+BMILMS!$E$27*AM288^2+BMILMS!$F$27*AM288+BMILMS!$G$27,IF(AM288&lt;9.5,BMILMS!$D$28*AM288^3+BMILMS!$E$28*AM288^2+BMILMS!$F$28*AM288+BMILMS!$G$28,IF(AM288&lt;26.75,BMILMS!$D$29*AM288^3+BMILMS!$E$29*AM288^2+BMILMS!$F$29*AM288+BMILMS!$G$29,IF(AM288&lt;90,BMILMS!$D$30*AM288^3+BMILMS!$E$30*AM288^2+BMILMS!$F$30*AM288+BMILMS!$G$30,IF(AM288&lt;150,BMILMS!$D$31*AM288^3+BMILMS!$E$31*AM288^2+BMILMS!$F$31*AM288+BMILMS!$G$31,BMILMS!$D$32*AM288^3+BMILMS!$E$32*AM288^2+BMILMS!$F$32*AM288+BMILMS!$G$32)))))))</f>
        <v>12.568967990000001</v>
      </c>
      <c r="AL288" s="4">
        <f>IF(D288="M",(IF(AM288&lt;90,BMILMS!$D$14*AM288^3+BMILMS!$E$14*AM288^2+BMILMS!$F$14*AM288+BMILMS!$G$14,BMILMS!$D$15*AM288^3+BMILMS!$E$15*AM288^2+BMILMS!$F$15*AM288+BMILMS!$G$15)),(IF(AM288&lt;90,BMILMS!$D$17*AM288^3+BMILMS!$E$17*AM288^2+BMILMS!$F$17*AM288+BMILMS!$G$17,BMILMS!$D$18*AM288^3+BMILMS!$E$18*AM288^2+BMILMS!$F$18*AM288+BMILMS!$G$18)))</f>
        <v>8.8969350000000003E-2</v>
      </c>
      <c r="AM288" s="4">
        <f t="shared" si="104"/>
        <v>0</v>
      </c>
      <c r="AO288" s="56">
        <f>IF(D288="M",WeightSDS!P$5*$AM288^7+WeightSDS!Q$5*$AM288^6+WeightSDS!R$5*$AM288^5+WeightSDS!S$5*$AM288^4+WeightSDS!T$5*$AM288^3+WeightSDS!U$5*$AM288^2+WeightSDS!V$5*$AM288+WeightSDS!W$5,IF($AM288&lt;186,WeightSDS!P$8*$AM288^7+WeightSDS!Q$8*$AM288^6+WeightSDS!R$8*$AM288^5+WeightSDS!S$8*$AM288^4+WeightSDS!T$8*$AM288^3+WeightSDS!U$8*$AM288^2+WeightSDS!V$8*$AM288+WeightSDS!W$8,WeightSDS!$U$9+WeightSDS!$V$9*($AM288-WeightSDS!$W$9)))</f>
        <v>0.75407122999999998</v>
      </c>
      <c r="AP288" s="4">
        <f>IF(D288="M",IF($AM288&lt;45,WeightSDS!M$23*$AM288^10+WeightSDS!N$23*$AM288^9+WeightSDS!O$23*$AM288^8+WeightSDS!P$23*$AM288^7+WeightSDS!Q$23*$AM288^6+WeightSDS!R$23*$AM288^5+WeightSDS!S$23*$AM288^4+WeightSDS!T$23*$AM288^3+WeightSDS!U$23*$AM288^2+WeightSDS!V$23*$AM288+WeightSDS!W$23,IF($AM288&lt;153,WeightSDS!M$25*$AM288^10+WeightSDS!N$25*$AM288^9+WeightSDS!O$25*$AM288^8+WeightSDS!P$25*$AM288^7+WeightSDS!Q$25*$AM288^6+WeightSDS!R$25*$AM288^5+WeightSDS!S$25*$AM288^4+WeightSDS!T$25*$AM288^3+WeightSDS!U$25*$AM288^2+WeightSDS!V$25*$AM288+WeightSDS!W$25,WeightSDS!M$27+WeightSDS!N$27/(1+EXP(WeightSDS!O$27+WeightSDS!P$27*$AM288)))),IF($AM288&lt;43.8,WeightSDS!M$29*$AM288^10+WeightSDS!N$29*$AM288^9+WeightSDS!O$29*$AM288^8+WeightSDS!P$29*$AM288^7+WeightSDS!Q$29*$AM288^6+WeightSDS!R$29*$AM288^5+WeightSDS!S$29*$AM288^4+WeightSDS!T$29*$AM288^3+WeightSDS!U$29*$AM288^2+WeightSDS!V$29*$AM288+WeightSDS!W$29-0.010431*(1-$AM288/210),IF($AM288&lt;123,WeightSDS!M$30*$AM288^10+WeightSDS!N$30*$AM288^9+WeightSDS!O$30*$AM288^8+WeightSDS!P$30*$AM288^7+WeightSDS!Q$30*$AM288^6+WeightSDS!R$30*$AM288^5+WeightSDS!S$30*$AM288^4+WeightSDS!T$30*$AM288^3+WeightSDS!U$30*$AM288^2+WeightSDS!V$30*$AM288+WeightSDS!W$30-0.010431*(1-1/$AM288),WeightSDS!M$32+WeightSDS!N$32/(1+EXP(WeightSDS!O$32+WeightSDS!P$32*$AM288))-0.010431*(1-$AM288/210))))</f>
        <v>2.9500001032655536</v>
      </c>
      <c r="AQ288" s="4">
        <f>IF(D288="M",IF($AM288&lt;162,WeightSDS!P$12*$AM288^7+WeightSDS!Q$12*$AM288^6+WeightSDS!R$12*$AM288^5+WeightSDS!S$12*$AM288^4+WeightSDS!T$12*$AM288^3+WeightSDS!U$12*$AM288^2+WeightSDS!V$12*$AM288+WeightSDS!W$12,WeightSDS!P$14*$AM288^7+WeightSDS!Q$14*$AM288^6+WeightSDS!R$14*$AM288^5+WeightSDS!S$14*$AM288^4+WeightSDS!T$14*$AM288^3+WeightSDS!U$14*$AM288^2+WeightSDS!V$14*$AM288+WeightSDS!W$14),IF($AM288&lt;156,WeightSDS!O$17*$AM288^8+WeightSDS!P$17*$AM288^7+WeightSDS!Q$17*$AM288^6+WeightSDS!R$17*$AM288^5+WeightSDS!S$17*$AM288^4+WeightSDS!T$17*$AM288^3+WeightSDS!U$17*$AM288^2+WeightSDS!V$17*$AM288+WeightSDS!W$17,IF($AM288&lt;186,WeightSDS!$U$18+(WeightSDS!$V$18-WeightSDS!$U$18)/24*($AM288-186)+WeightSDS!$W$18*(-$AM288+186)^2-0.005,WeightSDS!$U$18+(WeightSDS!$V$18-WeightSDS!$U$18)/24*($AM288-186)-0.005)))</f>
        <v>0.14604529399999999</v>
      </c>
      <c r="AT288" s="4">
        <f t="shared" si="91"/>
        <v>0.56299999999999994</v>
      </c>
      <c r="AU288" s="4">
        <f t="shared" si="92"/>
        <v>69</v>
      </c>
      <c r="AV288" s="4">
        <f t="shared" si="93"/>
        <v>0.51</v>
      </c>
    </row>
    <row r="289" spans="1:48" x14ac:dyDescent="0.15">
      <c r="A289" s="4"/>
      <c r="B289" s="21"/>
      <c r="C289" s="21"/>
      <c r="D289" s="21"/>
      <c r="E289" s="22"/>
      <c r="F289" s="22"/>
      <c r="G289" s="23"/>
      <c r="H289" s="23"/>
      <c r="I289" s="181"/>
      <c r="J289" s="8" t="str">
        <f t="shared" si="85"/>
        <v/>
      </c>
      <c r="K289" s="2" t="str">
        <f t="shared" si="94"/>
        <v/>
      </c>
      <c r="L289" s="2" t="str">
        <f t="shared" si="86"/>
        <v/>
      </c>
      <c r="M289" s="2" t="str">
        <f t="shared" si="95"/>
        <v/>
      </c>
      <c r="N289" s="2" t="str">
        <f t="shared" si="103"/>
        <v/>
      </c>
      <c r="O289" s="2" t="str">
        <f t="shared" si="96"/>
        <v/>
      </c>
      <c r="P289" s="8" t="str">
        <f t="shared" si="97"/>
        <v/>
      </c>
      <c r="Q289" s="8" t="str">
        <f t="shared" si="98"/>
        <v/>
      </c>
      <c r="R289" s="111" t="str">
        <f t="shared" si="99"/>
        <v/>
      </c>
      <c r="S289" s="44" t="str">
        <f t="shared" si="100"/>
        <v/>
      </c>
      <c r="T289" s="37" t="str">
        <f t="shared" si="101"/>
        <v/>
      </c>
      <c r="U289" s="44" t="str">
        <f t="shared" si="102"/>
        <v/>
      </c>
      <c r="V289" s="26"/>
      <c r="W289" s="26"/>
      <c r="X289" s="26"/>
      <c r="Y289" s="26"/>
      <c r="Z289" s="24"/>
      <c r="AA289" s="169">
        <f t="shared" si="87"/>
        <v>0</v>
      </c>
      <c r="AB289" s="4">
        <f t="shared" si="88"/>
        <v>0</v>
      </c>
      <c r="AC289" s="170">
        <f t="shared" si="105"/>
        <v>0</v>
      </c>
      <c r="AD289" s="58"/>
      <c r="AE289" s="58"/>
      <c r="AF289" s="58"/>
      <c r="AG289" s="59">
        <f t="shared" si="89"/>
        <v>9.0359999999999996</v>
      </c>
      <c r="AH289" s="59">
        <f t="shared" si="90"/>
        <v>-184.49199999999999</v>
      </c>
      <c r="AJ289" s="4">
        <f>IF(D289="M",IF(AM289&lt;78,BMILMS!$D$5*AM289^3+BMILMS!$E$5*AM289^2+BMILMS!$F$5*AM289+BMILMS!$G$5,IF(AM289&lt;150,BMILMS!$D$6*AM289^3+BMILMS!$E$6*AM289^2+BMILMS!$F$6*AM289+BMILMS!$G$6,BMILMS!$D$7*AM289^3+BMILMS!$E$7*AM289^2+BMILMS!$F$7*AM289+BMILMS!$G$7)),IF(AM289&lt;69,BMILMS!$D$9*AM289^3+BMILMS!$E$9*AM289^2+BMILMS!$F$9*AM289+BMILMS!$G$9,IF(AM289&lt;150,BMILMS!$D$10*AM289^3+BMILMS!$E$10*AM289^2+BMILMS!$F$10*AM289+BMILMS!$G$10,BMILMS!$D$11*AM289^3+BMILMS!$E$11*AM289^2+BMILMS!$F$11*AM289+BMILMS!$G$11)))</f>
        <v>0.79584630099999998</v>
      </c>
      <c r="AK289" s="4">
        <f>IF(D289="M",(IF(AM289&lt;2.5,BMILMS!$D$21*AM289^3+BMILMS!$E$21*AM289^2+BMILMS!$F$21*AM289+BMILMS!$G$21,IF(AM289&lt;9.5,BMILMS!$D$22*AM289^3+BMILMS!$E$22*AM289^2+BMILMS!$F$22*AM289+BMILMS!$G$22,IF(AM289&lt;26.75,BMILMS!$D$23*AM289^3+BMILMS!$E$23*AM289^2+BMILMS!$F$23*AM289+BMILMS!$G$23,IF(AM289&lt;90,BMILMS!$D$24*AM289^3+BMILMS!$E$24*AM289^2+BMILMS!$F$24*AM289+BMILMS!$G$24,BMILMS!$D$25*AM289^3+BMILMS!$E$25*AM289^2+BMILMS!$F$25*AM289+BMILMS!$G$25))))),(IF(AM289&lt;2.5,BMILMS!$D$27*AM289^3+BMILMS!$E$27*AM289^2+BMILMS!$F$27*AM289+BMILMS!$G$27,IF(AM289&lt;9.5,BMILMS!$D$28*AM289^3+BMILMS!$E$28*AM289^2+BMILMS!$F$28*AM289+BMILMS!$G$28,IF(AM289&lt;26.75,BMILMS!$D$29*AM289^3+BMILMS!$E$29*AM289^2+BMILMS!$F$29*AM289+BMILMS!$G$29,IF(AM289&lt;90,BMILMS!$D$30*AM289^3+BMILMS!$E$30*AM289^2+BMILMS!$F$30*AM289+BMILMS!$G$30,IF(AM289&lt;150,BMILMS!$D$31*AM289^3+BMILMS!$E$31*AM289^2+BMILMS!$F$31*AM289+BMILMS!$G$31,BMILMS!$D$32*AM289^3+BMILMS!$E$32*AM289^2+BMILMS!$F$32*AM289+BMILMS!$G$32)))))))</f>
        <v>12.568967990000001</v>
      </c>
      <c r="AL289" s="4">
        <f>IF(D289="M",(IF(AM289&lt;90,BMILMS!$D$14*AM289^3+BMILMS!$E$14*AM289^2+BMILMS!$F$14*AM289+BMILMS!$G$14,BMILMS!$D$15*AM289^3+BMILMS!$E$15*AM289^2+BMILMS!$F$15*AM289+BMILMS!$G$15)),(IF(AM289&lt;90,BMILMS!$D$17*AM289^3+BMILMS!$E$17*AM289^2+BMILMS!$F$17*AM289+BMILMS!$G$17,BMILMS!$D$18*AM289^3+BMILMS!$E$18*AM289^2+BMILMS!$F$18*AM289+BMILMS!$G$18)))</f>
        <v>8.8969350000000003E-2</v>
      </c>
      <c r="AM289" s="4">
        <f t="shared" si="104"/>
        <v>0</v>
      </c>
      <c r="AO289" s="56">
        <f>IF(D289="M",WeightSDS!P$5*$AM289^7+WeightSDS!Q$5*$AM289^6+WeightSDS!R$5*$AM289^5+WeightSDS!S$5*$AM289^4+WeightSDS!T$5*$AM289^3+WeightSDS!U$5*$AM289^2+WeightSDS!V$5*$AM289+WeightSDS!W$5,IF($AM289&lt;186,WeightSDS!P$8*$AM289^7+WeightSDS!Q$8*$AM289^6+WeightSDS!R$8*$AM289^5+WeightSDS!S$8*$AM289^4+WeightSDS!T$8*$AM289^3+WeightSDS!U$8*$AM289^2+WeightSDS!V$8*$AM289+WeightSDS!W$8,WeightSDS!$U$9+WeightSDS!$V$9*($AM289-WeightSDS!$W$9)))</f>
        <v>0.75407122999999998</v>
      </c>
      <c r="AP289" s="4">
        <f>IF(D289="M",IF($AM289&lt;45,WeightSDS!M$23*$AM289^10+WeightSDS!N$23*$AM289^9+WeightSDS!O$23*$AM289^8+WeightSDS!P$23*$AM289^7+WeightSDS!Q$23*$AM289^6+WeightSDS!R$23*$AM289^5+WeightSDS!S$23*$AM289^4+WeightSDS!T$23*$AM289^3+WeightSDS!U$23*$AM289^2+WeightSDS!V$23*$AM289+WeightSDS!W$23,IF($AM289&lt;153,WeightSDS!M$25*$AM289^10+WeightSDS!N$25*$AM289^9+WeightSDS!O$25*$AM289^8+WeightSDS!P$25*$AM289^7+WeightSDS!Q$25*$AM289^6+WeightSDS!R$25*$AM289^5+WeightSDS!S$25*$AM289^4+WeightSDS!T$25*$AM289^3+WeightSDS!U$25*$AM289^2+WeightSDS!V$25*$AM289+WeightSDS!W$25,WeightSDS!M$27+WeightSDS!N$27/(1+EXP(WeightSDS!O$27+WeightSDS!P$27*$AM289)))),IF($AM289&lt;43.8,WeightSDS!M$29*$AM289^10+WeightSDS!N$29*$AM289^9+WeightSDS!O$29*$AM289^8+WeightSDS!P$29*$AM289^7+WeightSDS!Q$29*$AM289^6+WeightSDS!R$29*$AM289^5+WeightSDS!S$29*$AM289^4+WeightSDS!T$29*$AM289^3+WeightSDS!U$29*$AM289^2+WeightSDS!V$29*$AM289+WeightSDS!W$29-0.010431*(1-$AM289/210),IF($AM289&lt;123,WeightSDS!M$30*$AM289^10+WeightSDS!N$30*$AM289^9+WeightSDS!O$30*$AM289^8+WeightSDS!P$30*$AM289^7+WeightSDS!Q$30*$AM289^6+WeightSDS!R$30*$AM289^5+WeightSDS!S$30*$AM289^4+WeightSDS!T$30*$AM289^3+WeightSDS!U$30*$AM289^2+WeightSDS!V$30*$AM289+WeightSDS!W$30-0.010431*(1-1/$AM289),WeightSDS!M$32+WeightSDS!N$32/(1+EXP(WeightSDS!O$32+WeightSDS!P$32*$AM289))-0.010431*(1-$AM289/210))))</f>
        <v>2.9500001032655536</v>
      </c>
      <c r="AQ289" s="4">
        <f>IF(D289="M",IF($AM289&lt;162,WeightSDS!P$12*$AM289^7+WeightSDS!Q$12*$AM289^6+WeightSDS!R$12*$AM289^5+WeightSDS!S$12*$AM289^4+WeightSDS!T$12*$AM289^3+WeightSDS!U$12*$AM289^2+WeightSDS!V$12*$AM289+WeightSDS!W$12,WeightSDS!P$14*$AM289^7+WeightSDS!Q$14*$AM289^6+WeightSDS!R$14*$AM289^5+WeightSDS!S$14*$AM289^4+WeightSDS!T$14*$AM289^3+WeightSDS!U$14*$AM289^2+WeightSDS!V$14*$AM289+WeightSDS!W$14),IF($AM289&lt;156,WeightSDS!O$17*$AM289^8+WeightSDS!P$17*$AM289^7+WeightSDS!Q$17*$AM289^6+WeightSDS!R$17*$AM289^5+WeightSDS!S$17*$AM289^4+WeightSDS!T$17*$AM289^3+WeightSDS!U$17*$AM289^2+WeightSDS!V$17*$AM289+WeightSDS!W$17,IF($AM289&lt;186,WeightSDS!$U$18+(WeightSDS!$V$18-WeightSDS!$U$18)/24*($AM289-186)+WeightSDS!$W$18*(-$AM289+186)^2-0.005,WeightSDS!$U$18+(WeightSDS!$V$18-WeightSDS!$U$18)/24*($AM289-186)-0.005)))</f>
        <v>0.14604529399999999</v>
      </c>
      <c r="AT289" s="4">
        <f t="shared" si="91"/>
        <v>0.56299999999999994</v>
      </c>
      <c r="AU289" s="4">
        <f t="shared" si="92"/>
        <v>69</v>
      </c>
      <c r="AV289" s="4">
        <f t="shared" si="93"/>
        <v>0.51</v>
      </c>
    </row>
    <row r="290" spans="1:48" x14ac:dyDescent="0.15">
      <c r="A290" s="4"/>
      <c r="B290" s="21"/>
      <c r="C290" s="21"/>
      <c r="D290" s="21"/>
      <c r="E290" s="22"/>
      <c r="F290" s="22"/>
      <c r="G290" s="23"/>
      <c r="H290" s="23"/>
      <c r="I290" s="181"/>
      <c r="J290" s="8" t="str">
        <f t="shared" si="85"/>
        <v/>
      </c>
      <c r="K290" s="2" t="str">
        <f t="shared" si="94"/>
        <v/>
      </c>
      <c r="L290" s="2" t="str">
        <f t="shared" si="86"/>
        <v/>
      </c>
      <c r="M290" s="2" t="str">
        <f t="shared" si="95"/>
        <v/>
      </c>
      <c r="N290" s="2" t="str">
        <f t="shared" si="103"/>
        <v/>
      </c>
      <c r="O290" s="2" t="str">
        <f t="shared" si="96"/>
        <v/>
      </c>
      <c r="P290" s="8" t="str">
        <f t="shared" si="97"/>
        <v/>
      </c>
      <c r="Q290" s="8" t="str">
        <f t="shared" si="98"/>
        <v/>
      </c>
      <c r="R290" s="111" t="str">
        <f t="shared" si="99"/>
        <v/>
      </c>
      <c r="S290" s="44" t="str">
        <f t="shared" si="100"/>
        <v/>
      </c>
      <c r="T290" s="37" t="str">
        <f t="shared" si="101"/>
        <v/>
      </c>
      <c r="U290" s="44" t="str">
        <f t="shared" si="102"/>
        <v/>
      </c>
      <c r="V290" s="26"/>
      <c r="W290" s="26"/>
      <c r="X290" s="26"/>
      <c r="Y290" s="26"/>
      <c r="Z290" s="24"/>
      <c r="AA290" s="169">
        <f t="shared" si="87"/>
        <v>0</v>
      </c>
      <c r="AB290" s="4">
        <f t="shared" si="88"/>
        <v>0</v>
      </c>
      <c r="AC290" s="170">
        <f t="shared" si="105"/>
        <v>0</v>
      </c>
      <c r="AD290" s="58"/>
      <c r="AE290" s="58"/>
      <c r="AF290" s="58"/>
      <c r="AG290" s="59">
        <f t="shared" si="89"/>
        <v>9.0359999999999996</v>
      </c>
      <c r="AH290" s="59">
        <f t="shared" si="90"/>
        <v>-184.49199999999999</v>
      </c>
      <c r="AJ290" s="4">
        <f>IF(D290="M",IF(AM290&lt;78,BMILMS!$D$5*AM290^3+BMILMS!$E$5*AM290^2+BMILMS!$F$5*AM290+BMILMS!$G$5,IF(AM290&lt;150,BMILMS!$D$6*AM290^3+BMILMS!$E$6*AM290^2+BMILMS!$F$6*AM290+BMILMS!$G$6,BMILMS!$D$7*AM290^3+BMILMS!$E$7*AM290^2+BMILMS!$F$7*AM290+BMILMS!$G$7)),IF(AM290&lt;69,BMILMS!$D$9*AM290^3+BMILMS!$E$9*AM290^2+BMILMS!$F$9*AM290+BMILMS!$G$9,IF(AM290&lt;150,BMILMS!$D$10*AM290^3+BMILMS!$E$10*AM290^2+BMILMS!$F$10*AM290+BMILMS!$G$10,BMILMS!$D$11*AM290^3+BMILMS!$E$11*AM290^2+BMILMS!$F$11*AM290+BMILMS!$G$11)))</f>
        <v>0.79584630099999998</v>
      </c>
      <c r="AK290" s="4">
        <f>IF(D290="M",(IF(AM290&lt;2.5,BMILMS!$D$21*AM290^3+BMILMS!$E$21*AM290^2+BMILMS!$F$21*AM290+BMILMS!$G$21,IF(AM290&lt;9.5,BMILMS!$D$22*AM290^3+BMILMS!$E$22*AM290^2+BMILMS!$F$22*AM290+BMILMS!$G$22,IF(AM290&lt;26.75,BMILMS!$D$23*AM290^3+BMILMS!$E$23*AM290^2+BMILMS!$F$23*AM290+BMILMS!$G$23,IF(AM290&lt;90,BMILMS!$D$24*AM290^3+BMILMS!$E$24*AM290^2+BMILMS!$F$24*AM290+BMILMS!$G$24,BMILMS!$D$25*AM290^3+BMILMS!$E$25*AM290^2+BMILMS!$F$25*AM290+BMILMS!$G$25))))),(IF(AM290&lt;2.5,BMILMS!$D$27*AM290^3+BMILMS!$E$27*AM290^2+BMILMS!$F$27*AM290+BMILMS!$G$27,IF(AM290&lt;9.5,BMILMS!$D$28*AM290^3+BMILMS!$E$28*AM290^2+BMILMS!$F$28*AM290+BMILMS!$G$28,IF(AM290&lt;26.75,BMILMS!$D$29*AM290^3+BMILMS!$E$29*AM290^2+BMILMS!$F$29*AM290+BMILMS!$G$29,IF(AM290&lt;90,BMILMS!$D$30*AM290^3+BMILMS!$E$30*AM290^2+BMILMS!$F$30*AM290+BMILMS!$G$30,IF(AM290&lt;150,BMILMS!$D$31*AM290^3+BMILMS!$E$31*AM290^2+BMILMS!$F$31*AM290+BMILMS!$G$31,BMILMS!$D$32*AM290^3+BMILMS!$E$32*AM290^2+BMILMS!$F$32*AM290+BMILMS!$G$32)))))))</f>
        <v>12.568967990000001</v>
      </c>
      <c r="AL290" s="4">
        <f>IF(D290="M",(IF(AM290&lt;90,BMILMS!$D$14*AM290^3+BMILMS!$E$14*AM290^2+BMILMS!$F$14*AM290+BMILMS!$G$14,BMILMS!$D$15*AM290^3+BMILMS!$E$15*AM290^2+BMILMS!$F$15*AM290+BMILMS!$G$15)),(IF(AM290&lt;90,BMILMS!$D$17*AM290^3+BMILMS!$E$17*AM290^2+BMILMS!$F$17*AM290+BMILMS!$G$17,BMILMS!$D$18*AM290^3+BMILMS!$E$18*AM290^2+BMILMS!$F$18*AM290+BMILMS!$G$18)))</f>
        <v>8.8969350000000003E-2</v>
      </c>
      <c r="AM290" s="4">
        <f t="shared" si="104"/>
        <v>0</v>
      </c>
      <c r="AO290" s="56">
        <f>IF(D290="M",WeightSDS!P$5*$AM290^7+WeightSDS!Q$5*$AM290^6+WeightSDS!R$5*$AM290^5+WeightSDS!S$5*$AM290^4+WeightSDS!T$5*$AM290^3+WeightSDS!U$5*$AM290^2+WeightSDS!V$5*$AM290+WeightSDS!W$5,IF($AM290&lt;186,WeightSDS!P$8*$AM290^7+WeightSDS!Q$8*$AM290^6+WeightSDS!R$8*$AM290^5+WeightSDS!S$8*$AM290^4+WeightSDS!T$8*$AM290^3+WeightSDS!U$8*$AM290^2+WeightSDS!V$8*$AM290+WeightSDS!W$8,WeightSDS!$U$9+WeightSDS!$V$9*($AM290-WeightSDS!$W$9)))</f>
        <v>0.75407122999999998</v>
      </c>
      <c r="AP290" s="4">
        <f>IF(D290="M",IF($AM290&lt;45,WeightSDS!M$23*$AM290^10+WeightSDS!N$23*$AM290^9+WeightSDS!O$23*$AM290^8+WeightSDS!P$23*$AM290^7+WeightSDS!Q$23*$AM290^6+WeightSDS!R$23*$AM290^5+WeightSDS!S$23*$AM290^4+WeightSDS!T$23*$AM290^3+WeightSDS!U$23*$AM290^2+WeightSDS!V$23*$AM290+WeightSDS!W$23,IF($AM290&lt;153,WeightSDS!M$25*$AM290^10+WeightSDS!N$25*$AM290^9+WeightSDS!O$25*$AM290^8+WeightSDS!P$25*$AM290^7+WeightSDS!Q$25*$AM290^6+WeightSDS!R$25*$AM290^5+WeightSDS!S$25*$AM290^4+WeightSDS!T$25*$AM290^3+WeightSDS!U$25*$AM290^2+WeightSDS!V$25*$AM290+WeightSDS!W$25,WeightSDS!M$27+WeightSDS!N$27/(1+EXP(WeightSDS!O$27+WeightSDS!P$27*$AM290)))),IF($AM290&lt;43.8,WeightSDS!M$29*$AM290^10+WeightSDS!N$29*$AM290^9+WeightSDS!O$29*$AM290^8+WeightSDS!P$29*$AM290^7+WeightSDS!Q$29*$AM290^6+WeightSDS!R$29*$AM290^5+WeightSDS!S$29*$AM290^4+WeightSDS!T$29*$AM290^3+WeightSDS!U$29*$AM290^2+WeightSDS!V$29*$AM290+WeightSDS!W$29-0.010431*(1-$AM290/210),IF($AM290&lt;123,WeightSDS!M$30*$AM290^10+WeightSDS!N$30*$AM290^9+WeightSDS!O$30*$AM290^8+WeightSDS!P$30*$AM290^7+WeightSDS!Q$30*$AM290^6+WeightSDS!R$30*$AM290^5+WeightSDS!S$30*$AM290^4+WeightSDS!T$30*$AM290^3+WeightSDS!U$30*$AM290^2+WeightSDS!V$30*$AM290+WeightSDS!W$30-0.010431*(1-1/$AM290),WeightSDS!M$32+WeightSDS!N$32/(1+EXP(WeightSDS!O$32+WeightSDS!P$32*$AM290))-0.010431*(1-$AM290/210))))</f>
        <v>2.9500001032655536</v>
      </c>
      <c r="AQ290" s="4">
        <f>IF(D290="M",IF($AM290&lt;162,WeightSDS!P$12*$AM290^7+WeightSDS!Q$12*$AM290^6+WeightSDS!R$12*$AM290^5+WeightSDS!S$12*$AM290^4+WeightSDS!T$12*$AM290^3+WeightSDS!U$12*$AM290^2+WeightSDS!V$12*$AM290+WeightSDS!W$12,WeightSDS!P$14*$AM290^7+WeightSDS!Q$14*$AM290^6+WeightSDS!R$14*$AM290^5+WeightSDS!S$14*$AM290^4+WeightSDS!T$14*$AM290^3+WeightSDS!U$14*$AM290^2+WeightSDS!V$14*$AM290+WeightSDS!W$14),IF($AM290&lt;156,WeightSDS!O$17*$AM290^8+WeightSDS!P$17*$AM290^7+WeightSDS!Q$17*$AM290^6+WeightSDS!R$17*$AM290^5+WeightSDS!S$17*$AM290^4+WeightSDS!T$17*$AM290^3+WeightSDS!U$17*$AM290^2+WeightSDS!V$17*$AM290+WeightSDS!W$17,IF($AM290&lt;186,WeightSDS!$U$18+(WeightSDS!$V$18-WeightSDS!$U$18)/24*($AM290-186)+WeightSDS!$W$18*(-$AM290+186)^2-0.005,WeightSDS!$U$18+(WeightSDS!$V$18-WeightSDS!$U$18)/24*($AM290-186)-0.005)))</f>
        <v>0.14604529399999999</v>
      </c>
      <c r="AT290" s="4">
        <f t="shared" si="91"/>
        <v>0.56299999999999994</v>
      </c>
      <c r="AU290" s="4">
        <f t="shared" si="92"/>
        <v>69</v>
      </c>
      <c r="AV290" s="4">
        <f t="shared" si="93"/>
        <v>0.51</v>
      </c>
    </row>
    <row r="291" spans="1:48" x14ac:dyDescent="0.15">
      <c r="A291" s="4"/>
      <c r="B291" s="21"/>
      <c r="C291" s="21"/>
      <c r="D291" s="21"/>
      <c r="E291" s="22"/>
      <c r="F291" s="22"/>
      <c r="G291" s="23"/>
      <c r="H291" s="23"/>
      <c r="I291" s="181"/>
      <c r="J291" s="8" t="str">
        <f t="shared" si="85"/>
        <v/>
      </c>
      <c r="K291" s="2" t="str">
        <f t="shared" si="94"/>
        <v/>
      </c>
      <c r="L291" s="2" t="str">
        <f t="shared" si="86"/>
        <v/>
      </c>
      <c r="M291" s="2" t="str">
        <f t="shared" si="95"/>
        <v/>
      </c>
      <c r="N291" s="2" t="str">
        <f t="shared" si="103"/>
        <v/>
      </c>
      <c r="O291" s="2" t="str">
        <f t="shared" si="96"/>
        <v/>
      </c>
      <c r="P291" s="8" t="str">
        <f t="shared" si="97"/>
        <v/>
      </c>
      <c r="Q291" s="8" t="str">
        <f t="shared" si="98"/>
        <v/>
      </c>
      <c r="R291" s="111" t="str">
        <f t="shared" si="99"/>
        <v/>
      </c>
      <c r="S291" s="44" t="str">
        <f t="shared" si="100"/>
        <v/>
      </c>
      <c r="T291" s="37" t="str">
        <f t="shared" si="101"/>
        <v/>
      </c>
      <c r="U291" s="44" t="str">
        <f t="shared" si="102"/>
        <v/>
      </c>
      <c r="V291" s="26"/>
      <c r="W291" s="26"/>
      <c r="X291" s="26"/>
      <c r="Y291" s="26"/>
      <c r="Z291" s="24"/>
      <c r="AA291" s="169">
        <f t="shared" si="87"/>
        <v>0</v>
      </c>
      <c r="AB291" s="4">
        <f t="shared" si="88"/>
        <v>0</v>
      </c>
      <c r="AC291" s="170">
        <f t="shared" si="105"/>
        <v>0</v>
      </c>
      <c r="AD291" s="58"/>
      <c r="AE291" s="58"/>
      <c r="AF291" s="58"/>
      <c r="AG291" s="59">
        <f t="shared" si="89"/>
        <v>9.0359999999999996</v>
      </c>
      <c r="AH291" s="59">
        <f t="shared" si="90"/>
        <v>-184.49199999999999</v>
      </c>
      <c r="AJ291" s="4">
        <f>IF(D291="M",IF(AM291&lt;78,BMILMS!$D$5*AM291^3+BMILMS!$E$5*AM291^2+BMILMS!$F$5*AM291+BMILMS!$G$5,IF(AM291&lt;150,BMILMS!$D$6*AM291^3+BMILMS!$E$6*AM291^2+BMILMS!$F$6*AM291+BMILMS!$G$6,BMILMS!$D$7*AM291^3+BMILMS!$E$7*AM291^2+BMILMS!$F$7*AM291+BMILMS!$G$7)),IF(AM291&lt;69,BMILMS!$D$9*AM291^3+BMILMS!$E$9*AM291^2+BMILMS!$F$9*AM291+BMILMS!$G$9,IF(AM291&lt;150,BMILMS!$D$10*AM291^3+BMILMS!$E$10*AM291^2+BMILMS!$F$10*AM291+BMILMS!$G$10,BMILMS!$D$11*AM291^3+BMILMS!$E$11*AM291^2+BMILMS!$F$11*AM291+BMILMS!$G$11)))</f>
        <v>0.79584630099999998</v>
      </c>
      <c r="AK291" s="4">
        <f>IF(D291="M",(IF(AM291&lt;2.5,BMILMS!$D$21*AM291^3+BMILMS!$E$21*AM291^2+BMILMS!$F$21*AM291+BMILMS!$G$21,IF(AM291&lt;9.5,BMILMS!$D$22*AM291^3+BMILMS!$E$22*AM291^2+BMILMS!$F$22*AM291+BMILMS!$G$22,IF(AM291&lt;26.75,BMILMS!$D$23*AM291^3+BMILMS!$E$23*AM291^2+BMILMS!$F$23*AM291+BMILMS!$G$23,IF(AM291&lt;90,BMILMS!$D$24*AM291^3+BMILMS!$E$24*AM291^2+BMILMS!$F$24*AM291+BMILMS!$G$24,BMILMS!$D$25*AM291^3+BMILMS!$E$25*AM291^2+BMILMS!$F$25*AM291+BMILMS!$G$25))))),(IF(AM291&lt;2.5,BMILMS!$D$27*AM291^3+BMILMS!$E$27*AM291^2+BMILMS!$F$27*AM291+BMILMS!$G$27,IF(AM291&lt;9.5,BMILMS!$D$28*AM291^3+BMILMS!$E$28*AM291^2+BMILMS!$F$28*AM291+BMILMS!$G$28,IF(AM291&lt;26.75,BMILMS!$D$29*AM291^3+BMILMS!$E$29*AM291^2+BMILMS!$F$29*AM291+BMILMS!$G$29,IF(AM291&lt;90,BMILMS!$D$30*AM291^3+BMILMS!$E$30*AM291^2+BMILMS!$F$30*AM291+BMILMS!$G$30,IF(AM291&lt;150,BMILMS!$D$31*AM291^3+BMILMS!$E$31*AM291^2+BMILMS!$F$31*AM291+BMILMS!$G$31,BMILMS!$D$32*AM291^3+BMILMS!$E$32*AM291^2+BMILMS!$F$32*AM291+BMILMS!$G$32)))))))</f>
        <v>12.568967990000001</v>
      </c>
      <c r="AL291" s="4">
        <f>IF(D291="M",(IF(AM291&lt;90,BMILMS!$D$14*AM291^3+BMILMS!$E$14*AM291^2+BMILMS!$F$14*AM291+BMILMS!$G$14,BMILMS!$D$15*AM291^3+BMILMS!$E$15*AM291^2+BMILMS!$F$15*AM291+BMILMS!$G$15)),(IF(AM291&lt;90,BMILMS!$D$17*AM291^3+BMILMS!$E$17*AM291^2+BMILMS!$F$17*AM291+BMILMS!$G$17,BMILMS!$D$18*AM291^3+BMILMS!$E$18*AM291^2+BMILMS!$F$18*AM291+BMILMS!$G$18)))</f>
        <v>8.8969350000000003E-2</v>
      </c>
      <c r="AM291" s="4">
        <f t="shared" si="104"/>
        <v>0</v>
      </c>
      <c r="AO291" s="56">
        <f>IF(D291="M",WeightSDS!P$5*$AM291^7+WeightSDS!Q$5*$AM291^6+WeightSDS!R$5*$AM291^5+WeightSDS!S$5*$AM291^4+WeightSDS!T$5*$AM291^3+WeightSDS!U$5*$AM291^2+WeightSDS!V$5*$AM291+WeightSDS!W$5,IF($AM291&lt;186,WeightSDS!P$8*$AM291^7+WeightSDS!Q$8*$AM291^6+WeightSDS!R$8*$AM291^5+WeightSDS!S$8*$AM291^4+WeightSDS!T$8*$AM291^3+WeightSDS!U$8*$AM291^2+WeightSDS!V$8*$AM291+WeightSDS!W$8,WeightSDS!$U$9+WeightSDS!$V$9*($AM291-WeightSDS!$W$9)))</f>
        <v>0.75407122999999998</v>
      </c>
      <c r="AP291" s="4">
        <f>IF(D291="M",IF($AM291&lt;45,WeightSDS!M$23*$AM291^10+WeightSDS!N$23*$AM291^9+WeightSDS!O$23*$AM291^8+WeightSDS!P$23*$AM291^7+WeightSDS!Q$23*$AM291^6+WeightSDS!R$23*$AM291^5+WeightSDS!S$23*$AM291^4+WeightSDS!T$23*$AM291^3+WeightSDS!U$23*$AM291^2+WeightSDS!V$23*$AM291+WeightSDS!W$23,IF($AM291&lt;153,WeightSDS!M$25*$AM291^10+WeightSDS!N$25*$AM291^9+WeightSDS!O$25*$AM291^8+WeightSDS!P$25*$AM291^7+WeightSDS!Q$25*$AM291^6+WeightSDS!R$25*$AM291^5+WeightSDS!S$25*$AM291^4+WeightSDS!T$25*$AM291^3+WeightSDS!U$25*$AM291^2+WeightSDS!V$25*$AM291+WeightSDS!W$25,WeightSDS!M$27+WeightSDS!N$27/(1+EXP(WeightSDS!O$27+WeightSDS!P$27*$AM291)))),IF($AM291&lt;43.8,WeightSDS!M$29*$AM291^10+WeightSDS!N$29*$AM291^9+WeightSDS!O$29*$AM291^8+WeightSDS!P$29*$AM291^7+WeightSDS!Q$29*$AM291^6+WeightSDS!R$29*$AM291^5+WeightSDS!S$29*$AM291^4+WeightSDS!T$29*$AM291^3+WeightSDS!U$29*$AM291^2+WeightSDS!V$29*$AM291+WeightSDS!W$29-0.010431*(1-$AM291/210),IF($AM291&lt;123,WeightSDS!M$30*$AM291^10+WeightSDS!N$30*$AM291^9+WeightSDS!O$30*$AM291^8+WeightSDS!P$30*$AM291^7+WeightSDS!Q$30*$AM291^6+WeightSDS!R$30*$AM291^5+WeightSDS!S$30*$AM291^4+WeightSDS!T$30*$AM291^3+WeightSDS!U$30*$AM291^2+WeightSDS!V$30*$AM291+WeightSDS!W$30-0.010431*(1-1/$AM291),WeightSDS!M$32+WeightSDS!N$32/(1+EXP(WeightSDS!O$32+WeightSDS!P$32*$AM291))-0.010431*(1-$AM291/210))))</f>
        <v>2.9500001032655536</v>
      </c>
      <c r="AQ291" s="4">
        <f>IF(D291="M",IF($AM291&lt;162,WeightSDS!P$12*$AM291^7+WeightSDS!Q$12*$AM291^6+WeightSDS!R$12*$AM291^5+WeightSDS!S$12*$AM291^4+WeightSDS!T$12*$AM291^3+WeightSDS!U$12*$AM291^2+WeightSDS!V$12*$AM291+WeightSDS!W$12,WeightSDS!P$14*$AM291^7+WeightSDS!Q$14*$AM291^6+WeightSDS!R$14*$AM291^5+WeightSDS!S$14*$AM291^4+WeightSDS!T$14*$AM291^3+WeightSDS!U$14*$AM291^2+WeightSDS!V$14*$AM291+WeightSDS!W$14),IF($AM291&lt;156,WeightSDS!O$17*$AM291^8+WeightSDS!P$17*$AM291^7+WeightSDS!Q$17*$AM291^6+WeightSDS!R$17*$AM291^5+WeightSDS!S$17*$AM291^4+WeightSDS!T$17*$AM291^3+WeightSDS!U$17*$AM291^2+WeightSDS!V$17*$AM291+WeightSDS!W$17,IF($AM291&lt;186,WeightSDS!$U$18+(WeightSDS!$V$18-WeightSDS!$U$18)/24*($AM291-186)+WeightSDS!$W$18*(-$AM291+186)^2-0.005,WeightSDS!$U$18+(WeightSDS!$V$18-WeightSDS!$U$18)/24*($AM291-186)-0.005)))</f>
        <v>0.14604529399999999</v>
      </c>
      <c r="AT291" s="4">
        <f t="shared" si="91"/>
        <v>0.56299999999999994</v>
      </c>
      <c r="AU291" s="4">
        <f t="shared" si="92"/>
        <v>69</v>
      </c>
      <c r="AV291" s="4">
        <f t="shared" si="93"/>
        <v>0.51</v>
      </c>
    </row>
    <row r="292" spans="1:48" x14ac:dyDescent="0.15">
      <c r="A292" s="4"/>
      <c r="B292" s="21"/>
      <c r="C292" s="21"/>
      <c r="D292" s="21"/>
      <c r="E292" s="22"/>
      <c r="F292" s="22"/>
      <c r="G292" s="23"/>
      <c r="H292" s="23"/>
      <c r="I292" s="181"/>
      <c r="J292" s="8" t="str">
        <f t="shared" si="85"/>
        <v/>
      </c>
      <c r="K292" s="2" t="str">
        <f t="shared" si="94"/>
        <v/>
      </c>
      <c r="L292" s="2" t="str">
        <f t="shared" si="86"/>
        <v/>
      </c>
      <c r="M292" s="2" t="str">
        <f t="shared" si="95"/>
        <v/>
      </c>
      <c r="N292" s="2" t="str">
        <f t="shared" si="103"/>
        <v/>
      </c>
      <c r="O292" s="2" t="str">
        <f t="shared" si="96"/>
        <v/>
      </c>
      <c r="P292" s="8" t="str">
        <f t="shared" si="97"/>
        <v/>
      </c>
      <c r="Q292" s="8" t="str">
        <f t="shared" si="98"/>
        <v/>
      </c>
      <c r="R292" s="111" t="str">
        <f t="shared" si="99"/>
        <v/>
      </c>
      <c r="S292" s="44" t="str">
        <f t="shared" si="100"/>
        <v/>
      </c>
      <c r="T292" s="37" t="str">
        <f t="shared" si="101"/>
        <v/>
      </c>
      <c r="U292" s="44" t="str">
        <f t="shared" si="102"/>
        <v/>
      </c>
      <c r="V292" s="26"/>
      <c r="W292" s="26"/>
      <c r="X292" s="26"/>
      <c r="Y292" s="26"/>
      <c r="Z292" s="24"/>
      <c r="AA292" s="169">
        <f t="shared" si="87"/>
        <v>0</v>
      </c>
      <c r="AB292" s="4">
        <f t="shared" si="88"/>
        <v>0</v>
      </c>
      <c r="AC292" s="170">
        <f t="shared" si="105"/>
        <v>0</v>
      </c>
      <c r="AD292" s="58"/>
      <c r="AE292" s="58"/>
      <c r="AF292" s="58"/>
      <c r="AG292" s="59">
        <f t="shared" si="89"/>
        <v>9.0359999999999996</v>
      </c>
      <c r="AH292" s="59">
        <f t="shared" si="90"/>
        <v>-184.49199999999999</v>
      </c>
      <c r="AJ292" s="4">
        <f>IF(D292="M",IF(AM292&lt;78,BMILMS!$D$5*AM292^3+BMILMS!$E$5*AM292^2+BMILMS!$F$5*AM292+BMILMS!$G$5,IF(AM292&lt;150,BMILMS!$D$6*AM292^3+BMILMS!$E$6*AM292^2+BMILMS!$F$6*AM292+BMILMS!$G$6,BMILMS!$D$7*AM292^3+BMILMS!$E$7*AM292^2+BMILMS!$F$7*AM292+BMILMS!$G$7)),IF(AM292&lt;69,BMILMS!$D$9*AM292^3+BMILMS!$E$9*AM292^2+BMILMS!$F$9*AM292+BMILMS!$G$9,IF(AM292&lt;150,BMILMS!$D$10*AM292^3+BMILMS!$E$10*AM292^2+BMILMS!$F$10*AM292+BMILMS!$G$10,BMILMS!$D$11*AM292^3+BMILMS!$E$11*AM292^2+BMILMS!$F$11*AM292+BMILMS!$G$11)))</f>
        <v>0.79584630099999998</v>
      </c>
      <c r="AK292" s="4">
        <f>IF(D292="M",(IF(AM292&lt;2.5,BMILMS!$D$21*AM292^3+BMILMS!$E$21*AM292^2+BMILMS!$F$21*AM292+BMILMS!$G$21,IF(AM292&lt;9.5,BMILMS!$D$22*AM292^3+BMILMS!$E$22*AM292^2+BMILMS!$F$22*AM292+BMILMS!$G$22,IF(AM292&lt;26.75,BMILMS!$D$23*AM292^3+BMILMS!$E$23*AM292^2+BMILMS!$F$23*AM292+BMILMS!$G$23,IF(AM292&lt;90,BMILMS!$D$24*AM292^3+BMILMS!$E$24*AM292^2+BMILMS!$F$24*AM292+BMILMS!$G$24,BMILMS!$D$25*AM292^3+BMILMS!$E$25*AM292^2+BMILMS!$F$25*AM292+BMILMS!$G$25))))),(IF(AM292&lt;2.5,BMILMS!$D$27*AM292^3+BMILMS!$E$27*AM292^2+BMILMS!$F$27*AM292+BMILMS!$G$27,IF(AM292&lt;9.5,BMILMS!$D$28*AM292^3+BMILMS!$E$28*AM292^2+BMILMS!$F$28*AM292+BMILMS!$G$28,IF(AM292&lt;26.75,BMILMS!$D$29*AM292^3+BMILMS!$E$29*AM292^2+BMILMS!$F$29*AM292+BMILMS!$G$29,IF(AM292&lt;90,BMILMS!$D$30*AM292^3+BMILMS!$E$30*AM292^2+BMILMS!$F$30*AM292+BMILMS!$G$30,IF(AM292&lt;150,BMILMS!$D$31*AM292^3+BMILMS!$E$31*AM292^2+BMILMS!$F$31*AM292+BMILMS!$G$31,BMILMS!$D$32*AM292^3+BMILMS!$E$32*AM292^2+BMILMS!$F$32*AM292+BMILMS!$G$32)))))))</f>
        <v>12.568967990000001</v>
      </c>
      <c r="AL292" s="4">
        <f>IF(D292="M",(IF(AM292&lt;90,BMILMS!$D$14*AM292^3+BMILMS!$E$14*AM292^2+BMILMS!$F$14*AM292+BMILMS!$G$14,BMILMS!$D$15*AM292^3+BMILMS!$E$15*AM292^2+BMILMS!$F$15*AM292+BMILMS!$G$15)),(IF(AM292&lt;90,BMILMS!$D$17*AM292^3+BMILMS!$E$17*AM292^2+BMILMS!$F$17*AM292+BMILMS!$G$17,BMILMS!$D$18*AM292^3+BMILMS!$E$18*AM292^2+BMILMS!$F$18*AM292+BMILMS!$G$18)))</f>
        <v>8.8969350000000003E-2</v>
      </c>
      <c r="AM292" s="4">
        <f t="shared" si="104"/>
        <v>0</v>
      </c>
      <c r="AO292" s="56">
        <f>IF(D292="M",WeightSDS!P$5*$AM292^7+WeightSDS!Q$5*$AM292^6+WeightSDS!R$5*$AM292^5+WeightSDS!S$5*$AM292^4+WeightSDS!T$5*$AM292^3+WeightSDS!U$5*$AM292^2+WeightSDS!V$5*$AM292+WeightSDS!W$5,IF($AM292&lt;186,WeightSDS!P$8*$AM292^7+WeightSDS!Q$8*$AM292^6+WeightSDS!R$8*$AM292^5+WeightSDS!S$8*$AM292^4+WeightSDS!T$8*$AM292^3+WeightSDS!U$8*$AM292^2+WeightSDS!V$8*$AM292+WeightSDS!W$8,WeightSDS!$U$9+WeightSDS!$V$9*($AM292-WeightSDS!$W$9)))</f>
        <v>0.75407122999999998</v>
      </c>
      <c r="AP292" s="4">
        <f>IF(D292="M",IF($AM292&lt;45,WeightSDS!M$23*$AM292^10+WeightSDS!N$23*$AM292^9+WeightSDS!O$23*$AM292^8+WeightSDS!P$23*$AM292^7+WeightSDS!Q$23*$AM292^6+WeightSDS!R$23*$AM292^5+WeightSDS!S$23*$AM292^4+WeightSDS!T$23*$AM292^3+WeightSDS!U$23*$AM292^2+WeightSDS!V$23*$AM292+WeightSDS!W$23,IF($AM292&lt;153,WeightSDS!M$25*$AM292^10+WeightSDS!N$25*$AM292^9+WeightSDS!O$25*$AM292^8+WeightSDS!P$25*$AM292^7+WeightSDS!Q$25*$AM292^6+WeightSDS!R$25*$AM292^5+WeightSDS!S$25*$AM292^4+WeightSDS!T$25*$AM292^3+WeightSDS!U$25*$AM292^2+WeightSDS!V$25*$AM292+WeightSDS!W$25,WeightSDS!M$27+WeightSDS!N$27/(1+EXP(WeightSDS!O$27+WeightSDS!P$27*$AM292)))),IF($AM292&lt;43.8,WeightSDS!M$29*$AM292^10+WeightSDS!N$29*$AM292^9+WeightSDS!O$29*$AM292^8+WeightSDS!P$29*$AM292^7+WeightSDS!Q$29*$AM292^6+WeightSDS!R$29*$AM292^5+WeightSDS!S$29*$AM292^4+WeightSDS!T$29*$AM292^3+WeightSDS!U$29*$AM292^2+WeightSDS!V$29*$AM292+WeightSDS!W$29-0.010431*(1-$AM292/210),IF($AM292&lt;123,WeightSDS!M$30*$AM292^10+WeightSDS!N$30*$AM292^9+WeightSDS!O$30*$AM292^8+WeightSDS!P$30*$AM292^7+WeightSDS!Q$30*$AM292^6+WeightSDS!R$30*$AM292^5+WeightSDS!S$30*$AM292^4+WeightSDS!T$30*$AM292^3+WeightSDS!U$30*$AM292^2+WeightSDS!V$30*$AM292+WeightSDS!W$30-0.010431*(1-1/$AM292),WeightSDS!M$32+WeightSDS!N$32/(1+EXP(WeightSDS!O$32+WeightSDS!P$32*$AM292))-0.010431*(1-$AM292/210))))</f>
        <v>2.9500001032655536</v>
      </c>
      <c r="AQ292" s="4">
        <f>IF(D292="M",IF($AM292&lt;162,WeightSDS!P$12*$AM292^7+WeightSDS!Q$12*$AM292^6+WeightSDS!R$12*$AM292^5+WeightSDS!S$12*$AM292^4+WeightSDS!T$12*$AM292^3+WeightSDS!U$12*$AM292^2+WeightSDS!V$12*$AM292+WeightSDS!W$12,WeightSDS!P$14*$AM292^7+WeightSDS!Q$14*$AM292^6+WeightSDS!R$14*$AM292^5+WeightSDS!S$14*$AM292^4+WeightSDS!T$14*$AM292^3+WeightSDS!U$14*$AM292^2+WeightSDS!V$14*$AM292+WeightSDS!W$14),IF($AM292&lt;156,WeightSDS!O$17*$AM292^8+WeightSDS!P$17*$AM292^7+WeightSDS!Q$17*$AM292^6+WeightSDS!R$17*$AM292^5+WeightSDS!S$17*$AM292^4+WeightSDS!T$17*$AM292^3+WeightSDS!U$17*$AM292^2+WeightSDS!V$17*$AM292+WeightSDS!W$17,IF($AM292&lt;186,WeightSDS!$U$18+(WeightSDS!$V$18-WeightSDS!$U$18)/24*($AM292-186)+WeightSDS!$W$18*(-$AM292+186)^2-0.005,WeightSDS!$U$18+(WeightSDS!$V$18-WeightSDS!$U$18)/24*($AM292-186)-0.005)))</f>
        <v>0.14604529399999999</v>
      </c>
      <c r="AT292" s="4">
        <f t="shared" si="91"/>
        <v>0.56299999999999994</v>
      </c>
      <c r="AU292" s="4">
        <f t="shared" si="92"/>
        <v>69</v>
      </c>
      <c r="AV292" s="4">
        <f t="shared" si="93"/>
        <v>0.51</v>
      </c>
    </row>
    <row r="293" spans="1:48" x14ac:dyDescent="0.15">
      <c r="A293" s="4"/>
      <c r="B293" s="21"/>
      <c r="C293" s="21"/>
      <c r="D293" s="21"/>
      <c r="E293" s="22"/>
      <c r="F293" s="22"/>
      <c r="G293" s="23"/>
      <c r="H293" s="23"/>
      <c r="I293" s="181"/>
      <c r="J293" s="8" t="str">
        <f t="shared" si="85"/>
        <v/>
      </c>
      <c r="K293" s="2" t="str">
        <f t="shared" si="94"/>
        <v/>
      </c>
      <c r="L293" s="2" t="str">
        <f t="shared" si="86"/>
        <v/>
      </c>
      <c r="M293" s="2" t="str">
        <f t="shared" si="95"/>
        <v/>
      </c>
      <c r="N293" s="2" t="str">
        <f t="shared" si="103"/>
        <v/>
      </c>
      <c r="O293" s="2" t="str">
        <f t="shared" si="96"/>
        <v/>
      </c>
      <c r="P293" s="8" t="str">
        <f t="shared" si="97"/>
        <v/>
      </c>
      <c r="Q293" s="8" t="str">
        <f t="shared" si="98"/>
        <v/>
      </c>
      <c r="R293" s="111" t="str">
        <f t="shared" si="99"/>
        <v/>
      </c>
      <c r="S293" s="44" t="str">
        <f t="shared" si="100"/>
        <v/>
      </c>
      <c r="T293" s="37" t="str">
        <f t="shared" si="101"/>
        <v/>
      </c>
      <c r="U293" s="44" t="str">
        <f t="shared" si="102"/>
        <v/>
      </c>
      <c r="V293" s="26"/>
      <c r="W293" s="26"/>
      <c r="X293" s="26"/>
      <c r="Y293" s="26"/>
      <c r="Z293" s="24"/>
      <c r="AA293" s="169">
        <f t="shared" si="87"/>
        <v>0</v>
      </c>
      <c r="AB293" s="4">
        <f t="shared" si="88"/>
        <v>0</v>
      </c>
      <c r="AC293" s="170">
        <f t="shared" si="105"/>
        <v>0</v>
      </c>
      <c r="AD293" s="58"/>
      <c r="AE293" s="58"/>
      <c r="AF293" s="58"/>
      <c r="AG293" s="59">
        <f t="shared" si="89"/>
        <v>9.0359999999999996</v>
      </c>
      <c r="AH293" s="59">
        <f t="shared" si="90"/>
        <v>-184.49199999999999</v>
      </c>
      <c r="AJ293" s="4">
        <f>IF(D293="M",IF(AM293&lt;78,BMILMS!$D$5*AM293^3+BMILMS!$E$5*AM293^2+BMILMS!$F$5*AM293+BMILMS!$G$5,IF(AM293&lt;150,BMILMS!$D$6*AM293^3+BMILMS!$E$6*AM293^2+BMILMS!$F$6*AM293+BMILMS!$G$6,BMILMS!$D$7*AM293^3+BMILMS!$E$7*AM293^2+BMILMS!$F$7*AM293+BMILMS!$G$7)),IF(AM293&lt;69,BMILMS!$D$9*AM293^3+BMILMS!$E$9*AM293^2+BMILMS!$F$9*AM293+BMILMS!$G$9,IF(AM293&lt;150,BMILMS!$D$10*AM293^3+BMILMS!$E$10*AM293^2+BMILMS!$F$10*AM293+BMILMS!$G$10,BMILMS!$D$11*AM293^3+BMILMS!$E$11*AM293^2+BMILMS!$F$11*AM293+BMILMS!$G$11)))</f>
        <v>0.79584630099999998</v>
      </c>
      <c r="AK293" s="4">
        <f>IF(D293="M",(IF(AM293&lt;2.5,BMILMS!$D$21*AM293^3+BMILMS!$E$21*AM293^2+BMILMS!$F$21*AM293+BMILMS!$G$21,IF(AM293&lt;9.5,BMILMS!$D$22*AM293^3+BMILMS!$E$22*AM293^2+BMILMS!$F$22*AM293+BMILMS!$G$22,IF(AM293&lt;26.75,BMILMS!$D$23*AM293^3+BMILMS!$E$23*AM293^2+BMILMS!$F$23*AM293+BMILMS!$G$23,IF(AM293&lt;90,BMILMS!$D$24*AM293^3+BMILMS!$E$24*AM293^2+BMILMS!$F$24*AM293+BMILMS!$G$24,BMILMS!$D$25*AM293^3+BMILMS!$E$25*AM293^2+BMILMS!$F$25*AM293+BMILMS!$G$25))))),(IF(AM293&lt;2.5,BMILMS!$D$27*AM293^3+BMILMS!$E$27*AM293^2+BMILMS!$F$27*AM293+BMILMS!$G$27,IF(AM293&lt;9.5,BMILMS!$D$28*AM293^3+BMILMS!$E$28*AM293^2+BMILMS!$F$28*AM293+BMILMS!$G$28,IF(AM293&lt;26.75,BMILMS!$D$29*AM293^3+BMILMS!$E$29*AM293^2+BMILMS!$F$29*AM293+BMILMS!$G$29,IF(AM293&lt;90,BMILMS!$D$30*AM293^3+BMILMS!$E$30*AM293^2+BMILMS!$F$30*AM293+BMILMS!$G$30,IF(AM293&lt;150,BMILMS!$D$31*AM293^3+BMILMS!$E$31*AM293^2+BMILMS!$F$31*AM293+BMILMS!$G$31,BMILMS!$D$32*AM293^3+BMILMS!$E$32*AM293^2+BMILMS!$F$32*AM293+BMILMS!$G$32)))))))</f>
        <v>12.568967990000001</v>
      </c>
      <c r="AL293" s="4">
        <f>IF(D293="M",(IF(AM293&lt;90,BMILMS!$D$14*AM293^3+BMILMS!$E$14*AM293^2+BMILMS!$F$14*AM293+BMILMS!$G$14,BMILMS!$D$15*AM293^3+BMILMS!$E$15*AM293^2+BMILMS!$F$15*AM293+BMILMS!$G$15)),(IF(AM293&lt;90,BMILMS!$D$17*AM293^3+BMILMS!$E$17*AM293^2+BMILMS!$F$17*AM293+BMILMS!$G$17,BMILMS!$D$18*AM293^3+BMILMS!$E$18*AM293^2+BMILMS!$F$18*AM293+BMILMS!$G$18)))</f>
        <v>8.8969350000000003E-2</v>
      </c>
      <c r="AM293" s="4">
        <f t="shared" si="104"/>
        <v>0</v>
      </c>
      <c r="AO293" s="56">
        <f>IF(D293="M",WeightSDS!P$5*$AM293^7+WeightSDS!Q$5*$AM293^6+WeightSDS!R$5*$AM293^5+WeightSDS!S$5*$AM293^4+WeightSDS!T$5*$AM293^3+WeightSDS!U$5*$AM293^2+WeightSDS!V$5*$AM293+WeightSDS!W$5,IF($AM293&lt;186,WeightSDS!P$8*$AM293^7+WeightSDS!Q$8*$AM293^6+WeightSDS!R$8*$AM293^5+WeightSDS!S$8*$AM293^4+WeightSDS!T$8*$AM293^3+WeightSDS!U$8*$AM293^2+WeightSDS!V$8*$AM293+WeightSDS!W$8,WeightSDS!$U$9+WeightSDS!$V$9*($AM293-WeightSDS!$W$9)))</f>
        <v>0.75407122999999998</v>
      </c>
      <c r="AP293" s="4">
        <f>IF(D293="M",IF($AM293&lt;45,WeightSDS!M$23*$AM293^10+WeightSDS!N$23*$AM293^9+WeightSDS!O$23*$AM293^8+WeightSDS!P$23*$AM293^7+WeightSDS!Q$23*$AM293^6+WeightSDS!R$23*$AM293^5+WeightSDS!S$23*$AM293^4+WeightSDS!T$23*$AM293^3+WeightSDS!U$23*$AM293^2+WeightSDS!V$23*$AM293+WeightSDS!W$23,IF($AM293&lt;153,WeightSDS!M$25*$AM293^10+WeightSDS!N$25*$AM293^9+WeightSDS!O$25*$AM293^8+WeightSDS!P$25*$AM293^7+WeightSDS!Q$25*$AM293^6+WeightSDS!R$25*$AM293^5+WeightSDS!S$25*$AM293^4+WeightSDS!T$25*$AM293^3+WeightSDS!U$25*$AM293^2+WeightSDS!V$25*$AM293+WeightSDS!W$25,WeightSDS!M$27+WeightSDS!N$27/(1+EXP(WeightSDS!O$27+WeightSDS!P$27*$AM293)))),IF($AM293&lt;43.8,WeightSDS!M$29*$AM293^10+WeightSDS!N$29*$AM293^9+WeightSDS!O$29*$AM293^8+WeightSDS!P$29*$AM293^7+WeightSDS!Q$29*$AM293^6+WeightSDS!R$29*$AM293^5+WeightSDS!S$29*$AM293^4+WeightSDS!T$29*$AM293^3+WeightSDS!U$29*$AM293^2+WeightSDS!V$29*$AM293+WeightSDS!W$29-0.010431*(1-$AM293/210),IF($AM293&lt;123,WeightSDS!M$30*$AM293^10+WeightSDS!N$30*$AM293^9+WeightSDS!O$30*$AM293^8+WeightSDS!P$30*$AM293^7+WeightSDS!Q$30*$AM293^6+WeightSDS!R$30*$AM293^5+WeightSDS!S$30*$AM293^4+WeightSDS!T$30*$AM293^3+WeightSDS!U$30*$AM293^2+WeightSDS!V$30*$AM293+WeightSDS!W$30-0.010431*(1-1/$AM293),WeightSDS!M$32+WeightSDS!N$32/(1+EXP(WeightSDS!O$32+WeightSDS!P$32*$AM293))-0.010431*(1-$AM293/210))))</f>
        <v>2.9500001032655536</v>
      </c>
      <c r="AQ293" s="4">
        <f>IF(D293="M",IF($AM293&lt;162,WeightSDS!P$12*$AM293^7+WeightSDS!Q$12*$AM293^6+WeightSDS!R$12*$AM293^5+WeightSDS!S$12*$AM293^4+WeightSDS!T$12*$AM293^3+WeightSDS!U$12*$AM293^2+WeightSDS!V$12*$AM293+WeightSDS!W$12,WeightSDS!P$14*$AM293^7+WeightSDS!Q$14*$AM293^6+WeightSDS!R$14*$AM293^5+WeightSDS!S$14*$AM293^4+WeightSDS!T$14*$AM293^3+WeightSDS!U$14*$AM293^2+WeightSDS!V$14*$AM293+WeightSDS!W$14),IF($AM293&lt;156,WeightSDS!O$17*$AM293^8+WeightSDS!P$17*$AM293^7+WeightSDS!Q$17*$AM293^6+WeightSDS!R$17*$AM293^5+WeightSDS!S$17*$AM293^4+WeightSDS!T$17*$AM293^3+WeightSDS!U$17*$AM293^2+WeightSDS!V$17*$AM293+WeightSDS!W$17,IF($AM293&lt;186,WeightSDS!$U$18+(WeightSDS!$V$18-WeightSDS!$U$18)/24*($AM293-186)+WeightSDS!$W$18*(-$AM293+186)^2-0.005,WeightSDS!$U$18+(WeightSDS!$V$18-WeightSDS!$U$18)/24*($AM293-186)-0.005)))</f>
        <v>0.14604529399999999</v>
      </c>
      <c r="AT293" s="4">
        <f t="shared" si="91"/>
        <v>0.56299999999999994</v>
      </c>
      <c r="AU293" s="4">
        <f t="shared" si="92"/>
        <v>69</v>
      </c>
      <c r="AV293" s="4">
        <f t="shared" si="93"/>
        <v>0.51</v>
      </c>
    </row>
    <row r="294" spans="1:48" x14ac:dyDescent="0.15">
      <c r="A294" s="4"/>
      <c r="B294" s="21"/>
      <c r="C294" s="21"/>
      <c r="D294" s="21"/>
      <c r="E294" s="22"/>
      <c r="F294" s="22"/>
      <c r="G294" s="23"/>
      <c r="H294" s="23"/>
      <c r="I294" s="181"/>
      <c r="J294" s="8" t="str">
        <f t="shared" si="85"/>
        <v/>
      </c>
      <c r="K294" s="2" t="str">
        <f t="shared" si="94"/>
        <v/>
      </c>
      <c r="L294" s="2" t="str">
        <f t="shared" si="86"/>
        <v/>
      </c>
      <c r="M294" s="2" t="str">
        <f t="shared" si="95"/>
        <v/>
      </c>
      <c r="N294" s="2" t="str">
        <f t="shared" si="103"/>
        <v/>
      </c>
      <c r="O294" s="2" t="str">
        <f t="shared" si="96"/>
        <v/>
      </c>
      <c r="P294" s="8" t="str">
        <f t="shared" si="97"/>
        <v/>
      </c>
      <c r="Q294" s="8" t="str">
        <f t="shared" si="98"/>
        <v/>
      </c>
      <c r="R294" s="111" t="str">
        <f t="shared" si="99"/>
        <v/>
      </c>
      <c r="S294" s="44" t="str">
        <f t="shared" si="100"/>
        <v/>
      </c>
      <c r="T294" s="37" t="str">
        <f t="shared" si="101"/>
        <v/>
      </c>
      <c r="U294" s="44" t="str">
        <f t="shared" si="102"/>
        <v/>
      </c>
      <c r="V294" s="26"/>
      <c r="W294" s="26"/>
      <c r="X294" s="26"/>
      <c r="Y294" s="26"/>
      <c r="Z294" s="24"/>
      <c r="AA294" s="169">
        <f t="shared" si="87"/>
        <v>0</v>
      </c>
      <c r="AB294" s="4">
        <f t="shared" si="88"/>
        <v>0</v>
      </c>
      <c r="AC294" s="170">
        <f t="shared" si="105"/>
        <v>0</v>
      </c>
      <c r="AD294" s="58"/>
      <c r="AE294" s="58"/>
      <c r="AF294" s="58"/>
      <c r="AG294" s="59">
        <f t="shared" si="89"/>
        <v>9.0359999999999996</v>
      </c>
      <c r="AH294" s="59">
        <f t="shared" si="90"/>
        <v>-184.49199999999999</v>
      </c>
      <c r="AJ294" s="4">
        <f>IF(D294="M",IF(AM294&lt;78,BMILMS!$D$5*AM294^3+BMILMS!$E$5*AM294^2+BMILMS!$F$5*AM294+BMILMS!$G$5,IF(AM294&lt;150,BMILMS!$D$6*AM294^3+BMILMS!$E$6*AM294^2+BMILMS!$F$6*AM294+BMILMS!$G$6,BMILMS!$D$7*AM294^3+BMILMS!$E$7*AM294^2+BMILMS!$F$7*AM294+BMILMS!$G$7)),IF(AM294&lt;69,BMILMS!$D$9*AM294^3+BMILMS!$E$9*AM294^2+BMILMS!$F$9*AM294+BMILMS!$G$9,IF(AM294&lt;150,BMILMS!$D$10*AM294^3+BMILMS!$E$10*AM294^2+BMILMS!$F$10*AM294+BMILMS!$G$10,BMILMS!$D$11*AM294^3+BMILMS!$E$11*AM294^2+BMILMS!$F$11*AM294+BMILMS!$G$11)))</f>
        <v>0.79584630099999998</v>
      </c>
      <c r="AK294" s="4">
        <f>IF(D294="M",(IF(AM294&lt;2.5,BMILMS!$D$21*AM294^3+BMILMS!$E$21*AM294^2+BMILMS!$F$21*AM294+BMILMS!$G$21,IF(AM294&lt;9.5,BMILMS!$D$22*AM294^3+BMILMS!$E$22*AM294^2+BMILMS!$F$22*AM294+BMILMS!$G$22,IF(AM294&lt;26.75,BMILMS!$D$23*AM294^3+BMILMS!$E$23*AM294^2+BMILMS!$F$23*AM294+BMILMS!$G$23,IF(AM294&lt;90,BMILMS!$D$24*AM294^3+BMILMS!$E$24*AM294^2+BMILMS!$F$24*AM294+BMILMS!$G$24,BMILMS!$D$25*AM294^3+BMILMS!$E$25*AM294^2+BMILMS!$F$25*AM294+BMILMS!$G$25))))),(IF(AM294&lt;2.5,BMILMS!$D$27*AM294^3+BMILMS!$E$27*AM294^2+BMILMS!$F$27*AM294+BMILMS!$G$27,IF(AM294&lt;9.5,BMILMS!$D$28*AM294^3+BMILMS!$E$28*AM294^2+BMILMS!$F$28*AM294+BMILMS!$G$28,IF(AM294&lt;26.75,BMILMS!$D$29*AM294^3+BMILMS!$E$29*AM294^2+BMILMS!$F$29*AM294+BMILMS!$G$29,IF(AM294&lt;90,BMILMS!$D$30*AM294^3+BMILMS!$E$30*AM294^2+BMILMS!$F$30*AM294+BMILMS!$G$30,IF(AM294&lt;150,BMILMS!$D$31*AM294^3+BMILMS!$E$31*AM294^2+BMILMS!$F$31*AM294+BMILMS!$G$31,BMILMS!$D$32*AM294^3+BMILMS!$E$32*AM294^2+BMILMS!$F$32*AM294+BMILMS!$G$32)))))))</f>
        <v>12.568967990000001</v>
      </c>
      <c r="AL294" s="4">
        <f>IF(D294="M",(IF(AM294&lt;90,BMILMS!$D$14*AM294^3+BMILMS!$E$14*AM294^2+BMILMS!$F$14*AM294+BMILMS!$G$14,BMILMS!$D$15*AM294^3+BMILMS!$E$15*AM294^2+BMILMS!$F$15*AM294+BMILMS!$G$15)),(IF(AM294&lt;90,BMILMS!$D$17*AM294^3+BMILMS!$E$17*AM294^2+BMILMS!$F$17*AM294+BMILMS!$G$17,BMILMS!$D$18*AM294^3+BMILMS!$E$18*AM294^2+BMILMS!$F$18*AM294+BMILMS!$G$18)))</f>
        <v>8.8969350000000003E-2</v>
      </c>
      <c r="AM294" s="4">
        <f t="shared" si="104"/>
        <v>0</v>
      </c>
      <c r="AO294" s="56">
        <f>IF(D294="M",WeightSDS!P$5*$AM294^7+WeightSDS!Q$5*$AM294^6+WeightSDS!R$5*$AM294^5+WeightSDS!S$5*$AM294^4+WeightSDS!T$5*$AM294^3+WeightSDS!U$5*$AM294^2+WeightSDS!V$5*$AM294+WeightSDS!W$5,IF($AM294&lt;186,WeightSDS!P$8*$AM294^7+WeightSDS!Q$8*$AM294^6+WeightSDS!R$8*$AM294^5+WeightSDS!S$8*$AM294^4+WeightSDS!T$8*$AM294^3+WeightSDS!U$8*$AM294^2+WeightSDS!V$8*$AM294+WeightSDS!W$8,WeightSDS!$U$9+WeightSDS!$V$9*($AM294-WeightSDS!$W$9)))</f>
        <v>0.75407122999999998</v>
      </c>
      <c r="AP294" s="4">
        <f>IF(D294="M",IF($AM294&lt;45,WeightSDS!M$23*$AM294^10+WeightSDS!N$23*$AM294^9+WeightSDS!O$23*$AM294^8+WeightSDS!P$23*$AM294^7+WeightSDS!Q$23*$AM294^6+WeightSDS!R$23*$AM294^5+WeightSDS!S$23*$AM294^4+WeightSDS!T$23*$AM294^3+WeightSDS!U$23*$AM294^2+WeightSDS!V$23*$AM294+WeightSDS!W$23,IF($AM294&lt;153,WeightSDS!M$25*$AM294^10+WeightSDS!N$25*$AM294^9+WeightSDS!O$25*$AM294^8+WeightSDS!P$25*$AM294^7+WeightSDS!Q$25*$AM294^6+WeightSDS!R$25*$AM294^5+WeightSDS!S$25*$AM294^4+WeightSDS!T$25*$AM294^3+WeightSDS!U$25*$AM294^2+WeightSDS!V$25*$AM294+WeightSDS!W$25,WeightSDS!M$27+WeightSDS!N$27/(1+EXP(WeightSDS!O$27+WeightSDS!P$27*$AM294)))),IF($AM294&lt;43.8,WeightSDS!M$29*$AM294^10+WeightSDS!N$29*$AM294^9+WeightSDS!O$29*$AM294^8+WeightSDS!P$29*$AM294^7+WeightSDS!Q$29*$AM294^6+WeightSDS!R$29*$AM294^5+WeightSDS!S$29*$AM294^4+WeightSDS!T$29*$AM294^3+WeightSDS!U$29*$AM294^2+WeightSDS!V$29*$AM294+WeightSDS!W$29-0.010431*(1-$AM294/210),IF($AM294&lt;123,WeightSDS!M$30*$AM294^10+WeightSDS!N$30*$AM294^9+WeightSDS!O$30*$AM294^8+WeightSDS!P$30*$AM294^7+WeightSDS!Q$30*$AM294^6+WeightSDS!R$30*$AM294^5+WeightSDS!S$30*$AM294^4+WeightSDS!T$30*$AM294^3+WeightSDS!U$30*$AM294^2+WeightSDS!V$30*$AM294+WeightSDS!W$30-0.010431*(1-1/$AM294),WeightSDS!M$32+WeightSDS!N$32/(1+EXP(WeightSDS!O$32+WeightSDS!P$32*$AM294))-0.010431*(1-$AM294/210))))</f>
        <v>2.9500001032655536</v>
      </c>
      <c r="AQ294" s="4">
        <f>IF(D294="M",IF($AM294&lt;162,WeightSDS!P$12*$AM294^7+WeightSDS!Q$12*$AM294^6+WeightSDS!R$12*$AM294^5+WeightSDS!S$12*$AM294^4+WeightSDS!T$12*$AM294^3+WeightSDS!U$12*$AM294^2+WeightSDS!V$12*$AM294+WeightSDS!W$12,WeightSDS!P$14*$AM294^7+WeightSDS!Q$14*$AM294^6+WeightSDS!R$14*$AM294^5+WeightSDS!S$14*$AM294^4+WeightSDS!T$14*$AM294^3+WeightSDS!U$14*$AM294^2+WeightSDS!V$14*$AM294+WeightSDS!W$14),IF($AM294&lt;156,WeightSDS!O$17*$AM294^8+WeightSDS!P$17*$AM294^7+WeightSDS!Q$17*$AM294^6+WeightSDS!R$17*$AM294^5+WeightSDS!S$17*$AM294^4+WeightSDS!T$17*$AM294^3+WeightSDS!U$17*$AM294^2+WeightSDS!V$17*$AM294+WeightSDS!W$17,IF($AM294&lt;186,WeightSDS!$U$18+(WeightSDS!$V$18-WeightSDS!$U$18)/24*($AM294-186)+WeightSDS!$W$18*(-$AM294+186)^2-0.005,WeightSDS!$U$18+(WeightSDS!$V$18-WeightSDS!$U$18)/24*($AM294-186)-0.005)))</f>
        <v>0.14604529399999999</v>
      </c>
      <c r="AT294" s="4">
        <f t="shared" si="91"/>
        <v>0.56299999999999994</v>
      </c>
      <c r="AU294" s="4">
        <f t="shared" si="92"/>
        <v>69</v>
      </c>
      <c r="AV294" s="4">
        <f t="shared" si="93"/>
        <v>0.51</v>
      </c>
    </row>
    <row r="295" spans="1:48" x14ac:dyDescent="0.15">
      <c r="A295" s="4"/>
      <c r="B295" s="21"/>
      <c r="C295" s="21"/>
      <c r="D295" s="21"/>
      <c r="E295" s="22"/>
      <c r="F295" s="22"/>
      <c r="G295" s="23"/>
      <c r="H295" s="23"/>
      <c r="I295" s="181"/>
      <c r="J295" s="8" t="str">
        <f t="shared" si="85"/>
        <v/>
      </c>
      <c r="K295" s="2" t="str">
        <f t="shared" si="94"/>
        <v/>
      </c>
      <c r="L295" s="2" t="str">
        <f t="shared" si="86"/>
        <v/>
      </c>
      <c r="M295" s="2" t="str">
        <f t="shared" si="95"/>
        <v/>
      </c>
      <c r="N295" s="2" t="str">
        <f t="shared" si="103"/>
        <v/>
      </c>
      <c r="O295" s="2" t="str">
        <f t="shared" si="96"/>
        <v/>
      </c>
      <c r="P295" s="8" t="str">
        <f t="shared" si="97"/>
        <v/>
      </c>
      <c r="Q295" s="8" t="str">
        <f t="shared" si="98"/>
        <v/>
      </c>
      <c r="R295" s="111" t="str">
        <f t="shared" si="99"/>
        <v/>
      </c>
      <c r="S295" s="44" t="str">
        <f t="shared" si="100"/>
        <v/>
      </c>
      <c r="T295" s="37" t="str">
        <f t="shared" si="101"/>
        <v/>
      </c>
      <c r="U295" s="44" t="str">
        <f t="shared" si="102"/>
        <v/>
      </c>
      <c r="V295" s="26"/>
      <c r="W295" s="26"/>
      <c r="X295" s="26"/>
      <c r="Y295" s="26"/>
      <c r="Z295" s="24"/>
      <c r="AA295" s="169">
        <f t="shared" si="87"/>
        <v>0</v>
      </c>
      <c r="AB295" s="4">
        <f t="shared" si="88"/>
        <v>0</v>
      </c>
      <c r="AC295" s="170">
        <f t="shared" si="105"/>
        <v>0</v>
      </c>
      <c r="AD295" s="58"/>
      <c r="AE295" s="58"/>
      <c r="AF295" s="58"/>
      <c r="AG295" s="59">
        <f t="shared" si="89"/>
        <v>9.0359999999999996</v>
      </c>
      <c r="AH295" s="59">
        <f t="shared" si="90"/>
        <v>-184.49199999999999</v>
      </c>
      <c r="AJ295" s="4">
        <f>IF(D295="M",IF(AM295&lt;78,BMILMS!$D$5*AM295^3+BMILMS!$E$5*AM295^2+BMILMS!$F$5*AM295+BMILMS!$G$5,IF(AM295&lt;150,BMILMS!$D$6*AM295^3+BMILMS!$E$6*AM295^2+BMILMS!$F$6*AM295+BMILMS!$G$6,BMILMS!$D$7*AM295^3+BMILMS!$E$7*AM295^2+BMILMS!$F$7*AM295+BMILMS!$G$7)),IF(AM295&lt;69,BMILMS!$D$9*AM295^3+BMILMS!$E$9*AM295^2+BMILMS!$F$9*AM295+BMILMS!$G$9,IF(AM295&lt;150,BMILMS!$D$10*AM295^3+BMILMS!$E$10*AM295^2+BMILMS!$F$10*AM295+BMILMS!$G$10,BMILMS!$D$11*AM295^3+BMILMS!$E$11*AM295^2+BMILMS!$F$11*AM295+BMILMS!$G$11)))</f>
        <v>0.79584630099999998</v>
      </c>
      <c r="AK295" s="4">
        <f>IF(D295="M",(IF(AM295&lt;2.5,BMILMS!$D$21*AM295^3+BMILMS!$E$21*AM295^2+BMILMS!$F$21*AM295+BMILMS!$G$21,IF(AM295&lt;9.5,BMILMS!$D$22*AM295^3+BMILMS!$E$22*AM295^2+BMILMS!$F$22*AM295+BMILMS!$G$22,IF(AM295&lt;26.75,BMILMS!$D$23*AM295^3+BMILMS!$E$23*AM295^2+BMILMS!$F$23*AM295+BMILMS!$G$23,IF(AM295&lt;90,BMILMS!$D$24*AM295^3+BMILMS!$E$24*AM295^2+BMILMS!$F$24*AM295+BMILMS!$G$24,BMILMS!$D$25*AM295^3+BMILMS!$E$25*AM295^2+BMILMS!$F$25*AM295+BMILMS!$G$25))))),(IF(AM295&lt;2.5,BMILMS!$D$27*AM295^3+BMILMS!$E$27*AM295^2+BMILMS!$F$27*AM295+BMILMS!$G$27,IF(AM295&lt;9.5,BMILMS!$D$28*AM295^3+BMILMS!$E$28*AM295^2+BMILMS!$F$28*AM295+BMILMS!$G$28,IF(AM295&lt;26.75,BMILMS!$D$29*AM295^3+BMILMS!$E$29*AM295^2+BMILMS!$F$29*AM295+BMILMS!$G$29,IF(AM295&lt;90,BMILMS!$D$30*AM295^3+BMILMS!$E$30*AM295^2+BMILMS!$F$30*AM295+BMILMS!$G$30,IF(AM295&lt;150,BMILMS!$D$31*AM295^3+BMILMS!$E$31*AM295^2+BMILMS!$F$31*AM295+BMILMS!$G$31,BMILMS!$D$32*AM295^3+BMILMS!$E$32*AM295^2+BMILMS!$F$32*AM295+BMILMS!$G$32)))))))</f>
        <v>12.568967990000001</v>
      </c>
      <c r="AL295" s="4">
        <f>IF(D295="M",(IF(AM295&lt;90,BMILMS!$D$14*AM295^3+BMILMS!$E$14*AM295^2+BMILMS!$F$14*AM295+BMILMS!$G$14,BMILMS!$D$15*AM295^3+BMILMS!$E$15*AM295^2+BMILMS!$F$15*AM295+BMILMS!$G$15)),(IF(AM295&lt;90,BMILMS!$D$17*AM295^3+BMILMS!$E$17*AM295^2+BMILMS!$F$17*AM295+BMILMS!$G$17,BMILMS!$D$18*AM295^3+BMILMS!$E$18*AM295^2+BMILMS!$F$18*AM295+BMILMS!$G$18)))</f>
        <v>8.8969350000000003E-2</v>
      </c>
      <c r="AM295" s="4">
        <f t="shared" si="104"/>
        <v>0</v>
      </c>
      <c r="AO295" s="56">
        <f>IF(D295="M",WeightSDS!P$5*$AM295^7+WeightSDS!Q$5*$AM295^6+WeightSDS!R$5*$AM295^5+WeightSDS!S$5*$AM295^4+WeightSDS!T$5*$AM295^3+WeightSDS!U$5*$AM295^2+WeightSDS!V$5*$AM295+WeightSDS!W$5,IF($AM295&lt;186,WeightSDS!P$8*$AM295^7+WeightSDS!Q$8*$AM295^6+WeightSDS!R$8*$AM295^5+WeightSDS!S$8*$AM295^4+WeightSDS!T$8*$AM295^3+WeightSDS!U$8*$AM295^2+WeightSDS!V$8*$AM295+WeightSDS!W$8,WeightSDS!$U$9+WeightSDS!$V$9*($AM295-WeightSDS!$W$9)))</f>
        <v>0.75407122999999998</v>
      </c>
      <c r="AP295" s="4">
        <f>IF(D295="M",IF($AM295&lt;45,WeightSDS!M$23*$AM295^10+WeightSDS!N$23*$AM295^9+WeightSDS!O$23*$AM295^8+WeightSDS!P$23*$AM295^7+WeightSDS!Q$23*$AM295^6+WeightSDS!R$23*$AM295^5+WeightSDS!S$23*$AM295^4+WeightSDS!T$23*$AM295^3+WeightSDS!U$23*$AM295^2+WeightSDS!V$23*$AM295+WeightSDS!W$23,IF($AM295&lt;153,WeightSDS!M$25*$AM295^10+WeightSDS!N$25*$AM295^9+WeightSDS!O$25*$AM295^8+WeightSDS!P$25*$AM295^7+WeightSDS!Q$25*$AM295^6+WeightSDS!R$25*$AM295^5+WeightSDS!S$25*$AM295^4+WeightSDS!T$25*$AM295^3+WeightSDS!U$25*$AM295^2+WeightSDS!V$25*$AM295+WeightSDS!W$25,WeightSDS!M$27+WeightSDS!N$27/(1+EXP(WeightSDS!O$27+WeightSDS!P$27*$AM295)))),IF($AM295&lt;43.8,WeightSDS!M$29*$AM295^10+WeightSDS!N$29*$AM295^9+WeightSDS!O$29*$AM295^8+WeightSDS!P$29*$AM295^7+WeightSDS!Q$29*$AM295^6+WeightSDS!R$29*$AM295^5+WeightSDS!S$29*$AM295^4+WeightSDS!T$29*$AM295^3+WeightSDS!U$29*$AM295^2+WeightSDS!V$29*$AM295+WeightSDS!W$29-0.010431*(1-$AM295/210),IF($AM295&lt;123,WeightSDS!M$30*$AM295^10+WeightSDS!N$30*$AM295^9+WeightSDS!O$30*$AM295^8+WeightSDS!P$30*$AM295^7+WeightSDS!Q$30*$AM295^6+WeightSDS!R$30*$AM295^5+WeightSDS!S$30*$AM295^4+WeightSDS!T$30*$AM295^3+WeightSDS!U$30*$AM295^2+WeightSDS!V$30*$AM295+WeightSDS!W$30-0.010431*(1-1/$AM295),WeightSDS!M$32+WeightSDS!N$32/(1+EXP(WeightSDS!O$32+WeightSDS!P$32*$AM295))-0.010431*(1-$AM295/210))))</f>
        <v>2.9500001032655536</v>
      </c>
      <c r="AQ295" s="4">
        <f>IF(D295="M",IF($AM295&lt;162,WeightSDS!P$12*$AM295^7+WeightSDS!Q$12*$AM295^6+WeightSDS!R$12*$AM295^5+WeightSDS!S$12*$AM295^4+WeightSDS!T$12*$AM295^3+WeightSDS!U$12*$AM295^2+WeightSDS!V$12*$AM295+WeightSDS!W$12,WeightSDS!P$14*$AM295^7+WeightSDS!Q$14*$AM295^6+WeightSDS!R$14*$AM295^5+WeightSDS!S$14*$AM295^4+WeightSDS!T$14*$AM295^3+WeightSDS!U$14*$AM295^2+WeightSDS!V$14*$AM295+WeightSDS!W$14),IF($AM295&lt;156,WeightSDS!O$17*$AM295^8+WeightSDS!P$17*$AM295^7+WeightSDS!Q$17*$AM295^6+WeightSDS!R$17*$AM295^5+WeightSDS!S$17*$AM295^4+WeightSDS!T$17*$AM295^3+WeightSDS!U$17*$AM295^2+WeightSDS!V$17*$AM295+WeightSDS!W$17,IF($AM295&lt;186,WeightSDS!$U$18+(WeightSDS!$V$18-WeightSDS!$U$18)/24*($AM295-186)+WeightSDS!$W$18*(-$AM295+186)^2-0.005,WeightSDS!$U$18+(WeightSDS!$V$18-WeightSDS!$U$18)/24*($AM295-186)-0.005)))</f>
        <v>0.14604529399999999</v>
      </c>
      <c r="AT295" s="4">
        <f t="shared" si="91"/>
        <v>0.56299999999999994</v>
      </c>
      <c r="AU295" s="4">
        <f t="shared" si="92"/>
        <v>69</v>
      </c>
      <c r="AV295" s="4">
        <f t="shared" si="93"/>
        <v>0.51</v>
      </c>
    </row>
    <row r="296" spans="1:48" x14ac:dyDescent="0.15">
      <c r="A296" s="4"/>
      <c r="B296" s="21"/>
      <c r="C296" s="21"/>
      <c r="D296" s="21"/>
      <c r="E296" s="22"/>
      <c r="F296" s="22"/>
      <c r="G296" s="23"/>
      <c r="H296" s="23"/>
      <c r="I296" s="181"/>
      <c r="J296" s="8" t="str">
        <f t="shared" si="85"/>
        <v/>
      </c>
      <c r="K296" s="2" t="str">
        <f t="shared" si="94"/>
        <v/>
      </c>
      <c r="L296" s="2" t="str">
        <f t="shared" si="86"/>
        <v/>
      </c>
      <c r="M296" s="2" t="str">
        <f t="shared" si="95"/>
        <v/>
      </c>
      <c r="N296" s="2" t="str">
        <f t="shared" si="103"/>
        <v/>
      </c>
      <c r="O296" s="2" t="str">
        <f t="shared" si="96"/>
        <v/>
      </c>
      <c r="P296" s="8" t="str">
        <f t="shared" si="97"/>
        <v/>
      </c>
      <c r="Q296" s="8" t="str">
        <f t="shared" si="98"/>
        <v/>
      </c>
      <c r="R296" s="111" t="str">
        <f t="shared" si="99"/>
        <v/>
      </c>
      <c r="S296" s="44" t="str">
        <f t="shared" si="100"/>
        <v/>
      </c>
      <c r="T296" s="37" t="str">
        <f t="shared" si="101"/>
        <v/>
      </c>
      <c r="U296" s="44" t="str">
        <f t="shared" si="102"/>
        <v/>
      </c>
      <c r="V296" s="26"/>
      <c r="W296" s="26"/>
      <c r="X296" s="26"/>
      <c r="Y296" s="26"/>
      <c r="Z296" s="24"/>
      <c r="AA296" s="169">
        <f t="shared" si="87"/>
        <v>0</v>
      </c>
      <c r="AB296" s="4">
        <f t="shared" si="88"/>
        <v>0</v>
      </c>
      <c r="AC296" s="170">
        <f t="shared" si="105"/>
        <v>0</v>
      </c>
      <c r="AD296" s="58"/>
      <c r="AE296" s="58"/>
      <c r="AF296" s="58"/>
      <c r="AG296" s="59">
        <f t="shared" si="89"/>
        <v>9.0359999999999996</v>
      </c>
      <c r="AH296" s="59">
        <f t="shared" si="90"/>
        <v>-184.49199999999999</v>
      </c>
      <c r="AJ296" s="4">
        <f>IF(D296="M",IF(AM296&lt;78,BMILMS!$D$5*AM296^3+BMILMS!$E$5*AM296^2+BMILMS!$F$5*AM296+BMILMS!$G$5,IF(AM296&lt;150,BMILMS!$D$6*AM296^3+BMILMS!$E$6*AM296^2+BMILMS!$F$6*AM296+BMILMS!$G$6,BMILMS!$D$7*AM296^3+BMILMS!$E$7*AM296^2+BMILMS!$F$7*AM296+BMILMS!$G$7)),IF(AM296&lt;69,BMILMS!$D$9*AM296^3+BMILMS!$E$9*AM296^2+BMILMS!$F$9*AM296+BMILMS!$G$9,IF(AM296&lt;150,BMILMS!$D$10*AM296^3+BMILMS!$E$10*AM296^2+BMILMS!$F$10*AM296+BMILMS!$G$10,BMILMS!$D$11*AM296^3+BMILMS!$E$11*AM296^2+BMILMS!$F$11*AM296+BMILMS!$G$11)))</f>
        <v>0.79584630099999998</v>
      </c>
      <c r="AK296" s="4">
        <f>IF(D296="M",(IF(AM296&lt;2.5,BMILMS!$D$21*AM296^3+BMILMS!$E$21*AM296^2+BMILMS!$F$21*AM296+BMILMS!$G$21,IF(AM296&lt;9.5,BMILMS!$D$22*AM296^3+BMILMS!$E$22*AM296^2+BMILMS!$F$22*AM296+BMILMS!$G$22,IF(AM296&lt;26.75,BMILMS!$D$23*AM296^3+BMILMS!$E$23*AM296^2+BMILMS!$F$23*AM296+BMILMS!$G$23,IF(AM296&lt;90,BMILMS!$D$24*AM296^3+BMILMS!$E$24*AM296^2+BMILMS!$F$24*AM296+BMILMS!$G$24,BMILMS!$D$25*AM296^3+BMILMS!$E$25*AM296^2+BMILMS!$F$25*AM296+BMILMS!$G$25))))),(IF(AM296&lt;2.5,BMILMS!$D$27*AM296^3+BMILMS!$E$27*AM296^2+BMILMS!$F$27*AM296+BMILMS!$G$27,IF(AM296&lt;9.5,BMILMS!$D$28*AM296^3+BMILMS!$E$28*AM296^2+BMILMS!$F$28*AM296+BMILMS!$G$28,IF(AM296&lt;26.75,BMILMS!$D$29*AM296^3+BMILMS!$E$29*AM296^2+BMILMS!$F$29*AM296+BMILMS!$G$29,IF(AM296&lt;90,BMILMS!$D$30*AM296^3+BMILMS!$E$30*AM296^2+BMILMS!$F$30*AM296+BMILMS!$G$30,IF(AM296&lt;150,BMILMS!$D$31*AM296^3+BMILMS!$E$31*AM296^2+BMILMS!$F$31*AM296+BMILMS!$G$31,BMILMS!$D$32*AM296^3+BMILMS!$E$32*AM296^2+BMILMS!$F$32*AM296+BMILMS!$G$32)))))))</f>
        <v>12.568967990000001</v>
      </c>
      <c r="AL296" s="4">
        <f>IF(D296="M",(IF(AM296&lt;90,BMILMS!$D$14*AM296^3+BMILMS!$E$14*AM296^2+BMILMS!$F$14*AM296+BMILMS!$G$14,BMILMS!$D$15*AM296^3+BMILMS!$E$15*AM296^2+BMILMS!$F$15*AM296+BMILMS!$G$15)),(IF(AM296&lt;90,BMILMS!$D$17*AM296^3+BMILMS!$E$17*AM296^2+BMILMS!$F$17*AM296+BMILMS!$G$17,BMILMS!$D$18*AM296^3+BMILMS!$E$18*AM296^2+BMILMS!$F$18*AM296+BMILMS!$G$18)))</f>
        <v>8.8969350000000003E-2</v>
      </c>
      <c r="AM296" s="4">
        <f t="shared" si="104"/>
        <v>0</v>
      </c>
      <c r="AO296" s="56">
        <f>IF(D296="M",WeightSDS!P$5*$AM296^7+WeightSDS!Q$5*$AM296^6+WeightSDS!R$5*$AM296^5+WeightSDS!S$5*$AM296^4+WeightSDS!T$5*$AM296^3+WeightSDS!U$5*$AM296^2+WeightSDS!V$5*$AM296+WeightSDS!W$5,IF($AM296&lt;186,WeightSDS!P$8*$AM296^7+WeightSDS!Q$8*$AM296^6+WeightSDS!R$8*$AM296^5+WeightSDS!S$8*$AM296^4+WeightSDS!T$8*$AM296^3+WeightSDS!U$8*$AM296^2+WeightSDS!V$8*$AM296+WeightSDS!W$8,WeightSDS!$U$9+WeightSDS!$V$9*($AM296-WeightSDS!$W$9)))</f>
        <v>0.75407122999999998</v>
      </c>
      <c r="AP296" s="4">
        <f>IF(D296="M",IF($AM296&lt;45,WeightSDS!M$23*$AM296^10+WeightSDS!N$23*$AM296^9+WeightSDS!O$23*$AM296^8+WeightSDS!P$23*$AM296^7+WeightSDS!Q$23*$AM296^6+WeightSDS!R$23*$AM296^5+WeightSDS!S$23*$AM296^4+WeightSDS!T$23*$AM296^3+WeightSDS!U$23*$AM296^2+WeightSDS!V$23*$AM296+WeightSDS!W$23,IF($AM296&lt;153,WeightSDS!M$25*$AM296^10+WeightSDS!N$25*$AM296^9+WeightSDS!O$25*$AM296^8+WeightSDS!P$25*$AM296^7+WeightSDS!Q$25*$AM296^6+WeightSDS!R$25*$AM296^5+WeightSDS!S$25*$AM296^4+WeightSDS!T$25*$AM296^3+WeightSDS!U$25*$AM296^2+WeightSDS!V$25*$AM296+WeightSDS!W$25,WeightSDS!M$27+WeightSDS!N$27/(1+EXP(WeightSDS!O$27+WeightSDS!P$27*$AM296)))),IF($AM296&lt;43.8,WeightSDS!M$29*$AM296^10+WeightSDS!N$29*$AM296^9+WeightSDS!O$29*$AM296^8+WeightSDS!P$29*$AM296^7+WeightSDS!Q$29*$AM296^6+WeightSDS!R$29*$AM296^5+WeightSDS!S$29*$AM296^4+WeightSDS!T$29*$AM296^3+WeightSDS!U$29*$AM296^2+WeightSDS!V$29*$AM296+WeightSDS!W$29-0.010431*(1-$AM296/210),IF($AM296&lt;123,WeightSDS!M$30*$AM296^10+WeightSDS!N$30*$AM296^9+WeightSDS!O$30*$AM296^8+WeightSDS!P$30*$AM296^7+WeightSDS!Q$30*$AM296^6+WeightSDS!R$30*$AM296^5+WeightSDS!S$30*$AM296^4+WeightSDS!T$30*$AM296^3+WeightSDS!U$30*$AM296^2+WeightSDS!V$30*$AM296+WeightSDS!W$30-0.010431*(1-1/$AM296),WeightSDS!M$32+WeightSDS!N$32/(1+EXP(WeightSDS!O$32+WeightSDS!P$32*$AM296))-0.010431*(1-$AM296/210))))</f>
        <v>2.9500001032655536</v>
      </c>
      <c r="AQ296" s="4">
        <f>IF(D296="M",IF($AM296&lt;162,WeightSDS!P$12*$AM296^7+WeightSDS!Q$12*$AM296^6+WeightSDS!R$12*$AM296^5+WeightSDS!S$12*$AM296^4+WeightSDS!T$12*$AM296^3+WeightSDS!U$12*$AM296^2+WeightSDS!V$12*$AM296+WeightSDS!W$12,WeightSDS!P$14*$AM296^7+WeightSDS!Q$14*$AM296^6+WeightSDS!R$14*$AM296^5+WeightSDS!S$14*$AM296^4+WeightSDS!T$14*$AM296^3+WeightSDS!U$14*$AM296^2+WeightSDS!V$14*$AM296+WeightSDS!W$14),IF($AM296&lt;156,WeightSDS!O$17*$AM296^8+WeightSDS!P$17*$AM296^7+WeightSDS!Q$17*$AM296^6+WeightSDS!R$17*$AM296^5+WeightSDS!S$17*$AM296^4+WeightSDS!T$17*$AM296^3+WeightSDS!U$17*$AM296^2+WeightSDS!V$17*$AM296+WeightSDS!W$17,IF($AM296&lt;186,WeightSDS!$U$18+(WeightSDS!$V$18-WeightSDS!$U$18)/24*($AM296-186)+WeightSDS!$W$18*(-$AM296+186)^2-0.005,WeightSDS!$U$18+(WeightSDS!$V$18-WeightSDS!$U$18)/24*($AM296-186)-0.005)))</f>
        <v>0.14604529399999999</v>
      </c>
      <c r="AT296" s="4">
        <f t="shared" si="91"/>
        <v>0.56299999999999994</v>
      </c>
      <c r="AU296" s="4">
        <f t="shared" si="92"/>
        <v>69</v>
      </c>
      <c r="AV296" s="4">
        <f t="shared" si="93"/>
        <v>0.51</v>
      </c>
    </row>
    <row r="297" spans="1:48" x14ac:dyDescent="0.15">
      <c r="A297" s="4"/>
      <c r="B297" s="21"/>
      <c r="C297" s="21"/>
      <c r="D297" s="21"/>
      <c r="E297" s="22"/>
      <c r="F297" s="22"/>
      <c r="G297" s="23"/>
      <c r="H297" s="23"/>
      <c r="I297" s="181"/>
      <c r="J297" s="8" t="str">
        <f t="shared" si="85"/>
        <v/>
      </c>
      <c r="K297" s="2" t="str">
        <f t="shared" si="94"/>
        <v/>
      </c>
      <c r="L297" s="2" t="str">
        <f t="shared" si="86"/>
        <v/>
      </c>
      <c r="M297" s="2" t="str">
        <f t="shared" si="95"/>
        <v/>
      </c>
      <c r="N297" s="2" t="str">
        <f t="shared" si="103"/>
        <v/>
      </c>
      <c r="O297" s="2" t="str">
        <f t="shared" si="96"/>
        <v/>
      </c>
      <c r="P297" s="8" t="str">
        <f t="shared" si="97"/>
        <v/>
      </c>
      <c r="Q297" s="8" t="str">
        <f t="shared" si="98"/>
        <v/>
      </c>
      <c r="R297" s="111" t="str">
        <f t="shared" si="99"/>
        <v/>
      </c>
      <c r="S297" s="44" t="str">
        <f t="shared" si="100"/>
        <v/>
      </c>
      <c r="T297" s="37" t="str">
        <f t="shared" si="101"/>
        <v/>
      </c>
      <c r="U297" s="44" t="str">
        <f t="shared" si="102"/>
        <v/>
      </c>
      <c r="V297" s="26"/>
      <c r="W297" s="26"/>
      <c r="X297" s="26"/>
      <c r="Y297" s="26"/>
      <c r="Z297" s="24"/>
      <c r="AA297" s="169">
        <f t="shared" si="87"/>
        <v>0</v>
      </c>
      <c r="AB297" s="4">
        <f t="shared" si="88"/>
        <v>0</v>
      </c>
      <c r="AC297" s="170">
        <f t="shared" si="105"/>
        <v>0</v>
      </c>
      <c r="AD297" s="58"/>
      <c r="AE297" s="58"/>
      <c r="AF297" s="58"/>
      <c r="AG297" s="59">
        <f t="shared" si="89"/>
        <v>9.0359999999999996</v>
      </c>
      <c r="AH297" s="59">
        <f t="shared" si="90"/>
        <v>-184.49199999999999</v>
      </c>
      <c r="AJ297" s="4">
        <f>IF(D297="M",IF(AM297&lt;78,BMILMS!$D$5*AM297^3+BMILMS!$E$5*AM297^2+BMILMS!$F$5*AM297+BMILMS!$G$5,IF(AM297&lt;150,BMILMS!$D$6*AM297^3+BMILMS!$E$6*AM297^2+BMILMS!$F$6*AM297+BMILMS!$G$6,BMILMS!$D$7*AM297^3+BMILMS!$E$7*AM297^2+BMILMS!$F$7*AM297+BMILMS!$G$7)),IF(AM297&lt;69,BMILMS!$D$9*AM297^3+BMILMS!$E$9*AM297^2+BMILMS!$F$9*AM297+BMILMS!$G$9,IF(AM297&lt;150,BMILMS!$D$10*AM297^3+BMILMS!$E$10*AM297^2+BMILMS!$F$10*AM297+BMILMS!$G$10,BMILMS!$D$11*AM297^3+BMILMS!$E$11*AM297^2+BMILMS!$F$11*AM297+BMILMS!$G$11)))</f>
        <v>0.79584630099999998</v>
      </c>
      <c r="AK297" s="4">
        <f>IF(D297="M",(IF(AM297&lt;2.5,BMILMS!$D$21*AM297^3+BMILMS!$E$21*AM297^2+BMILMS!$F$21*AM297+BMILMS!$G$21,IF(AM297&lt;9.5,BMILMS!$D$22*AM297^3+BMILMS!$E$22*AM297^2+BMILMS!$F$22*AM297+BMILMS!$G$22,IF(AM297&lt;26.75,BMILMS!$D$23*AM297^3+BMILMS!$E$23*AM297^2+BMILMS!$F$23*AM297+BMILMS!$G$23,IF(AM297&lt;90,BMILMS!$D$24*AM297^3+BMILMS!$E$24*AM297^2+BMILMS!$F$24*AM297+BMILMS!$G$24,BMILMS!$D$25*AM297^3+BMILMS!$E$25*AM297^2+BMILMS!$F$25*AM297+BMILMS!$G$25))))),(IF(AM297&lt;2.5,BMILMS!$D$27*AM297^3+BMILMS!$E$27*AM297^2+BMILMS!$F$27*AM297+BMILMS!$G$27,IF(AM297&lt;9.5,BMILMS!$D$28*AM297^3+BMILMS!$E$28*AM297^2+BMILMS!$F$28*AM297+BMILMS!$G$28,IF(AM297&lt;26.75,BMILMS!$D$29*AM297^3+BMILMS!$E$29*AM297^2+BMILMS!$F$29*AM297+BMILMS!$G$29,IF(AM297&lt;90,BMILMS!$D$30*AM297^3+BMILMS!$E$30*AM297^2+BMILMS!$F$30*AM297+BMILMS!$G$30,IF(AM297&lt;150,BMILMS!$D$31*AM297^3+BMILMS!$E$31*AM297^2+BMILMS!$F$31*AM297+BMILMS!$G$31,BMILMS!$D$32*AM297^3+BMILMS!$E$32*AM297^2+BMILMS!$F$32*AM297+BMILMS!$G$32)))))))</f>
        <v>12.568967990000001</v>
      </c>
      <c r="AL297" s="4">
        <f>IF(D297="M",(IF(AM297&lt;90,BMILMS!$D$14*AM297^3+BMILMS!$E$14*AM297^2+BMILMS!$F$14*AM297+BMILMS!$G$14,BMILMS!$D$15*AM297^3+BMILMS!$E$15*AM297^2+BMILMS!$F$15*AM297+BMILMS!$G$15)),(IF(AM297&lt;90,BMILMS!$D$17*AM297^3+BMILMS!$E$17*AM297^2+BMILMS!$F$17*AM297+BMILMS!$G$17,BMILMS!$D$18*AM297^3+BMILMS!$E$18*AM297^2+BMILMS!$F$18*AM297+BMILMS!$G$18)))</f>
        <v>8.8969350000000003E-2</v>
      </c>
      <c r="AM297" s="4">
        <f t="shared" si="104"/>
        <v>0</v>
      </c>
      <c r="AO297" s="56">
        <f>IF(D297="M",WeightSDS!P$5*$AM297^7+WeightSDS!Q$5*$AM297^6+WeightSDS!R$5*$AM297^5+WeightSDS!S$5*$AM297^4+WeightSDS!T$5*$AM297^3+WeightSDS!U$5*$AM297^2+WeightSDS!V$5*$AM297+WeightSDS!W$5,IF($AM297&lt;186,WeightSDS!P$8*$AM297^7+WeightSDS!Q$8*$AM297^6+WeightSDS!R$8*$AM297^5+WeightSDS!S$8*$AM297^4+WeightSDS!T$8*$AM297^3+WeightSDS!U$8*$AM297^2+WeightSDS!V$8*$AM297+WeightSDS!W$8,WeightSDS!$U$9+WeightSDS!$V$9*($AM297-WeightSDS!$W$9)))</f>
        <v>0.75407122999999998</v>
      </c>
      <c r="AP297" s="4">
        <f>IF(D297="M",IF($AM297&lt;45,WeightSDS!M$23*$AM297^10+WeightSDS!N$23*$AM297^9+WeightSDS!O$23*$AM297^8+WeightSDS!P$23*$AM297^7+WeightSDS!Q$23*$AM297^6+WeightSDS!R$23*$AM297^5+WeightSDS!S$23*$AM297^4+WeightSDS!T$23*$AM297^3+WeightSDS!U$23*$AM297^2+WeightSDS!V$23*$AM297+WeightSDS!W$23,IF($AM297&lt;153,WeightSDS!M$25*$AM297^10+WeightSDS!N$25*$AM297^9+WeightSDS!O$25*$AM297^8+WeightSDS!P$25*$AM297^7+WeightSDS!Q$25*$AM297^6+WeightSDS!R$25*$AM297^5+WeightSDS!S$25*$AM297^4+WeightSDS!T$25*$AM297^3+WeightSDS!U$25*$AM297^2+WeightSDS!V$25*$AM297+WeightSDS!W$25,WeightSDS!M$27+WeightSDS!N$27/(1+EXP(WeightSDS!O$27+WeightSDS!P$27*$AM297)))),IF($AM297&lt;43.8,WeightSDS!M$29*$AM297^10+WeightSDS!N$29*$AM297^9+WeightSDS!O$29*$AM297^8+WeightSDS!P$29*$AM297^7+WeightSDS!Q$29*$AM297^6+WeightSDS!R$29*$AM297^5+WeightSDS!S$29*$AM297^4+WeightSDS!T$29*$AM297^3+WeightSDS!U$29*$AM297^2+WeightSDS!V$29*$AM297+WeightSDS!W$29-0.010431*(1-$AM297/210),IF($AM297&lt;123,WeightSDS!M$30*$AM297^10+WeightSDS!N$30*$AM297^9+WeightSDS!O$30*$AM297^8+WeightSDS!P$30*$AM297^7+WeightSDS!Q$30*$AM297^6+WeightSDS!R$30*$AM297^5+WeightSDS!S$30*$AM297^4+WeightSDS!T$30*$AM297^3+WeightSDS!U$30*$AM297^2+WeightSDS!V$30*$AM297+WeightSDS!W$30-0.010431*(1-1/$AM297),WeightSDS!M$32+WeightSDS!N$32/(1+EXP(WeightSDS!O$32+WeightSDS!P$32*$AM297))-0.010431*(1-$AM297/210))))</f>
        <v>2.9500001032655536</v>
      </c>
      <c r="AQ297" s="4">
        <f>IF(D297="M",IF($AM297&lt;162,WeightSDS!P$12*$AM297^7+WeightSDS!Q$12*$AM297^6+WeightSDS!R$12*$AM297^5+WeightSDS!S$12*$AM297^4+WeightSDS!T$12*$AM297^3+WeightSDS!U$12*$AM297^2+WeightSDS!V$12*$AM297+WeightSDS!W$12,WeightSDS!P$14*$AM297^7+WeightSDS!Q$14*$AM297^6+WeightSDS!R$14*$AM297^5+WeightSDS!S$14*$AM297^4+WeightSDS!T$14*$AM297^3+WeightSDS!U$14*$AM297^2+WeightSDS!V$14*$AM297+WeightSDS!W$14),IF($AM297&lt;156,WeightSDS!O$17*$AM297^8+WeightSDS!P$17*$AM297^7+WeightSDS!Q$17*$AM297^6+WeightSDS!R$17*$AM297^5+WeightSDS!S$17*$AM297^4+WeightSDS!T$17*$AM297^3+WeightSDS!U$17*$AM297^2+WeightSDS!V$17*$AM297+WeightSDS!W$17,IF($AM297&lt;186,WeightSDS!$U$18+(WeightSDS!$V$18-WeightSDS!$U$18)/24*($AM297-186)+WeightSDS!$W$18*(-$AM297+186)^2-0.005,WeightSDS!$U$18+(WeightSDS!$V$18-WeightSDS!$U$18)/24*($AM297-186)-0.005)))</f>
        <v>0.14604529399999999</v>
      </c>
      <c r="AT297" s="4">
        <f t="shared" si="91"/>
        <v>0.56299999999999994</v>
      </c>
      <c r="AU297" s="4">
        <f t="shared" si="92"/>
        <v>69</v>
      </c>
      <c r="AV297" s="4">
        <f t="shared" si="93"/>
        <v>0.51</v>
      </c>
    </row>
    <row r="298" spans="1:48" x14ac:dyDescent="0.15">
      <c r="A298" s="4"/>
      <c r="B298" s="21"/>
      <c r="C298" s="21"/>
      <c r="D298" s="21"/>
      <c r="E298" s="22"/>
      <c r="F298" s="22"/>
      <c r="G298" s="23"/>
      <c r="H298" s="23"/>
      <c r="I298" s="181"/>
      <c r="J298" s="8" t="str">
        <f t="shared" si="85"/>
        <v/>
      </c>
      <c r="K298" s="2" t="str">
        <f t="shared" si="94"/>
        <v/>
      </c>
      <c r="L298" s="2" t="str">
        <f t="shared" si="86"/>
        <v/>
      </c>
      <c r="M298" s="2" t="str">
        <f t="shared" si="95"/>
        <v/>
      </c>
      <c r="N298" s="2" t="str">
        <f t="shared" si="103"/>
        <v/>
      </c>
      <c r="O298" s="2" t="str">
        <f t="shared" si="96"/>
        <v/>
      </c>
      <c r="P298" s="8" t="str">
        <f t="shared" si="97"/>
        <v/>
      </c>
      <c r="Q298" s="8" t="str">
        <f t="shared" si="98"/>
        <v/>
      </c>
      <c r="R298" s="111" t="str">
        <f t="shared" si="99"/>
        <v/>
      </c>
      <c r="S298" s="44" t="str">
        <f t="shared" si="100"/>
        <v/>
      </c>
      <c r="T298" s="37" t="str">
        <f t="shared" si="101"/>
        <v/>
      </c>
      <c r="U298" s="44" t="str">
        <f t="shared" si="102"/>
        <v/>
      </c>
      <c r="V298" s="26"/>
      <c r="W298" s="26"/>
      <c r="X298" s="26"/>
      <c r="Y298" s="26"/>
      <c r="Z298" s="24"/>
      <c r="AA298" s="169">
        <f t="shared" si="87"/>
        <v>0</v>
      </c>
      <c r="AB298" s="4">
        <f t="shared" si="88"/>
        <v>0</v>
      </c>
      <c r="AC298" s="170">
        <f t="shared" si="105"/>
        <v>0</v>
      </c>
      <c r="AD298" s="58"/>
      <c r="AE298" s="58"/>
      <c r="AF298" s="58"/>
      <c r="AG298" s="59">
        <f t="shared" si="89"/>
        <v>9.0359999999999996</v>
      </c>
      <c r="AH298" s="59">
        <f t="shared" si="90"/>
        <v>-184.49199999999999</v>
      </c>
      <c r="AJ298" s="4">
        <f>IF(D298="M",IF(AM298&lt;78,BMILMS!$D$5*AM298^3+BMILMS!$E$5*AM298^2+BMILMS!$F$5*AM298+BMILMS!$G$5,IF(AM298&lt;150,BMILMS!$D$6*AM298^3+BMILMS!$E$6*AM298^2+BMILMS!$F$6*AM298+BMILMS!$G$6,BMILMS!$D$7*AM298^3+BMILMS!$E$7*AM298^2+BMILMS!$F$7*AM298+BMILMS!$G$7)),IF(AM298&lt;69,BMILMS!$D$9*AM298^3+BMILMS!$E$9*AM298^2+BMILMS!$F$9*AM298+BMILMS!$G$9,IF(AM298&lt;150,BMILMS!$D$10*AM298^3+BMILMS!$E$10*AM298^2+BMILMS!$F$10*AM298+BMILMS!$G$10,BMILMS!$D$11*AM298^3+BMILMS!$E$11*AM298^2+BMILMS!$F$11*AM298+BMILMS!$G$11)))</f>
        <v>0.79584630099999998</v>
      </c>
      <c r="AK298" s="4">
        <f>IF(D298="M",(IF(AM298&lt;2.5,BMILMS!$D$21*AM298^3+BMILMS!$E$21*AM298^2+BMILMS!$F$21*AM298+BMILMS!$G$21,IF(AM298&lt;9.5,BMILMS!$D$22*AM298^3+BMILMS!$E$22*AM298^2+BMILMS!$F$22*AM298+BMILMS!$G$22,IF(AM298&lt;26.75,BMILMS!$D$23*AM298^3+BMILMS!$E$23*AM298^2+BMILMS!$F$23*AM298+BMILMS!$G$23,IF(AM298&lt;90,BMILMS!$D$24*AM298^3+BMILMS!$E$24*AM298^2+BMILMS!$F$24*AM298+BMILMS!$G$24,BMILMS!$D$25*AM298^3+BMILMS!$E$25*AM298^2+BMILMS!$F$25*AM298+BMILMS!$G$25))))),(IF(AM298&lt;2.5,BMILMS!$D$27*AM298^3+BMILMS!$E$27*AM298^2+BMILMS!$F$27*AM298+BMILMS!$G$27,IF(AM298&lt;9.5,BMILMS!$D$28*AM298^3+BMILMS!$E$28*AM298^2+BMILMS!$F$28*AM298+BMILMS!$G$28,IF(AM298&lt;26.75,BMILMS!$D$29*AM298^3+BMILMS!$E$29*AM298^2+BMILMS!$F$29*AM298+BMILMS!$G$29,IF(AM298&lt;90,BMILMS!$D$30*AM298^3+BMILMS!$E$30*AM298^2+BMILMS!$F$30*AM298+BMILMS!$G$30,IF(AM298&lt;150,BMILMS!$D$31*AM298^3+BMILMS!$E$31*AM298^2+BMILMS!$F$31*AM298+BMILMS!$G$31,BMILMS!$D$32*AM298^3+BMILMS!$E$32*AM298^2+BMILMS!$F$32*AM298+BMILMS!$G$32)))))))</f>
        <v>12.568967990000001</v>
      </c>
      <c r="AL298" s="4">
        <f>IF(D298="M",(IF(AM298&lt;90,BMILMS!$D$14*AM298^3+BMILMS!$E$14*AM298^2+BMILMS!$F$14*AM298+BMILMS!$G$14,BMILMS!$D$15*AM298^3+BMILMS!$E$15*AM298^2+BMILMS!$F$15*AM298+BMILMS!$G$15)),(IF(AM298&lt;90,BMILMS!$D$17*AM298^3+BMILMS!$E$17*AM298^2+BMILMS!$F$17*AM298+BMILMS!$G$17,BMILMS!$D$18*AM298^3+BMILMS!$E$18*AM298^2+BMILMS!$F$18*AM298+BMILMS!$G$18)))</f>
        <v>8.8969350000000003E-2</v>
      </c>
      <c r="AM298" s="4">
        <f t="shared" si="104"/>
        <v>0</v>
      </c>
      <c r="AO298" s="56">
        <f>IF(D298="M",WeightSDS!P$5*$AM298^7+WeightSDS!Q$5*$AM298^6+WeightSDS!R$5*$AM298^5+WeightSDS!S$5*$AM298^4+WeightSDS!T$5*$AM298^3+WeightSDS!U$5*$AM298^2+WeightSDS!V$5*$AM298+WeightSDS!W$5,IF($AM298&lt;186,WeightSDS!P$8*$AM298^7+WeightSDS!Q$8*$AM298^6+WeightSDS!R$8*$AM298^5+WeightSDS!S$8*$AM298^4+WeightSDS!T$8*$AM298^3+WeightSDS!U$8*$AM298^2+WeightSDS!V$8*$AM298+WeightSDS!W$8,WeightSDS!$U$9+WeightSDS!$V$9*($AM298-WeightSDS!$W$9)))</f>
        <v>0.75407122999999998</v>
      </c>
      <c r="AP298" s="4">
        <f>IF(D298="M",IF($AM298&lt;45,WeightSDS!M$23*$AM298^10+WeightSDS!N$23*$AM298^9+WeightSDS!O$23*$AM298^8+WeightSDS!P$23*$AM298^7+WeightSDS!Q$23*$AM298^6+WeightSDS!R$23*$AM298^5+WeightSDS!S$23*$AM298^4+WeightSDS!T$23*$AM298^3+WeightSDS!U$23*$AM298^2+WeightSDS!V$23*$AM298+WeightSDS!W$23,IF($AM298&lt;153,WeightSDS!M$25*$AM298^10+WeightSDS!N$25*$AM298^9+WeightSDS!O$25*$AM298^8+WeightSDS!P$25*$AM298^7+WeightSDS!Q$25*$AM298^6+WeightSDS!R$25*$AM298^5+WeightSDS!S$25*$AM298^4+WeightSDS!T$25*$AM298^3+WeightSDS!U$25*$AM298^2+WeightSDS!V$25*$AM298+WeightSDS!W$25,WeightSDS!M$27+WeightSDS!N$27/(1+EXP(WeightSDS!O$27+WeightSDS!P$27*$AM298)))),IF($AM298&lt;43.8,WeightSDS!M$29*$AM298^10+WeightSDS!N$29*$AM298^9+WeightSDS!O$29*$AM298^8+WeightSDS!P$29*$AM298^7+WeightSDS!Q$29*$AM298^6+WeightSDS!R$29*$AM298^5+WeightSDS!S$29*$AM298^4+WeightSDS!T$29*$AM298^3+WeightSDS!U$29*$AM298^2+WeightSDS!V$29*$AM298+WeightSDS!W$29-0.010431*(1-$AM298/210),IF($AM298&lt;123,WeightSDS!M$30*$AM298^10+WeightSDS!N$30*$AM298^9+WeightSDS!O$30*$AM298^8+WeightSDS!P$30*$AM298^7+WeightSDS!Q$30*$AM298^6+WeightSDS!R$30*$AM298^5+WeightSDS!S$30*$AM298^4+WeightSDS!T$30*$AM298^3+WeightSDS!U$30*$AM298^2+WeightSDS!V$30*$AM298+WeightSDS!W$30-0.010431*(1-1/$AM298),WeightSDS!M$32+WeightSDS!N$32/(1+EXP(WeightSDS!O$32+WeightSDS!P$32*$AM298))-0.010431*(1-$AM298/210))))</f>
        <v>2.9500001032655536</v>
      </c>
      <c r="AQ298" s="4">
        <f>IF(D298="M",IF($AM298&lt;162,WeightSDS!P$12*$AM298^7+WeightSDS!Q$12*$AM298^6+WeightSDS!R$12*$AM298^5+WeightSDS!S$12*$AM298^4+WeightSDS!T$12*$AM298^3+WeightSDS!U$12*$AM298^2+WeightSDS!V$12*$AM298+WeightSDS!W$12,WeightSDS!P$14*$AM298^7+WeightSDS!Q$14*$AM298^6+WeightSDS!R$14*$AM298^5+WeightSDS!S$14*$AM298^4+WeightSDS!T$14*$AM298^3+WeightSDS!U$14*$AM298^2+WeightSDS!V$14*$AM298+WeightSDS!W$14),IF($AM298&lt;156,WeightSDS!O$17*$AM298^8+WeightSDS!P$17*$AM298^7+WeightSDS!Q$17*$AM298^6+WeightSDS!R$17*$AM298^5+WeightSDS!S$17*$AM298^4+WeightSDS!T$17*$AM298^3+WeightSDS!U$17*$AM298^2+WeightSDS!V$17*$AM298+WeightSDS!W$17,IF($AM298&lt;186,WeightSDS!$U$18+(WeightSDS!$V$18-WeightSDS!$U$18)/24*($AM298-186)+WeightSDS!$W$18*(-$AM298+186)^2-0.005,WeightSDS!$U$18+(WeightSDS!$V$18-WeightSDS!$U$18)/24*($AM298-186)-0.005)))</f>
        <v>0.14604529399999999</v>
      </c>
      <c r="AT298" s="4">
        <f t="shared" si="91"/>
        <v>0.56299999999999994</v>
      </c>
      <c r="AU298" s="4">
        <f t="shared" si="92"/>
        <v>69</v>
      </c>
      <c r="AV298" s="4">
        <f t="shared" si="93"/>
        <v>0.51</v>
      </c>
    </row>
    <row r="299" spans="1:48" x14ac:dyDescent="0.15">
      <c r="A299" s="4"/>
      <c r="B299" s="21"/>
      <c r="C299" s="21"/>
      <c r="D299" s="21"/>
      <c r="E299" s="22"/>
      <c r="F299" s="22"/>
      <c r="G299" s="23"/>
      <c r="H299" s="23"/>
      <c r="I299" s="181"/>
      <c r="J299" s="8" t="str">
        <f t="shared" si="85"/>
        <v/>
      </c>
      <c r="K299" s="2" t="str">
        <f t="shared" si="94"/>
        <v/>
      </c>
      <c r="L299" s="2" t="str">
        <f t="shared" si="86"/>
        <v/>
      </c>
      <c r="M299" s="2" t="str">
        <f t="shared" si="95"/>
        <v/>
      </c>
      <c r="N299" s="2" t="str">
        <f t="shared" si="103"/>
        <v/>
      </c>
      <c r="O299" s="2" t="str">
        <f t="shared" si="96"/>
        <v/>
      </c>
      <c r="P299" s="8" t="str">
        <f t="shared" si="97"/>
        <v/>
      </c>
      <c r="Q299" s="8" t="str">
        <f t="shared" si="98"/>
        <v/>
      </c>
      <c r="R299" s="111" t="str">
        <f t="shared" si="99"/>
        <v/>
      </c>
      <c r="S299" s="44" t="str">
        <f t="shared" si="100"/>
        <v/>
      </c>
      <c r="T299" s="37" t="str">
        <f t="shared" si="101"/>
        <v/>
      </c>
      <c r="U299" s="44" t="str">
        <f t="shared" si="102"/>
        <v/>
      </c>
      <c r="V299" s="26"/>
      <c r="W299" s="26"/>
      <c r="X299" s="26"/>
      <c r="Y299" s="26"/>
      <c r="Z299" s="24"/>
      <c r="AA299" s="169">
        <f t="shared" si="87"/>
        <v>0</v>
      </c>
      <c r="AB299" s="4">
        <f t="shared" si="88"/>
        <v>0</v>
      </c>
      <c r="AC299" s="170">
        <f t="shared" si="105"/>
        <v>0</v>
      </c>
      <c r="AD299" s="58"/>
      <c r="AE299" s="58"/>
      <c r="AF299" s="58"/>
      <c r="AG299" s="59">
        <f t="shared" si="89"/>
        <v>9.0359999999999996</v>
      </c>
      <c r="AH299" s="59">
        <f t="shared" si="90"/>
        <v>-184.49199999999999</v>
      </c>
      <c r="AJ299" s="4">
        <f>IF(D299="M",IF(AM299&lt;78,BMILMS!$D$5*AM299^3+BMILMS!$E$5*AM299^2+BMILMS!$F$5*AM299+BMILMS!$G$5,IF(AM299&lt;150,BMILMS!$D$6*AM299^3+BMILMS!$E$6*AM299^2+BMILMS!$F$6*AM299+BMILMS!$G$6,BMILMS!$D$7*AM299^3+BMILMS!$E$7*AM299^2+BMILMS!$F$7*AM299+BMILMS!$G$7)),IF(AM299&lt;69,BMILMS!$D$9*AM299^3+BMILMS!$E$9*AM299^2+BMILMS!$F$9*AM299+BMILMS!$G$9,IF(AM299&lt;150,BMILMS!$D$10*AM299^3+BMILMS!$E$10*AM299^2+BMILMS!$F$10*AM299+BMILMS!$G$10,BMILMS!$D$11*AM299^3+BMILMS!$E$11*AM299^2+BMILMS!$F$11*AM299+BMILMS!$G$11)))</f>
        <v>0.79584630099999998</v>
      </c>
      <c r="AK299" s="4">
        <f>IF(D299="M",(IF(AM299&lt;2.5,BMILMS!$D$21*AM299^3+BMILMS!$E$21*AM299^2+BMILMS!$F$21*AM299+BMILMS!$G$21,IF(AM299&lt;9.5,BMILMS!$D$22*AM299^3+BMILMS!$E$22*AM299^2+BMILMS!$F$22*AM299+BMILMS!$G$22,IF(AM299&lt;26.75,BMILMS!$D$23*AM299^3+BMILMS!$E$23*AM299^2+BMILMS!$F$23*AM299+BMILMS!$G$23,IF(AM299&lt;90,BMILMS!$D$24*AM299^3+BMILMS!$E$24*AM299^2+BMILMS!$F$24*AM299+BMILMS!$G$24,BMILMS!$D$25*AM299^3+BMILMS!$E$25*AM299^2+BMILMS!$F$25*AM299+BMILMS!$G$25))))),(IF(AM299&lt;2.5,BMILMS!$D$27*AM299^3+BMILMS!$E$27*AM299^2+BMILMS!$F$27*AM299+BMILMS!$G$27,IF(AM299&lt;9.5,BMILMS!$D$28*AM299^3+BMILMS!$E$28*AM299^2+BMILMS!$F$28*AM299+BMILMS!$G$28,IF(AM299&lt;26.75,BMILMS!$D$29*AM299^3+BMILMS!$E$29*AM299^2+BMILMS!$F$29*AM299+BMILMS!$G$29,IF(AM299&lt;90,BMILMS!$D$30*AM299^3+BMILMS!$E$30*AM299^2+BMILMS!$F$30*AM299+BMILMS!$G$30,IF(AM299&lt;150,BMILMS!$D$31*AM299^3+BMILMS!$E$31*AM299^2+BMILMS!$F$31*AM299+BMILMS!$G$31,BMILMS!$D$32*AM299^3+BMILMS!$E$32*AM299^2+BMILMS!$F$32*AM299+BMILMS!$G$32)))))))</f>
        <v>12.568967990000001</v>
      </c>
      <c r="AL299" s="4">
        <f>IF(D299="M",(IF(AM299&lt;90,BMILMS!$D$14*AM299^3+BMILMS!$E$14*AM299^2+BMILMS!$F$14*AM299+BMILMS!$G$14,BMILMS!$D$15*AM299^3+BMILMS!$E$15*AM299^2+BMILMS!$F$15*AM299+BMILMS!$G$15)),(IF(AM299&lt;90,BMILMS!$D$17*AM299^3+BMILMS!$E$17*AM299^2+BMILMS!$F$17*AM299+BMILMS!$G$17,BMILMS!$D$18*AM299^3+BMILMS!$E$18*AM299^2+BMILMS!$F$18*AM299+BMILMS!$G$18)))</f>
        <v>8.8969350000000003E-2</v>
      </c>
      <c r="AM299" s="4">
        <f t="shared" si="104"/>
        <v>0</v>
      </c>
      <c r="AO299" s="56">
        <f>IF(D299="M",WeightSDS!P$5*$AM299^7+WeightSDS!Q$5*$AM299^6+WeightSDS!R$5*$AM299^5+WeightSDS!S$5*$AM299^4+WeightSDS!T$5*$AM299^3+WeightSDS!U$5*$AM299^2+WeightSDS!V$5*$AM299+WeightSDS!W$5,IF($AM299&lt;186,WeightSDS!P$8*$AM299^7+WeightSDS!Q$8*$AM299^6+WeightSDS!R$8*$AM299^5+WeightSDS!S$8*$AM299^4+WeightSDS!T$8*$AM299^3+WeightSDS!U$8*$AM299^2+WeightSDS!V$8*$AM299+WeightSDS!W$8,WeightSDS!$U$9+WeightSDS!$V$9*($AM299-WeightSDS!$W$9)))</f>
        <v>0.75407122999999998</v>
      </c>
      <c r="AP299" s="4">
        <f>IF(D299="M",IF($AM299&lt;45,WeightSDS!M$23*$AM299^10+WeightSDS!N$23*$AM299^9+WeightSDS!O$23*$AM299^8+WeightSDS!P$23*$AM299^7+WeightSDS!Q$23*$AM299^6+WeightSDS!R$23*$AM299^5+WeightSDS!S$23*$AM299^4+WeightSDS!T$23*$AM299^3+WeightSDS!U$23*$AM299^2+WeightSDS!V$23*$AM299+WeightSDS!W$23,IF($AM299&lt;153,WeightSDS!M$25*$AM299^10+WeightSDS!N$25*$AM299^9+WeightSDS!O$25*$AM299^8+WeightSDS!P$25*$AM299^7+WeightSDS!Q$25*$AM299^6+WeightSDS!R$25*$AM299^5+WeightSDS!S$25*$AM299^4+WeightSDS!T$25*$AM299^3+WeightSDS!U$25*$AM299^2+WeightSDS!V$25*$AM299+WeightSDS!W$25,WeightSDS!M$27+WeightSDS!N$27/(1+EXP(WeightSDS!O$27+WeightSDS!P$27*$AM299)))),IF($AM299&lt;43.8,WeightSDS!M$29*$AM299^10+WeightSDS!N$29*$AM299^9+WeightSDS!O$29*$AM299^8+WeightSDS!P$29*$AM299^7+WeightSDS!Q$29*$AM299^6+WeightSDS!R$29*$AM299^5+WeightSDS!S$29*$AM299^4+WeightSDS!T$29*$AM299^3+WeightSDS!U$29*$AM299^2+WeightSDS!V$29*$AM299+WeightSDS!W$29-0.010431*(1-$AM299/210),IF($AM299&lt;123,WeightSDS!M$30*$AM299^10+WeightSDS!N$30*$AM299^9+WeightSDS!O$30*$AM299^8+WeightSDS!P$30*$AM299^7+WeightSDS!Q$30*$AM299^6+WeightSDS!R$30*$AM299^5+WeightSDS!S$30*$AM299^4+WeightSDS!T$30*$AM299^3+WeightSDS!U$30*$AM299^2+WeightSDS!V$30*$AM299+WeightSDS!W$30-0.010431*(1-1/$AM299),WeightSDS!M$32+WeightSDS!N$32/(1+EXP(WeightSDS!O$32+WeightSDS!P$32*$AM299))-0.010431*(1-$AM299/210))))</f>
        <v>2.9500001032655536</v>
      </c>
      <c r="AQ299" s="4">
        <f>IF(D299="M",IF($AM299&lt;162,WeightSDS!P$12*$AM299^7+WeightSDS!Q$12*$AM299^6+WeightSDS!R$12*$AM299^5+WeightSDS!S$12*$AM299^4+WeightSDS!T$12*$AM299^3+WeightSDS!U$12*$AM299^2+WeightSDS!V$12*$AM299+WeightSDS!W$12,WeightSDS!P$14*$AM299^7+WeightSDS!Q$14*$AM299^6+WeightSDS!R$14*$AM299^5+WeightSDS!S$14*$AM299^4+WeightSDS!T$14*$AM299^3+WeightSDS!U$14*$AM299^2+WeightSDS!V$14*$AM299+WeightSDS!W$14),IF($AM299&lt;156,WeightSDS!O$17*$AM299^8+WeightSDS!P$17*$AM299^7+WeightSDS!Q$17*$AM299^6+WeightSDS!R$17*$AM299^5+WeightSDS!S$17*$AM299^4+WeightSDS!T$17*$AM299^3+WeightSDS!U$17*$AM299^2+WeightSDS!V$17*$AM299+WeightSDS!W$17,IF($AM299&lt;186,WeightSDS!$U$18+(WeightSDS!$V$18-WeightSDS!$U$18)/24*($AM299-186)+WeightSDS!$W$18*(-$AM299+186)^2-0.005,WeightSDS!$U$18+(WeightSDS!$V$18-WeightSDS!$U$18)/24*($AM299-186)-0.005)))</f>
        <v>0.14604529399999999</v>
      </c>
      <c r="AT299" s="4">
        <f t="shared" si="91"/>
        <v>0.56299999999999994</v>
      </c>
      <c r="AU299" s="4">
        <f t="shared" si="92"/>
        <v>69</v>
      </c>
      <c r="AV299" s="4">
        <f t="shared" si="93"/>
        <v>0.51</v>
      </c>
    </row>
    <row r="300" spans="1:48" x14ac:dyDescent="0.15">
      <c r="A300" s="4"/>
      <c r="B300" s="21"/>
      <c r="C300" s="21"/>
      <c r="D300" s="21"/>
      <c r="E300" s="22"/>
      <c r="F300" s="22"/>
      <c r="G300" s="23"/>
      <c r="H300" s="23"/>
      <c r="I300" s="181"/>
      <c r="J300" s="8" t="str">
        <f t="shared" si="85"/>
        <v/>
      </c>
      <c r="K300" s="2" t="str">
        <f t="shared" si="94"/>
        <v/>
      </c>
      <c r="L300" s="2" t="str">
        <f t="shared" si="86"/>
        <v/>
      </c>
      <c r="M300" s="2" t="str">
        <f t="shared" si="95"/>
        <v/>
      </c>
      <c r="N300" s="2" t="str">
        <f t="shared" si="103"/>
        <v/>
      </c>
      <c r="O300" s="2" t="str">
        <f t="shared" si="96"/>
        <v/>
      </c>
      <c r="P300" s="8" t="str">
        <f t="shared" si="97"/>
        <v/>
      </c>
      <c r="Q300" s="8" t="str">
        <f t="shared" si="98"/>
        <v/>
      </c>
      <c r="R300" s="111" t="str">
        <f t="shared" si="99"/>
        <v/>
      </c>
      <c r="S300" s="44" t="str">
        <f t="shared" si="100"/>
        <v/>
      </c>
      <c r="T300" s="37" t="str">
        <f t="shared" si="101"/>
        <v/>
      </c>
      <c r="U300" s="44" t="str">
        <f t="shared" si="102"/>
        <v/>
      </c>
      <c r="V300" s="26"/>
      <c r="W300" s="26"/>
      <c r="X300" s="26"/>
      <c r="Y300" s="26"/>
      <c r="Z300" s="24"/>
      <c r="AA300" s="169">
        <f t="shared" si="87"/>
        <v>0</v>
      </c>
      <c r="AB300" s="4">
        <f t="shared" si="88"/>
        <v>0</v>
      </c>
      <c r="AC300" s="170">
        <f t="shared" si="105"/>
        <v>0</v>
      </c>
      <c r="AD300" s="58"/>
      <c r="AE300" s="58"/>
      <c r="AF300" s="58"/>
      <c r="AG300" s="59">
        <f t="shared" si="89"/>
        <v>9.0359999999999996</v>
      </c>
      <c r="AH300" s="59">
        <f t="shared" si="90"/>
        <v>-184.49199999999999</v>
      </c>
      <c r="AJ300" s="4">
        <f>IF(D300="M",IF(AM300&lt;78,BMILMS!$D$5*AM300^3+BMILMS!$E$5*AM300^2+BMILMS!$F$5*AM300+BMILMS!$G$5,IF(AM300&lt;150,BMILMS!$D$6*AM300^3+BMILMS!$E$6*AM300^2+BMILMS!$F$6*AM300+BMILMS!$G$6,BMILMS!$D$7*AM300^3+BMILMS!$E$7*AM300^2+BMILMS!$F$7*AM300+BMILMS!$G$7)),IF(AM300&lt;69,BMILMS!$D$9*AM300^3+BMILMS!$E$9*AM300^2+BMILMS!$F$9*AM300+BMILMS!$G$9,IF(AM300&lt;150,BMILMS!$D$10*AM300^3+BMILMS!$E$10*AM300^2+BMILMS!$F$10*AM300+BMILMS!$G$10,BMILMS!$D$11*AM300^3+BMILMS!$E$11*AM300^2+BMILMS!$F$11*AM300+BMILMS!$G$11)))</f>
        <v>0.79584630099999998</v>
      </c>
      <c r="AK300" s="4">
        <f>IF(D300="M",(IF(AM300&lt;2.5,BMILMS!$D$21*AM300^3+BMILMS!$E$21*AM300^2+BMILMS!$F$21*AM300+BMILMS!$G$21,IF(AM300&lt;9.5,BMILMS!$D$22*AM300^3+BMILMS!$E$22*AM300^2+BMILMS!$F$22*AM300+BMILMS!$G$22,IF(AM300&lt;26.75,BMILMS!$D$23*AM300^3+BMILMS!$E$23*AM300^2+BMILMS!$F$23*AM300+BMILMS!$G$23,IF(AM300&lt;90,BMILMS!$D$24*AM300^3+BMILMS!$E$24*AM300^2+BMILMS!$F$24*AM300+BMILMS!$G$24,BMILMS!$D$25*AM300^3+BMILMS!$E$25*AM300^2+BMILMS!$F$25*AM300+BMILMS!$G$25))))),(IF(AM300&lt;2.5,BMILMS!$D$27*AM300^3+BMILMS!$E$27*AM300^2+BMILMS!$F$27*AM300+BMILMS!$G$27,IF(AM300&lt;9.5,BMILMS!$D$28*AM300^3+BMILMS!$E$28*AM300^2+BMILMS!$F$28*AM300+BMILMS!$G$28,IF(AM300&lt;26.75,BMILMS!$D$29*AM300^3+BMILMS!$E$29*AM300^2+BMILMS!$F$29*AM300+BMILMS!$G$29,IF(AM300&lt;90,BMILMS!$D$30*AM300^3+BMILMS!$E$30*AM300^2+BMILMS!$F$30*AM300+BMILMS!$G$30,IF(AM300&lt;150,BMILMS!$D$31*AM300^3+BMILMS!$E$31*AM300^2+BMILMS!$F$31*AM300+BMILMS!$G$31,BMILMS!$D$32*AM300^3+BMILMS!$E$32*AM300^2+BMILMS!$F$32*AM300+BMILMS!$G$32)))))))</f>
        <v>12.568967990000001</v>
      </c>
      <c r="AL300" s="4">
        <f>IF(D300="M",(IF(AM300&lt;90,BMILMS!$D$14*AM300^3+BMILMS!$E$14*AM300^2+BMILMS!$F$14*AM300+BMILMS!$G$14,BMILMS!$D$15*AM300^3+BMILMS!$E$15*AM300^2+BMILMS!$F$15*AM300+BMILMS!$G$15)),(IF(AM300&lt;90,BMILMS!$D$17*AM300^3+BMILMS!$E$17*AM300^2+BMILMS!$F$17*AM300+BMILMS!$G$17,BMILMS!$D$18*AM300^3+BMILMS!$E$18*AM300^2+BMILMS!$F$18*AM300+BMILMS!$G$18)))</f>
        <v>8.8969350000000003E-2</v>
      </c>
      <c r="AM300" s="4">
        <f t="shared" si="104"/>
        <v>0</v>
      </c>
      <c r="AO300" s="56">
        <f>IF(D300="M",WeightSDS!P$5*$AM300^7+WeightSDS!Q$5*$AM300^6+WeightSDS!R$5*$AM300^5+WeightSDS!S$5*$AM300^4+WeightSDS!T$5*$AM300^3+WeightSDS!U$5*$AM300^2+WeightSDS!V$5*$AM300+WeightSDS!W$5,IF($AM300&lt;186,WeightSDS!P$8*$AM300^7+WeightSDS!Q$8*$AM300^6+WeightSDS!R$8*$AM300^5+WeightSDS!S$8*$AM300^4+WeightSDS!T$8*$AM300^3+WeightSDS!U$8*$AM300^2+WeightSDS!V$8*$AM300+WeightSDS!W$8,WeightSDS!$U$9+WeightSDS!$V$9*($AM300-WeightSDS!$W$9)))</f>
        <v>0.75407122999999998</v>
      </c>
      <c r="AP300" s="4">
        <f>IF(D300="M",IF($AM300&lt;45,WeightSDS!M$23*$AM300^10+WeightSDS!N$23*$AM300^9+WeightSDS!O$23*$AM300^8+WeightSDS!P$23*$AM300^7+WeightSDS!Q$23*$AM300^6+WeightSDS!R$23*$AM300^5+WeightSDS!S$23*$AM300^4+WeightSDS!T$23*$AM300^3+WeightSDS!U$23*$AM300^2+WeightSDS!V$23*$AM300+WeightSDS!W$23,IF($AM300&lt;153,WeightSDS!M$25*$AM300^10+WeightSDS!N$25*$AM300^9+WeightSDS!O$25*$AM300^8+WeightSDS!P$25*$AM300^7+WeightSDS!Q$25*$AM300^6+WeightSDS!R$25*$AM300^5+WeightSDS!S$25*$AM300^4+WeightSDS!T$25*$AM300^3+WeightSDS!U$25*$AM300^2+WeightSDS!V$25*$AM300+WeightSDS!W$25,WeightSDS!M$27+WeightSDS!N$27/(1+EXP(WeightSDS!O$27+WeightSDS!P$27*$AM300)))),IF($AM300&lt;43.8,WeightSDS!M$29*$AM300^10+WeightSDS!N$29*$AM300^9+WeightSDS!O$29*$AM300^8+WeightSDS!P$29*$AM300^7+WeightSDS!Q$29*$AM300^6+WeightSDS!R$29*$AM300^5+WeightSDS!S$29*$AM300^4+WeightSDS!T$29*$AM300^3+WeightSDS!U$29*$AM300^2+WeightSDS!V$29*$AM300+WeightSDS!W$29-0.010431*(1-$AM300/210),IF($AM300&lt;123,WeightSDS!M$30*$AM300^10+WeightSDS!N$30*$AM300^9+WeightSDS!O$30*$AM300^8+WeightSDS!P$30*$AM300^7+WeightSDS!Q$30*$AM300^6+WeightSDS!R$30*$AM300^5+WeightSDS!S$30*$AM300^4+WeightSDS!T$30*$AM300^3+WeightSDS!U$30*$AM300^2+WeightSDS!V$30*$AM300+WeightSDS!W$30-0.010431*(1-1/$AM300),WeightSDS!M$32+WeightSDS!N$32/(1+EXP(WeightSDS!O$32+WeightSDS!P$32*$AM300))-0.010431*(1-$AM300/210))))</f>
        <v>2.9500001032655536</v>
      </c>
      <c r="AQ300" s="4">
        <f>IF(D300="M",IF($AM300&lt;162,WeightSDS!P$12*$AM300^7+WeightSDS!Q$12*$AM300^6+WeightSDS!R$12*$AM300^5+WeightSDS!S$12*$AM300^4+WeightSDS!T$12*$AM300^3+WeightSDS!U$12*$AM300^2+WeightSDS!V$12*$AM300+WeightSDS!W$12,WeightSDS!P$14*$AM300^7+WeightSDS!Q$14*$AM300^6+WeightSDS!R$14*$AM300^5+WeightSDS!S$14*$AM300^4+WeightSDS!T$14*$AM300^3+WeightSDS!U$14*$AM300^2+WeightSDS!V$14*$AM300+WeightSDS!W$14),IF($AM300&lt;156,WeightSDS!O$17*$AM300^8+WeightSDS!P$17*$AM300^7+WeightSDS!Q$17*$AM300^6+WeightSDS!R$17*$AM300^5+WeightSDS!S$17*$AM300^4+WeightSDS!T$17*$AM300^3+WeightSDS!U$17*$AM300^2+WeightSDS!V$17*$AM300+WeightSDS!W$17,IF($AM300&lt;186,WeightSDS!$U$18+(WeightSDS!$V$18-WeightSDS!$U$18)/24*($AM300-186)+WeightSDS!$W$18*(-$AM300+186)^2-0.005,WeightSDS!$U$18+(WeightSDS!$V$18-WeightSDS!$U$18)/24*($AM300-186)-0.005)))</f>
        <v>0.14604529399999999</v>
      </c>
      <c r="AT300" s="4">
        <f t="shared" si="91"/>
        <v>0.56299999999999994</v>
      </c>
      <c r="AU300" s="4">
        <f t="shared" si="92"/>
        <v>69</v>
      </c>
      <c r="AV300" s="4">
        <f t="shared" si="93"/>
        <v>0.51</v>
      </c>
    </row>
    <row r="301" spans="1:48" x14ac:dyDescent="0.15">
      <c r="A301" s="4"/>
      <c r="B301" s="21"/>
      <c r="C301" s="21"/>
      <c r="D301" s="21"/>
      <c r="E301" s="22"/>
      <c r="F301" s="22"/>
      <c r="G301" s="23"/>
      <c r="H301" s="23"/>
      <c r="I301" s="181"/>
      <c r="J301" s="8" t="str">
        <f t="shared" si="85"/>
        <v/>
      </c>
      <c r="K301" s="2" t="str">
        <f t="shared" si="94"/>
        <v/>
      </c>
      <c r="L301" s="2" t="str">
        <f t="shared" si="86"/>
        <v/>
      </c>
      <c r="M301" s="2" t="str">
        <f t="shared" si="95"/>
        <v/>
      </c>
      <c r="N301" s="2" t="str">
        <f t="shared" si="103"/>
        <v/>
      </c>
      <c r="O301" s="2" t="str">
        <f t="shared" si="96"/>
        <v/>
      </c>
      <c r="P301" s="8" t="str">
        <f t="shared" si="97"/>
        <v/>
      </c>
      <c r="Q301" s="8" t="str">
        <f t="shared" si="98"/>
        <v/>
      </c>
      <c r="R301" s="111" t="str">
        <f t="shared" si="99"/>
        <v/>
      </c>
      <c r="S301" s="44" t="str">
        <f t="shared" si="100"/>
        <v/>
      </c>
      <c r="T301" s="37" t="str">
        <f t="shared" si="101"/>
        <v/>
      </c>
      <c r="U301" s="44" t="str">
        <f t="shared" si="102"/>
        <v/>
      </c>
      <c r="V301" s="26"/>
      <c r="W301" s="26"/>
      <c r="X301" s="26"/>
      <c r="Y301" s="26"/>
      <c r="Z301" s="24"/>
      <c r="AA301" s="169">
        <f t="shared" si="87"/>
        <v>0</v>
      </c>
      <c r="AB301" s="4">
        <f t="shared" si="88"/>
        <v>0</v>
      </c>
      <c r="AC301" s="170">
        <f t="shared" si="105"/>
        <v>0</v>
      </c>
      <c r="AD301" s="58"/>
      <c r="AE301" s="58"/>
      <c r="AF301" s="58"/>
      <c r="AG301" s="59">
        <f t="shared" si="89"/>
        <v>9.0359999999999996</v>
      </c>
      <c r="AH301" s="59">
        <f t="shared" si="90"/>
        <v>-184.49199999999999</v>
      </c>
      <c r="AJ301" s="4">
        <f>IF(D301="M",IF(AM301&lt;78,BMILMS!$D$5*AM301^3+BMILMS!$E$5*AM301^2+BMILMS!$F$5*AM301+BMILMS!$G$5,IF(AM301&lt;150,BMILMS!$D$6*AM301^3+BMILMS!$E$6*AM301^2+BMILMS!$F$6*AM301+BMILMS!$G$6,BMILMS!$D$7*AM301^3+BMILMS!$E$7*AM301^2+BMILMS!$F$7*AM301+BMILMS!$G$7)),IF(AM301&lt;69,BMILMS!$D$9*AM301^3+BMILMS!$E$9*AM301^2+BMILMS!$F$9*AM301+BMILMS!$G$9,IF(AM301&lt;150,BMILMS!$D$10*AM301^3+BMILMS!$E$10*AM301^2+BMILMS!$F$10*AM301+BMILMS!$G$10,BMILMS!$D$11*AM301^3+BMILMS!$E$11*AM301^2+BMILMS!$F$11*AM301+BMILMS!$G$11)))</f>
        <v>0.79584630099999998</v>
      </c>
      <c r="AK301" s="4">
        <f>IF(D301="M",(IF(AM301&lt;2.5,BMILMS!$D$21*AM301^3+BMILMS!$E$21*AM301^2+BMILMS!$F$21*AM301+BMILMS!$G$21,IF(AM301&lt;9.5,BMILMS!$D$22*AM301^3+BMILMS!$E$22*AM301^2+BMILMS!$F$22*AM301+BMILMS!$G$22,IF(AM301&lt;26.75,BMILMS!$D$23*AM301^3+BMILMS!$E$23*AM301^2+BMILMS!$F$23*AM301+BMILMS!$G$23,IF(AM301&lt;90,BMILMS!$D$24*AM301^3+BMILMS!$E$24*AM301^2+BMILMS!$F$24*AM301+BMILMS!$G$24,BMILMS!$D$25*AM301^3+BMILMS!$E$25*AM301^2+BMILMS!$F$25*AM301+BMILMS!$G$25))))),(IF(AM301&lt;2.5,BMILMS!$D$27*AM301^3+BMILMS!$E$27*AM301^2+BMILMS!$F$27*AM301+BMILMS!$G$27,IF(AM301&lt;9.5,BMILMS!$D$28*AM301^3+BMILMS!$E$28*AM301^2+BMILMS!$F$28*AM301+BMILMS!$G$28,IF(AM301&lt;26.75,BMILMS!$D$29*AM301^3+BMILMS!$E$29*AM301^2+BMILMS!$F$29*AM301+BMILMS!$G$29,IF(AM301&lt;90,BMILMS!$D$30*AM301^3+BMILMS!$E$30*AM301^2+BMILMS!$F$30*AM301+BMILMS!$G$30,IF(AM301&lt;150,BMILMS!$D$31*AM301^3+BMILMS!$E$31*AM301^2+BMILMS!$F$31*AM301+BMILMS!$G$31,BMILMS!$D$32*AM301^3+BMILMS!$E$32*AM301^2+BMILMS!$F$32*AM301+BMILMS!$G$32)))))))</f>
        <v>12.568967990000001</v>
      </c>
      <c r="AL301" s="4">
        <f>IF(D301="M",(IF(AM301&lt;90,BMILMS!$D$14*AM301^3+BMILMS!$E$14*AM301^2+BMILMS!$F$14*AM301+BMILMS!$G$14,BMILMS!$D$15*AM301^3+BMILMS!$E$15*AM301^2+BMILMS!$F$15*AM301+BMILMS!$G$15)),(IF(AM301&lt;90,BMILMS!$D$17*AM301^3+BMILMS!$E$17*AM301^2+BMILMS!$F$17*AM301+BMILMS!$G$17,BMILMS!$D$18*AM301^3+BMILMS!$E$18*AM301^2+BMILMS!$F$18*AM301+BMILMS!$G$18)))</f>
        <v>8.8969350000000003E-2</v>
      </c>
      <c r="AM301" s="4">
        <f t="shared" si="104"/>
        <v>0</v>
      </c>
      <c r="AO301" s="56">
        <f>IF(D301="M",WeightSDS!P$5*$AM301^7+WeightSDS!Q$5*$AM301^6+WeightSDS!R$5*$AM301^5+WeightSDS!S$5*$AM301^4+WeightSDS!T$5*$AM301^3+WeightSDS!U$5*$AM301^2+WeightSDS!V$5*$AM301+WeightSDS!W$5,IF($AM301&lt;186,WeightSDS!P$8*$AM301^7+WeightSDS!Q$8*$AM301^6+WeightSDS!R$8*$AM301^5+WeightSDS!S$8*$AM301^4+WeightSDS!T$8*$AM301^3+WeightSDS!U$8*$AM301^2+WeightSDS!V$8*$AM301+WeightSDS!W$8,WeightSDS!$U$9+WeightSDS!$V$9*($AM301-WeightSDS!$W$9)))</f>
        <v>0.75407122999999998</v>
      </c>
      <c r="AP301" s="4">
        <f>IF(D301="M",IF($AM301&lt;45,WeightSDS!M$23*$AM301^10+WeightSDS!N$23*$AM301^9+WeightSDS!O$23*$AM301^8+WeightSDS!P$23*$AM301^7+WeightSDS!Q$23*$AM301^6+WeightSDS!R$23*$AM301^5+WeightSDS!S$23*$AM301^4+WeightSDS!T$23*$AM301^3+WeightSDS!U$23*$AM301^2+WeightSDS!V$23*$AM301+WeightSDS!W$23,IF($AM301&lt;153,WeightSDS!M$25*$AM301^10+WeightSDS!N$25*$AM301^9+WeightSDS!O$25*$AM301^8+WeightSDS!P$25*$AM301^7+WeightSDS!Q$25*$AM301^6+WeightSDS!R$25*$AM301^5+WeightSDS!S$25*$AM301^4+WeightSDS!T$25*$AM301^3+WeightSDS!U$25*$AM301^2+WeightSDS!V$25*$AM301+WeightSDS!W$25,WeightSDS!M$27+WeightSDS!N$27/(1+EXP(WeightSDS!O$27+WeightSDS!P$27*$AM301)))),IF($AM301&lt;43.8,WeightSDS!M$29*$AM301^10+WeightSDS!N$29*$AM301^9+WeightSDS!O$29*$AM301^8+WeightSDS!P$29*$AM301^7+WeightSDS!Q$29*$AM301^6+WeightSDS!R$29*$AM301^5+WeightSDS!S$29*$AM301^4+WeightSDS!T$29*$AM301^3+WeightSDS!U$29*$AM301^2+WeightSDS!V$29*$AM301+WeightSDS!W$29-0.010431*(1-$AM301/210),IF($AM301&lt;123,WeightSDS!M$30*$AM301^10+WeightSDS!N$30*$AM301^9+WeightSDS!O$30*$AM301^8+WeightSDS!P$30*$AM301^7+WeightSDS!Q$30*$AM301^6+WeightSDS!R$30*$AM301^5+WeightSDS!S$30*$AM301^4+WeightSDS!T$30*$AM301^3+WeightSDS!U$30*$AM301^2+WeightSDS!V$30*$AM301+WeightSDS!W$30-0.010431*(1-1/$AM301),WeightSDS!M$32+WeightSDS!N$32/(1+EXP(WeightSDS!O$32+WeightSDS!P$32*$AM301))-0.010431*(1-$AM301/210))))</f>
        <v>2.9500001032655536</v>
      </c>
      <c r="AQ301" s="4">
        <f>IF(D301="M",IF($AM301&lt;162,WeightSDS!P$12*$AM301^7+WeightSDS!Q$12*$AM301^6+WeightSDS!R$12*$AM301^5+WeightSDS!S$12*$AM301^4+WeightSDS!T$12*$AM301^3+WeightSDS!U$12*$AM301^2+WeightSDS!V$12*$AM301+WeightSDS!W$12,WeightSDS!P$14*$AM301^7+WeightSDS!Q$14*$AM301^6+WeightSDS!R$14*$AM301^5+WeightSDS!S$14*$AM301^4+WeightSDS!T$14*$AM301^3+WeightSDS!U$14*$AM301^2+WeightSDS!V$14*$AM301+WeightSDS!W$14),IF($AM301&lt;156,WeightSDS!O$17*$AM301^8+WeightSDS!P$17*$AM301^7+WeightSDS!Q$17*$AM301^6+WeightSDS!R$17*$AM301^5+WeightSDS!S$17*$AM301^4+WeightSDS!T$17*$AM301^3+WeightSDS!U$17*$AM301^2+WeightSDS!V$17*$AM301+WeightSDS!W$17,IF($AM301&lt;186,WeightSDS!$U$18+(WeightSDS!$V$18-WeightSDS!$U$18)/24*($AM301-186)+WeightSDS!$W$18*(-$AM301+186)^2-0.005,WeightSDS!$U$18+(WeightSDS!$V$18-WeightSDS!$U$18)/24*($AM301-186)-0.005)))</f>
        <v>0.14604529399999999</v>
      </c>
      <c r="AT301" s="4">
        <f t="shared" si="91"/>
        <v>0.56299999999999994</v>
      </c>
      <c r="AU301" s="4">
        <f t="shared" si="92"/>
        <v>69</v>
      </c>
      <c r="AV301" s="4">
        <f t="shared" si="93"/>
        <v>0.51</v>
      </c>
    </row>
    <row r="302" spans="1:48" x14ac:dyDescent="0.15">
      <c r="A302" s="4"/>
      <c r="B302" s="21"/>
      <c r="C302" s="21"/>
      <c r="D302" s="21"/>
      <c r="E302" s="22"/>
      <c r="F302" s="22"/>
      <c r="G302" s="23"/>
      <c r="H302" s="23"/>
      <c r="I302" s="181"/>
      <c r="J302" s="8" t="str">
        <f t="shared" si="85"/>
        <v/>
      </c>
      <c r="K302" s="2" t="str">
        <f t="shared" si="94"/>
        <v/>
      </c>
      <c r="L302" s="2" t="str">
        <f t="shared" si="86"/>
        <v/>
      </c>
      <c r="M302" s="2" t="str">
        <f t="shared" si="95"/>
        <v/>
      </c>
      <c r="N302" s="2" t="str">
        <f t="shared" si="103"/>
        <v/>
      </c>
      <c r="O302" s="2" t="str">
        <f t="shared" si="96"/>
        <v/>
      </c>
      <c r="P302" s="8" t="str">
        <f t="shared" si="97"/>
        <v/>
      </c>
      <c r="Q302" s="8" t="str">
        <f t="shared" si="98"/>
        <v/>
      </c>
      <c r="R302" s="111" t="str">
        <f t="shared" si="99"/>
        <v/>
      </c>
      <c r="S302" s="44" t="str">
        <f t="shared" si="100"/>
        <v/>
      </c>
      <c r="T302" s="37" t="str">
        <f t="shared" si="101"/>
        <v/>
      </c>
      <c r="U302" s="44" t="str">
        <f t="shared" si="102"/>
        <v/>
      </c>
      <c r="V302" s="26"/>
      <c r="W302" s="26"/>
      <c r="X302" s="26"/>
      <c r="Y302" s="26"/>
      <c r="Z302" s="24"/>
      <c r="AA302" s="169">
        <f t="shared" si="87"/>
        <v>0</v>
      </c>
      <c r="AB302" s="4">
        <f t="shared" si="88"/>
        <v>0</v>
      </c>
      <c r="AC302" s="170">
        <f t="shared" si="105"/>
        <v>0</v>
      </c>
      <c r="AD302" s="58"/>
      <c r="AE302" s="58"/>
      <c r="AF302" s="58"/>
      <c r="AG302" s="59">
        <f t="shared" si="89"/>
        <v>9.0359999999999996</v>
      </c>
      <c r="AH302" s="59">
        <f t="shared" si="90"/>
        <v>-184.49199999999999</v>
      </c>
      <c r="AJ302" s="4">
        <f>IF(D302="M",IF(AM302&lt;78,BMILMS!$D$5*AM302^3+BMILMS!$E$5*AM302^2+BMILMS!$F$5*AM302+BMILMS!$G$5,IF(AM302&lt;150,BMILMS!$D$6*AM302^3+BMILMS!$E$6*AM302^2+BMILMS!$F$6*AM302+BMILMS!$G$6,BMILMS!$D$7*AM302^3+BMILMS!$E$7*AM302^2+BMILMS!$F$7*AM302+BMILMS!$G$7)),IF(AM302&lt;69,BMILMS!$D$9*AM302^3+BMILMS!$E$9*AM302^2+BMILMS!$F$9*AM302+BMILMS!$G$9,IF(AM302&lt;150,BMILMS!$D$10*AM302^3+BMILMS!$E$10*AM302^2+BMILMS!$F$10*AM302+BMILMS!$G$10,BMILMS!$D$11*AM302^3+BMILMS!$E$11*AM302^2+BMILMS!$F$11*AM302+BMILMS!$G$11)))</f>
        <v>0.79584630099999998</v>
      </c>
      <c r="AK302" s="4">
        <f>IF(D302="M",(IF(AM302&lt;2.5,BMILMS!$D$21*AM302^3+BMILMS!$E$21*AM302^2+BMILMS!$F$21*AM302+BMILMS!$G$21,IF(AM302&lt;9.5,BMILMS!$D$22*AM302^3+BMILMS!$E$22*AM302^2+BMILMS!$F$22*AM302+BMILMS!$G$22,IF(AM302&lt;26.75,BMILMS!$D$23*AM302^3+BMILMS!$E$23*AM302^2+BMILMS!$F$23*AM302+BMILMS!$G$23,IF(AM302&lt;90,BMILMS!$D$24*AM302^3+BMILMS!$E$24*AM302^2+BMILMS!$F$24*AM302+BMILMS!$G$24,BMILMS!$D$25*AM302^3+BMILMS!$E$25*AM302^2+BMILMS!$F$25*AM302+BMILMS!$G$25))))),(IF(AM302&lt;2.5,BMILMS!$D$27*AM302^3+BMILMS!$E$27*AM302^2+BMILMS!$F$27*AM302+BMILMS!$G$27,IF(AM302&lt;9.5,BMILMS!$D$28*AM302^3+BMILMS!$E$28*AM302^2+BMILMS!$F$28*AM302+BMILMS!$G$28,IF(AM302&lt;26.75,BMILMS!$D$29*AM302^3+BMILMS!$E$29*AM302^2+BMILMS!$F$29*AM302+BMILMS!$G$29,IF(AM302&lt;90,BMILMS!$D$30*AM302^3+BMILMS!$E$30*AM302^2+BMILMS!$F$30*AM302+BMILMS!$G$30,IF(AM302&lt;150,BMILMS!$D$31*AM302^3+BMILMS!$E$31*AM302^2+BMILMS!$F$31*AM302+BMILMS!$G$31,BMILMS!$D$32*AM302^3+BMILMS!$E$32*AM302^2+BMILMS!$F$32*AM302+BMILMS!$G$32)))))))</f>
        <v>12.568967990000001</v>
      </c>
      <c r="AL302" s="4">
        <f>IF(D302="M",(IF(AM302&lt;90,BMILMS!$D$14*AM302^3+BMILMS!$E$14*AM302^2+BMILMS!$F$14*AM302+BMILMS!$G$14,BMILMS!$D$15*AM302^3+BMILMS!$E$15*AM302^2+BMILMS!$F$15*AM302+BMILMS!$G$15)),(IF(AM302&lt;90,BMILMS!$D$17*AM302^3+BMILMS!$E$17*AM302^2+BMILMS!$F$17*AM302+BMILMS!$G$17,BMILMS!$D$18*AM302^3+BMILMS!$E$18*AM302^2+BMILMS!$F$18*AM302+BMILMS!$G$18)))</f>
        <v>8.8969350000000003E-2</v>
      </c>
      <c r="AM302" s="4">
        <f t="shared" si="104"/>
        <v>0</v>
      </c>
      <c r="AO302" s="56">
        <f>IF(D302="M",WeightSDS!P$5*$AM302^7+WeightSDS!Q$5*$AM302^6+WeightSDS!R$5*$AM302^5+WeightSDS!S$5*$AM302^4+WeightSDS!T$5*$AM302^3+WeightSDS!U$5*$AM302^2+WeightSDS!V$5*$AM302+WeightSDS!W$5,IF($AM302&lt;186,WeightSDS!P$8*$AM302^7+WeightSDS!Q$8*$AM302^6+WeightSDS!R$8*$AM302^5+WeightSDS!S$8*$AM302^4+WeightSDS!T$8*$AM302^3+WeightSDS!U$8*$AM302^2+WeightSDS!V$8*$AM302+WeightSDS!W$8,WeightSDS!$U$9+WeightSDS!$V$9*($AM302-WeightSDS!$W$9)))</f>
        <v>0.75407122999999998</v>
      </c>
      <c r="AP302" s="4">
        <f>IF(D302="M",IF($AM302&lt;45,WeightSDS!M$23*$AM302^10+WeightSDS!N$23*$AM302^9+WeightSDS!O$23*$AM302^8+WeightSDS!P$23*$AM302^7+WeightSDS!Q$23*$AM302^6+WeightSDS!R$23*$AM302^5+WeightSDS!S$23*$AM302^4+WeightSDS!T$23*$AM302^3+WeightSDS!U$23*$AM302^2+WeightSDS!V$23*$AM302+WeightSDS!W$23,IF($AM302&lt;153,WeightSDS!M$25*$AM302^10+WeightSDS!N$25*$AM302^9+WeightSDS!O$25*$AM302^8+WeightSDS!P$25*$AM302^7+WeightSDS!Q$25*$AM302^6+WeightSDS!R$25*$AM302^5+WeightSDS!S$25*$AM302^4+WeightSDS!T$25*$AM302^3+WeightSDS!U$25*$AM302^2+WeightSDS!V$25*$AM302+WeightSDS!W$25,WeightSDS!M$27+WeightSDS!N$27/(1+EXP(WeightSDS!O$27+WeightSDS!P$27*$AM302)))),IF($AM302&lt;43.8,WeightSDS!M$29*$AM302^10+WeightSDS!N$29*$AM302^9+WeightSDS!O$29*$AM302^8+WeightSDS!P$29*$AM302^7+WeightSDS!Q$29*$AM302^6+WeightSDS!R$29*$AM302^5+WeightSDS!S$29*$AM302^4+WeightSDS!T$29*$AM302^3+WeightSDS!U$29*$AM302^2+WeightSDS!V$29*$AM302+WeightSDS!W$29-0.010431*(1-$AM302/210),IF($AM302&lt;123,WeightSDS!M$30*$AM302^10+WeightSDS!N$30*$AM302^9+WeightSDS!O$30*$AM302^8+WeightSDS!P$30*$AM302^7+WeightSDS!Q$30*$AM302^6+WeightSDS!R$30*$AM302^5+WeightSDS!S$30*$AM302^4+WeightSDS!T$30*$AM302^3+WeightSDS!U$30*$AM302^2+WeightSDS!V$30*$AM302+WeightSDS!W$30-0.010431*(1-1/$AM302),WeightSDS!M$32+WeightSDS!N$32/(1+EXP(WeightSDS!O$32+WeightSDS!P$32*$AM302))-0.010431*(1-$AM302/210))))</f>
        <v>2.9500001032655536</v>
      </c>
      <c r="AQ302" s="4">
        <f>IF(D302="M",IF($AM302&lt;162,WeightSDS!P$12*$AM302^7+WeightSDS!Q$12*$AM302^6+WeightSDS!R$12*$AM302^5+WeightSDS!S$12*$AM302^4+WeightSDS!T$12*$AM302^3+WeightSDS!U$12*$AM302^2+WeightSDS!V$12*$AM302+WeightSDS!W$12,WeightSDS!P$14*$AM302^7+WeightSDS!Q$14*$AM302^6+WeightSDS!R$14*$AM302^5+WeightSDS!S$14*$AM302^4+WeightSDS!T$14*$AM302^3+WeightSDS!U$14*$AM302^2+WeightSDS!V$14*$AM302+WeightSDS!W$14),IF($AM302&lt;156,WeightSDS!O$17*$AM302^8+WeightSDS!P$17*$AM302^7+WeightSDS!Q$17*$AM302^6+WeightSDS!R$17*$AM302^5+WeightSDS!S$17*$AM302^4+WeightSDS!T$17*$AM302^3+WeightSDS!U$17*$AM302^2+WeightSDS!V$17*$AM302+WeightSDS!W$17,IF($AM302&lt;186,WeightSDS!$U$18+(WeightSDS!$V$18-WeightSDS!$U$18)/24*($AM302-186)+WeightSDS!$W$18*(-$AM302+186)^2-0.005,WeightSDS!$U$18+(WeightSDS!$V$18-WeightSDS!$U$18)/24*($AM302-186)-0.005)))</f>
        <v>0.14604529399999999</v>
      </c>
      <c r="AT302" s="4">
        <f t="shared" si="91"/>
        <v>0.56299999999999994</v>
      </c>
      <c r="AU302" s="4">
        <f t="shared" si="92"/>
        <v>69</v>
      </c>
      <c r="AV302" s="4">
        <f t="shared" si="93"/>
        <v>0.51</v>
      </c>
    </row>
    <row r="303" spans="1:48" x14ac:dyDescent="0.15">
      <c r="A303" s="4"/>
      <c r="B303" s="21"/>
      <c r="C303" s="21"/>
      <c r="D303" s="21"/>
      <c r="E303" s="22"/>
      <c r="F303" s="22"/>
      <c r="G303" s="23"/>
      <c r="H303" s="23"/>
      <c r="I303" s="181"/>
      <c r="J303" s="8" t="str">
        <f t="shared" si="85"/>
        <v/>
      </c>
      <c r="K303" s="2" t="str">
        <f t="shared" si="94"/>
        <v/>
      </c>
      <c r="L303" s="2" t="str">
        <f t="shared" si="86"/>
        <v/>
      </c>
      <c r="M303" s="2" t="str">
        <f t="shared" si="95"/>
        <v/>
      </c>
      <c r="N303" s="2" t="str">
        <f t="shared" si="103"/>
        <v/>
      </c>
      <c r="O303" s="2" t="str">
        <f t="shared" si="96"/>
        <v/>
      </c>
      <c r="P303" s="8" t="str">
        <f t="shared" si="97"/>
        <v/>
      </c>
      <c r="Q303" s="8" t="str">
        <f t="shared" si="98"/>
        <v/>
      </c>
      <c r="R303" s="111" t="str">
        <f t="shared" si="99"/>
        <v/>
      </c>
      <c r="S303" s="44" t="str">
        <f t="shared" si="100"/>
        <v/>
      </c>
      <c r="T303" s="37" t="str">
        <f t="shared" si="101"/>
        <v/>
      </c>
      <c r="U303" s="44" t="str">
        <f t="shared" si="102"/>
        <v/>
      </c>
      <c r="V303" s="26"/>
      <c r="W303" s="26"/>
      <c r="X303" s="26"/>
      <c r="Y303" s="26"/>
      <c r="Z303" s="24"/>
      <c r="AA303" s="169">
        <f t="shared" si="87"/>
        <v>0</v>
      </c>
      <c r="AB303" s="4">
        <f t="shared" si="88"/>
        <v>0</v>
      </c>
      <c r="AC303" s="170">
        <f t="shared" si="105"/>
        <v>0</v>
      </c>
      <c r="AD303" s="58"/>
      <c r="AE303" s="58"/>
      <c r="AF303" s="58"/>
      <c r="AG303" s="59">
        <f t="shared" si="89"/>
        <v>9.0359999999999996</v>
      </c>
      <c r="AH303" s="59">
        <f t="shared" si="90"/>
        <v>-184.49199999999999</v>
      </c>
      <c r="AJ303" s="4">
        <f>IF(D303="M",IF(AM303&lt;78,BMILMS!$D$5*AM303^3+BMILMS!$E$5*AM303^2+BMILMS!$F$5*AM303+BMILMS!$G$5,IF(AM303&lt;150,BMILMS!$D$6*AM303^3+BMILMS!$E$6*AM303^2+BMILMS!$F$6*AM303+BMILMS!$G$6,BMILMS!$D$7*AM303^3+BMILMS!$E$7*AM303^2+BMILMS!$F$7*AM303+BMILMS!$G$7)),IF(AM303&lt;69,BMILMS!$D$9*AM303^3+BMILMS!$E$9*AM303^2+BMILMS!$F$9*AM303+BMILMS!$G$9,IF(AM303&lt;150,BMILMS!$D$10*AM303^3+BMILMS!$E$10*AM303^2+BMILMS!$F$10*AM303+BMILMS!$G$10,BMILMS!$D$11*AM303^3+BMILMS!$E$11*AM303^2+BMILMS!$F$11*AM303+BMILMS!$G$11)))</f>
        <v>0.79584630099999998</v>
      </c>
      <c r="AK303" s="4">
        <f>IF(D303="M",(IF(AM303&lt;2.5,BMILMS!$D$21*AM303^3+BMILMS!$E$21*AM303^2+BMILMS!$F$21*AM303+BMILMS!$G$21,IF(AM303&lt;9.5,BMILMS!$D$22*AM303^3+BMILMS!$E$22*AM303^2+BMILMS!$F$22*AM303+BMILMS!$G$22,IF(AM303&lt;26.75,BMILMS!$D$23*AM303^3+BMILMS!$E$23*AM303^2+BMILMS!$F$23*AM303+BMILMS!$G$23,IF(AM303&lt;90,BMILMS!$D$24*AM303^3+BMILMS!$E$24*AM303^2+BMILMS!$F$24*AM303+BMILMS!$G$24,BMILMS!$D$25*AM303^3+BMILMS!$E$25*AM303^2+BMILMS!$F$25*AM303+BMILMS!$G$25))))),(IF(AM303&lt;2.5,BMILMS!$D$27*AM303^3+BMILMS!$E$27*AM303^2+BMILMS!$F$27*AM303+BMILMS!$G$27,IF(AM303&lt;9.5,BMILMS!$D$28*AM303^3+BMILMS!$E$28*AM303^2+BMILMS!$F$28*AM303+BMILMS!$G$28,IF(AM303&lt;26.75,BMILMS!$D$29*AM303^3+BMILMS!$E$29*AM303^2+BMILMS!$F$29*AM303+BMILMS!$G$29,IF(AM303&lt;90,BMILMS!$D$30*AM303^3+BMILMS!$E$30*AM303^2+BMILMS!$F$30*AM303+BMILMS!$G$30,IF(AM303&lt;150,BMILMS!$D$31*AM303^3+BMILMS!$E$31*AM303^2+BMILMS!$F$31*AM303+BMILMS!$G$31,BMILMS!$D$32*AM303^3+BMILMS!$E$32*AM303^2+BMILMS!$F$32*AM303+BMILMS!$G$32)))))))</f>
        <v>12.568967990000001</v>
      </c>
      <c r="AL303" s="4">
        <f>IF(D303="M",(IF(AM303&lt;90,BMILMS!$D$14*AM303^3+BMILMS!$E$14*AM303^2+BMILMS!$F$14*AM303+BMILMS!$G$14,BMILMS!$D$15*AM303^3+BMILMS!$E$15*AM303^2+BMILMS!$F$15*AM303+BMILMS!$G$15)),(IF(AM303&lt;90,BMILMS!$D$17*AM303^3+BMILMS!$E$17*AM303^2+BMILMS!$F$17*AM303+BMILMS!$G$17,BMILMS!$D$18*AM303^3+BMILMS!$E$18*AM303^2+BMILMS!$F$18*AM303+BMILMS!$G$18)))</f>
        <v>8.8969350000000003E-2</v>
      </c>
      <c r="AM303" s="4">
        <f t="shared" si="104"/>
        <v>0</v>
      </c>
      <c r="AO303" s="56">
        <f>IF(D303="M",WeightSDS!P$5*$AM303^7+WeightSDS!Q$5*$AM303^6+WeightSDS!R$5*$AM303^5+WeightSDS!S$5*$AM303^4+WeightSDS!T$5*$AM303^3+WeightSDS!U$5*$AM303^2+WeightSDS!V$5*$AM303+WeightSDS!W$5,IF($AM303&lt;186,WeightSDS!P$8*$AM303^7+WeightSDS!Q$8*$AM303^6+WeightSDS!R$8*$AM303^5+WeightSDS!S$8*$AM303^4+WeightSDS!T$8*$AM303^3+WeightSDS!U$8*$AM303^2+WeightSDS!V$8*$AM303+WeightSDS!W$8,WeightSDS!$U$9+WeightSDS!$V$9*($AM303-WeightSDS!$W$9)))</f>
        <v>0.75407122999999998</v>
      </c>
      <c r="AP303" s="4">
        <f>IF(D303="M",IF($AM303&lt;45,WeightSDS!M$23*$AM303^10+WeightSDS!N$23*$AM303^9+WeightSDS!O$23*$AM303^8+WeightSDS!P$23*$AM303^7+WeightSDS!Q$23*$AM303^6+WeightSDS!R$23*$AM303^5+WeightSDS!S$23*$AM303^4+WeightSDS!T$23*$AM303^3+WeightSDS!U$23*$AM303^2+WeightSDS!V$23*$AM303+WeightSDS!W$23,IF($AM303&lt;153,WeightSDS!M$25*$AM303^10+WeightSDS!N$25*$AM303^9+WeightSDS!O$25*$AM303^8+WeightSDS!P$25*$AM303^7+WeightSDS!Q$25*$AM303^6+WeightSDS!R$25*$AM303^5+WeightSDS!S$25*$AM303^4+WeightSDS!T$25*$AM303^3+WeightSDS!U$25*$AM303^2+WeightSDS!V$25*$AM303+WeightSDS!W$25,WeightSDS!M$27+WeightSDS!N$27/(1+EXP(WeightSDS!O$27+WeightSDS!P$27*$AM303)))),IF($AM303&lt;43.8,WeightSDS!M$29*$AM303^10+WeightSDS!N$29*$AM303^9+WeightSDS!O$29*$AM303^8+WeightSDS!P$29*$AM303^7+WeightSDS!Q$29*$AM303^6+WeightSDS!R$29*$AM303^5+WeightSDS!S$29*$AM303^4+WeightSDS!T$29*$AM303^3+WeightSDS!U$29*$AM303^2+WeightSDS!V$29*$AM303+WeightSDS!W$29-0.010431*(1-$AM303/210),IF($AM303&lt;123,WeightSDS!M$30*$AM303^10+WeightSDS!N$30*$AM303^9+WeightSDS!O$30*$AM303^8+WeightSDS!P$30*$AM303^7+WeightSDS!Q$30*$AM303^6+WeightSDS!R$30*$AM303^5+WeightSDS!S$30*$AM303^4+WeightSDS!T$30*$AM303^3+WeightSDS!U$30*$AM303^2+WeightSDS!V$30*$AM303+WeightSDS!W$30-0.010431*(1-1/$AM303),WeightSDS!M$32+WeightSDS!N$32/(1+EXP(WeightSDS!O$32+WeightSDS!P$32*$AM303))-0.010431*(1-$AM303/210))))</f>
        <v>2.9500001032655536</v>
      </c>
      <c r="AQ303" s="4">
        <f>IF(D303="M",IF($AM303&lt;162,WeightSDS!P$12*$AM303^7+WeightSDS!Q$12*$AM303^6+WeightSDS!R$12*$AM303^5+WeightSDS!S$12*$AM303^4+WeightSDS!T$12*$AM303^3+WeightSDS!U$12*$AM303^2+WeightSDS!V$12*$AM303+WeightSDS!W$12,WeightSDS!P$14*$AM303^7+WeightSDS!Q$14*$AM303^6+WeightSDS!R$14*$AM303^5+WeightSDS!S$14*$AM303^4+WeightSDS!T$14*$AM303^3+WeightSDS!U$14*$AM303^2+WeightSDS!V$14*$AM303+WeightSDS!W$14),IF($AM303&lt;156,WeightSDS!O$17*$AM303^8+WeightSDS!P$17*$AM303^7+WeightSDS!Q$17*$AM303^6+WeightSDS!R$17*$AM303^5+WeightSDS!S$17*$AM303^4+WeightSDS!T$17*$AM303^3+WeightSDS!U$17*$AM303^2+WeightSDS!V$17*$AM303+WeightSDS!W$17,IF($AM303&lt;186,WeightSDS!$U$18+(WeightSDS!$V$18-WeightSDS!$U$18)/24*($AM303-186)+WeightSDS!$W$18*(-$AM303+186)^2-0.005,WeightSDS!$U$18+(WeightSDS!$V$18-WeightSDS!$U$18)/24*($AM303-186)-0.005)))</f>
        <v>0.14604529399999999</v>
      </c>
      <c r="AT303" s="4">
        <f t="shared" si="91"/>
        <v>0.56299999999999994</v>
      </c>
      <c r="AU303" s="4">
        <f t="shared" si="92"/>
        <v>69</v>
      </c>
      <c r="AV303" s="4">
        <f t="shared" si="93"/>
        <v>0.51</v>
      </c>
    </row>
    <row r="304" spans="1:48" x14ac:dyDescent="0.15">
      <c r="A304" s="4"/>
      <c r="B304" s="21"/>
      <c r="C304" s="21"/>
      <c r="D304" s="21"/>
      <c r="E304" s="22"/>
      <c r="F304" s="22"/>
      <c r="G304" s="23"/>
      <c r="H304" s="23"/>
      <c r="I304" s="181"/>
      <c r="J304" s="8" t="str">
        <f t="shared" si="85"/>
        <v/>
      </c>
      <c r="K304" s="2" t="str">
        <f t="shared" si="94"/>
        <v/>
      </c>
      <c r="L304" s="2" t="str">
        <f t="shared" si="86"/>
        <v/>
      </c>
      <c r="M304" s="2" t="str">
        <f t="shared" si="95"/>
        <v/>
      </c>
      <c r="N304" s="2" t="str">
        <f t="shared" si="103"/>
        <v/>
      </c>
      <c r="O304" s="2" t="str">
        <f t="shared" si="96"/>
        <v/>
      </c>
      <c r="P304" s="8" t="str">
        <f t="shared" si="97"/>
        <v/>
      </c>
      <c r="Q304" s="8" t="str">
        <f t="shared" si="98"/>
        <v/>
      </c>
      <c r="R304" s="111" t="str">
        <f t="shared" si="99"/>
        <v/>
      </c>
      <c r="S304" s="44" t="str">
        <f t="shared" si="100"/>
        <v/>
      </c>
      <c r="T304" s="37" t="str">
        <f t="shared" si="101"/>
        <v/>
      </c>
      <c r="U304" s="44" t="str">
        <f t="shared" si="102"/>
        <v/>
      </c>
      <c r="V304" s="26"/>
      <c r="W304" s="26"/>
      <c r="X304" s="26"/>
      <c r="Y304" s="26"/>
      <c r="Z304" s="24"/>
      <c r="AA304" s="169">
        <f t="shared" si="87"/>
        <v>0</v>
      </c>
      <c r="AB304" s="4">
        <f t="shared" si="88"/>
        <v>0</v>
      </c>
      <c r="AC304" s="170">
        <f t="shared" si="105"/>
        <v>0</v>
      </c>
      <c r="AD304" s="58"/>
      <c r="AE304" s="58"/>
      <c r="AF304" s="58"/>
      <c r="AG304" s="59">
        <f t="shared" si="89"/>
        <v>9.0359999999999996</v>
      </c>
      <c r="AH304" s="59">
        <f t="shared" si="90"/>
        <v>-184.49199999999999</v>
      </c>
      <c r="AJ304" s="4">
        <f>IF(D304="M",IF(AM304&lt;78,BMILMS!$D$5*AM304^3+BMILMS!$E$5*AM304^2+BMILMS!$F$5*AM304+BMILMS!$G$5,IF(AM304&lt;150,BMILMS!$D$6*AM304^3+BMILMS!$E$6*AM304^2+BMILMS!$F$6*AM304+BMILMS!$G$6,BMILMS!$D$7*AM304^3+BMILMS!$E$7*AM304^2+BMILMS!$F$7*AM304+BMILMS!$G$7)),IF(AM304&lt;69,BMILMS!$D$9*AM304^3+BMILMS!$E$9*AM304^2+BMILMS!$F$9*AM304+BMILMS!$G$9,IF(AM304&lt;150,BMILMS!$D$10*AM304^3+BMILMS!$E$10*AM304^2+BMILMS!$F$10*AM304+BMILMS!$G$10,BMILMS!$D$11*AM304^3+BMILMS!$E$11*AM304^2+BMILMS!$F$11*AM304+BMILMS!$G$11)))</f>
        <v>0.79584630099999998</v>
      </c>
      <c r="AK304" s="4">
        <f>IF(D304="M",(IF(AM304&lt;2.5,BMILMS!$D$21*AM304^3+BMILMS!$E$21*AM304^2+BMILMS!$F$21*AM304+BMILMS!$G$21,IF(AM304&lt;9.5,BMILMS!$D$22*AM304^3+BMILMS!$E$22*AM304^2+BMILMS!$F$22*AM304+BMILMS!$G$22,IF(AM304&lt;26.75,BMILMS!$D$23*AM304^3+BMILMS!$E$23*AM304^2+BMILMS!$F$23*AM304+BMILMS!$G$23,IF(AM304&lt;90,BMILMS!$D$24*AM304^3+BMILMS!$E$24*AM304^2+BMILMS!$F$24*AM304+BMILMS!$G$24,BMILMS!$D$25*AM304^3+BMILMS!$E$25*AM304^2+BMILMS!$F$25*AM304+BMILMS!$G$25))))),(IF(AM304&lt;2.5,BMILMS!$D$27*AM304^3+BMILMS!$E$27*AM304^2+BMILMS!$F$27*AM304+BMILMS!$G$27,IF(AM304&lt;9.5,BMILMS!$D$28*AM304^3+BMILMS!$E$28*AM304^2+BMILMS!$F$28*AM304+BMILMS!$G$28,IF(AM304&lt;26.75,BMILMS!$D$29*AM304^3+BMILMS!$E$29*AM304^2+BMILMS!$F$29*AM304+BMILMS!$G$29,IF(AM304&lt;90,BMILMS!$D$30*AM304^3+BMILMS!$E$30*AM304^2+BMILMS!$F$30*AM304+BMILMS!$G$30,IF(AM304&lt;150,BMILMS!$D$31*AM304^3+BMILMS!$E$31*AM304^2+BMILMS!$F$31*AM304+BMILMS!$G$31,BMILMS!$D$32*AM304^3+BMILMS!$E$32*AM304^2+BMILMS!$F$32*AM304+BMILMS!$G$32)))))))</f>
        <v>12.568967990000001</v>
      </c>
      <c r="AL304" s="4">
        <f>IF(D304="M",(IF(AM304&lt;90,BMILMS!$D$14*AM304^3+BMILMS!$E$14*AM304^2+BMILMS!$F$14*AM304+BMILMS!$G$14,BMILMS!$D$15*AM304^3+BMILMS!$E$15*AM304^2+BMILMS!$F$15*AM304+BMILMS!$G$15)),(IF(AM304&lt;90,BMILMS!$D$17*AM304^3+BMILMS!$E$17*AM304^2+BMILMS!$F$17*AM304+BMILMS!$G$17,BMILMS!$D$18*AM304^3+BMILMS!$E$18*AM304^2+BMILMS!$F$18*AM304+BMILMS!$G$18)))</f>
        <v>8.8969350000000003E-2</v>
      </c>
      <c r="AM304" s="4">
        <f t="shared" si="104"/>
        <v>0</v>
      </c>
      <c r="AO304" s="56">
        <f>IF(D304="M",WeightSDS!P$5*$AM304^7+WeightSDS!Q$5*$AM304^6+WeightSDS!R$5*$AM304^5+WeightSDS!S$5*$AM304^4+WeightSDS!T$5*$AM304^3+WeightSDS!U$5*$AM304^2+WeightSDS!V$5*$AM304+WeightSDS!W$5,IF($AM304&lt;186,WeightSDS!P$8*$AM304^7+WeightSDS!Q$8*$AM304^6+WeightSDS!R$8*$AM304^5+WeightSDS!S$8*$AM304^4+WeightSDS!T$8*$AM304^3+WeightSDS!U$8*$AM304^2+WeightSDS!V$8*$AM304+WeightSDS!W$8,WeightSDS!$U$9+WeightSDS!$V$9*($AM304-WeightSDS!$W$9)))</f>
        <v>0.75407122999999998</v>
      </c>
      <c r="AP304" s="4">
        <f>IF(D304="M",IF($AM304&lt;45,WeightSDS!M$23*$AM304^10+WeightSDS!N$23*$AM304^9+WeightSDS!O$23*$AM304^8+WeightSDS!P$23*$AM304^7+WeightSDS!Q$23*$AM304^6+WeightSDS!R$23*$AM304^5+WeightSDS!S$23*$AM304^4+WeightSDS!T$23*$AM304^3+WeightSDS!U$23*$AM304^2+WeightSDS!V$23*$AM304+WeightSDS!W$23,IF($AM304&lt;153,WeightSDS!M$25*$AM304^10+WeightSDS!N$25*$AM304^9+WeightSDS!O$25*$AM304^8+WeightSDS!P$25*$AM304^7+WeightSDS!Q$25*$AM304^6+WeightSDS!R$25*$AM304^5+WeightSDS!S$25*$AM304^4+WeightSDS!T$25*$AM304^3+WeightSDS!U$25*$AM304^2+WeightSDS!V$25*$AM304+WeightSDS!W$25,WeightSDS!M$27+WeightSDS!N$27/(1+EXP(WeightSDS!O$27+WeightSDS!P$27*$AM304)))),IF($AM304&lt;43.8,WeightSDS!M$29*$AM304^10+WeightSDS!N$29*$AM304^9+WeightSDS!O$29*$AM304^8+WeightSDS!P$29*$AM304^7+WeightSDS!Q$29*$AM304^6+WeightSDS!R$29*$AM304^5+WeightSDS!S$29*$AM304^4+WeightSDS!T$29*$AM304^3+WeightSDS!U$29*$AM304^2+WeightSDS!V$29*$AM304+WeightSDS!W$29-0.010431*(1-$AM304/210),IF($AM304&lt;123,WeightSDS!M$30*$AM304^10+WeightSDS!N$30*$AM304^9+WeightSDS!O$30*$AM304^8+WeightSDS!P$30*$AM304^7+WeightSDS!Q$30*$AM304^6+WeightSDS!R$30*$AM304^5+WeightSDS!S$30*$AM304^4+WeightSDS!T$30*$AM304^3+WeightSDS!U$30*$AM304^2+WeightSDS!V$30*$AM304+WeightSDS!W$30-0.010431*(1-1/$AM304),WeightSDS!M$32+WeightSDS!N$32/(1+EXP(WeightSDS!O$32+WeightSDS!P$32*$AM304))-0.010431*(1-$AM304/210))))</f>
        <v>2.9500001032655536</v>
      </c>
      <c r="AQ304" s="4">
        <f>IF(D304="M",IF($AM304&lt;162,WeightSDS!P$12*$AM304^7+WeightSDS!Q$12*$AM304^6+WeightSDS!R$12*$AM304^5+WeightSDS!S$12*$AM304^4+WeightSDS!T$12*$AM304^3+WeightSDS!U$12*$AM304^2+WeightSDS!V$12*$AM304+WeightSDS!W$12,WeightSDS!P$14*$AM304^7+WeightSDS!Q$14*$AM304^6+WeightSDS!R$14*$AM304^5+WeightSDS!S$14*$AM304^4+WeightSDS!T$14*$AM304^3+WeightSDS!U$14*$AM304^2+WeightSDS!V$14*$AM304+WeightSDS!W$14),IF($AM304&lt;156,WeightSDS!O$17*$AM304^8+WeightSDS!P$17*$AM304^7+WeightSDS!Q$17*$AM304^6+WeightSDS!R$17*$AM304^5+WeightSDS!S$17*$AM304^4+WeightSDS!T$17*$AM304^3+WeightSDS!U$17*$AM304^2+WeightSDS!V$17*$AM304+WeightSDS!W$17,IF($AM304&lt;186,WeightSDS!$U$18+(WeightSDS!$V$18-WeightSDS!$U$18)/24*($AM304-186)+WeightSDS!$W$18*(-$AM304+186)^2-0.005,WeightSDS!$U$18+(WeightSDS!$V$18-WeightSDS!$U$18)/24*($AM304-186)-0.005)))</f>
        <v>0.14604529399999999</v>
      </c>
      <c r="AT304" s="4">
        <f t="shared" si="91"/>
        <v>0.56299999999999994</v>
      </c>
      <c r="AU304" s="4">
        <f t="shared" si="92"/>
        <v>69</v>
      </c>
      <c r="AV304" s="4">
        <f t="shared" si="93"/>
        <v>0.51</v>
      </c>
    </row>
    <row r="305" spans="1:48" x14ac:dyDescent="0.15">
      <c r="A305" s="4"/>
      <c r="B305" s="21"/>
      <c r="C305" s="21"/>
      <c r="D305" s="21"/>
      <c r="E305" s="22"/>
      <c r="F305" s="22"/>
      <c r="G305" s="23"/>
      <c r="H305" s="23"/>
      <c r="I305" s="181"/>
      <c r="J305" s="8" t="str">
        <f t="shared" si="85"/>
        <v/>
      </c>
      <c r="K305" s="2" t="str">
        <f t="shared" si="94"/>
        <v/>
      </c>
      <c r="L305" s="2" t="str">
        <f t="shared" si="86"/>
        <v/>
      </c>
      <c r="M305" s="2" t="str">
        <f t="shared" si="95"/>
        <v/>
      </c>
      <c r="N305" s="2" t="str">
        <f t="shared" si="103"/>
        <v/>
      </c>
      <c r="O305" s="2" t="str">
        <f t="shared" si="96"/>
        <v/>
      </c>
      <c r="P305" s="8" t="str">
        <f t="shared" si="97"/>
        <v/>
      </c>
      <c r="Q305" s="8" t="str">
        <f t="shared" si="98"/>
        <v/>
      </c>
      <c r="R305" s="111" t="str">
        <f t="shared" si="99"/>
        <v/>
      </c>
      <c r="S305" s="44" t="str">
        <f t="shared" si="100"/>
        <v/>
      </c>
      <c r="T305" s="37" t="str">
        <f t="shared" si="101"/>
        <v/>
      </c>
      <c r="U305" s="44" t="str">
        <f t="shared" si="102"/>
        <v/>
      </c>
      <c r="V305" s="26"/>
      <c r="W305" s="26"/>
      <c r="X305" s="26"/>
      <c r="Y305" s="26"/>
      <c r="Z305" s="24"/>
      <c r="AA305" s="169">
        <f t="shared" si="87"/>
        <v>0</v>
      </c>
      <c r="AB305" s="4">
        <f t="shared" si="88"/>
        <v>0</v>
      </c>
      <c r="AC305" s="170">
        <f t="shared" si="105"/>
        <v>0</v>
      </c>
      <c r="AD305" s="58"/>
      <c r="AE305" s="58"/>
      <c r="AF305" s="58"/>
      <c r="AG305" s="59">
        <f t="shared" si="89"/>
        <v>9.0359999999999996</v>
      </c>
      <c r="AH305" s="59">
        <f t="shared" si="90"/>
        <v>-184.49199999999999</v>
      </c>
      <c r="AJ305" s="4">
        <f>IF(D305="M",IF(AM305&lt;78,BMILMS!$D$5*AM305^3+BMILMS!$E$5*AM305^2+BMILMS!$F$5*AM305+BMILMS!$G$5,IF(AM305&lt;150,BMILMS!$D$6*AM305^3+BMILMS!$E$6*AM305^2+BMILMS!$F$6*AM305+BMILMS!$G$6,BMILMS!$D$7*AM305^3+BMILMS!$E$7*AM305^2+BMILMS!$F$7*AM305+BMILMS!$G$7)),IF(AM305&lt;69,BMILMS!$D$9*AM305^3+BMILMS!$E$9*AM305^2+BMILMS!$F$9*AM305+BMILMS!$G$9,IF(AM305&lt;150,BMILMS!$D$10*AM305^3+BMILMS!$E$10*AM305^2+BMILMS!$F$10*AM305+BMILMS!$G$10,BMILMS!$D$11*AM305^3+BMILMS!$E$11*AM305^2+BMILMS!$F$11*AM305+BMILMS!$G$11)))</f>
        <v>0.79584630099999998</v>
      </c>
      <c r="AK305" s="4">
        <f>IF(D305="M",(IF(AM305&lt;2.5,BMILMS!$D$21*AM305^3+BMILMS!$E$21*AM305^2+BMILMS!$F$21*AM305+BMILMS!$G$21,IF(AM305&lt;9.5,BMILMS!$D$22*AM305^3+BMILMS!$E$22*AM305^2+BMILMS!$F$22*AM305+BMILMS!$G$22,IF(AM305&lt;26.75,BMILMS!$D$23*AM305^3+BMILMS!$E$23*AM305^2+BMILMS!$F$23*AM305+BMILMS!$G$23,IF(AM305&lt;90,BMILMS!$D$24*AM305^3+BMILMS!$E$24*AM305^2+BMILMS!$F$24*AM305+BMILMS!$G$24,BMILMS!$D$25*AM305^3+BMILMS!$E$25*AM305^2+BMILMS!$F$25*AM305+BMILMS!$G$25))))),(IF(AM305&lt;2.5,BMILMS!$D$27*AM305^3+BMILMS!$E$27*AM305^2+BMILMS!$F$27*AM305+BMILMS!$G$27,IF(AM305&lt;9.5,BMILMS!$D$28*AM305^3+BMILMS!$E$28*AM305^2+BMILMS!$F$28*AM305+BMILMS!$G$28,IF(AM305&lt;26.75,BMILMS!$D$29*AM305^3+BMILMS!$E$29*AM305^2+BMILMS!$F$29*AM305+BMILMS!$G$29,IF(AM305&lt;90,BMILMS!$D$30*AM305^3+BMILMS!$E$30*AM305^2+BMILMS!$F$30*AM305+BMILMS!$G$30,IF(AM305&lt;150,BMILMS!$D$31*AM305^3+BMILMS!$E$31*AM305^2+BMILMS!$F$31*AM305+BMILMS!$G$31,BMILMS!$D$32*AM305^3+BMILMS!$E$32*AM305^2+BMILMS!$F$32*AM305+BMILMS!$G$32)))))))</f>
        <v>12.568967990000001</v>
      </c>
      <c r="AL305" s="4">
        <f>IF(D305="M",(IF(AM305&lt;90,BMILMS!$D$14*AM305^3+BMILMS!$E$14*AM305^2+BMILMS!$F$14*AM305+BMILMS!$G$14,BMILMS!$D$15*AM305^3+BMILMS!$E$15*AM305^2+BMILMS!$F$15*AM305+BMILMS!$G$15)),(IF(AM305&lt;90,BMILMS!$D$17*AM305^3+BMILMS!$E$17*AM305^2+BMILMS!$F$17*AM305+BMILMS!$G$17,BMILMS!$D$18*AM305^3+BMILMS!$E$18*AM305^2+BMILMS!$F$18*AM305+BMILMS!$G$18)))</f>
        <v>8.8969350000000003E-2</v>
      </c>
      <c r="AM305" s="4">
        <f t="shared" si="104"/>
        <v>0</v>
      </c>
      <c r="AO305" s="56">
        <f>IF(D305="M",WeightSDS!P$5*$AM305^7+WeightSDS!Q$5*$AM305^6+WeightSDS!R$5*$AM305^5+WeightSDS!S$5*$AM305^4+WeightSDS!T$5*$AM305^3+WeightSDS!U$5*$AM305^2+WeightSDS!V$5*$AM305+WeightSDS!W$5,IF($AM305&lt;186,WeightSDS!P$8*$AM305^7+WeightSDS!Q$8*$AM305^6+WeightSDS!R$8*$AM305^5+WeightSDS!S$8*$AM305^4+WeightSDS!T$8*$AM305^3+WeightSDS!U$8*$AM305^2+WeightSDS!V$8*$AM305+WeightSDS!W$8,WeightSDS!$U$9+WeightSDS!$V$9*($AM305-WeightSDS!$W$9)))</f>
        <v>0.75407122999999998</v>
      </c>
      <c r="AP305" s="4">
        <f>IF(D305="M",IF($AM305&lt;45,WeightSDS!M$23*$AM305^10+WeightSDS!N$23*$AM305^9+WeightSDS!O$23*$AM305^8+WeightSDS!P$23*$AM305^7+WeightSDS!Q$23*$AM305^6+WeightSDS!R$23*$AM305^5+WeightSDS!S$23*$AM305^4+WeightSDS!T$23*$AM305^3+WeightSDS!U$23*$AM305^2+WeightSDS!V$23*$AM305+WeightSDS!W$23,IF($AM305&lt;153,WeightSDS!M$25*$AM305^10+WeightSDS!N$25*$AM305^9+WeightSDS!O$25*$AM305^8+WeightSDS!P$25*$AM305^7+WeightSDS!Q$25*$AM305^6+WeightSDS!R$25*$AM305^5+WeightSDS!S$25*$AM305^4+WeightSDS!T$25*$AM305^3+WeightSDS!U$25*$AM305^2+WeightSDS!V$25*$AM305+WeightSDS!W$25,WeightSDS!M$27+WeightSDS!N$27/(1+EXP(WeightSDS!O$27+WeightSDS!P$27*$AM305)))),IF($AM305&lt;43.8,WeightSDS!M$29*$AM305^10+WeightSDS!N$29*$AM305^9+WeightSDS!O$29*$AM305^8+WeightSDS!P$29*$AM305^7+WeightSDS!Q$29*$AM305^6+WeightSDS!R$29*$AM305^5+WeightSDS!S$29*$AM305^4+WeightSDS!T$29*$AM305^3+WeightSDS!U$29*$AM305^2+WeightSDS!V$29*$AM305+WeightSDS!W$29-0.010431*(1-$AM305/210),IF($AM305&lt;123,WeightSDS!M$30*$AM305^10+WeightSDS!N$30*$AM305^9+WeightSDS!O$30*$AM305^8+WeightSDS!P$30*$AM305^7+WeightSDS!Q$30*$AM305^6+WeightSDS!R$30*$AM305^5+WeightSDS!S$30*$AM305^4+WeightSDS!T$30*$AM305^3+WeightSDS!U$30*$AM305^2+WeightSDS!V$30*$AM305+WeightSDS!W$30-0.010431*(1-1/$AM305),WeightSDS!M$32+WeightSDS!N$32/(1+EXP(WeightSDS!O$32+WeightSDS!P$32*$AM305))-0.010431*(1-$AM305/210))))</f>
        <v>2.9500001032655536</v>
      </c>
      <c r="AQ305" s="4">
        <f>IF(D305="M",IF($AM305&lt;162,WeightSDS!P$12*$AM305^7+WeightSDS!Q$12*$AM305^6+WeightSDS!R$12*$AM305^5+WeightSDS!S$12*$AM305^4+WeightSDS!T$12*$AM305^3+WeightSDS!U$12*$AM305^2+WeightSDS!V$12*$AM305+WeightSDS!W$12,WeightSDS!P$14*$AM305^7+WeightSDS!Q$14*$AM305^6+WeightSDS!R$14*$AM305^5+WeightSDS!S$14*$AM305^4+WeightSDS!T$14*$AM305^3+WeightSDS!U$14*$AM305^2+WeightSDS!V$14*$AM305+WeightSDS!W$14),IF($AM305&lt;156,WeightSDS!O$17*$AM305^8+WeightSDS!P$17*$AM305^7+WeightSDS!Q$17*$AM305^6+WeightSDS!R$17*$AM305^5+WeightSDS!S$17*$AM305^4+WeightSDS!T$17*$AM305^3+WeightSDS!U$17*$AM305^2+WeightSDS!V$17*$AM305+WeightSDS!W$17,IF($AM305&lt;186,WeightSDS!$U$18+(WeightSDS!$V$18-WeightSDS!$U$18)/24*($AM305-186)+WeightSDS!$W$18*(-$AM305+186)^2-0.005,WeightSDS!$U$18+(WeightSDS!$V$18-WeightSDS!$U$18)/24*($AM305-186)-0.005)))</f>
        <v>0.14604529399999999</v>
      </c>
      <c r="AT305" s="4">
        <f t="shared" si="91"/>
        <v>0.56299999999999994</v>
      </c>
      <c r="AU305" s="4">
        <f t="shared" si="92"/>
        <v>69</v>
      </c>
      <c r="AV305" s="4">
        <f t="shared" si="93"/>
        <v>0.51</v>
      </c>
    </row>
    <row r="306" spans="1:48" x14ac:dyDescent="0.15">
      <c r="A306" s="4"/>
      <c r="B306" s="21"/>
      <c r="C306" s="21"/>
      <c r="D306" s="21"/>
      <c r="E306" s="22"/>
      <c r="F306" s="22"/>
      <c r="G306" s="23"/>
      <c r="H306" s="23"/>
      <c r="I306" s="181"/>
      <c r="J306" s="8" t="str">
        <f t="shared" si="85"/>
        <v/>
      </c>
      <c r="K306" s="2" t="str">
        <f t="shared" si="94"/>
        <v/>
      </c>
      <c r="L306" s="2" t="str">
        <f t="shared" si="86"/>
        <v/>
      </c>
      <c r="M306" s="2" t="str">
        <f t="shared" si="95"/>
        <v/>
      </c>
      <c r="N306" s="2" t="str">
        <f t="shared" si="103"/>
        <v/>
      </c>
      <c r="O306" s="2" t="str">
        <f t="shared" si="96"/>
        <v/>
      </c>
      <c r="P306" s="8" t="str">
        <f t="shared" si="97"/>
        <v/>
      </c>
      <c r="Q306" s="8" t="str">
        <f t="shared" si="98"/>
        <v/>
      </c>
      <c r="R306" s="111" t="str">
        <f t="shared" si="99"/>
        <v/>
      </c>
      <c r="S306" s="44" t="str">
        <f t="shared" si="100"/>
        <v/>
      </c>
      <c r="T306" s="37" t="str">
        <f t="shared" si="101"/>
        <v/>
      </c>
      <c r="U306" s="44" t="str">
        <f t="shared" si="102"/>
        <v/>
      </c>
      <c r="V306" s="26"/>
      <c r="W306" s="26"/>
      <c r="X306" s="26"/>
      <c r="Y306" s="26"/>
      <c r="Z306" s="24"/>
      <c r="AA306" s="169">
        <f t="shared" si="87"/>
        <v>0</v>
      </c>
      <c r="AB306" s="4">
        <f t="shared" si="88"/>
        <v>0</v>
      </c>
      <c r="AC306" s="170">
        <f t="shared" si="105"/>
        <v>0</v>
      </c>
      <c r="AD306" s="58"/>
      <c r="AE306" s="58"/>
      <c r="AF306" s="58"/>
      <c r="AG306" s="59">
        <f t="shared" si="89"/>
        <v>9.0359999999999996</v>
      </c>
      <c r="AH306" s="59">
        <f t="shared" si="90"/>
        <v>-184.49199999999999</v>
      </c>
      <c r="AJ306" s="4">
        <f>IF(D306="M",IF(AM306&lt;78,BMILMS!$D$5*AM306^3+BMILMS!$E$5*AM306^2+BMILMS!$F$5*AM306+BMILMS!$G$5,IF(AM306&lt;150,BMILMS!$D$6*AM306^3+BMILMS!$E$6*AM306^2+BMILMS!$F$6*AM306+BMILMS!$G$6,BMILMS!$D$7*AM306^3+BMILMS!$E$7*AM306^2+BMILMS!$F$7*AM306+BMILMS!$G$7)),IF(AM306&lt;69,BMILMS!$D$9*AM306^3+BMILMS!$E$9*AM306^2+BMILMS!$F$9*AM306+BMILMS!$G$9,IF(AM306&lt;150,BMILMS!$D$10*AM306^3+BMILMS!$E$10*AM306^2+BMILMS!$F$10*AM306+BMILMS!$G$10,BMILMS!$D$11*AM306^3+BMILMS!$E$11*AM306^2+BMILMS!$F$11*AM306+BMILMS!$G$11)))</f>
        <v>0.79584630099999998</v>
      </c>
      <c r="AK306" s="4">
        <f>IF(D306="M",(IF(AM306&lt;2.5,BMILMS!$D$21*AM306^3+BMILMS!$E$21*AM306^2+BMILMS!$F$21*AM306+BMILMS!$G$21,IF(AM306&lt;9.5,BMILMS!$D$22*AM306^3+BMILMS!$E$22*AM306^2+BMILMS!$F$22*AM306+BMILMS!$G$22,IF(AM306&lt;26.75,BMILMS!$D$23*AM306^3+BMILMS!$E$23*AM306^2+BMILMS!$F$23*AM306+BMILMS!$G$23,IF(AM306&lt;90,BMILMS!$D$24*AM306^3+BMILMS!$E$24*AM306^2+BMILMS!$F$24*AM306+BMILMS!$G$24,BMILMS!$D$25*AM306^3+BMILMS!$E$25*AM306^2+BMILMS!$F$25*AM306+BMILMS!$G$25))))),(IF(AM306&lt;2.5,BMILMS!$D$27*AM306^3+BMILMS!$E$27*AM306^2+BMILMS!$F$27*AM306+BMILMS!$G$27,IF(AM306&lt;9.5,BMILMS!$D$28*AM306^3+BMILMS!$E$28*AM306^2+BMILMS!$F$28*AM306+BMILMS!$G$28,IF(AM306&lt;26.75,BMILMS!$D$29*AM306^3+BMILMS!$E$29*AM306^2+BMILMS!$F$29*AM306+BMILMS!$G$29,IF(AM306&lt;90,BMILMS!$D$30*AM306^3+BMILMS!$E$30*AM306^2+BMILMS!$F$30*AM306+BMILMS!$G$30,IF(AM306&lt;150,BMILMS!$D$31*AM306^3+BMILMS!$E$31*AM306^2+BMILMS!$F$31*AM306+BMILMS!$G$31,BMILMS!$D$32*AM306^3+BMILMS!$E$32*AM306^2+BMILMS!$F$32*AM306+BMILMS!$G$32)))))))</f>
        <v>12.568967990000001</v>
      </c>
      <c r="AL306" s="4">
        <f>IF(D306="M",(IF(AM306&lt;90,BMILMS!$D$14*AM306^3+BMILMS!$E$14*AM306^2+BMILMS!$F$14*AM306+BMILMS!$G$14,BMILMS!$D$15*AM306^3+BMILMS!$E$15*AM306^2+BMILMS!$F$15*AM306+BMILMS!$G$15)),(IF(AM306&lt;90,BMILMS!$D$17*AM306^3+BMILMS!$E$17*AM306^2+BMILMS!$F$17*AM306+BMILMS!$G$17,BMILMS!$D$18*AM306^3+BMILMS!$E$18*AM306^2+BMILMS!$F$18*AM306+BMILMS!$G$18)))</f>
        <v>8.8969350000000003E-2</v>
      </c>
      <c r="AM306" s="4">
        <f t="shared" si="104"/>
        <v>0</v>
      </c>
      <c r="AO306" s="56">
        <f>IF(D306="M",WeightSDS!P$5*$AM306^7+WeightSDS!Q$5*$AM306^6+WeightSDS!R$5*$AM306^5+WeightSDS!S$5*$AM306^4+WeightSDS!T$5*$AM306^3+WeightSDS!U$5*$AM306^2+WeightSDS!V$5*$AM306+WeightSDS!W$5,IF($AM306&lt;186,WeightSDS!P$8*$AM306^7+WeightSDS!Q$8*$AM306^6+WeightSDS!R$8*$AM306^5+WeightSDS!S$8*$AM306^4+WeightSDS!T$8*$AM306^3+WeightSDS!U$8*$AM306^2+WeightSDS!V$8*$AM306+WeightSDS!W$8,WeightSDS!$U$9+WeightSDS!$V$9*($AM306-WeightSDS!$W$9)))</f>
        <v>0.75407122999999998</v>
      </c>
      <c r="AP306" s="4">
        <f>IF(D306="M",IF($AM306&lt;45,WeightSDS!M$23*$AM306^10+WeightSDS!N$23*$AM306^9+WeightSDS!O$23*$AM306^8+WeightSDS!P$23*$AM306^7+WeightSDS!Q$23*$AM306^6+WeightSDS!R$23*$AM306^5+WeightSDS!S$23*$AM306^4+WeightSDS!T$23*$AM306^3+WeightSDS!U$23*$AM306^2+WeightSDS!V$23*$AM306+WeightSDS!W$23,IF($AM306&lt;153,WeightSDS!M$25*$AM306^10+WeightSDS!N$25*$AM306^9+WeightSDS!O$25*$AM306^8+WeightSDS!P$25*$AM306^7+WeightSDS!Q$25*$AM306^6+WeightSDS!R$25*$AM306^5+WeightSDS!S$25*$AM306^4+WeightSDS!T$25*$AM306^3+WeightSDS!U$25*$AM306^2+WeightSDS!V$25*$AM306+WeightSDS!W$25,WeightSDS!M$27+WeightSDS!N$27/(1+EXP(WeightSDS!O$27+WeightSDS!P$27*$AM306)))),IF($AM306&lt;43.8,WeightSDS!M$29*$AM306^10+WeightSDS!N$29*$AM306^9+WeightSDS!O$29*$AM306^8+WeightSDS!P$29*$AM306^7+WeightSDS!Q$29*$AM306^6+WeightSDS!R$29*$AM306^5+WeightSDS!S$29*$AM306^4+WeightSDS!T$29*$AM306^3+WeightSDS!U$29*$AM306^2+WeightSDS!V$29*$AM306+WeightSDS!W$29-0.010431*(1-$AM306/210),IF($AM306&lt;123,WeightSDS!M$30*$AM306^10+WeightSDS!N$30*$AM306^9+WeightSDS!O$30*$AM306^8+WeightSDS!P$30*$AM306^7+WeightSDS!Q$30*$AM306^6+WeightSDS!R$30*$AM306^5+WeightSDS!S$30*$AM306^4+WeightSDS!T$30*$AM306^3+WeightSDS!U$30*$AM306^2+WeightSDS!V$30*$AM306+WeightSDS!W$30-0.010431*(1-1/$AM306),WeightSDS!M$32+WeightSDS!N$32/(1+EXP(WeightSDS!O$32+WeightSDS!P$32*$AM306))-0.010431*(1-$AM306/210))))</f>
        <v>2.9500001032655536</v>
      </c>
      <c r="AQ306" s="4">
        <f>IF(D306="M",IF($AM306&lt;162,WeightSDS!P$12*$AM306^7+WeightSDS!Q$12*$AM306^6+WeightSDS!R$12*$AM306^5+WeightSDS!S$12*$AM306^4+WeightSDS!T$12*$AM306^3+WeightSDS!U$12*$AM306^2+WeightSDS!V$12*$AM306+WeightSDS!W$12,WeightSDS!P$14*$AM306^7+WeightSDS!Q$14*$AM306^6+WeightSDS!R$14*$AM306^5+WeightSDS!S$14*$AM306^4+WeightSDS!T$14*$AM306^3+WeightSDS!U$14*$AM306^2+WeightSDS!V$14*$AM306+WeightSDS!W$14),IF($AM306&lt;156,WeightSDS!O$17*$AM306^8+WeightSDS!P$17*$AM306^7+WeightSDS!Q$17*$AM306^6+WeightSDS!R$17*$AM306^5+WeightSDS!S$17*$AM306^4+WeightSDS!T$17*$AM306^3+WeightSDS!U$17*$AM306^2+WeightSDS!V$17*$AM306+WeightSDS!W$17,IF($AM306&lt;186,WeightSDS!$U$18+(WeightSDS!$V$18-WeightSDS!$U$18)/24*($AM306-186)+WeightSDS!$W$18*(-$AM306+186)^2-0.005,WeightSDS!$U$18+(WeightSDS!$V$18-WeightSDS!$U$18)/24*($AM306-186)-0.005)))</f>
        <v>0.14604529399999999</v>
      </c>
      <c r="AT306" s="4">
        <f t="shared" si="91"/>
        <v>0.56299999999999994</v>
      </c>
      <c r="AU306" s="4">
        <f t="shared" si="92"/>
        <v>69</v>
      </c>
      <c r="AV306" s="4">
        <f t="shared" si="93"/>
        <v>0.51</v>
      </c>
    </row>
    <row r="307" spans="1:48" x14ac:dyDescent="0.15">
      <c r="A307" s="4"/>
      <c r="B307" s="21"/>
      <c r="C307" s="21"/>
      <c r="D307" s="21"/>
      <c r="E307" s="22"/>
      <c r="F307" s="22"/>
      <c r="G307" s="23"/>
      <c r="H307" s="23"/>
      <c r="I307" s="181"/>
      <c r="J307" s="8" t="str">
        <f t="shared" si="85"/>
        <v/>
      </c>
      <c r="K307" s="2" t="str">
        <f t="shared" si="94"/>
        <v/>
      </c>
      <c r="L307" s="2" t="str">
        <f t="shared" si="86"/>
        <v/>
      </c>
      <c r="M307" s="2" t="str">
        <f t="shared" si="95"/>
        <v/>
      </c>
      <c r="N307" s="2" t="str">
        <f t="shared" si="103"/>
        <v/>
      </c>
      <c r="O307" s="2" t="str">
        <f t="shared" si="96"/>
        <v/>
      </c>
      <c r="P307" s="8" t="str">
        <f t="shared" si="97"/>
        <v/>
      </c>
      <c r="Q307" s="8" t="str">
        <f t="shared" si="98"/>
        <v/>
      </c>
      <c r="R307" s="111" t="str">
        <f t="shared" si="99"/>
        <v/>
      </c>
      <c r="S307" s="44" t="str">
        <f t="shared" si="100"/>
        <v/>
      </c>
      <c r="T307" s="37" t="str">
        <f t="shared" si="101"/>
        <v/>
      </c>
      <c r="U307" s="44" t="str">
        <f t="shared" si="102"/>
        <v/>
      </c>
      <c r="V307" s="26"/>
      <c r="W307" s="26"/>
      <c r="X307" s="26"/>
      <c r="Y307" s="26"/>
      <c r="Z307" s="24"/>
      <c r="AA307" s="169">
        <f t="shared" si="87"/>
        <v>0</v>
      </c>
      <c r="AB307" s="4">
        <f t="shared" si="88"/>
        <v>0</v>
      </c>
      <c r="AC307" s="170">
        <f t="shared" si="105"/>
        <v>0</v>
      </c>
      <c r="AD307" s="58"/>
      <c r="AE307" s="58"/>
      <c r="AF307" s="58"/>
      <c r="AG307" s="59">
        <f t="shared" si="89"/>
        <v>9.0359999999999996</v>
      </c>
      <c r="AH307" s="59">
        <f t="shared" si="90"/>
        <v>-184.49199999999999</v>
      </c>
      <c r="AJ307" s="4">
        <f>IF(D307="M",IF(AM307&lt;78,BMILMS!$D$5*AM307^3+BMILMS!$E$5*AM307^2+BMILMS!$F$5*AM307+BMILMS!$G$5,IF(AM307&lt;150,BMILMS!$D$6*AM307^3+BMILMS!$E$6*AM307^2+BMILMS!$F$6*AM307+BMILMS!$G$6,BMILMS!$D$7*AM307^3+BMILMS!$E$7*AM307^2+BMILMS!$F$7*AM307+BMILMS!$G$7)),IF(AM307&lt;69,BMILMS!$D$9*AM307^3+BMILMS!$E$9*AM307^2+BMILMS!$F$9*AM307+BMILMS!$G$9,IF(AM307&lt;150,BMILMS!$D$10*AM307^3+BMILMS!$E$10*AM307^2+BMILMS!$F$10*AM307+BMILMS!$G$10,BMILMS!$D$11*AM307^3+BMILMS!$E$11*AM307^2+BMILMS!$F$11*AM307+BMILMS!$G$11)))</f>
        <v>0.79584630099999998</v>
      </c>
      <c r="AK307" s="4">
        <f>IF(D307="M",(IF(AM307&lt;2.5,BMILMS!$D$21*AM307^3+BMILMS!$E$21*AM307^2+BMILMS!$F$21*AM307+BMILMS!$G$21,IF(AM307&lt;9.5,BMILMS!$D$22*AM307^3+BMILMS!$E$22*AM307^2+BMILMS!$F$22*AM307+BMILMS!$G$22,IF(AM307&lt;26.75,BMILMS!$D$23*AM307^3+BMILMS!$E$23*AM307^2+BMILMS!$F$23*AM307+BMILMS!$G$23,IF(AM307&lt;90,BMILMS!$D$24*AM307^3+BMILMS!$E$24*AM307^2+BMILMS!$F$24*AM307+BMILMS!$G$24,BMILMS!$D$25*AM307^3+BMILMS!$E$25*AM307^2+BMILMS!$F$25*AM307+BMILMS!$G$25))))),(IF(AM307&lt;2.5,BMILMS!$D$27*AM307^3+BMILMS!$E$27*AM307^2+BMILMS!$F$27*AM307+BMILMS!$G$27,IF(AM307&lt;9.5,BMILMS!$D$28*AM307^3+BMILMS!$E$28*AM307^2+BMILMS!$F$28*AM307+BMILMS!$G$28,IF(AM307&lt;26.75,BMILMS!$D$29*AM307^3+BMILMS!$E$29*AM307^2+BMILMS!$F$29*AM307+BMILMS!$G$29,IF(AM307&lt;90,BMILMS!$D$30*AM307^3+BMILMS!$E$30*AM307^2+BMILMS!$F$30*AM307+BMILMS!$G$30,IF(AM307&lt;150,BMILMS!$D$31*AM307^3+BMILMS!$E$31*AM307^2+BMILMS!$F$31*AM307+BMILMS!$G$31,BMILMS!$D$32*AM307^3+BMILMS!$E$32*AM307^2+BMILMS!$F$32*AM307+BMILMS!$G$32)))))))</f>
        <v>12.568967990000001</v>
      </c>
      <c r="AL307" s="4">
        <f>IF(D307="M",(IF(AM307&lt;90,BMILMS!$D$14*AM307^3+BMILMS!$E$14*AM307^2+BMILMS!$F$14*AM307+BMILMS!$G$14,BMILMS!$D$15*AM307^3+BMILMS!$E$15*AM307^2+BMILMS!$F$15*AM307+BMILMS!$G$15)),(IF(AM307&lt;90,BMILMS!$D$17*AM307^3+BMILMS!$E$17*AM307^2+BMILMS!$F$17*AM307+BMILMS!$G$17,BMILMS!$D$18*AM307^3+BMILMS!$E$18*AM307^2+BMILMS!$F$18*AM307+BMILMS!$G$18)))</f>
        <v>8.8969350000000003E-2</v>
      </c>
      <c r="AM307" s="4">
        <f t="shared" si="104"/>
        <v>0</v>
      </c>
      <c r="AO307" s="56">
        <f>IF(D307="M",WeightSDS!P$5*$AM307^7+WeightSDS!Q$5*$AM307^6+WeightSDS!R$5*$AM307^5+WeightSDS!S$5*$AM307^4+WeightSDS!T$5*$AM307^3+WeightSDS!U$5*$AM307^2+WeightSDS!V$5*$AM307+WeightSDS!W$5,IF($AM307&lt;186,WeightSDS!P$8*$AM307^7+WeightSDS!Q$8*$AM307^6+WeightSDS!R$8*$AM307^5+WeightSDS!S$8*$AM307^4+WeightSDS!T$8*$AM307^3+WeightSDS!U$8*$AM307^2+WeightSDS!V$8*$AM307+WeightSDS!W$8,WeightSDS!$U$9+WeightSDS!$V$9*($AM307-WeightSDS!$W$9)))</f>
        <v>0.75407122999999998</v>
      </c>
      <c r="AP307" s="4">
        <f>IF(D307="M",IF($AM307&lt;45,WeightSDS!M$23*$AM307^10+WeightSDS!N$23*$AM307^9+WeightSDS!O$23*$AM307^8+WeightSDS!P$23*$AM307^7+WeightSDS!Q$23*$AM307^6+WeightSDS!R$23*$AM307^5+WeightSDS!S$23*$AM307^4+WeightSDS!T$23*$AM307^3+WeightSDS!U$23*$AM307^2+WeightSDS!V$23*$AM307+WeightSDS!W$23,IF($AM307&lt;153,WeightSDS!M$25*$AM307^10+WeightSDS!N$25*$AM307^9+WeightSDS!O$25*$AM307^8+WeightSDS!P$25*$AM307^7+WeightSDS!Q$25*$AM307^6+WeightSDS!R$25*$AM307^5+WeightSDS!S$25*$AM307^4+WeightSDS!T$25*$AM307^3+WeightSDS!U$25*$AM307^2+WeightSDS!V$25*$AM307+WeightSDS!W$25,WeightSDS!M$27+WeightSDS!N$27/(1+EXP(WeightSDS!O$27+WeightSDS!P$27*$AM307)))),IF($AM307&lt;43.8,WeightSDS!M$29*$AM307^10+WeightSDS!N$29*$AM307^9+WeightSDS!O$29*$AM307^8+WeightSDS!P$29*$AM307^7+WeightSDS!Q$29*$AM307^6+WeightSDS!R$29*$AM307^5+WeightSDS!S$29*$AM307^4+WeightSDS!T$29*$AM307^3+WeightSDS!U$29*$AM307^2+WeightSDS!V$29*$AM307+WeightSDS!W$29-0.010431*(1-$AM307/210),IF($AM307&lt;123,WeightSDS!M$30*$AM307^10+WeightSDS!N$30*$AM307^9+WeightSDS!O$30*$AM307^8+WeightSDS!P$30*$AM307^7+WeightSDS!Q$30*$AM307^6+WeightSDS!R$30*$AM307^5+WeightSDS!S$30*$AM307^4+WeightSDS!T$30*$AM307^3+WeightSDS!U$30*$AM307^2+WeightSDS!V$30*$AM307+WeightSDS!W$30-0.010431*(1-1/$AM307),WeightSDS!M$32+WeightSDS!N$32/(1+EXP(WeightSDS!O$32+WeightSDS!P$32*$AM307))-0.010431*(1-$AM307/210))))</f>
        <v>2.9500001032655536</v>
      </c>
      <c r="AQ307" s="4">
        <f>IF(D307="M",IF($AM307&lt;162,WeightSDS!P$12*$AM307^7+WeightSDS!Q$12*$AM307^6+WeightSDS!R$12*$AM307^5+WeightSDS!S$12*$AM307^4+WeightSDS!T$12*$AM307^3+WeightSDS!U$12*$AM307^2+WeightSDS!V$12*$AM307+WeightSDS!W$12,WeightSDS!P$14*$AM307^7+WeightSDS!Q$14*$AM307^6+WeightSDS!R$14*$AM307^5+WeightSDS!S$14*$AM307^4+WeightSDS!T$14*$AM307^3+WeightSDS!U$14*$AM307^2+WeightSDS!V$14*$AM307+WeightSDS!W$14),IF($AM307&lt;156,WeightSDS!O$17*$AM307^8+WeightSDS!P$17*$AM307^7+WeightSDS!Q$17*$AM307^6+WeightSDS!R$17*$AM307^5+WeightSDS!S$17*$AM307^4+WeightSDS!T$17*$AM307^3+WeightSDS!U$17*$AM307^2+WeightSDS!V$17*$AM307+WeightSDS!W$17,IF($AM307&lt;186,WeightSDS!$U$18+(WeightSDS!$V$18-WeightSDS!$U$18)/24*($AM307-186)+WeightSDS!$W$18*(-$AM307+186)^2-0.005,WeightSDS!$U$18+(WeightSDS!$V$18-WeightSDS!$U$18)/24*($AM307-186)-0.005)))</f>
        <v>0.14604529399999999</v>
      </c>
      <c r="AT307" s="4">
        <f t="shared" si="91"/>
        <v>0.56299999999999994</v>
      </c>
      <c r="AU307" s="4">
        <f t="shared" si="92"/>
        <v>69</v>
      </c>
      <c r="AV307" s="4">
        <f t="shared" si="93"/>
        <v>0.51</v>
      </c>
    </row>
    <row r="308" spans="1:48" x14ac:dyDescent="0.15">
      <c r="A308" s="4"/>
      <c r="B308" s="21"/>
      <c r="C308" s="21"/>
      <c r="D308" s="21"/>
      <c r="E308" s="22"/>
      <c r="F308" s="22"/>
      <c r="G308" s="23"/>
      <c r="H308" s="23"/>
      <c r="I308" s="181"/>
      <c r="J308" s="8" t="str">
        <f t="shared" si="85"/>
        <v/>
      </c>
      <c r="K308" s="2" t="str">
        <f t="shared" si="94"/>
        <v/>
      </c>
      <c r="L308" s="2" t="str">
        <f t="shared" si="86"/>
        <v/>
      </c>
      <c r="M308" s="2" t="str">
        <f t="shared" si="95"/>
        <v/>
      </c>
      <c r="N308" s="2" t="str">
        <f t="shared" si="103"/>
        <v/>
      </c>
      <c r="O308" s="2" t="str">
        <f t="shared" si="96"/>
        <v/>
      </c>
      <c r="P308" s="8" t="str">
        <f t="shared" si="97"/>
        <v/>
      </c>
      <c r="Q308" s="8" t="str">
        <f t="shared" si="98"/>
        <v/>
      </c>
      <c r="R308" s="111" t="str">
        <f t="shared" si="99"/>
        <v/>
      </c>
      <c r="S308" s="44" t="str">
        <f t="shared" si="100"/>
        <v/>
      </c>
      <c r="T308" s="37" t="str">
        <f t="shared" si="101"/>
        <v/>
      </c>
      <c r="U308" s="44" t="str">
        <f t="shared" si="102"/>
        <v/>
      </c>
      <c r="V308" s="26"/>
      <c r="W308" s="26"/>
      <c r="X308" s="26"/>
      <c r="Y308" s="26"/>
      <c r="Z308" s="24"/>
      <c r="AA308" s="169">
        <f t="shared" si="87"/>
        <v>0</v>
      </c>
      <c r="AB308" s="4">
        <f t="shared" si="88"/>
        <v>0</v>
      </c>
      <c r="AC308" s="170">
        <f t="shared" si="105"/>
        <v>0</v>
      </c>
      <c r="AD308" s="58"/>
      <c r="AE308" s="58"/>
      <c r="AF308" s="58"/>
      <c r="AG308" s="59">
        <f t="shared" si="89"/>
        <v>9.0359999999999996</v>
      </c>
      <c r="AH308" s="59">
        <f t="shared" si="90"/>
        <v>-184.49199999999999</v>
      </c>
      <c r="AJ308" s="4">
        <f>IF(D308="M",IF(AM308&lt;78,BMILMS!$D$5*AM308^3+BMILMS!$E$5*AM308^2+BMILMS!$F$5*AM308+BMILMS!$G$5,IF(AM308&lt;150,BMILMS!$D$6*AM308^3+BMILMS!$E$6*AM308^2+BMILMS!$F$6*AM308+BMILMS!$G$6,BMILMS!$D$7*AM308^3+BMILMS!$E$7*AM308^2+BMILMS!$F$7*AM308+BMILMS!$G$7)),IF(AM308&lt;69,BMILMS!$D$9*AM308^3+BMILMS!$E$9*AM308^2+BMILMS!$F$9*AM308+BMILMS!$G$9,IF(AM308&lt;150,BMILMS!$D$10*AM308^3+BMILMS!$E$10*AM308^2+BMILMS!$F$10*AM308+BMILMS!$G$10,BMILMS!$D$11*AM308^3+BMILMS!$E$11*AM308^2+BMILMS!$F$11*AM308+BMILMS!$G$11)))</f>
        <v>0.79584630099999998</v>
      </c>
      <c r="AK308" s="4">
        <f>IF(D308="M",(IF(AM308&lt;2.5,BMILMS!$D$21*AM308^3+BMILMS!$E$21*AM308^2+BMILMS!$F$21*AM308+BMILMS!$G$21,IF(AM308&lt;9.5,BMILMS!$D$22*AM308^3+BMILMS!$E$22*AM308^2+BMILMS!$F$22*AM308+BMILMS!$G$22,IF(AM308&lt;26.75,BMILMS!$D$23*AM308^3+BMILMS!$E$23*AM308^2+BMILMS!$F$23*AM308+BMILMS!$G$23,IF(AM308&lt;90,BMILMS!$D$24*AM308^3+BMILMS!$E$24*AM308^2+BMILMS!$F$24*AM308+BMILMS!$G$24,BMILMS!$D$25*AM308^3+BMILMS!$E$25*AM308^2+BMILMS!$F$25*AM308+BMILMS!$G$25))))),(IF(AM308&lt;2.5,BMILMS!$D$27*AM308^3+BMILMS!$E$27*AM308^2+BMILMS!$F$27*AM308+BMILMS!$G$27,IF(AM308&lt;9.5,BMILMS!$D$28*AM308^3+BMILMS!$E$28*AM308^2+BMILMS!$F$28*AM308+BMILMS!$G$28,IF(AM308&lt;26.75,BMILMS!$D$29*AM308^3+BMILMS!$E$29*AM308^2+BMILMS!$F$29*AM308+BMILMS!$G$29,IF(AM308&lt;90,BMILMS!$D$30*AM308^3+BMILMS!$E$30*AM308^2+BMILMS!$F$30*AM308+BMILMS!$G$30,IF(AM308&lt;150,BMILMS!$D$31*AM308^3+BMILMS!$E$31*AM308^2+BMILMS!$F$31*AM308+BMILMS!$G$31,BMILMS!$D$32*AM308^3+BMILMS!$E$32*AM308^2+BMILMS!$F$32*AM308+BMILMS!$G$32)))))))</f>
        <v>12.568967990000001</v>
      </c>
      <c r="AL308" s="4">
        <f>IF(D308="M",(IF(AM308&lt;90,BMILMS!$D$14*AM308^3+BMILMS!$E$14*AM308^2+BMILMS!$F$14*AM308+BMILMS!$G$14,BMILMS!$D$15*AM308^3+BMILMS!$E$15*AM308^2+BMILMS!$F$15*AM308+BMILMS!$G$15)),(IF(AM308&lt;90,BMILMS!$D$17*AM308^3+BMILMS!$E$17*AM308^2+BMILMS!$F$17*AM308+BMILMS!$G$17,BMILMS!$D$18*AM308^3+BMILMS!$E$18*AM308^2+BMILMS!$F$18*AM308+BMILMS!$G$18)))</f>
        <v>8.8969350000000003E-2</v>
      </c>
      <c r="AM308" s="4">
        <f t="shared" si="104"/>
        <v>0</v>
      </c>
      <c r="AO308" s="56">
        <f>IF(D308="M",WeightSDS!P$5*$AM308^7+WeightSDS!Q$5*$AM308^6+WeightSDS!R$5*$AM308^5+WeightSDS!S$5*$AM308^4+WeightSDS!T$5*$AM308^3+WeightSDS!U$5*$AM308^2+WeightSDS!V$5*$AM308+WeightSDS!W$5,IF($AM308&lt;186,WeightSDS!P$8*$AM308^7+WeightSDS!Q$8*$AM308^6+WeightSDS!R$8*$AM308^5+WeightSDS!S$8*$AM308^4+WeightSDS!T$8*$AM308^3+WeightSDS!U$8*$AM308^2+WeightSDS!V$8*$AM308+WeightSDS!W$8,WeightSDS!$U$9+WeightSDS!$V$9*($AM308-WeightSDS!$W$9)))</f>
        <v>0.75407122999999998</v>
      </c>
      <c r="AP308" s="4">
        <f>IF(D308="M",IF($AM308&lt;45,WeightSDS!M$23*$AM308^10+WeightSDS!N$23*$AM308^9+WeightSDS!O$23*$AM308^8+WeightSDS!P$23*$AM308^7+WeightSDS!Q$23*$AM308^6+WeightSDS!R$23*$AM308^5+WeightSDS!S$23*$AM308^4+WeightSDS!T$23*$AM308^3+WeightSDS!U$23*$AM308^2+WeightSDS!V$23*$AM308+WeightSDS!W$23,IF($AM308&lt;153,WeightSDS!M$25*$AM308^10+WeightSDS!N$25*$AM308^9+WeightSDS!O$25*$AM308^8+WeightSDS!P$25*$AM308^7+WeightSDS!Q$25*$AM308^6+WeightSDS!R$25*$AM308^5+WeightSDS!S$25*$AM308^4+WeightSDS!T$25*$AM308^3+WeightSDS!U$25*$AM308^2+WeightSDS!V$25*$AM308+WeightSDS!W$25,WeightSDS!M$27+WeightSDS!N$27/(1+EXP(WeightSDS!O$27+WeightSDS!P$27*$AM308)))),IF($AM308&lt;43.8,WeightSDS!M$29*$AM308^10+WeightSDS!N$29*$AM308^9+WeightSDS!O$29*$AM308^8+WeightSDS!P$29*$AM308^7+WeightSDS!Q$29*$AM308^6+WeightSDS!R$29*$AM308^5+WeightSDS!S$29*$AM308^4+WeightSDS!T$29*$AM308^3+WeightSDS!U$29*$AM308^2+WeightSDS!V$29*$AM308+WeightSDS!W$29-0.010431*(1-$AM308/210),IF($AM308&lt;123,WeightSDS!M$30*$AM308^10+WeightSDS!N$30*$AM308^9+WeightSDS!O$30*$AM308^8+WeightSDS!P$30*$AM308^7+WeightSDS!Q$30*$AM308^6+WeightSDS!R$30*$AM308^5+WeightSDS!S$30*$AM308^4+WeightSDS!T$30*$AM308^3+WeightSDS!U$30*$AM308^2+WeightSDS!V$30*$AM308+WeightSDS!W$30-0.010431*(1-1/$AM308),WeightSDS!M$32+WeightSDS!N$32/(1+EXP(WeightSDS!O$32+WeightSDS!P$32*$AM308))-0.010431*(1-$AM308/210))))</f>
        <v>2.9500001032655536</v>
      </c>
      <c r="AQ308" s="4">
        <f>IF(D308="M",IF($AM308&lt;162,WeightSDS!P$12*$AM308^7+WeightSDS!Q$12*$AM308^6+WeightSDS!R$12*$AM308^5+WeightSDS!S$12*$AM308^4+WeightSDS!T$12*$AM308^3+WeightSDS!U$12*$AM308^2+WeightSDS!V$12*$AM308+WeightSDS!W$12,WeightSDS!P$14*$AM308^7+WeightSDS!Q$14*$AM308^6+WeightSDS!R$14*$AM308^5+WeightSDS!S$14*$AM308^4+WeightSDS!T$14*$AM308^3+WeightSDS!U$14*$AM308^2+WeightSDS!V$14*$AM308+WeightSDS!W$14),IF($AM308&lt;156,WeightSDS!O$17*$AM308^8+WeightSDS!P$17*$AM308^7+WeightSDS!Q$17*$AM308^6+WeightSDS!R$17*$AM308^5+WeightSDS!S$17*$AM308^4+WeightSDS!T$17*$AM308^3+WeightSDS!U$17*$AM308^2+WeightSDS!V$17*$AM308+WeightSDS!W$17,IF($AM308&lt;186,WeightSDS!$U$18+(WeightSDS!$V$18-WeightSDS!$U$18)/24*($AM308-186)+WeightSDS!$W$18*(-$AM308+186)^2-0.005,WeightSDS!$U$18+(WeightSDS!$V$18-WeightSDS!$U$18)/24*($AM308-186)-0.005)))</f>
        <v>0.14604529399999999</v>
      </c>
      <c r="AT308" s="4">
        <f t="shared" si="91"/>
        <v>0.56299999999999994</v>
      </c>
      <c r="AU308" s="4">
        <f t="shared" si="92"/>
        <v>69</v>
      </c>
      <c r="AV308" s="4">
        <f t="shared" si="93"/>
        <v>0.51</v>
      </c>
    </row>
    <row r="309" spans="1:48" x14ac:dyDescent="0.15">
      <c r="A309" s="4"/>
      <c r="B309" s="21"/>
      <c r="C309" s="21"/>
      <c r="D309" s="21"/>
      <c r="E309" s="22"/>
      <c r="F309" s="22"/>
      <c r="G309" s="23"/>
      <c r="H309" s="23"/>
      <c r="I309" s="181"/>
      <c r="J309" s="8" t="str">
        <f t="shared" si="85"/>
        <v/>
      </c>
      <c r="K309" s="2" t="str">
        <f t="shared" si="94"/>
        <v/>
      </c>
      <c r="L309" s="2" t="str">
        <f t="shared" si="86"/>
        <v/>
      </c>
      <c r="M309" s="2" t="str">
        <f t="shared" si="95"/>
        <v/>
      </c>
      <c r="N309" s="2" t="str">
        <f t="shared" si="103"/>
        <v/>
      </c>
      <c r="O309" s="2" t="str">
        <f t="shared" si="96"/>
        <v/>
      </c>
      <c r="P309" s="8" t="str">
        <f t="shared" si="97"/>
        <v/>
      </c>
      <c r="Q309" s="8" t="str">
        <f t="shared" si="98"/>
        <v/>
      </c>
      <c r="R309" s="111" t="str">
        <f t="shared" si="99"/>
        <v/>
      </c>
      <c r="S309" s="44" t="str">
        <f t="shared" si="100"/>
        <v/>
      </c>
      <c r="T309" s="37" t="str">
        <f t="shared" si="101"/>
        <v/>
      </c>
      <c r="U309" s="44" t="str">
        <f t="shared" si="102"/>
        <v/>
      </c>
      <c r="V309" s="26"/>
      <c r="W309" s="26"/>
      <c r="X309" s="26"/>
      <c r="Y309" s="26"/>
      <c r="Z309" s="24"/>
      <c r="AA309" s="169">
        <f t="shared" si="87"/>
        <v>0</v>
      </c>
      <c r="AB309" s="4">
        <f t="shared" si="88"/>
        <v>0</v>
      </c>
      <c r="AC309" s="170">
        <f t="shared" si="105"/>
        <v>0</v>
      </c>
      <c r="AD309" s="58"/>
      <c r="AE309" s="58"/>
      <c r="AF309" s="58"/>
      <c r="AG309" s="59">
        <f t="shared" si="89"/>
        <v>9.0359999999999996</v>
      </c>
      <c r="AH309" s="59">
        <f t="shared" si="90"/>
        <v>-184.49199999999999</v>
      </c>
      <c r="AJ309" s="4">
        <f>IF(D309="M",IF(AM309&lt;78,BMILMS!$D$5*AM309^3+BMILMS!$E$5*AM309^2+BMILMS!$F$5*AM309+BMILMS!$G$5,IF(AM309&lt;150,BMILMS!$D$6*AM309^3+BMILMS!$E$6*AM309^2+BMILMS!$F$6*AM309+BMILMS!$G$6,BMILMS!$D$7*AM309^3+BMILMS!$E$7*AM309^2+BMILMS!$F$7*AM309+BMILMS!$G$7)),IF(AM309&lt;69,BMILMS!$D$9*AM309^3+BMILMS!$E$9*AM309^2+BMILMS!$F$9*AM309+BMILMS!$G$9,IF(AM309&lt;150,BMILMS!$D$10*AM309^3+BMILMS!$E$10*AM309^2+BMILMS!$F$10*AM309+BMILMS!$G$10,BMILMS!$D$11*AM309^3+BMILMS!$E$11*AM309^2+BMILMS!$F$11*AM309+BMILMS!$G$11)))</f>
        <v>0.79584630099999998</v>
      </c>
      <c r="AK309" s="4">
        <f>IF(D309="M",(IF(AM309&lt;2.5,BMILMS!$D$21*AM309^3+BMILMS!$E$21*AM309^2+BMILMS!$F$21*AM309+BMILMS!$G$21,IF(AM309&lt;9.5,BMILMS!$D$22*AM309^3+BMILMS!$E$22*AM309^2+BMILMS!$F$22*AM309+BMILMS!$G$22,IF(AM309&lt;26.75,BMILMS!$D$23*AM309^3+BMILMS!$E$23*AM309^2+BMILMS!$F$23*AM309+BMILMS!$G$23,IF(AM309&lt;90,BMILMS!$D$24*AM309^3+BMILMS!$E$24*AM309^2+BMILMS!$F$24*AM309+BMILMS!$G$24,BMILMS!$D$25*AM309^3+BMILMS!$E$25*AM309^2+BMILMS!$F$25*AM309+BMILMS!$G$25))))),(IF(AM309&lt;2.5,BMILMS!$D$27*AM309^3+BMILMS!$E$27*AM309^2+BMILMS!$F$27*AM309+BMILMS!$G$27,IF(AM309&lt;9.5,BMILMS!$D$28*AM309^3+BMILMS!$E$28*AM309^2+BMILMS!$F$28*AM309+BMILMS!$G$28,IF(AM309&lt;26.75,BMILMS!$D$29*AM309^3+BMILMS!$E$29*AM309^2+BMILMS!$F$29*AM309+BMILMS!$G$29,IF(AM309&lt;90,BMILMS!$D$30*AM309^3+BMILMS!$E$30*AM309^2+BMILMS!$F$30*AM309+BMILMS!$G$30,IF(AM309&lt;150,BMILMS!$D$31*AM309^3+BMILMS!$E$31*AM309^2+BMILMS!$F$31*AM309+BMILMS!$G$31,BMILMS!$D$32*AM309^3+BMILMS!$E$32*AM309^2+BMILMS!$F$32*AM309+BMILMS!$G$32)))))))</f>
        <v>12.568967990000001</v>
      </c>
      <c r="AL309" s="4">
        <f>IF(D309="M",(IF(AM309&lt;90,BMILMS!$D$14*AM309^3+BMILMS!$E$14*AM309^2+BMILMS!$F$14*AM309+BMILMS!$G$14,BMILMS!$D$15*AM309^3+BMILMS!$E$15*AM309^2+BMILMS!$F$15*AM309+BMILMS!$G$15)),(IF(AM309&lt;90,BMILMS!$D$17*AM309^3+BMILMS!$E$17*AM309^2+BMILMS!$F$17*AM309+BMILMS!$G$17,BMILMS!$D$18*AM309^3+BMILMS!$E$18*AM309^2+BMILMS!$F$18*AM309+BMILMS!$G$18)))</f>
        <v>8.8969350000000003E-2</v>
      </c>
      <c r="AM309" s="4">
        <f t="shared" si="104"/>
        <v>0</v>
      </c>
      <c r="AO309" s="56">
        <f>IF(D309="M",WeightSDS!P$5*$AM309^7+WeightSDS!Q$5*$AM309^6+WeightSDS!R$5*$AM309^5+WeightSDS!S$5*$AM309^4+WeightSDS!T$5*$AM309^3+WeightSDS!U$5*$AM309^2+WeightSDS!V$5*$AM309+WeightSDS!W$5,IF($AM309&lt;186,WeightSDS!P$8*$AM309^7+WeightSDS!Q$8*$AM309^6+WeightSDS!R$8*$AM309^5+WeightSDS!S$8*$AM309^4+WeightSDS!T$8*$AM309^3+WeightSDS!U$8*$AM309^2+WeightSDS!V$8*$AM309+WeightSDS!W$8,WeightSDS!$U$9+WeightSDS!$V$9*($AM309-WeightSDS!$W$9)))</f>
        <v>0.75407122999999998</v>
      </c>
      <c r="AP309" s="4">
        <f>IF(D309="M",IF($AM309&lt;45,WeightSDS!M$23*$AM309^10+WeightSDS!N$23*$AM309^9+WeightSDS!O$23*$AM309^8+WeightSDS!P$23*$AM309^7+WeightSDS!Q$23*$AM309^6+WeightSDS!R$23*$AM309^5+WeightSDS!S$23*$AM309^4+WeightSDS!T$23*$AM309^3+WeightSDS!U$23*$AM309^2+WeightSDS!V$23*$AM309+WeightSDS!W$23,IF($AM309&lt;153,WeightSDS!M$25*$AM309^10+WeightSDS!N$25*$AM309^9+WeightSDS!O$25*$AM309^8+WeightSDS!P$25*$AM309^7+WeightSDS!Q$25*$AM309^6+WeightSDS!R$25*$AM309^5+WeightSDS!S$25*$AM309^4+WeightSDS!T$25*$AM309^3+WeightSDS!U$25*$AM309^2+WeightSDS!V$25*$AM309+WeightSDS!W$25,WeightSDS!M$27+WeightSDS!N$27/(1+EXP(WeightSDS!O$27+WeightSDS!P$27*$AM309)))),IF($AM309&lt;43.8,WeightSDS!M$29*$AM309^10+WeightSDS!N$29*$AM309^9+WeightSDS!O$29*$AM309^8+WeightSDS!P$29*$AM309^7+WeightSDS!Q$29*$AM309^6+WeightSDS!R$29*$AM309^5+WeightSDS!S$29*$AM309^4+WeightSDS!T$29*$AM309^3+WeightSDS!U$29*$AM309^2+WeightSDS!V$29*$AM309+WeightSDS!W$29-0.010431*(1-$AM309/210),IF($AM309&lt;123,WeightSDS!M$30*$AM309^10+WeightSDS!N$30*$AM309^9+WeightSDS!O$30*$AM309^8+WeightSDS!P$30*$AM309^7+WeightSDS!Q$30*$AM309^6+WeightSDS!R$30*$AM309^5+WeightSDS!S$30*$AM309^4+WeightSDS!T$30*$AM309^3+WeightSDS!U$30*$AM309^2+WeightSDS!V$30*$AM309+WeightSDS!W$30-0.010431*(1-1/$AM309),WeightSDS!M$32+WeightSDS!N$32/(1+EXP(WeightSDS!O$32+WeightSDS!P$32*$AM309))-0.010431*(1-$AM309/210))))</f>
        <v>2.9500001032655536</v>
      </c>
      <c r="AQ309" s="4">
        <f>IF(D309="M",IF($AM309&lt;162,WeightSDS!P$12*$AM309^7+WeightSDS!Q$12*$AM309^6+WeightSDS!R$12*$AM309^5+WeightSDS!S$12*$AM309^4+WeightSDS!T$12*$AM309^3+WeightSDS!U$12*$AM309^2+WeightSDS!V$12*$AM309+WeightSDS!W$12,WeightSDS!P$14*$AM309^7+WeightSDS!Q$14*$AM309^6+WeightSDS!R$14*$AM309^5+WeightSDS!S$14*$AM309^4+WeightSDS!T$14*$AM309^3+WeightSDS!U$14*$AM309^2+WeightSDS!V$14*$AM309+WeightSDS!W$14),IF($AM309&lt;156,WeightSDS!O$17*$AM309^8+WeightSDS!P$17*$AM309^7+WeightSDS!Q$17*$AM309^6+WeightSDS!R$17*$AM309^5+WeightSDS!S$17*$AM309^4+WeightSDS!T$17*$AM309^3+WeightSDS!U$17*$AM309^2+WeightSDS!V$17*$AM309+WeightSDS!W$17,IF($AM309&lt;186,WeightSDS!$U$18+(WeightSDS!$V$18-WeightSDS!$U$18)/24*($AM309-186)+WeightSDS!$W$18*(-$AM309+186)^2-0.005,WeightSDS!$U$18+(WeightSDS!$V$18-WeightSDS!$U$18)/24*($AM309-186)-0.005)))</f>
        <v>0.14604529399999999</v>
      </c>
      <c r="AT309" s="4">
        <f t="shared" si="91"/>
        <v>0.56299999999999994</v>
      </c>
      <c r="AU309" s="4">
        <f t="shared" si="92"/>
        <v>69</v>
      </c>
      <c r="AV309" s="4">
        <f t="shared" si="93"/>
        <v>0.51</v>
      </c>
    </row>
    <row r="310" spans="1:48" x14ac:dyDescent="0.15">
      <c r="A310" s="4"/>
      <c r="B310" s="21"/>
      <c r="C310" s="21"/>
      <c r="D310" s="21"/>
      <c r="E310" s="22"/>
      <c r="F310" s="22"/>
      <c r="G310" s="23"/>
      <c r="H310" s="23"/>
      <c r="I310" s="181"/>
      <c r="J310" s="8" t="str">
        <f t="shared" si="85"/>
        <v/>
      </c>
      <c r="K310" s="2" t="str">
        <f t="shared" si="94"/>
        <v/>
      </c>
      <c r="L310" s="2" t="str">
        <f t="shared" si="86"/>
        <v/>
      </c>
      <c r="M310" s="2" t="str">
        <f t="shared" si="95"/>
        <v/>
      </c>
      <c r="N310" s="2" t="str">
        <f t="shared" si="103"/>
        <v/>
      </c>
      <c r="O310" s="2" t="str">
        <f t="shared" si="96"/>
        <v/>
      </c>
      <c r="P310" s="8" t="str">
        <f t="shared" si="97"/>
        <v/>
      </c>
      <c r="Q310" s="8" t="str">
        <f t="shared" si="98"/>
        <v/>
      </c>
      <c r="R310" s="111" t="str">
        <f t="shared" si="99"/>
        <v/>
      </c>
      <c r="S310" s="44" t="str">
        <f t="shared" si="100"/>
        <v/>
      </c>
      <c r="T310" s="37" t="str">
        <f t="shared" si="101"/>
        <v/>
      </c>
      <c r="U310" s="44" t="str">
        <f t="shared" si="102"/>
        <v/>
      </c>
      <c r="V310" s="26"/>
      <c r="W310" s="26"/>
      <c r="X310" s="26"/>
      <c r="Y310" s="26"/>
      <c r="Z310" s="24"/>
      <c r="AA310" s="169">
        <f t="shared" si="87"/>
        <v>0</v>
      </c>
      <c r="AB310" s="4">
        <f t="shared" si="88"/>
        <v>0</v>
      </c>
      <c r="AC310" s="170">
        <f t="shared" si="105"/>
        <v>0</v>
      </c>
      <c r="AD310" s="58"/>
      <c r="AE310" s="58"/>
      <c r="AF310" s="58"/>
      <c r="AG310" s="59">
        <f t="shared" si="89"/>
        <v>9.0359999999999996</v>
      </c>
      <c r="AH310" s="59">
        <f t="shared" si="90"/>
        <v>-184.49199999999999</v>
      </c>
      <c r="AJ310" s="4">
        <f>IF(D310="M",IF(AM310&lt;78,BMILMS!$D$5*AM310^3+BMILMS!$E$5*AM310^2+BMILMS!$F$5*AM310+BMILMS!$G$5,IF(AM310&lt;150,BMILMS!$D$6*AM310^3+BMILMS!$E$6*AM310^2+BMILMS!$F$6*AM310+BMILMS!$G$6,BMILMS!$D$7*AM310^3+BMILMS!$E$7*AM310^2+BMILMS!$F$7*AM310+BMILMS!$G$7)),IF(AM310&lt;69,BMILMS!$D$9*AM310^3+BMILMS!$E$9*AM310^2+BMILMS!$F$9*AM310+BMILMS!$G$9,IF(AM310&lt;150,BMILMS!$D$10*AM310^3+BMILMS!$E$10*AM310^2+BMILMS!$F$10*AM310+BMILMS!$G$10,BMILMS!$D$11*AM310^3+BMILMS!$E$11*AM310^2+BMILMS!$F$11*AM310+BMILMS!$G$11)))</f>
        <v>0.79584630099999998</v>
      </c>
      <c r="AK310" s="4">
        <f>IF(D310="M",(IF(AM310&lt;2.5,BMILMS!$D$21*AM310^3+BMILMS!$E$21*AM310^2+BMILMS!$F$21*AM310+BMILMS!$G$21,IF(AM310&lt;9.5,BMILMS!$D$22*AM310^3+BMILMS!$E$22*AM310^2+BMILMS!$F$22*AM310+BMILMS!$G$22,IF(AM310&lt;26.75,BMILMS!$D$23*AM310^3+BMILMS!$E$23*AM310^2+BMILMS!$F$23*AM310+BMILMS!$G$23,IF(AM310&lt;90,BMILMS!$D$24*AM310^3+BMILMS!$E$24*AM310^2+BMILMS!$F$24*AM310+BMILMS!$G$24,BMILMS!$D$25*AM310^3+BMILMS!$E$25*AM310^2+BMILMS!$F$25*AM310+BMILMS!$G$25))))),(IF(AM310&lt;2.5,BMILMS!$D$27*AM310^3+BMILMS!$E$27*AM310^2+BMILMS!$F$27*AM310+BMILMS!$G$27,IF(AM310&lt;9.5,BMILMS!$D$28*AM310^3+BMILMS!$E$28*AM310^2+BMILMS!$F$28*AM310+BMILMS!$G$28,IF(AM310&lt;26.75,BMILMS!$D$29*AM310^3+BMILMS!$E$29*AM310^2+BMILMS!$F$29*AM310+BMILMS!$G$29,IF(AM310&lt;90,BMILMS!$D$30*AM310^3+BMILMS!$E$30*AM310^2+BMILMS!$F$30*AM310+BMILMS!$G$30,IF(AM310&lt;150,BMILMS!$D$31*AM310^3+BMILMS!$E$31*AM310^2+BMILMS!$F$31*AM310+BMILMS!$G$31,BMILMS!$D$32*AM310^3+BMILMS!$E$32*AM310^2+BMILMS!$F$32*AM310+BMILMS!$G$32)))))))</f>
        <v>12.568967990000001</v>
      </c>
      <c r="AL310" s="4">
        <f>IF(D310="M",(IF(AM310&lt;90,BMILMS!$D$14*AM310^3+BMILMS!$E$14*AM310^2+BMILMS!$F$14*AM310+BMILMS!$G$14,BMILMS!$D$15*AM310^3+BMILMS!$E$15*AM310^2+BMILMS!$F$15*AM310+BMILMS!$G$15)),(IF(AM310&lt;90,BMILMS!$D$17*AM310^3+BMILMS!$E$17*AM310^2+BMILMS!$F$17*AM310+BMILMS!$G$17,BMILMS!$D$18*AM310^3+BMILMS!$E$18*AM310^2+BMILMS!$F$18*AM310+BMILMS!$G$18)))</f>
        <v>8.8969350000000003E-2</v>
      </c>
      <c r="AM310" s="4">
        <f t="shared" si="104"/>
        <v>0</v>
      </c>
      <c r="AO310" s="56">
        <f>IF(D310="M",WeightSDS!P$5*$AM310^7+WeightSDS!Q$5*$AM310^6+WeightSDS!R$5*$AM310^5+WeightSDS!S$5*$AM310^4+WeightSDS!T$5*$AM310^3+WeightSDS!U$5*$AM310^2+WeightSDS!V$5*$AM310+WeightSDS!W$5,IF($AM310&lt;186,WeightSDS!P$8*$AM310^7+WeightSDS!Q$8*$AM310^6+WeightSDS!R$8*$AM310^5+WeightSDS!S$8*$AM310^4+WeightSDS!T$8*$AM310^3+WeightSDS!U$8*$AM310^2+WeightSDS!V$8*$AM310+WeightSDS!W$8,WeightSDS!$U$9+WeightSDS!$V$9*($AM310-WeightSDS!$W$9)))</f>
        <v>0.75407122999999998</v>
      </c>
      <c r="AP310" s="4">
        <f>IF(D310="M",IF($AM310&lt;45,WeightSDS!M$23*$AM310^10+WeightSDS!N$23*$AM310^9+WeightSDS!O$23*$AM310^8+WeightSDS!P$23*$AM310^7+WeightSDS!Q$23*$AM310^6+WeightSDS!R$23*$AM310^5+WeightSDS!S$23*$AM310^4+WeightSDS!T$23*$AM310^3+WeightSDS!U$23*$AM310^2+WeightSDS!V$23*$AM310+WeightSDS!W$23,IF($AM310&lt;153,WeightSDS!M$25*$AM310^10+WeightSDS!N$25*$AM310^9+WeightSDS!O$25*$AM310^8+WeightSDS!P$25*$AM310^7+WeightSDS!Q$25*$AM310^6+WeightSDS!R$25*$AM310^5+WeightSDS!S$25*$AM310^4+WeightSDS!T$25*$AM310^3+WeightSDS!U$25*$AM310^2+WeightSDS!V$25*$AM310+WeightSDS!W$25,WeightSDS!M$27+WeightSDS!N$27/(1+EXP(WeightSDS!O$27+WeightSDS!P$27*$AM310)))),IF($AM310&lt;43.8,WeightSDS!M$29*$AM310^10+WeightSDS!N$29*$AM310^9+WeightSDS!O$29*$AM310^8+WeightSDS!P$29*$AM310^7+WeightSDS!Q$29*$AM310^6+WeightSDS!R$29*$AM310^5+WeightSDS!S$29*$AM310^4+WeightSDS!T$29*$AM310^3+WeightSDS!U$29*$AM310^2+WeightSDS!V$29*$AM310+WeightSDS!W$29-0.010431*(1-$AM310/210),IF($AM310&lt;123,WeightSDS!M$30*$AM310^10+WeightSDS!N$30*$AM310^9+WeightSDS!O$30*$AM310^8+WeightSDS!P$30*$AM310^7+WeightSDS!Q$30*$AM310^6+WeightSDS!R$30*$AM310^5+WeightSDS!S$30*$AM310^4+WeightSDS!T$30*$AM310^3+WeightSDS!U$30*$AM310^2+WeightSDS!V$30*$AM310+WeightSDS!W$30-0.010431*(1-1/$AM310),WeightSDS!M$32+WeightSDS!N$32/(1+EXP(WeightSDS!O$32+WeightSDS!P$32*$AM310))-0.010431*(1-$AM310/210))))</f>
        <v>2.9500001032655536</v>
      </c>
      <c r="AQ310" s="4">
        <f>IF(D310="M",IF($AM310&lt;162,WeightSDS!P$12*$AM310^7+WeightSDS!Q$12*$AM310^6+WeightSDS!R$12*$AM310^5+WeightSDS!S$12*$AM310^4+WeightSDS!T$12*$AM310^3+WeightSDS!U$12*$AM310^2+WeightSDS!V$12*$AM310+WeightSDS!W$12,WeightSDS!P$14*$AM310^7+WeightSDS!Q$14*$AM310^6+WeightSDS!R$14*$AM310^5+WeightSDS!S$14*$AM310^4+WeightSDS!T$14*$AM310^3+WeightSDS!U$14*$AM310^2+WeightSDS!V$14*$AM310+WeightSDS!W$14),IF($AM310&lt;156,WeightSDS!O$17*$AM310^8+WeightSDS!P$17*$AM310^7+WeightSDS!Q$17*$AM310^6+WeightSDS!R$17*$AM310^5+WeightSDS!S$17*$AM310^4+WeightSDS!T$17*$AM310^3+WeightSDS!U$17*$AM310^2+WeightSDS!V$17*$AM310+WeightSDS!W$17,IF($AM310&lt;186,WeightSDS!$U$18+(WeightSDS!$V$18-WeightSDS!$U$18)/24*($AM310-186)+WeightSDS!$W$18*(-$AM310+186)^2-0.005,WeightSDS!$U$18+(WeightSDS!$V$18-WeightSDS!$U$18)/24*($AM310-186)-0.005)))</f>
        <v>0.14604529399999999</v>
      </c>
      <c r="AT310" s="4">
        <f t="shared" si="91"/>
        <v>0.56299999999999994</v>
      </c>
      <c r="AU310" s="4">
        <f t="shared" si="92"/>
        <v>69</v>
      </c>
      <c r="AV310" s="4">
        <f t="shared" si="93"/>
        <v>0.51</v>
      </c>
    </row>
    <row r="311" spans="1:48" x14ac:dyDescent="0.15">
      <c r="A311" s="4"/>
      <c r="B311" s="21"/>
      <c r="C311" s="21"/>
      <c r="D311" s="21"/>
      <c r="E311" s="22"/>
      <c r="F311" s="22"/>
      <c r="G311" s="23"/>
      <c r="H311" s="23"/>
      <c r="I311" s="181"/>
      <c r="J311" s="8" t="str">
        <f t="shared" si="85"/>
        <v/>
      </c>
      <c r="K311" s="2" t="str">
        <f t="shared" si="94"/>
        <v/>
      </c>
      <c r="L311" s="2" t="str">
        <f t="shared" si="86"/>
        <v/>
      </c>
      <c r="M311" s="2" t="str">
        <f t="shared" si="95"/>
        <v/>
      </c>
      <c r="N311" s="2" t="str">
        <f t="shared" si="103"/>
        <v/>
      </c>
      <c r="O311" s="2" t="str">
        <f t="shared" si="96"/>
        <v/>
      </c>
      <c r="P311" s="8" t="str">
        <f t="shared" si="97"/>
        <v/>
      </c>
      <c r="Q311" s="8" t="str">
        <f t="shared" si="98"/>
        <v/>
      </c>
      <c r="R311" s="111" t="str">
        <f t="shared" si="99"/>
        <v/>
      </c>
      <c r="S311" s="44" t="str">
        <f t="shared" si="100"/>
        <v/>
      </c>
      <c r="T311" s="37" t="str">
        <f t="shared" si="101"/>
        <v/>
      </c>
      <c r="U311" s="44" t="str">
        <f t="shared" si="102"/>
        <v/>
      </c>
      <c r="V311" s="26"/>
      <c r="W311" s="26"/>
      <c r="X311" s="26"/>
      <c r="Y311" s="26"/>
      <c r="Z311" s="24"/>
      <c r="AA311" s="169">
        <f t="shared" si="87"/>
        <v>0</v>
      </c>
      <c r="AB311" s="4">
        <f t="shared" si="88"/>
        <v>0</v>
      </c>
      <c r="AC311" s="170">
        <f t="shared" si="105"/>
        <v>0</v>
      </c>
      <c r="AD311" s="58"/>
      <c r="AE311" s="58"/>
      <c r="AF311" s="58"/>
      <c r="AG311" s="59">
        <f t="shared" si="89"/>
        <v>9.0359999999999996</v>
      </c>
      <c r="AH311" s="59">
        <f t="shared" si="90"/>
        <v>-184.49199999999999</v>
      </c>
      <c r="AJ311" s="4">
        <f>IF(D311="M",IF(AM311&lt;78,BMILMS!$D$5*AM311^3+BMILMS!$E$5*AM311^2+BMILMS!$F$5*AM311+BMILMS!$G$5,IF(AM311&lt;150,BMILMS!$D$6*AM311^3+BMILMS!$E$6*AM311^2+BMILMS!$F$6*AM311+BMILMS!$G$6,BMILMS!$D$7*AM311^3+BMILMS!$E$7*AM311^2+BMILMS!$F$7*AM311+BMILMS!$G$7)),IF(AM311&lt;69,BMILMS!$D$9*AM311^3+BMILMS!$E$9*AM311^2+BMILMS!$F$9*AM311+BMILMS!$G$9,IF(AM311&lt;150,BMILMS!$D$10*AM311^3+BMILMS!$E$10*AM311^2+BMILMS!$F$10*AM311+BMILMS!$G$10,BMILMS!$D$11*AM311^3+BMILMS!$E$11*AM311^2+BMILMS!$F$11*AM311+BMILMS!$G$11)))</f>
        <v>0.79584630099999998</v>
      </c>
      <c r="AK311" s="4">
        <f>IF(D311="M",(IF(AM311&lt;2.5,BMILMS!$D$21*AM311^3+BMILMS!$E$21*AM311^2+BMILMS!$F$21*AM311+BMILMS!$G$21,IF(AM311&lt;9.5,BMILMS!$D$22*AM311^3+BMILMS!$E$22*AM311^2+BMILMS!$F$22*AM311+BMILMS!$G$22,IF(AM311&lt;26.75,BMILMS!$D$23*AM311^3+BMILMS!$E$23*AM311^2+BMILMS!$F$23*AM311+BMILMS!$G$23,IF(AM311&lt;90,BMILMS!$D$24*AM311^3+BMILMS!$E$24*AM311^2+BMILMS!$F$24*AM311+BMILMS!$G$24,BMILMS!$D$25*AM311^3+BMILMS!$E$25*AM311^2+BMILMS!$F$25*AM311+BMILMS!$G$25))))),(IF(AM311&lt;2.5,BMILMS!$D$27*AM311^3+BMILMS!$E$27*AM311^2+BMILMS!$F$27*AM311+BMILMS!$G$27,IF(AM311&lt;9.5,BMILMS!$D$28*AM311^3+BMILMS!$E$28*AM311^2+BMILMS!$F$28*AM311+BMILMS!$G$28,IF(AM311&lt;26.75,BMILMS!$D$29*AM311^3+BMILMS!$E$29*AM311^2+BMILMS!$F$29*AM311+BMILMS!$G$29,IF(AM311&lt;90,BMILMS!$D$30*AM311^3+BMILMS!$E$30*AM311^2+BMILMS!$F$30*AM311+BMILMS!$G$30,IF(AM311&lt;150,BMILMS!$D$31*AM311^3+BMILMS!$E$31*AM311^2+BMILMS!$F$31*AM311+BMILMS!$G$31,BMILMS!$D$32*AM311^3+BMILMS!$E$32*AM311^2+BMILMS!$F$32*AM311+BMILMS!$G$32)))))))</f>
        <v>12.568967990000001</v>
      </c>
      <c r="AL311" s="4">
        <f>IF(D311="M",(IF(AM311&lt;90,BMILMS!$D$14*AM311^3+BMILMS!$E$14*AM311^2+BMILMS!$F$14*AM311+BMILMS!$G$14,BMILMS!$D$15*AM311^3+BMILMS!$E$15*AM311^2+BMILMS!$F$15*AM311+BMILMS!$G$15)),(IF(AM311&lt;90,BMILMS!$D$17*AM311^3+BMILMS!$E$17*AM311^2+BMILMS!$F$17*AM311+BMILMS!$G$17,BMILMS!$D$18*AM311^3+BMILMS!$E$18*AM311^2+BMILMS!$F$18*AM311+BMILMS!$G$18)))</f>
        <v>8.8969350000000003E-2</v>
      </c>
      <c r="AM311" s="4">
        <f t="shared" si="104"/>
        <v>0</v>
      </c>
      <c r="AO311" s="56">
        <f>IF(D311="M",WeightSDS!P$5*$AM311^7+WeightSDS!Q$5*$AM311^6+WeightSDS!R$5*$AM311^5+WeightSDS!S$5*$AM311^4+WeightSDS!T$5*$AM311^3+WeightSDS!U$5*$AM311^2+WeightSDS!V$5*$AM311+WeightSDS!W$5,IF($AM311&lt;186,WeightSDS!P$8*$AM311^7+WeightSDS!Q$8*$AM311^6+WeightSDS!R$8*$AM311^5+WeightSDS!S$8*$AM311^4+WeightSDS!T$8*$AM311^3+WeightSDS!U$8*$AM311^2+WeightSDS!V$8*$AM311+WeightSDS!W$8,WeightSDS!$U$9+WeightSDS!$V$9*($AM311-WeightSDS!$W$9)))</f>
        <v>0.75407122999999998</v>
      </c>
      <c r="AP311" s="4">
        <f>IF(D311="M",IF($AM311&lt;45,WeightSDS!M$23*$AM311^10+WeightSDS!N$23*$AM311^9+WeightSDS!O$23*$AM311^8+WeightSDS!P$23*$AM311^7+WeightSDS!Q$23*$AM311^6+WeightSDS!R$23*$AM311^5+WeightSDS!S$23*$AM311^4+WeightSDS!T$23*$AM311^3+WeightSDS!U$23*$AM311^2+WeightSDS!V$23*$AM311+WeightSDS!W$23,IF($AM311&lt;153,WeightSDS!M$25*$AM311^10+WeightSDS!N$25*$AM311^9+WeightSDS!O$25*$AM311^8+WeightSDS!P$25*$AM311^7+WeightSDS!Q$25*$AM311^6+WeightSDS!R$25*$AM311^5+WeightSDS!S$25*$AM311^4+WeightSDS!T$25*$AM311^3+WeightSDS!U$25*$AM311^2+WeightSDS!V$25*$AM311+WeightSDS!W$25,WeightSDS!M$27+WeightSDS!N$27/(1+EXP(WeightSDS!O$27+WeightSDS!P$27*$AM311)))),IF($AM311&lt;43.8,WeightSDS!M$29*$AM311^10+WeightSDS!N$29*$AM311^9+WeightSDS!O$29*$AM311^8+WeightSDS!P$29*$AM311^7+WeightSDS!Q$29*$AM311^6+WeightSDS!R$29*$AM311^5+WeightSDS!S$29*$AM311^4+WeightSDS!T$29*$AM311^3+WeightSDS!U$29*$AM311^2+WeightSDS!V$29*$AM311+WeightSDS!W$29-0.010431*(1-$AM311/210),IF($AM311&lt;123,WeightSDS!M$30*$AM311^10+WeightSDS!N$30*$AM311^9+WeightSDS!O$30*$AM311^8+WeightSDS!P$30*$AM311^7+WeightSDS!Q$30*$AM311^6+WeightSDS!R$30*$AM311^5+WeightSDS!S$30*$AM311^4+WeightSDS!T$30*$AM311^3+WeightSDS!U$30*$AM311^2+WeightSDS!V$30*$AM311+WeightSDS!W$30-0.010431*(1-1/$AM311),WeightSDS!M$32+WeightSDS!N$32/(1+EXP(WeightSDS!O$32+WeightSDS!P$32*$AM311))-0.010431*(1-$AM311/210))))</f>
        <v>2.9500001032655536</v>
      </c>
      <c r="AQ311" s="4">
        <f>IF(D311="M",IF($AM311&lt;162,WeightSDS!P$12*$AM311^7+WeightSDS!Q$12*$AM311^6+WeightSDS!R$12*$AM311^5+WeightSDS!S$12*$AM311^4+WeightSDS!T$12*$AM311^3+WeightSDS!U$12*$AM311^2+WeightSDS!V$12*$AM311+WeightSDS!W$12,WeightSDS!P$14*$AM311^7+WeightSDS!Q$14*$AM311^6+WeightSDS!R$14*$AM311^5+WeightSDS!S$14*$AM311^4+WeightSDS!T$14*$AM311^3+WeightSDS!U$14*$AM311^2+WeightSDS!V$14*$AM311+WeightSDS!W$14),IF($AM311&lt;156,WeightSDS!O$17*$AM311^8+WeightSDS!P$17*$AM311^7+WeightSDS!Q$17*$AM311^6+WeightSDS!R$17*$AM311^5+WeightSDS!S$17*$AM311^4+WeightSDS!T$17*$AM311^3+WeightSDS!U$17*$AM311^2+WeightSDS!V$17*$AM311+WeightSDS!W$17,IF($AM311&lt;186,WeightSDS!$U$18+(WeightSDS!$V$18-WeightSDS!$U$18)/24*($AM311-186)+WeightSDS!$W$18*(-$AM311+186)^2-0.005,WeightSDS!$U$18+(WeightSDS!$V$18-WeightSDS!$U$18)/24*($AM311-186)-0.005)))</f>
        <v>0.14604529399999999</v>
      </c>
      <c r="AT311" s="4">
        <f t="shared" si="91"/>
        <v>0.56299999999999994</v>
      </c>
      <c r="AU311" s="4">
        <f t="shared" si="92"/>
        <v>69</v>
      </c>
      <c r="AV311" s="4">
        <f t="shared" si="93"/>
        <v>0.51</v>
      </c>
    </row>
    <row r="312" spans="1:48" x14ac:dyDescent="0.15">
      <c r="A312" s="4"/>
      <c r="B312" s="21"/>
      <c r="C312" s="21"/>
      <c r="D312" s="21"/>
      <c r="E312" s="22"/>
      <c r="F312" s="22"/>
      <c r="G312" s="23"/>
      <c r="H312" s="23"/>
      <c r="I312" s="181"/>
      <c r="J312" s="8" t="str">
        <f t="shared" si="85"/>
        <v/>
      </c>
      <c r="K312" s="2" t="str">
        <f t="shared" si="94"/>
        <v/>
      </c>
      <c r="L312" s="2" t="str">
        <f t="shared" si="86"/>
        <v/>
      </c>
      <c r="M312" s="2" t="str">
        <f t="shared" si="95"/>
        <v/>
      </c>
      <c r="N312" s="2" t="str">
        <f t="shared" si="103"/>
        <v/>
      </c>
      <c r="O312" s="2" t="str">
        <f t="shared" si="96"/>
        <v/>
      </c>
      <c r="P312" s="8" t="str">
        <f t="shared" si="97"/>
        <v/>
      </c>
      <c r="Q312" s="8" t="str">
        <f t="shared" si="98"/>
        <v/>
      </c>
      <c r="R312" s="111" t="str">
        <f t="shared" si="99"/>
        <v/>
      </c>
      <c r="S312" s="44" t="str">
        <f t="shared" si="100"/>
        <v/>
      </c>
      <c r="T312" s="37" t="str">
        <f t="shared" si="101"/>
        <v/>
      </c>
      <c r="U312" s="44" t="str">
        <f t="shared" si="102"/>
        <v/>
      </c>
      <c r="V312" s="26"/>
      <c r="W312" s="26"/>
      <c r="X312" s="26"/>
      <c r="Y312" s="26"/>
      <c r="Z312" s="24"/>
      <c r="AA312" s="169">
        <f t="shared" si="87"/>
        <v>0</v>
      </c>
      <c r="AB312" s="4">
        <f t="shared" si="88"/>
        <v>0</v>
      </c>
      <c r="AC312" s="170">
        <f t="shared" si="105"/>
        <v>0</v>
      </c>
      <c r="AD312" s="58"/>
      <c r="AE312" s="58"/>
      <c r="AF312" s="58"/>
      <c r="AG312" s="59">
        <f t="shared" si="89"/>
        <v>9.0359999999999996</v>
      </c>
      <c r="AH312" s="59">
        <f t="shared" si="90"/>
        <v>-184.49199999999999</v>
      </c>
      <c r="AJ312" s="4">
        <f>IF(D312="M",IF(AM312&lt;78,BMILMS!$D$5*AM312^3+BMILMS!$E$5*AM312^2+BMILMS!$F$5*AM312+BMILMS!$G$5,IF(AM312&lt;150,BMILMS!$D$6*AM312^3+BMILMS!$E$6*AM312^2+BMILMS!$F$6*AM312+BMILMS!$G$6,BMILMS!$D$7*AM312^3+BMILMS!$E$7*AM312^2+BMILMS!$F$7*AM312+BMILMS!$G$7)),IF(AM312&lt;69,BMILMS!$D$9*AM312^3+BMILMS!$E$9*AM312^2+BMILMS!$F$9*AM312+BMILMS!$G$9,IF(AM312&lt;150,BMILMS!$D$10*AM312^3+BMILMS!$E$10*AM312^2+BMILMS!$F$10*AM312+BMILMS!$G$10,BMILMS!$D$11*AM312^3+BMILMS!$E$11*AM312^2+BMILMS!$F$11*AM312+BMILMS!$G$11)))</f>
        <v>0.79584630099999998</v>
      </c>
      <c r="AK312" s="4">
        <f>IF(D312="M",(IF(AM312&lt;2.5,BMILMS!$D$21*AM312^3+BMILMS!$E$21*AM312^2+BMILMS!$F$21*AM312+BMILMS!$G$21,IF(AM312&lt;9.5,BMILMS!$D$22*AM312^3+BMILMS!$E$22*AM312^2+BMILMS!$F$22*AM312+BMILMS!$G$22,IF(AM312&lt;26.75,BMILMS!$D$23*AM312^3+BMILMS!$E$23*AM312^2+BMILMS!$F$23*AM312+BMILMS!$G$23,IF(AM312&lt;90,BMILMS!$D$24*AM312^3+BMILMS!$E$24*AM312^2+BMILMS!$F$24*AM312+BMILMS!$G$24,BMILMS!$D$25*AM312^3+BMILMS!$E$25*AM312^2+BMILMS!$F$25*AM312+BMILMS!$G$25))))),(IF(AM312&lt;2.5,BMILMS!$D$27*AM312^3+BMILMS!$E$27*AM312^2+BMILMS!$F$27*AM312+BMILMS!$G$27,IF(AM312&lt;9.5,BMILMS!$D$28*AM312^3+BMILMS!$E$28*AM312^2+BMILMS!$F$28*AM312+BMILMS!$G$28,IF(AM312&lt;26.75,BMILMS!$D$29*AM312^3+BMILMS!$E$29*AM312^2+BMILMS!$F$29*AM312+BMILMS!$G$29,IF(AM312&lt;90,BMILMS!$D$30*AM312^3+BMILMS!$E$30*AM312^2+BMILMS!$F$30*AM312+BMILMS!$G$30,IF(AM312&lt;150,BMILMS!$D$31*AM312^3+BMILMS!$E$31*AM312^2+BMILMS!$F$31*AM312+BMILMS!$G$31,BMILMS!$D$32*AM312^3+BMILMS!$E$32*AM312^2+BMILMS!$F$32*AM312+BMILMS!$G$32)))))))</f>
        <v>12.568967990000001</v>
      </c>
      <c r="AL312" s="4">
        <f>IF(D312="M",(IF(AM312&lt;90,BMILMS!$D$14*AM312^3+BMILMS!$E$14*AM312^2+BMILMS!$F$14*AM312+BMILMS!$G$14,BMILMS!$D$15*AM312^3+BMILMS!$E$15*AM312^2+BMILMS!$F$15*AM312+BMILMS!$G$15)),(IF(AM312&lt;90,BMILMS!$D$17*AM312^3+BMILMS!$E$17*AM312^2+BMILMS!$F$17*AM312+BMILMS!$G$17,BMILMS!$D$18*AM312^3+BMILMS!$E$18*AM312^2+BMILMS!$F$18*AM312+BMILMS!$G$18)))</f>
        <v>8.8969350000000003E-2</v>
      </c>
      <c r="AM312" s="4">
        <f t="shared" si="104"/>
        <v>0</v>
      </c>
      <c r="AO312" s="56">
        <f>IF(D312="M",WeightSDS!P$5*$AM312^7+WeightSDS!Q$5*$AM312^6+WeightSDS!R$5*$AM312^5+WeightSDS!S$5*$AM312^4+WeightSDS!T$5*$AM312^3+WeightSDS!U$5*$AM312^2+WeightSDS!V$5*$AM312+WeightSDS!W$5,IF($AM312&lt;186,WeightSDS!P$8*$AM312^7+WeightSDS!Q$8*$AM312^6+WeightSDS!R$8*$AM312^5+WeightSDS!S$8*$AM312^4+WeightSDS!T$8*$AM312^3+WeightSDS!U$8*$AM312^2+WeightSDS!V$8*$AM312+WeightSDS!W$8,WeightSDS!$U$9+WeightSDS!$V$9*($AM312-WeightSDS!$W$9)))</f>
        <v>0.75407122999999998</v>
      </c>
      <c r="AP312" s="4">
        <f>IF(D312="M",IF($AM312&lt;45,WeightSDS!M$23*$AM312^10+WeightSDS!N$23*$AM312^9+WeightSDS!O$23*$AM312^8+WeightSDS!P$23*$AM312^7+WeightSDS!Q$23*$AM312^6+WeightSDS!R$23*$AM312^5+WeightSDS!S$23*$AM312^4+WeightSDS!T$23*$AM312^3+WeightSDS!U$23*$AM312^2+WeightSDS!V$23*$AM312+WeightSDS!W$23,IF($AM312&lt;153,WeightSDS!M$25*$AM312^10+WeightSDS!N$25*$AM312^9+WeightSDS!O$25*$AM312^8+WeightSDS!P$25*$AM312^7+WeightSDS!Q$25*$AM312^6+WeightSDS!R$25*$AM312^5+WeightSDS!S$25*$AM312^4+WeightSDS!T$25*$AM312^3+WeightSDS!U$25*$AM312^2+WeightSDS!V$25*$AM312+WeightSDS!W$25,WeightSDS!M$27+WeightSDS!N$27/(1+EXP(WeightSDS!O$27+WeightSDS!P$27*$AM312)))),IF($AM312&lt;43.8,WeightSDS!M$29*$AM312^10+WeightSDS!N$29*$AM312^9+WeightSDS!O$29*$AM312^8+WeightSDS!P$29*$AM312^7+WeightSDS!Q$29*$AM312^6+WeightSDS!R$29*$AM312^5+WeightSDS!S$29*$AM312^4+WeightSDS!T$29*$AM312^3+WeightSDS!U$29*$AM312^2+WeightSDS!V$29*$AM312+WeightSDS!W$29-0.010431*(1-$AM312/210),IF($AM312&lt;123,WeightSDS!M$30*$AM312^10+WeightSDS!N$30*$AM312^9+WeightSDS!O$30*$AM312^8+WeightSDS!P$30*$AM312^7+WeightSDS!Q$30*$AM312^6+WeightSDS!R$30*$AM312^5+WeightSDS!S$30*$AM312^4+WeightSDS!T$30*$AM312^3+WeightSDS!U$30*$AM312^2+WeightSDS!V$30*$AM312+WeightSDS!W$30-0.010431*(1-1/$AM312),WeightSDS!M$32+WeightSDS!N$32/(1+EXP(WeightSDS!O$32+WeightSDS!P$32*$AM312))-0.010431*(1-$AM312/210))))</f>
        <v>2.9500001032655536</v>
      </c>
      <c r="AQ312" s="4">
        <f>IF(D312="M",IF($AM312&lt;162,WeightSDS!P$12*$AM312^7+WeightSDS!Q$12*$AM312^6+WeightSDS!R$12*$AM312^5+WeightSDS!S$12*$AM312^4+WeightSDS!T$12*$AM312^3+WeightSDS!U$12*$AM312^2+WeightSDS!V$12*$AM312+WeightSDS!W$12,WeightSDS!P$14*$AM312^7+WeightSDS!Q$14*$AM312^6+WeightSDS!R$14*$AM312^5+WeightSDS!S$14*$AM312^4+WeightSDS!T$14*$AM312^3+WeightSDS!U$14*$AM312^2+WeightSDS!V$14*$AM312+WeightSDS!W$14),IF($AM312&lt;156,WeightSDS!O$17*$AM312^8+WeightSDS!P$17*$AM312^7+WeightSDS!Q$17*$AM312^6+WeightSDS!R$17*$AM312^5+WeightSDS!S$17*$AM312^4+WeightSDS!T$17*$AM312^3+WeightSDS!U$17*$AM312^2+WeightSDS!V$17*$AM312+WeightSDS!W$17,IF($AM312&lt;186,WeightSDS!$U$18+(WeightSDS!$V$18-WeightSDS!$U$18)/24*($AM312-186)+WeightSDS!$W$18*(-$AM312+186)^2-0.005,WeightSDS!$U$18+(WeightSDS!$V$18-WeightSDS!$U$18)/24*($AM312-186)-0.005)))</f>
        <v>0.14604529399999999</v>
      </c>
      <c r="AT312" s="4">
        <f t="shared" si="91"/>
        <v>0.56299999999999994</v>
      </c>
      <c r="AU312" s="4">
        <f t="shared" si="92"/>
        <v>69</v>
      </c>
      <c r="AV312" s="4">
        <f t="shared" si="93"/>
        <v>0.51</v>
      </c>
    </row>
    <row r="313" spans="1:48" x14ac:dyDescent="0.15">
      <c r="A313" s="4"/>
      <c r="B313" s="21"/>
      <c r="C313" s="21"/>
      <c r="D313" s="21"/>
      <c r="E313" s="22"/>
      <c r="F313" s="22"/>
      <c r="G313" s="23"/>
      <c r="H313" s="23"/>
      <c r="I313" s="181"/>
      <c r="J313" s="8" t="str">
        <f t="shared" si="85"/>
        <v/>
      </c>
      <c r="K313" s="2" t="str">
        <f t="shared" si="94"/>
        <v/>
      </c>
      <c r="L313" s="2" t="str">
        <f t="shared" si="86"/>
        <v/>
      </c>
      <c r="M313" s="2" t="str">
        <f t="shared" si="95"/>
        <v/>
      </c>
      <c r="N313" s="2" t="str">
        <f t="shared" si="103"/>
        <v/>
      </c>
      <c r="O313" s="2" t="str">
        <f t="shared" si="96"/>
        <v/>
      </c>
      <c r="P313" s="8" t="str">
        <f t="shared" si="97"/>
        <v/>
      </c>
      <c r="Q313" s="8" t="str">
        <f t="shared" si="98"/>
        <v/>
      </c>
      <c r="R313" s="111" t="str">
        <f t="shared" si="99"/>
        <v/>
      </c>
      <c r="S313" s="44" t="str">
        <f t="shared" si="100"/>
        <v/>
      </c>
      <c r="T313" s="37" t="str">
        <f t="shared" si="101"/>
        <v/>
      </c>
      <c r="U313" s="44" t="str">
        <f t="shared" si="102"/>
        <v/>
      </c>
      <c r="V313" s="26"/>
      <c r="W313" s="26"/>
      <c r="X313" s="26"/>
      <c r="Y313" s="26"/>
      <c r="Z313" s="24"/>
      <c r="AA313" s="169">
        <f t="shared" si="87"/>
        <v>0</v>
      </c>
      <c r="AB313" s="4">
        <f t="shared" si="88"/>
        <v>0</v>
      </c>
      <c r="AC313" s="170">
        <f t="shared" si="105"/>
        <v>0</v>
      </c>
      <c r="AD313" s="58"/>
      <c r="AE313" s="58"/>
      <c r="AF313" s="58"/>
      <c r="AG313" s="59">
        <f t="shared" si="89"/>
        <v>9.0359999999999996</v>
      </c>
      <c r="AH313" s="59">
        <f t="shared" si="90"/>
        <v>-184.49199999999999</v>
      </c>
      <c r="AJ313" s="4">
        <f>IF(D313="M",IF(AM313&lt;78,BMILMS!$D$5*AM313^3+BMILMS!$E$5*AM313^2+BMILMS!$F$5*AM313+BMILMS!$G$5,IF(AM313&lt;150,BMILMS!$D$6*AM313^3+BMILMS!$E$6*AM313^2+BMILMS!$F$6*AM313+BMILMS!$G$6,BMILMS!$D$7*AM313^3+BMILMS!$E$7*AM313^2+BMILMS!$F$7*AM313+BMILMS!$G$7)),IF(AM313&lt;69,BMILMS!$D$9*AM313^3+BMILMS!$E$9*AM313^2+BMILMS!$F$9*AM313+BMILMS!$G$9,IF(AM313&lt;150,BMILMS!$D$10*AM313^3+BMILMS!$E$10*AM313^2+BMILMS!$F$10*AM313+BMILMS!$G$10,BMILMS!$D$11*AM313^3+BMILMS!$E$11*AM313^2+BMILMS!$F$11*AM313+BMILMS!$G$11)))</f>
        <v>0.79584630099999998</v>
      </c>
      <c r="AK313" s="4">
        <f>IF(D313="M",(IF(AM313&lt;2.5,BMILMS!$D$21*AM313^3+BMILMS!$E$21*AM313^2+BMILMS!$F$21*AM313+BMILMS!$G$21,IF(AM313&lt;9.5,BMILMS!$D$22*AM313^3+BMILMS!$E$22*AM313^2+BMILMS!$F$22*AM313+BMILMS!$G$22,IF(AM313&lt;26.75,BMILMS!$D$23*AM313^3+BMILMS!$E$23*AM313^2+BMILMS!$F$23*AM313+BMILMS!$G$23,IF(AM313&lt;90,BMILMS!$D$24*AM313^3+BMILMS!$E$24*AM313^2+BMILMS!$F$24*AM313+BMILMS!$G$24,BMILMS!$D$25*AM313^3+BMILMS!$E$25*AM313^2+BMILMS!$F$25*AM313+BMILMS!$G$25))))),(IF(AM313&lt;2.5,BMILMS!$D$27*AM313^3+BMILMS!$E$27*AM313^2+BMILMS!$F$27*AM313+BMILMS!$G$27,IF(AM313&lt;9.5,BMILMS!$D$28*AM313^3+BMILMS!$E$28*AM313^2+BMILMS!$F$28*AM313+BMILMS!$G$28,IF(AM313&lt;26.75,BMILMS!$D$29*AM313^3+BMILMS!$E$29*AM313^2+BMILMS!$F$29*AM313+BMILMS!$G$29,IF(AM313&lt;90,BMILMS!$D$30*AM313^3+BMILMS!$E$30*AM313^2+BMILMS!$F$30*AM313+BMILMS!$G$30,IF(AM313&lt;150,BMILMS!$D$31*AM313^3+BMILMS!$E$31*AM313^2+BMILMS!$F$31*AM313+BMILMS!$G$31,BMILMS!$D$32*AM313^3+BMILMS!$E$32*AM313^2+BMILMS!$F$32*AM313+BMILMS!$G$32)))))))</f>
        <v>12.568967990000001</v>
      </c>
      <c r="AL313" s="4">
        <f>IF(D313="M",(IF(AM313&lt;90,BMILMS!$D$14*AM313^3+BMILMS!$E$14*AM313^2+BMILMS!$F$14*AM313+BMILMS!$G$14,BMILMS!$D$15*AM313^3+BMILMS!$E$15*AM313^2+BMILMS!$F$15*AM313+BMILMS!$G$15)),(IF(AM313&lt;90,BMILMS!$D$17*AM313^3+BMILMS!$E$17*AM313^2+BMILMS!$F$17*AM313+BMILMS!$G$17,BMILMS!$D$18*AM313^3+BMILMS!$E$18*AM313^2+BMILMS!$F$18*AM313+BMILMS!$G$18)))</f>
        <v>8.8969350000000003E-2</v>
      </c>
      <c r="AM313" s="4">
        <f t="shared" si="104"/>
        <v>0</v>
      </c>
      <c r="AO313" s="56">
        <f>IF(D313="M",WeightSDS!P$5*$AM313^7+WeightSDS!Q$5*$AM313^6+WeightSDS!R$5*$AM313^5+WeightSDS!S$5*$AM313^4+WeightSDS!T$5*$AM313^3+WeightSDS!U$5*$AM313^2+WeightSDS!V$5*$AM313+WeightSDS!W$5,IF($AM313&lt;186,WeightSDS!P$8*$AM313^7+WeightSDS!Q$8*$AM313^6+WeightSDS!R$8*$AM313^5+WeightSDS!S$8*$AM313^4+WeightSDS!T$8*$AM313^3+WeightSDS!U$8*$AM313^2+WeightSDS!V$8*$AM313+WeightSDS!W$8,WeightSDS!$U$9+WeightSDS!$V$9*($AM313-WeightSDS!$W$9)))</f>
        <v>0.75407122999999998</v>
      </c>
      <c r="AP313" s="4">
        <f>IF(D313="M",IF($AM313&lt;45,WeightSDS!M$23*$AM313^10+WeightSDS!N$23*$AM313^9+WeightSDS!O$23*$AM313^8+WeightSDS!P$23*$AM313^7+WeightSDS!Q$23*$AM313^6+WeightSDS!R$23*$AM313^5+WeightSDS!S$23*$AM313^4+WeightSDS!T$23*$AM313^3+WeightSDS!U$23*$AM313^2+WeightSDS!V$23*$AM313+WeightSDS!W$23,IF($AM313&lt;153,WeightSDS!M$25*$AM313^10+WeightSDS!N$25*$AM313^9+WeightSDS!O$25*$AM313^8+WeightSDS!P$25*$AM313^7+WeightSDS!Q$25*$AM313^6+WeightSDS!R$25*$AM313^5+WeightSDS!S$25*$AM313^4+WeightSDS!T$25*$AM313^3+WeightSDS!U$25*$AM313^2+WeightSDS!V$25*$AM313+WeightSDS!W$25,WeightSDS!M$27+WeightSDS!N$27/(1+EXP(WeightSDS!O$27+WeightSDS!P$27*$AM313)))),IF($AM313&lt;43.8,WeightSDS!M$29*$AM313^10+WeightSDS!N$29*$AM313^9+WeightSDS!O$29*$AM313^8+WeightSDS!P$29*$AM313^7+WeightSDS!Q$29*$AM313^6+WeightSDS!R$29*$AM313^5+WeightSDS!S$29*$AM313^4+WeightSDS!T$29*$AM313^3+WeightSDS!U$29*$AM313^2+WeightSDS!V$29*$AM313+WeightSDS!W$29-0.010431*(1-$AM313/210),IF($AM313&lt;123,WeightSDS!M$30*$AM313^10+WeightSDS!N$30*$AM313^9+WeightSDS!O$30*$AM313^8+WeightSDS!P$30*$AM313^7+WeightSDS!Q$30*$AM313^6+WeightSDS!R$30*$AM313^5+WeightSDS!S$30*$AM313^4+WeightSDS!T$30*$AM313^3+WeightSDS!U$30*$AM313^2+WeightSDS!V$30*$AM313+WeightSDS!W$30-0.010431*(1-1/$AM313),WeightSDS!M$32+WeightSDS!N$32/(1+EXP(WeightSDS!O$32+WeightSDS!P$32*$AM313))-0.010431*(1-$AM313/210))))</f>
        <v>2.9500001032655536</v>
      </c>
      <c r="AQ313" s="4">
        <f>IF(D313="M",IF($AM313&lt;162,WeightSDS!P$12*$AM313^7+WeightSDS!Q$12*$AM313^6+WeightSDS!R$12*$AM313^5+WeightSDS!S$12*$AM313^4+WeightSDS!T$12*$AM313^3+WeightSDS!U$12*$AM313^2+WeightSDS!V$12*$AM313+WeightSDS!W$12,WeightSDS!P$14*$AM313^7+WeightSDS!Q$14*$AM313^6+WeightSDS!R$14*$AM313^5+WeightSDS!S$14*$AM313^4+WeightSDS!T$14*$AM313^3+WeightSDS!U$14*$AM313^2+WeightSDS!V$14*$AM313+WeightSDS!W$14),IF($AM313&lt;156,WeightSDS!O$17*$AM313^8+WeightSDS!P$17*$AM313^7+WeightSDS!Q$17*$AM313^6+WeightSDS!R$17*$AM313^5+WeightSDS!S$17*$AM313^4+WeightSDS!T$17*$AM313^3+WeightSDS!U$17*$AM313^2+WeightSDS!V$17*$AM313+WeightSDS!W$17,IF($AM313&lt;186,WeightSDS!$U$18+(WeightSDS!$V$18-WeightSDS!$U$18)/24*($AM313-186)+WeightSDS!$W$18*(-$AM313+186)^2-0.005,WeightSDS!$U$18+(WeightSDS!$V$18-WeightSDS!$U$18)/24*($AM313-186)-0.005)))</f>
        <v>0.14604529399999999</v>
      </c>
      <c r="AT313" s="4">
        <f t="shared" si="91"/>
        <v>0.56299999999999994</v>
      </c>
      <c r="AU313" s="4">
        <f t="shared" si="92"/>
        <v>69</v>
      </c>
      <c r="AV313" s="4">
        <f t="shared" si="93"/>
        <v>0.51</v>
      </c>
    </row>
    <row r="314" spans="1:48" x14ac:dyDescent="0.15">
      <c r="A314" s="4"/>
      <c r="B314" s="21"/>
      <c r="C314" s="21"/>
      <c r="D314" s="21"/>
      <c r="E314" s="22"/>
      <c r="F314" s="22"/>
      <c r="G314" s="23"/>
      <c r="H314" s="23"/>
      <c r="I314" s="181"/>
      <c r="J314" s="8" t="str">
        <f t="shared" si="85"/>
        <v/>
      </c>
      <c r="K314" s="2" t="str">
        <f t="shared" si="94"/>
        <v/>
      </c>
      <c r="L314" s="2" t="str">
        <f t="shared" si="86"/>
        <v/>
      </c>
      <c r="M314" s="2" t="str">
        <f t="shared" si="95"/>
        <v/>
      </c>
      <c r="N314" s="2" t="str">
        <f t="shared" si="103"/>
        <v/>
      </c>
      <c r="O314" s="2" t="str">
        <f t="shared" si="96"/>
        <v/>
      </c>
      <c r="P314" s="8" t="str">
        <f t="shared" si="97"/>
        <v/>
      </c>
      <c r="Q314" s="8" t="str">
        <f t="shared" si="98"/>
        <v/>
      </c>
      <c r="R314" s="111" t="str">
        <f t="shared" si="99"/>
        <v/>
      </c>
      <c r="S314" s="44" t="str">
        <f t="shared" si="100"/>
        <v/>
      </c>
      <c r="T314" s="37" t="str">
        <f t="shared" si="101"/>
        <v/>
      </c>
      <c r="U314" s="44" t="str">
        <f t="shared" si="102"/>
        <v/>
      </c>
      <c r="V314" s="26"/>
      <c r="W314" s="26"/>
      <c r="X314" s="26"/>
      <c r="Y314" s="26"/>
      <c r="Z314" s="24"/>
      <c r="AA314" s="169">
        <f t="shared" si="87"/>
        <v>0</v>
      </c>
      <c r="AB314" s="4">
        <f t="shared" si="88"/>
        <v>0</v>
      </c>
      <c r="AC314" s="170">
        <f t="shared" si="105"/>
        <v>0</v>
      </c>
      <c r="AD314" s="58"/>
      <c r="AE314" s="58"/>
      <c r="AF314" s="58"/>
      <c r="AG314" s="59">
        <f t="shared" si="89"/>
        <v>9.0359999999999996</v>
      </c>
      <c r="AH314" s="59">
        <f t="shared" si="90"/>
        <v>-184.49199999999999</v>
      </c>
      <c r="AJ314" s="4">
        <f>IF(D314="M",IF(AM314&lt;78,BMILMS!$D$5*AM314^3+BMILMS!$E$5*AM314^2+BMILMS!$F$5*AM314+BMILMS!$G$5,IF(AM314&lt;150,BMILMS!$D$6*AM314^3+BMILMS!$E$6*AM314^2+BMILMS!$F$6*AM314+BMILMS!$G$6,BMILMS!$D$7*AM314^3+BMILMS!$E$7*AM314^2+BMILMS!$F$7*AM314+BMILMS!$G$7)),IF(AM314&lt;69,BMILMS!$D$9*AM314^3+BMILMS!$E$9*AM314^2+BMILMS!$F$9*AM314+BMILMS!$G$9,IF(AM314&lt;150,BMILMS!$D$10*AM314^3+BMILMS!$E$10*AM314^2+BMILMS!$F$10*AM314+BMILMS!$G$10,BMILMS!$D$11*AM314^3+BMILMS!$E$11*AM314^2+BMILMS!$F$11*AM314+BMILMS!$G$11)))</f>
        <v>0.79584630099999998</v>
      </c>
      <c r="AK314" s="4">
        <f>IF(D314="M",(IF(AM314&lt;2.5,BMILMS!$D$21*AM314^3+BMILMS!$E$21*AM314^2+BMILMS!$F$21*AM314+BMILMS!$G$21,IF(AM314&lt;9.5,BMILMS!$D$22*AM314^3+BMILMS!$E$22*AM314^2+BMILMS!$F$22*AM314+BMILMS!$G$22,IF(AM314&lt;26.75,BMILMS!$D$23*AM314^3+BMILMS!$E$23*AM314^2+BMILMS!$F$23*AM314+BMILMS!$G$23,IF(AM314&lt;90,BMILMS!$D$24*AM314^3+BMILMS!$E$24*AM314^2+BMILMS!$F$24*AM314+BMILMS!$G$24,BMILMS!$D$25*AM314^3+BMILMS!$E$25*AM314^2+BMILMS!$F$25*AM314+BMILMS!$G$25))))),(IF(AM314&lt;2.5,BMILMS!$D$27*AM314^3+BMILMS!$E$27*AM314^2+BMILMS!$F$27*AM314+BMILMS!$G$27,IF(AM314&lt;9.5,BMILMS!$D$28*AM314^3+BMILMS!$E$28*AM314^2+BMILMS!$F$28*AM314+BMILMS!$G$28,IF(AM314&lt;26.75,BMILMS!$D$29*AM314^3+BMILMS!$E$29*AM314^2+BMILMS!$F$29*AM314+BMILMS!$G$29,IF(AM314&lt;90,BMILMS!$D$30*AM314^3+BMILMS!$E$30*AM314^2+BMILMS!$F$30*AM314+BMILMS!$G$30,IF(AM314&lt;150,BMILMS!$D$31*AM314^3+BMILMS!$E$31*AM314^2+BMILMS!$F$31*AM314+BMILMS!$G$31,BMILMS!$D$32*AM314^3+BMILMS!$E$32*AM314^2+BMILMS!$F$32*AM314+BMILMS!$G$32)))))))</f>
        <v>12.568967990000001</v>
      </c>
      <c r="AL314" s="4">
        <f>IF(D314="M",(IF(AM314&lt;90,BMILMS!$D$14*AM314^3+BMILMS!$E$14*AM314^2+BMILMS!$F$14*AM314+BMILMS!$G$14,BMILMS!$D$15*AM314^3+BMILMS!$E$15*AM314^2+BMILMS!$F$15*AM314+BMILMS!$G$15)),(IF(AM314&lt;90,BMILMS!$D$17*AM314^3+BMILMS!$E$17*AM314^2+BMILMS!$F$17*AM314+BMILMS!$G$17,BMILMS!$D$18*AM314^3+BMILMS!$E$18*AM314^2+BMILMS!$F$18*AM314+BMILMS!$G$18)))</f>
        <v>8.8969350000000003E-2</v>
      </c>
      <c r="AM314" s="4">
        <f t="shared" si="104"/>
        <v>0</v>
      </c>
      <c r="AO314" s="56">
        <f>IF(D314="M",WeightSDS!P$5*$AM314^7+WeightSDS!Q$5*$AM314^6+WeightSDS!R$5*$AM314^5+WeightSDS!S$5*$AM314^4+WeightSDS!T$5*$AM314^3+WeightSDS!U$5*$AM314^2+WeightSDS!V$5*$AM314+WeightSDS!W$5,IF($AM314&lt;186,WeightSDS!P$8*$AM314^7+WeightSDS!Q$8*$AM314^6+WeightSDS!R$8*$AM314^5+WeightSDS!S$8*$AM314^4+WeightSDS!T$8*$AM314^3+WeightSDS!U$8*$AM314^2+WeightSDS!V$8*$AM314+WeightSDS!W$8,WeightSDS!$U$9+WeightSDS!$V$9*($AM314-WeightSDS!$W$9)))</f>
        <v>0.75407122999999998</v>
      </c>
      <c r="AP314" s="4">
        <f>IF(D314="M",IF($AM314&lt;45,WeightSDS!M$23*$AM314^10+WeightSDS!N$23*$AM314^9+WeightSDS!O$23*$AM314^8+WeightSDS!P$23*$AM314^7+WeightSDS!Q$23*$AM314^6+WeightSDS!R$23*$AM314^5+WeightSDS!S$23*$AM314^4+WeightSDS!T$23*$AM314^3+WeightSDS!U$23*$AM314^2+WeightSDS!V$23*$AM314+WeightSDS!W$23,IF($AM314&lt;153,WeightSDS!M$25*$AM314^10+WeightSDS!N$25*$AM314^9+WeightSDS!O$25*$AM314^8+WeightSDS!P$25*$AM314^7+WeightSDS!Q$25*$AM314^6+WeightSDS!R$25*$AM314^5+WeightSDS!S$25*$AM314^4+WeightSDS!T$25*$AM314^3+WeightSDS!U$25*$AM314^2+WeightSDS!V$25*$AM314+WeightSDS!W$25,WeightSDS!M$27+WeightSDS!N$27/(1+EXP(WeightSDS!O$27+WeightSDS!P$27*$AM314)))),IF($AM314&lt;43.8,WeightSDS!M$29*$AM314^10+WeightSDS!N$29*$AM314^9+WeightSDS!O$29*$AM314^8+WeightSDS!P$29*$AM314^7+WeightSDS!Q$29*$AM314^6+WeightSDS!R$29*$AM314^5+WeightSDS!S$29*$AM314^4+WeightSDS!T$29*$AM314^3+WeightSDS!U$29*$AM314^2+WeightSDS!V$29*$AM314+WeightSDS!W$29-0.010431*(1-$AM314/210),IF($AM314&lt;123,WeightSDS!M$30*$AM314^10+WeightSDS!N$30*$AM314^9+WeightSDS!O$30*$AM314^8+WeightSDS!P$30*$AM314^7+WeightSDS!Q$30*$AM314^6+WeightSDS!R$30*$AM314^5+WeightSDS!S$30*$AM314^4+WeightSDS!T$30*$AM314^3+WeightSDS!U$30*$AM314^2+WeightSDS!V$30*$AM314+WeightSDS!W$30-0.010431*(1-1/$AM314),WeightSDS!M$32+WeightSDS!N$32/(1+EXP(WeightSDS!O$32+WeightSDS!P$32*$AM314))-0.010431*(1-$AM314/210))))</f>
        <v>2.9500001032655536</v>
      </c>
      <c r="AQ314" s="4">
        <f>IF(D314="M",IF($AM314&lt;162,WeightSDS!P$12*$AM314^7+WeightSDS!Q$12*$AM314^6+WeightSDS!R$12*$AM314^5+WeightSDS!S$12*$AM314^4+WeightSDS!T$12*$AM314^3+WeightSDS!U$12*$AM314^2+WeightSDS!V$12*$AM314+WeightSDS!W$12,WeightSDS!P$14*$AM314^7+WeightSDS!Q$14*$AM314^6+WeightSDS!R$14*$AM314^5+WeightSDS!S$14*$AM314^4+WeightSDS!T$14*$AM314^3+WeightSDS!U$14*$AM314^2+WeightSDS!V$14*$AM314+WeightSDS!W$14),IF($AM314&lt;156,WeightSDS!O$17*$AM314^8+WeightSDS!P$17*$AM314^7+WeightSDS!Q$17*$AM314^6+WeightSDS!R$17*$AM314^5+WeightSDS!S$17*$AM314^4+WeightSDS!T$17*$AM314^3+WeightSDS!U$17*$AM314^2+WeightSDS!V$17*$AM314+WeightSDS!W$17,IF($AM314&lt;186,WeightSDS!$U$18+(WeightSDS!$V$18-WeightSDS!$U$18)/24*($AM314-186)+WeightSDS!$W$18*(-$AM314+186)^2-0.005,WeightSDS!$U$18+(WeightSDS!$V$18-WeightSDS!$U$18)/24*($AM314-186)-0.005)))</f>
        <v>0.14604529399999999</v>
      </c>
      <c r="AT314" s="4">
        <f t="shared" si="91"/>
        <v>0.56299999999999994</v>
      </c>
      <c r="AU314" s="4">
        <f t="shared" si="92"/>
        <v>69</v>
      </c>
      <c r="AV314" s="4">
        <f t="shared" si="93"/>
        <v>0.51</v>
      </c>
    </row>
    <row r="315" spans="1:48" x14ac:dyDescent="0.15">
      <c r="A315" s="4"/>
      <c r="B315" s="21"/>
      <c r="C315" s="21"/>
      <c r="D315" s="21"/>
      <c r="E315" s="22"/>
      <c r="F315" s="22"/>
      <c r="G315" s="23"/>
      <c r="H315" s="23"/>
      <c r="I315" s="181"/>
      <c r="J315" s="8" t="str">
        <f t="shared" si="85"/>
        <v/>
      </c>
      <c r="K315" s="2" t="str">
        <f t="shared" si="94"/>
        <v/>
      </c>
      <c r="L315" s="2" t="str">
        <f t="shared" si="86"/>
        <v/>
      </c>
      <c r="M315" s="2" t="str">
        <f t="shared" si="95"/>
        <v/>
      </c>
      <c r="N315" s="2" t="str">
        <f t="shared" si="103"/>
        <v/>
      </c>
      <c r="O315" s="2" t="str">
        <f t="shared" si="96"/>
        <v/>
      </c>
      <c r="P315" s="8" t="str">
        <f t="shared" si="97"/>
        <v/>
      </c>
      <c r="Q315" s="8" t="str">
        <f t="shared" si="98"/>
        <v/>
      </c>
      <c r="R315" s="111" t="str">
        <f t="shared" si="99"/>
        <v/>
      </c>
      <c r="S315" s="44" t="str">
        <f t="shared" si="100"/>
        <v/>
      </c>
      <c r="T315" s="37" t="str">
        <f t="shared" si="101"/>
        <v/>
      </c>
      <c r="U315" s="44" t="str">
        <f t="shared" si="102"/>
        <v/>
      </c>
      <c r="V315" s="26"/>
      <c r="W315" s="26"/>
      <c r="X315" s="26"/>
      <c r="Y315" s="26"/>
      <c r="Z315" s="24"/>
      <c r="AA315" s="169">
        <f t="shared" si="87"/>
        <v>0</v>
      </c>
      <c r="AB315" s="4">
        <f t="shared" si="88"/>
        <v>0</v>
      </c>
      <c r="AC315" s="170">
        <f t="shared" si="105"/>
        <v>0</v>
      </c>
      <c r="AD315" s="58"/>
      <c r="AE315" s="58"/>
      <c r="AF315" s="58"/>
      <c r="AG315" s="59">
        <f t="shared" si="89"/>
        <v>9.0359999999999996</v>
      </c>
      <c r="AH315" s="59">
        <f t="shared" si="90"/>
        <v>-184.49199999999999</v>
      </c>
      <c r="AJ315" s="4">
        <f>IF(D315="M",IF(AM315&lt;78,BMILMS!$D$5*AM315^3+BMILMS!$E$5*AM315^2+BMILMS!$F$5*AM315+BMILMS!$G$5,IF(AM315&lt;150,BMILMS!$D$6*AM315^3+BMILMS!$E$6*AM315^2+BMILMS!$F$6*AM315+BMILMS!$G$6,BMILMS!$D$7*AM315^3+BMILMS!$E$7*AM315^2+BMILMS!$F$7*AM315+BMILMS!$G$7)),IF(AM315&lt;69,BMILMS!$D$9*AM315^3+BMILMS!$E$9*AM315^2+BMILMS!$F$9*AM315+BMILMS!$G$9,IF(AM315&lt;150,BMILMS!$D$10*AM315^3+BMILMS!$E$10*AM315^2+BMILMS!$F$10*AM315+BMILMS!$G$10,BMILMS!$D$11*AM315^3+BMILMS!$E$11*AM315^2+BMILMS!$F$11*AM315+BMILMS!$G$11)))</f>
        <v>0.79584630099999998</v>
      </c>
      <c r="AK315" s="4">
        <f>IF(D315="M",(IF(AM315&lt;2.5,BMILMS!$D$21*AM315^3+BMILMS!$E$21*AM315^2+BMILMS!$F$21*AM315+BMILMS!$G$21,IF(AM315&lt;9.5,BMILMS!$D$22*AM315^3+BMILMS!$E$22*AM315^2+BMILMS!$F$22*AM315+BMILMS!$G$22,IF(AM315&lt;26.75,BMILMS!$D$23*AM315^3+BMILMS!$E$23*AM315^2+BMILMS!$F$23*AM315+BMILMS!$G$23,IF(AM315&lt;90,BMILMS!$D$24*AM315^3+BMILMS!$E$24*AM315^2+BMILMS!$F$24*AM315+BMILMS!$G$24,BMILMS!$D$25*AM315^3+BMILMS!$E$25*AM315^2+BMILMS!$F$25*AM315+BMILMS!$G$25))))),(IF(AM315&lt;2.5,BMILMS!$D$27*AM315^3+BMILMS!$E$27*AM315^2+BMILMS!$F$27*AM315+BMILMS!$G$27,IF(AM315&lt;9.5,BMILMS!$D$28*AM315^3+BMILMS!$E$28*AM315^2+BMILMS!$F$28*AM315+BMILMS!$G$28,IF(AM315&lt;26.75,BMILMS!$D$29*AM315^3+BMILMS!$E$29*AM315^2+BMILMS!$F$29*AM315+BMILMS!$G$29,IF(AM315&lt;90,BMILMS!$D$30*AM315^3+BMILMS!$E$30*AM315^2+BMILMS!$F$30*AM315+BMILMS!$G$30,IF(AM315&lt;150,BMILMS!$D$31*AM315^3+BMILMS!$E$31*AM315^2+BMILMS!$F$31*AM315+BMILMS!$G$31,BMILMS!$D$32*AM315^3+BMILMS!$E$32*AM315^2+BMILMS!$F$32*AM315+BMILMS!$G$32)))))))</f>
        <v>12.568967990000001</v>
      </c>
      <c r="AL315" s="4">
        <f>IF(D315="M",(IF(AM315&lt;90,BMILMS!$D$14*AM315^3+BMILMS!$E$14*AM315^2+BMILMS!$F$14*AM315+BMILMS!$G$14,BMILMS!$D$15*AM315^3+BMILMS!$E$15*AM315^2+BMILMS!$F$15*AM315+BMILMS!$G$15)),(IF(AM315&lt;90,BMILMS!$D$17*AM315^3+BMILMS!$E$17*AM315^2+BMILMS!$F$17*AM315+BMILMS!$G$17,BMILMS!$D$18*AM315^3+BMILMS!$E$18*AM315^2+BMILMS!$F$18*AM315+BMILMS!$G$18)))</f>
        <v>8.8969350000000003E-2</v>
      </c>
      <c r="AM315" s="4">
        <f t="shared" si="104"/>
        <v>0</v>
      </c>
      <c r="AO315" s="56">
        <f>IF(D315="M",WeightSDS!P$5*$AM315^7+WeightSDS!Q$5*$AM315^6+WeightSDS!R$5*$AM315^5+WeightSDS!S$5*$AM315^4+WeightSDS!T$5*$AM315^3+WeightSDS!U$5*$AM315^2+WeightSDS!V$5*$AM315+WeightSDS!W$5,IF($AM315&lt;186,WeightSDS!P$8*$AM315^7+WeightSDS!Q$8*$AM315^6+WeightSDS!R$8*$AM315^5+WeightSDS!S$8*$AM315^4+WeightSDS!T$8*$AM315^3+WeightSDS!U$8*$AM315^2+WeightSDS!V$8*$AM315+WeightSDS!W$8,WeightSDS!$U$9+WeightSDS!$V$9*($AM315-WeightSDS!$W$9)))</f>
        <v>0.75407122999999998</v>
      </c>
      <c r="AP315" s="4">
        <f>IF(D315="M",IF($AM315&lt;45,WeightSDS!M$23*$AM315^10+WeightSDS!N$23*$AM315^9+WeightSDS!O$23*$AM315^8+WeightSDS!P$23*$AM315^7+WeightSDS!Q$23*$AM315^6+WeightSDS!R$23*$AM315^5+WeightSDS!S$23*$AM315^4+WeightSDS!T$23*$AM315^3+WeightSDS!U$23*$AM315^2+WeightSDS!V$23*$AM315+WeightSDS!W$23,IF($AM315&lt;153,WeightSDS!M$25*$AM315^10+WeightSDS!N$25*$AM315^9+WeightSDS!O$25*$AM315^8+WeightSDS!P$25*$AM315^7+WeightSDS!Q$25*$AM315^6+WeightSDS!R$25*$AM315^5+WeightSDS!S$25*$AM315^4+WeightSDS!T$25*$AM315^3+WeightSDS!U$25*$AM315^2+WeightSDS!V$25*$AM315+WeightSDS!W$25,WeightSDS!M$27+WeightSDS!N$27/(1+EXP(WeightSDS!O$27+WeightSDS!P$27*$AM315)))),IF($AM315&lt;43.8,WeightSDS!M$29*$AM315^10+WeightSDS!N$29*$AM315^9+WeightSDS!O$29*$AM315^8+WeightSDS!P$29*$AM315^7+WeightSDS!Q$29*$AM315^6+WeightSDS!R$29*$AM315^5+WeightSDS!S$29*$AM315^4+WeightSDS!T$29*$AM315^3+WeightSDS!U$29*$AM315^2+WeightSDS!V$29*$AM315+WeightSDS!W$29-0.010431*(1-$AM315/210),IF($AM315&lt;123,WeightSDS!M$30*$AM315^10+WeightSDS!N$30*$AM315^9+WeightSDS!O$30*$AM315^8+WeightSDS!P$30*$AM315^7+WeightSDS!Q$30*$AM315^6+WeightSDS!R$30*$AM315^5+WeightSDS!S$30*$AM315^4+WeightSDS!T$30*$AM315^3+WeightSDS!U$30*$AM315^2+WeightSDS!V$30*$AM315+WeightSDS!W$30-0.010431*(1-1/$AM315),WeightSDS!M$32+WeightSDS!N$32/(1+EXP(WeightSDS!O$32+WeightSDS!P$32*$AM315))-0.010431*(1-$AM315/210))))</f>
        <v>2.9500001032655536</v>
      </c>
      <c r="AQ315" s="4">
        <f>IF(D315="M",IF($AM315&lt;162,WeightSDS!P$12*$AM315^7+WeightSDS!Q$12*$AM315^6+WeightSDS!R$12*$AM315^5+WeightSDS!S$12*$AM315^4+WeightSDS!T$12*$AM315^3+WeightSDS!U$12*$AM315^2+WeightSDS!V$12*$AM315+WeightSDS!W$12,WeightSDS!P$14*$AM315^7+WeightSDS!Q$14*$AM315^6+WeightSDS!R$14*$AM315^5+WeightSDS!S$14*$AM315^4+WeightSDS!T$14*$AM315^3+WeightSDS!U$14*$AM315^2+WeightSDS!V$14*$AM315+WeightSDS!W$14),IF($AM315&lt;156,WeightSDS!O$17*$AM315^8+WeightSDS!P$17*$AM315^7+WeightSDS!Q$17*$AM315^6+WeightSDS!R$17*$AM315^5+WeightSDS!S$17*$AM315^4+WeightSDS!T$17*$AM315^3+WeightSDS!U$17*$AM315^2+WeightSDS!V$17*$AM315+WeightSDS!W$17,IF($AM315&lt;186,WeightSDS!$U$18+(WeightSDS!$V$18-WeightSDS!$U$18)/24*($AM315-186)+WeightSDS!$W$18*(-$AM315+186)^2-0.005,WeightSDS!$U$18+(WeightSDS!$V$18-WeightSDS!$U$18)/24*($AM315-186)-0.005)))</f>
        <v>0.14604529399999999</v>
      </c>
      <c r="AT315" s="4">
        <f t="shared" si="91"/>
        <v>0.56299999999999994</v>
      </c>
      <c r="AU315" s="4">
        <f t="shared" si="92"/>
        <v>69</v>
      </c>
      <c r="AV315" s="4">
        <f t="shared" si="93"/>
        <v>0.51</v>
      </c>
    </row>
    <row r="316" spans="1:48" x14ac:dyDescent="0.15">
      <c r="A316" s="4"/>
      <c r="B316" s="21"/>
      <c r="C316" s="21"/>
      <c r="D316" s="21"/>
      <c r="E316" s="22"/>
      <c r="F316" s="22"/>
      <c r="G316" s="23"/>
      <c r="H316" s="23"/>
      <c r="I316" s="181"/>
      <c r="J316" s="8" t="str">
        <f t="shared" si="85"/>
        <v/>
      </c>
      <c r="K316" s="2" t="str">
        <f t="shared" si="94"/>
        <v/>
      </c>
      <c r="L316" s="2" t="str">
        <f t="shared" si="86"/>
        <v/>
      </c>
      <c r="M316" s="2" t="str">
        <f t="shared" si="95"/>
        <v/>
      </c>
      <c r="N316" s="2" t="str">
        <f t="shared" si="103"/>
        <v/>
      </c>
      <c r="O316" s="2" t="str">
        <f t="shared" si="96"/>
        <v/>
      </c>
      <c r="P316" s="8" t="str">
        <f t="shared" si="97"/>
        <v/>
      </c>
      <c r="Q316" s="8" t="str">
        <f t="shared" si="98"/>
        <v/>
      </c>
      <c r="R316" s="111" t="str">
        <f t="shared" si="99"/>
        <v/>
      </c>
      <c r="S316" s="44" t="str">
        <f t="shared" si="100"/>
        <v/>
      </c>
      <c r="T316" s="37" t="str">
        <f t="shared" si="101"/>
        <v/>
      </c>
      <c r="U316" s="44" t="str">
        <f t="shared" si="102"/>
        <v/>
      </c>
      <c r="V316" s="26"/>
      <c r="W316" s="26"/>
      <c r="X316" s="26"/>
      <c r="Y316" s="26"/>
      <c r="Z316" s="24"/>
      <c r="AA316" s="169">
        <f t="shared" si="87"/>
        <v>0</v>
      </c>
      <c r="AB316" s="4">
        <f t="shared" si="88"/>
        <v>0</v>
      </c>
      <c r="AC316" s="170">
        <f t="shared" si="105"/>
        <v>0</v>
      </c>
      <c r="AD316" s="58"/>
      <c r="AE316" s="58"/>
      <c r="AF316" s="58"/>
      <c r="AG316" s="59">
        <f t="shared" si="89"/>
        <v>9.0359999999999996</v>
      </c>
      <c r="AH316" s="59">
        <f t="shared" si="90"/>
        <v>-184.49199999999999</v>
      </c>
      <c r="AJ316" s="4">
        <f>IF(D316="M",IF(AM316&lt;78,BMILMS!$D$5*AM316^3+BMILMS!$E$5*AM316^2+BMILMS!$F$5*AM316+BMILMS!$G$5,IF(AM316&lt;150,BMILMS!$D$6*AM316^3+BMILMS!$E$6*AM316^2+BMILMS!$F$6*AM316+BMILMS!$G$6,BMILMS!$D$7*AM316^3+BMILMS!$E$7*AM316^2+BMILMS!$F$7*AM316+BMILMS!$G$7)),IF(AM316&lt;69,BMILMS!$D$9*AM316^3+BMILMS!$E$9*AM316^2+BMILMS!$F$9*AM316+BMILMS!$G$9,IF(AM316&lt;150,BMILMS!$D$10*AM316^3+BMILMS!$E$10*AM316^2+BMILMS!$F$10*AM316+BMILMS!$G$10,BMILMS!$D$11*AM316^3+BMILMS!$E$11*AM316^2+BMILMS!$F$11*AM316+BMILMS!$G$11)))</f>
        <v>0.79584630099999998</v>
      </c>
      <c r="AK316" s="4">
        <f>IF(D316="M",(IF(AM316&lt;2.5,BMILMS!$D$21*AM316^3+BMILMS!$E$21*AM316^2+BMILMS!$F$21*AM316+BMILMS!$G$21,IF(AM316&lt;9.5,BMILMS!$D$22*AM316^3+BMILMS!$E$22*AM316^2+BMILMS!$F$22*AM316+BMILMS!$G$22,IF(AM316&lt;26.75,BMILMS!$D$23*AM316^3+BMILMS!$E$23*AM316^2+BMILMS!$F$23*AM316+BMILMS!$G$23,IF(AM316&lt;90,BMILMS!$D$24*AM316^3+BMILMS!$E$24*AM316^2+BMILMS!$F$24*AM316+BMILMS!$G$24,BMILMS!$D$25*AM316^3+BMILMS!$E$25*AM316^2+BMILMS!$F$25*AM316+BMILMS!$G$25))))),(IF(AM316&lt;2.5,BMILMS!$D$27*AM316^3+BMILMS!$E$27*AM316^2+BMILMS!$F$27*AM316+BMILMS!$G$27,IF(AM316&lt;9.5,BMILMS!$D$28*AM316^3+BMILMS!$E$28*AM316^2+BMILMS!$F$28*AM316+BMILMS!$G$28,IF(AM316&lt;26.75,BMILMS!$D$29*AM316^3+BMILMS!$E$29*AM316^2+BMILMS!$F$29*AM316+BMILMS!$G$29,IF(AM316&lt;90,BMILMS!$D$30*AM316^3+BMILMS!$E$30*AM316^2+BMILMS!$F$30*AM316+BMILMS!$G$30,IF(AM316&lt;150,BMILMS!$D$31*AM316^3+BMILMS!$E$31*AM316^2+BMILMS!$F$31*AM316+BMILMS!$G$31,BMILMS!$D$32*AM316^3+BMILMS!$E$32*AM316^2+BMILMS!$F$32*AM316+BMILMS!$G$32)))))))</f>
        <v>12.568967990000001</v>
      </c>
      <c r="AL316" s="4">
        <f>IF(D316="M",(IF(AM316&lt;90,BMILMS!$D$14*AM316^3+BMILMS!$E$14*AM316^2+BMILMS!$F$14*AM316+BMILMS!$G$14,BMILMS!$D$15*AM316^3+BMILMS!$E$15*AM316^2+BMILMS!$F$15*AM316+BMILMS!$G$15)),(IF(AM316&lt;90,BMILMS!$D$17*AM316^3+BMILMS!$E$17*AM316^2+BMILMS!$F$17*AM316+BMILMS!$G$17,BMILMS!$D$18*AM316^3+BMILMS!$E$18*AM316^2+BMILMS!$F$18*AM316+BMILMS!$G$18)))</f>
        <v>8.8969350000000003E-2</v>
      </c>
      <c r="AM316" s="4">
        <f t="shared" si="104"/>
        <v>0</v>
      </c>
      <c r="AO316" s="56">
        <f>IF(D316="M",WeightSDS!P$5*$AM316^7+WeightSDS!Q$5*$AM316^6+WeightSDS!R$5*$AM316^5+WeightSDS!S$5*$AM316^4+WeightSDS!T$5*$AM316^3+WeightSDS!U$5*$AM316^2+WeightSDS!V$5*$AM316+WeightSDS!W$5,IF($AM316&lt;186,WeightSDS!P$8*$AM316^7+WeightSDS!Q$8*$AM316^6+WeightSDS!R$8*$AM316^5+WeightSDS!S$8*$AM316^4+WeightSDS!T$8*$AM316^3+WeightSDS!U$8*$AM316^2+WeightSDS!V$8*$AM316+WeightSDS!W$8,WeightSDS!$U$9+WeightSDS!$V$9*($AM316-WeightSDS!$W$9)))</f>
        <v>0.75407122999999998</v>
      </c>
      <c r="AP316" s="4">
        <f>IF(D316="M",IF($AM316&lt;45,WeightSDS!M$23*$AM316^10+WeightSDS!N$23*$AM316^9+WeightSDS!O$23*$AM316^8+WeightSDS!P$23*$AM316^7+WeightSDS!Q$23*$AM316^6+WeightSDS!R$23*$AM316^5+WeightSDS!S$23*$AM316^4+WeightSDS!T$23*$AM316^3+WeightSDS!U$23*$AM316^2+WeightSDS!V$23*$AM316+WeightSDS!W$23,IF($AM316&lt;153,WeightSDS!M$25*$AM316^10+WeightSDS!N$25*$AM316^9+WeightSDS!O$25*$AM316^8+WeightSDS!P$25*$AM316^7+WeightSDS!Q$25*$AM316^6+WeightSDS!R$25*$AM316^5+WeightSDS!S$25*$AM316^4+WeightSDS!T$25*$AM316^3+WeightSDS!U$25*$AM316^2+WeightSDS!V$25*$AM316+WeightSDS!W$25,WeightSDS!M$27+WeightSDS!N$27/(1+EXP(WeightSDS!O$27+WeightSDS!P$27*$AM316)))),IF($AM316&lt;43.8,WeightSDS!M$29*$AM316^10+WeightSDS!N$29*$AM316^9+WeightSDS!O$29*$AM316^8+WeightSDS!P$29*$AM316^7+WeightSDS!Q$29*$AM316^6+WeightSDS!R$29*$AM316^5+WeightSDS!S$29*$AM316^4+WeightSDS!T$29*$AM316^3+WeightSDS!U$29*$AM316^2+WeightSDS!V$29*$AM316+WeightSDS!W$29-0.010431*(1-$AM316/210),IF($AM316&lt;123,WeightSDS!M$30*$AM316^10+WeightSDS!N$30*$AM316^9+WeightSDS!O$30*$AM316^8+WeightSDS!P$30*$AM316^7+WeightSDS!Q$30*$AM316^6+WeightSDS!R$30*$AM316^5+WeightSDS!S$30*$AM316^4+WeightSDS!T$30*$AM316^3+WeightSDS!U$30*$AM316^2+WeightSDS!V$30*$AM316+WeightSDS!W$30-0.010431*(1-1/$AM316),WeightSDS!M$32+WeightSDS!N$32/(1+EXP(WeightSDS!O$32+WeightSDS!P$32*$AM316))-0.010431*(1-$AM316/210))))</f>
        <v>2.9500001032655536</v>
      </c>
      <c r="AQ316" s="4">
        <f>IF(D316="M",IF($AM316&lt;162,WeightSDS!P$12*$AM316^7+WeightSDS!Q$12*$AM316^6+WeightSDS!R$12*$AM316^5+WeightSDS!S$12*$AM316^4+WeightSDS!T$12*$AM316^3+WeightSDS!U$12*$AM316^2+WeightSDS!V$12*$AM316+WeightSDS!W$12,WeightSDS!P$14*$AM316^7+WeightSDS!Q$14*$AM316^6+WeightSDS!R$14*$AM316^5+WeightSDS!S$14*$AM316^4+WeightSDS!T$14*$AM316^3+WeightSDS!U$14*$AM316^2+WeightSDS!V$14*$AM316+WeightSDS!W$14),IF($AM316&lt;156,WeightSDS!O$17*$AM316^8+WeightSDS!P$17*$AM316^7+WeightSDS!Q$17*$AM316^6+WeightSDS!R$17*$AM316^5+WeightSDS!S$17*$AM316^4+WeightSDS!T$17*$AM316^3+WeightSDS!U$17*$AM316^2+WeightSDS!V$17*$AM316+WeightSDS!W$17,IF($AM316&lt;186,WeightSDS!$U$18+(WeightSDS!$V$18-WeightSDS!$U$18)/24*($AM316-186)+WeightSDS!$W$18*(-$AM316+186)^2-0.005,WeightSDS!$U$18+(WeightSDS!$V$18-WeightSDS!$U$18)/24*($AM316-186)-0.005)))</f>
        <v>0.14604529399999999</v>
      </c>
      <c r="AT316" s="4">
        <f t="shared" si="91"/>
        <v>0.56299999999999994</v>
      </c>
      <c r="AU316" s="4">
        <f t="shared" si="92"/>
        <v>69</v>
      </c>
      <c r="AV316" s="4">
        <f t="shared" si="93"/>
        <v>0.51</v>
      </c>
    </row>
    <row r="317" spans="1:48" x14ac:dyDescent="0.15">
      <c r="A317" s="4"/>
      <c r="B317" s="21"/>
      <c r="C317" s="21"/>
      <c r="D317" s="21"/>
      <c r="E317" s="22"/>
      <c r="F317" s="22"/>
      <c r="G317" s="23"/>
      <c r="H317" s="23"/>
      <c r="I317" s="181"/>
      <c r="J317" s="8" t="str">
        <f t="shared" si="85"/>
        <v/>
      </c>
      <c r="K317" s="2" t="str">
        <f t="shared" si="94"/>
        <v/>
      </c>
      <c r="L317" s="2" t="str">
        <f t="shared" si="86"/>
        <v/>
      </c>
      <c r="M317" s="2" t="str">
        <f t="shared" si="95"/>
        <v/>
      </c>
      <c r="N317" s="2" t="str">
        <f t="shared" si="103"/>
        <v/>
      </c>
      <c r="O317" s="2" t="str">
        <f t="shared" si="96"/>
        <v/>
      </c>
      <c r="P317" s="8" t="str">
        <f t="shared" si="97"/>
        <v/>
      </c>
      <c r="Q317" s="8" t="str">
        <f t="shared" si="98"/>
        <v/>
      </c>
      <c r="R317" s="111" t="str">
        <f t="shared" si="99"/>
        <v/>
      </c>
      <c r="S317" s="44" t="str">
        <f t="shared" si="100"/>
        <v/>
      </c>
      <c r="T317" s="37" t="str">
        <f t="shared" si="101"/>
        <v/>
      </c>
      <c r="U317" s="44" t="str">
        <f t="shared" si="102"/>
        <v/>
      </c>
      <c r="V317" s="26"/>
      <c r="W317" s="26"/>
      <c r="X317" s="26"/>
      <c r="Y317" s="26"/>
      <c r="Z317" s="24"/>
      <c r="AA317" s="169">
        <f t="shared" si="87"/>
        <v>0</v>
      </c>
      <c r="AB317" s="4">
        <f t="shared" si="88"/>
        <v>0</v>
      </c>
      <c r="AC317" s="170">
        <f t="shared" si="105"/>
        <v>0</v>
      </c>
      <c r="AD317" s="58"/>
      <c r="AE317" s="58"/>
      <c r="AF317" s="58"/>
      <c r="AG317" s="59">
        <f t="shared" si="89"/>
        <v>9.0359999999999996</v>
      </c>
      <c r="AH317" s="59">
        <f t="shared" si="90"/>
        <v>-184.49199999999999</v>
      </c>
      <c r="AJ317" s="4">
        <f>IF(D317="M",IF(AM317&lt;78,BMILMS!$D$5*AM317^3+BMILMS!$E$5*AM317^2+BMILMS!$F$5*AM317+BMILMS!$G$5,IF(AM317&lt;150,BMILMS!$D$6*AM317^3+BMILMS!$E$6*AM317^2+BMILMS!$F$6*AM317+BMILMS!$G$6,BMILMS!$D$7*AM317^3+BMILMS!$E$7*AM317^2+BMILMS!$F$7*AM317+BMILMS!$G$7)),IF(AM317&lt;69,BMILMS!$D$9*AM317^3+BMILMS!$E$9*AM317^2+BMILMS!$F$9*AM317+BMILMS!$G$9,IF(AM317&lt;150,BMILMS!$D$10*AM317^3+BMILMS!$E$10*AM317^2+BMILMS!$F$10*AM317+BMILMS!$G$10,BMILMS!$D$11*AM317^3+BMILMS!$E$11*AM317^2+BMILMS!$F$11*AM317+BMILMS!$G$11)))</f>
        <v>0.79584630099999998</v>
      </c>
      <c r="AK317" s="4">
        <f>IF(D317="M",(IF(AM317&lt;2.5,BMILMS!$D$21*AM317^3+BMILMS!$E$21*AM317^2+BMILMS!$F$21*AM317+BMILMS!$G$21,IF(AM317&lt;9.5,BMILMS!$D$22*AM317^3+BMILMS!$E$22*AM317^2+BMILMS!$F$22*AM317+BMILMS!$G$22,IF(AM317&lt;26.75,BMILMS!$D$23*AM317^3+BMILMS!$E$23*AM317^2+BMILMS!$F$23*AM317+BMILMS!$G$23,IF(AM317&lt;90,BMILMS!$D$24*AM317^3+BMILMS!$E$24*AM317^2+BMILMS!$F$24*AM317+BMILMS!$G$24,BMILMS!$D$25*AM317^3+BMILMS!$E$25*AM317^2+BMILMS!$F$25*AM317+BMILMS!$G$25))))),(IF(AM317&lt;2.5,BMILMS!$D$27*AM317^3+BMILMS!$E$27*AM317^2+BMILMS!$F$27*AM317+BMILMS!$G$27,IF(AM317&lt;9.5,BMILMS!$D$28*AM317^3+BMILMS!$E$28*AM317^2+BMILMS!$F$28*AM317+BMILMS!$G$28,IF(AM317&lt;26.75,BMILMS!$D$29*AM317^3+BMILMS!$E$29*AM317^2+BMILMS!$F$29*AM317+BMILMS!$G$29,IF(AM317&lt;90,BMILMS!$D$30*AM317^3+BMILMS!$E$30*AM317^2+BMILMS!$F$30*AM317+BMILMS!$G$30,IF(AM317&lt;150,BMILMS!$D$31*AM317^3+BMILMS!$E$31*AM317^2+BMILMS!$F$31*AM317+BMILMS!$G$31,BMILMS!$D$32*AM317^3+BMILMS!$E$32*AM317^2+BMILMS!$F$32*AM317+BMILMS!$G$32)))))))</f>
        <v>12.568967990000001</v>
      </c>
      <c r="AL317" s="4">
        <f>IF(D317="M",(IF(AM317&lt;90,BMILMS!$D$14*AM317^3+BMILMS!$E$14*AM317^2+BMILMS!$F$14*AM317+BMILMS!$G$14,BMILMS!$D$15*AM317^3+BMILMS!$E$15*AM317^2+BMILMS!$F$15*AM317+BMILMS!$G$15)),(IF(AM317&lt;90,BMILMS!$D$17*AM317^3+BMILMS!$E$17*AM317^2+BMILMS!$F$17*AM317+BMILMS!$G$17,BMILMS!$D$18*AM317^3+BMILMS!$E$18*AM317^2+BMILMS!$F$18*AM317+BMILMS!$G$18)))</f>
        <v>8.8969350000000003E-2</v>
      </c>
      <c r="AM317" s="4">
        <f t="shared" si="104"/>
        <v>0</v>
      </c>
      <c r="AO317" s="56">
        <f>IF(D317="M",WeightSDS!P$5*$AM317^7+WeightSDS!Q$5*$AM317^6+WeightSDS!R$5*$AM317^5+WeightSDS!S$5*$AM317^4+WeightSDS!T$5*$AM317^3+WeightSDS!U$5*$AM317^2+WeightSDS!V$5*$AM317+WeightSDS!W$5,IF($AM317&lt;186,WeightSDS!P$8*$AM317^7+WeightSDS!Q$8*$AM317^6+WeightSDS!R$8*$AM317^5+WeightSDS!S$8*$AM317^4+WeightSDS!T$8*$AM317^3+WeightSDS!U$8*$AM317^2+WeightSDS!V$8*$AM317+WeightSDS!W$8,WeightSDS!$U$9+WeightSDS!$V$9*($AM317-WeightSDS!$W$9)))</f>
        <v>0.75407122999999998</v>
      </c>
      <c r="AP317" s="4">
        <f>IF(D317="M",IF($AM317&lt;45,WeightSDS!M$23*$AM317^10+WeightSDS!N$23*$AM317^9+WeightSDS!O$23*$AM317^8+WeightSDS!P$23*$AM317^7+WeightSDS!Q$23*$AM317^6+WeightSDS!R$23*$AM317^5+WeightSDS!S$23*$AM317^4+WeightSDS!T$23*$AM317^3+WeightSDS!U$23*$AM317^2+WeightSDS!V$23*$AM317+WeightSDS!W$23,IF($AM317&lt;153,WeightSDS!M$25*$AM317^10+WeightSDS!N$25*$AM317^9+WeightSDS!O$25*$AM317^8+WeightSDS!P$25*$AM317^7+WeightSDS!Q$25*$AM317^6+WeightSDS!R$25*$AM317^5+WeightSDS!S$25*$AM317^4+WeightSDS!T$25*$AM317^3+WeightSDS!U$25*$AM317^2+WeightSDS!V$25*$AM317+WeightSDS!W$25,WeightSDS!M$27+WeightSDS!N$27/(1+EXP(WeightSDS!O$27+WeightSDS!P$27*$AM317)))),IF($AM317&lt;43.8,WeightSDS!M$29*$AM317^10+WeightSDS!N$29*$AM317^9+WeightSDS!O$29*$AM317^8+WeightSDS!P$29*$AM317^7+WeightSDS!Q$29*$AM317^6+WeightSDS!R$29*$AM317^5+WeightSDS!S$29*$AM317^4+WeightSDS!T$29*$AM317^3+WeightSDS!U$29*$AM317^2+WeightSDS!V$29*$AM317+WeightSDS!W$29-0.010431*(1-$AM317/210),IF($AM317&lt;123,WeightSDS!M$30*$AM317^10+WeightSDS!N$30*$AM317^9+WeightSDS!O$30*$AM317^8+WeightSDS!P$30*$AM317^7+WeightSDS!Q$30*$AM317^6+WeightSDS!R$30*$AM317^5+WeightSDS!S$30*$AM317^4+WeightSDS!T$30*$AM317^3+WeightSDS!U$30*$AM317^2+WeightSDS!V$30*$AM317+WeightSDS!W$30-0.010431*(1-1/$AM317),WeightSDS!M$32+WeightSDS!N$32/(1+EXP(WeightSDS!O$32+WeightSDS!P$32*$AM317))-0.010431*(1-$AM317/210))))</f>
        <v>2.9500001032655536</v>
      </c>
      <c r="AQ317" s="4">
        <f>IF(D317="M",IF($AM317&lt;162,WeightSDS!P$12*$AM317^7+WeightSDS!Q$12*$AM317^6+WeightSDS!R$12*$AM317^5+WeightSDS!S$12*$AM317^4+WeightSDS!T$12*$AM317^3+WeightSDS!U$12*$AM317^2+WeightSDS!V$12*$AM317+WeightSDS!W$12,WeightSDS!P$14*$AM317^7+WeightSDS!Q$14*$AM317^6+WeightSDS!R$14*$AM317^5+WeightSDS!S$14*$AM317^4+WeightSDS!T$14*$AM317^3+WeightSDS!U$14*$AM317^2+WeightSDS!V$14*$AM317+WeightSDS!W$14),IF($AM317&lt;156,WeightSDS!O$17*$AM317^8+WeightSDS!P$17*$AM317^7+WeightSDS!Q$17*$AM317^6+WeightSDS!R$17*$AM317^5+WeightSDS!S$17*$AM317^4+WeightSDS!T$17*$AM317^3+WeightSDS!U$17*$AM317^2+WeightSDS!V$17*$AM317+WeightSDS!W$17,IF($AM317&lt;186,WeightSDS!$U$18+(WeightSDS!$V$18-WeightSDS!$U$18)/24*($AM317-186)+WeightSDS!$W$18*(-$AM317+186)^2-0.005,WeightSDS!$U$18+(WeightSDS!$V$18-WeightSDS!$U$18)/24*($AM317-186)-0.005)))</f>
        <v>0.14604529399999999</v>
      </c>
      <c r="AT317" s="4">
        <f t="shared" si="91"/>
        <v>0.56299999999999994</v>
      </c>
      <c r="AU317" s="4">
        <f t="shared" si="92"/>
        <v>69</v>
      </c>
      <c r="AV317" s="4">
        <f t="shared" si="93"/>
        <v>0.51</v>
      </c>
    </row>
    <row r="318" spans="1:48" x14ac:dyDescent="0.15">
      <c r="A318" s="4"/>
      <c r="B318" s="21"/>
      <c r="C318" s="21"/>
      <c r="D318" s="21"/>
      <c r="E318" s="22"/>
      <c r="F318" s="22"/>
      <c r="G318" s="23"/>
      <c r="H318" s="23"/>
      <c r="I318" s="181"/>
      <c r="J318" s="8" t="str">
        <f t="shared" si="85"/>
        <v/>
      </c>
      <c r="K318" s="2" t="str">
        <f t="shared" si="94"/>
        <v/>
      </c>
      <c r="L318" s="2" t="str">
        <f t="shared" si="86"/>
        <v/>
      </c>
      <c r="M318" s="2" t="str">
        <f t="shared" si="95"/>
        <v/>
      </c>
      <c r="N318" s="2" t="str">
        <f t="shared" si="103"/>
        <v/>
      </c>
      <c r="O318" s="2" t="str">
        <f t="shared" si="96"/>
        <v/>
      </c>
      <c r="P318" s="8" t="str">
        <f t="shared" si="97"/>
        <v/>
      </c>
      <c r="Q318" s="8" t="str">
        <f t="shared" si="98"/>
        <v/>
      </c>
      <c r="R318" s="111" t="str">
        <f t="shared" si="99"/>
        <v/>
      </c>
      <c r="S318" s="44" t="str">
        <f t="shared" si="100"/>
        <v/>
      </c>
      <c r="T318" s="37" t="str">
        <f t="shared" si="101"/>
        <v/>
      </c>
      <c r="U318" s="44" t="str">
        <f t="shared" si="102"/>
        <v/>
      </c>
      <c r="V318" s="26"/>
      <c r="W318" s="26"/>
      <c r="X318" s="26"/>
      <c r="Y318" s="26"/>
      <c r="Z318" s="24"/>
      <c r="AA318" s="169">
        <f t="shared" si="87"/>
        <v>0</v>
      </c>
      <c r="AB318" s="4">
        <f t="shared" si="88"/>
        <v>0</v>
      </c>
      <c r="AC318" s="170">
        <f t="shared" si="105"/>
        <v>0</v>
      </c>
      <c r="AD318" s="58"/>
      <c r="AE318" s="58"/>
      <c r="AF318" s="58"/>
      <c r="AG318" s="59">
        <f t="shared" si="89"/>
        <v>9.0359999999999996</v>
      </c>
      <c r="AH318" s="59">
        <f t="shared" si="90"/>
        <v>-184.49199999999999</v>
      </c>
      <c r="AJ318" s="4">
        <f>IF(D318="M",IF(AM318&lt;78,BMILMS!$D$5*AM318^3+BMILMS!$E$5*AM318^2+BMILMS!$F$5*AM318+BMILMS!$G$5,IF(AM318&lt;150,BMILMS!$D$6*AM318^3+BMILMS!$E$6*AM318^2+BMILMS!$F$6*AM318+BMILMS!$G$6,BMILMS!$D$7*AM318^3+BMILMS!$E$7*AM318^2+BMILMS!$F$7*AM318+BMILMS!$G$7)),IF(AM318&lt;69,BMILMS!$D$9*AM318^3+BMILMS!$E$9*AM318^2+BMILMS!$F$9*AM318+BMILMS!$G$9,IF(AM318&lt;150,BMILMS!$D$10*AM318^3+BMILMS!$E$10*AM318^2+BMILMS!$F$10*AM318+BMILMS!$G$10,BMILMS!$D$11*AM318^3+BMILMS!$E$11*AM318^2+BMILMS!$F$11*AM318+BMILMS!$G$11)))</f>
        <v>0.79584630099999998</v>
      </c>
      <c r="AK318" s="4">
        <f>IF(D318="M",(IF(AM318&lt;2.5,BMILMS!$D$21*AM318^3+BMILMS!$E$21*AM318^2+BMILMS!$F$21*AM318+BMILMS!$G$21,IF(AM318&lt;9.5,BMILMS!$D$22*AM318^3+BMILMS!$E$22*AM318^2+BMILMS!$F$22*AM318+BMILMS!$G$22,IF(AM318&lt;26.75,BMILMS!$D$23*AM318^3+BMILMS!$E$23*AM318^2+BMILMS!$F$23*AM318+BMILMS!$G$23,IF(AM318&lt;90,BMILMS!$D$24*AM318^3+BMILMS!$E$24*AM318^2+BMILMS!$F$24*AM318+BMILMS!$G$24,BMILMS!$D$25*AM318^3+BMILMS!$E$25*AM318^2+BMILMS!$F$25*AM318+BMILMS!$G$25))))),(IF(AM318&lt;2.5,BMILMS!$D$27*AM318^3+BMILMS!$E$27*AM318^2+BMILMS!$F$27*AM318+BMILMS!$G$27,IF(AM318&lt;9.5,BMILMS!$D$28*AM318^3+BMILMS!$E$28*AM318^2+BMILMS!$F$28*AM318+BMILMS!$G$28,IF(AM318&lt;26.75,BMILMS!$D$29*AM318^3+BMILMS!$E$29*AM318^2+BMILMS!$F$29*AM318+BMILMS!$G$29,IF(AM318&lt;90,BMILMS!$D$30*AM318^3+BMILMS!$E$30*AM318^2+BMILMS!$F$30*AM318+BMILMS!$G$30,IF(AM318&lt;150,BMILMS!$D$31*AM318^3+BMILMS!$E$31*AM318^2+BMILMS!$F$31*AM318+BMILMS!$G$31,BMILMS!$D$32*AM318^3+BMILMS!$E$32*AM318^2+BMILMS!$F$32*AM318+BMILMS!$G$32)))))))</f>
        <v>12.568967990000001</v>
      </c>
      <c r="AL318" s="4">
        <f>IF(D318="M",(IF(AM318&lt;90,BMILMS!$D$14*AM318^3+BMILMS!$E$14*AM318^2+BMILMS!$F$14*AM318+BMILMS!$G$14,BMILMS!$D$15*AM318^3+BMILMS!$E$15*AM318^2+BMILMS!$F$15*AM318+BMILMS!$G$15)),(IF(AM318&lt;90,BMILMS!$D$17*AM318^3+BMILMS!$E$17*AM318^2+BMILMS!$F$17*AM318+BMILMS!$G$17,BMILMS!$D$18*AM318^3+BMILMS!$E$18*AM318^2+BMILMS!$F$18*AM318+BMILMS!$G$18)))</f>
        <v>8.8969350000000003E-2</v>
      </c>
      <c r="AM318" s="4">
        <f t="shared" si="104"/>
        <v>0</v>
      </c>
      <c r="AO318" s="56">
        <f>IF(D318="M",WeightSDS!P$5*$AM318^7+WeightSDS!Q$5*$AM318^6+WeightSDS!R$5*$AM318^5+WeightSDS!S$5*$AM318^4+WeightSDS!T$5*$AM318^3+WeightSDS!U$5*$AM318^2+WeightSDS!V$5*$AM318+WeightSDS!W$5,IF($AM318&lt;186,WeightSDS!P$8*$AM318^7+WeightSDS!Q$8*$AM318^6+WeightSDS!R$8*$AM318^5+WeightSDS!S$8*$AM318^4+WeightSDS!T$8*$AM318^3+WeightSDS!U$8*$AM318^2+WeightSDS!V$8*$AM318+WeightSDS!W$8,WeightSDS!$U$9+WeightSDS!$V$9*($AM318-WeightSDS!$W$9)))</f>
        <v>0.75407122999999998</v>
      </c>
      <c r="AP318" s="4">
        <f>IF(D318="M",IF($AM318&lt;45,WeightSDS!M$23*$AM318^10+WeightSDS!N$23*$AM318^9+WeightSDS!O$23*$AM318^8+WeightSDS!P$23*$AM318^7+WeightSDS!Q$23*$AM318^6+WeightSDS!R$23*$AM318^5+WeightSDS!S$23*$AM318^4+WeightSDS!T$23*$AM318^3+WeightSDS!U$23*$AM318^2+WeightSDS!V$23*$AM318+WeightSDS!W$23,IF($AM318&lt;153,WeightSDS!M$25*$AM318^10+WeightSDS!N$25*$AM318^9+WeightSDS!O$25*$AM318^8+WeightSDS!P$25*$AM318^7+WeightSDS!Q$25*$AM318^6+WeightSDS!R$25*$AM318^5+WeightSDS!S$25*$AM318^4+WeightSDS!T$25*$AM318^3+WeightSDS!U$25*$AM318^2+WeightSDS!V$25*$AM318+WeightSDS!W$25,WeightSDS!M$27+WeightSDS!N$27/(1+EXP(WeightSDS!O$27+WeightSDS!P$27*$AM318)))),IF($AM318&lt;43.8,WeightSDS!M$29*$AM318^10+WeightSDS!N$29*$AM318^9+WeightSDS!O$29*$AM318^8+WeightSDS!P$29*$AM318^7+WeightSDS!Q$29*$AM318^6+WeightSDS!R$29*$AM318^5+WeightSDS!S$29*$AM318^4+WeightSDS!T$29*$AM318^3+WeightSDS!U$29*$AM318^2+WeightSDS!V$29*$AM318+WeightSDS!W$29-0.010431*(1-$AM318/210),IF($AM318&lt;123,WeightSDS!M$30*$AM318^10+WeightSDS!N$30*$AM318^9+WeightSDS!O$30*$AM318^8+WeightSDS!P$30*$AM318^7+WeightSDS!Q$30*$AM318^6+WeightSDS!R$30*$AM318^5+WeightSDS!S$30*$AM318^4+WeightSDS!T$30*$AM318^3+WeightSDS!U$30*$AM318^2+WeightSDS!V$30*$AM318+WeightSDS!W$30-0.010431*(1-1/$AM318),WeightSDS!M$32+WeightSDS!N$32/(1+EXP(WeightSDS!O$32+WeightSDS!P$32*$AM318))-0.010431*(1-$AM318/210))))</f>
        <v>2.9500001032655536</v>
      </c>
      <c r="AQ318" s="4">
        <f>IF(D318="M",IF($AM318&lt;162,WeightSDS!P$12*$AM318^7+WeightSDS!Q$12*$AM318^6+WeightSDS!R$12*$AM318^5+WeightSDS!S$12*$AM318^4+WeightSDS!T$12*$AM318^3+WeightSDS!U$12*$AM318^2+WeightSDS!V$12*$AM318+WeightSDS!W$12,WeightSDS!P$14*$AM318^7+WeightSDS!Q$14*$AM318^6+WeightSDS!R$14*$AM318^5+WeightSDS!S$14*$AM318^4+WeightSDS!T$14*$AM318^3+WeightSDS!U$14*$AM318^2+WeightSDS!V$14*$AM318+WeightSDS!W$14),IF($AM318&lt;156,WeightSDS!O$17*$AM318^8+WeightSDS!P$17*$AM318^7+WeightSDS!Q$17*$AM318^6+WeightSDS!R$17*$AM318^5+WeightSDS!S$17*$AM318^4+WeightSDS!T$17*$AM318^3+WeightSDS!U$17*$AM318^2+WeightSDS!V$17*$AM318+WeightSDS!W$17,IF($AM318&lt;186,WeightSDS!$U$18+(WeightSDS!$V$18-WeightSDS!$U$18)/24*($AM318-186)+WeightSDS!$W$18*(-$AM318+186)^2-0.005,WeightSDS!$U$18+(WeightSDS!$V$18-WeightSDS!$U$18)/24*($AM318-186)-0.005)))</f>
        <v>0.14604529399999999</v>
      </c>
      <c r="AT318" s="4">
        <f t="shared" si="91"/>
        <v>0.56299999999999994</v>
      </c>
      <c r="AU318" s="4">
        <f t="shared" si="92"/>
        <v>69</v>
      </c>
      <c r="AV318" s="4">
        <f t="shared" si="93"/>
        <v>0.51</v>
      </c>
    </row>
    <row r="319" spans="1:48" x14ac:dyDescent="0.15">
      <c r="A319" s="4"/>
      <c r="B319" s="21"/>
      <c r="C319" s="21"/>
      <c r="D319" s="21"/>
      <c r="E319" s="22"/>
      <c r="F319" s="22"/>
      <c r="G319" s="23"/>
      <c r="H319" s="23"/>
      <c r="I319" s="181"/>
      <c r="J319" s="8" t="str">
        <f t="shared" si="85"/>
        <v/>
      </c>
      <c r="K319" s="2" t="str">
        <f t="shared" si="94"/>
        <v/>
      </c>
      <c r="L319" s="2" t="str">
        <f t="shared" si="86"/>
        <v/>
      </c>
      <c r="M319" s="2" t="str">
        <f t="shared" si="95"/>
        <v/>
      </c>
      <c r="N319" s="2" t="str">
        <f t="shared" si="103"/>
        <v/>
      </c>
      <c r="O319" s="2" t="str">
        <f t="shared" si="96"/>
        <v/>
      </c>
      <c r="P319" s="8" t="str">
        <f t="shared" si="97"/>
        <v/>
      </c>
      <c r="Q319" s="8" t="str">
        <f t="shared" si="98"/>
        <v/>
      </c>
      <c r="R319" s="111" t="str">
        <f t="shared" si="99"/>
        <v/>
      </c>
      <c r="S319" s="44" t="str">
        <f t="shared" si="100"/>
        <v/>
      </c>
      <c r="T319" s="37" t="str">
        <f t="shared" si="101"/>
        <v/>
      </c>
      <c r="U319" s="44" t="str">
        <f t="shared" si="102"/>
        <v/>
      </c>
      <c r="V319" s="26"/>
      <c r="W319" s="26"/>
      <c r="X319" s="26"/>
      <c r="Y319" s="26"/>
      <c r="Z319" s="24"/>
      <c r="AA319" s="169">
        <f t="shared" si="87"/>
        <v>0</v>
      </c>
      <c r="AB319" s="4">
        <f t="shared" si="88"/>
        <v>0</v>
      </c>
      <c r="AC319" s="170">
        <f t="shared" si="105"/>
        <v>0</v>
      </c>
      <c r="AD319" s="58"/>
      <c r="AE319" s="58"/>
      <c r="AF319" s="58"/>
      <c r="AG319" s="59">
        <f t="shared" si="89"/>
        <v>9.0359999999999996</v>
      </c>
      <c r="AH319" s="59">
        <f t="shared" si="90"/>
        <v>-184.49199999999999</v>
      </c>
      <c r="AJ319" s="4">
        <f>IF(D319="M",IF(AM319&lt;78,BMILMS!$D$5*AM319^3+BMILMS!$E$5*AM319^2+BMILMS!$F$5*AM319+BMILMS!$G$5,IF(AM319&lt;150,BMILMS!$D$6*AM319^3+BMILMS!$E$6*AM319^2+BMILMS!$F$6*AM319+BMILMS!$G$6,BMILMS!$D$7*AM319^3+BMILMS!$E$7*AM319^2+BMILMS!$F$7*AM319+BMILMS!$G$7)),IF(AM319&lt;69,BMILMS!$D$9*AM319^3+BMILMS!$E$9*AM319^2+BMILMS!$F$9*AM319+BMILMS!$G$9,IF(AM319&lt;150,BMILMS!$D$10*AM319^3+BMILMS!$E$10*AM319^2+BMILMS!$F$10*AM319+BMILMS!$G$10,BMILMS!$D$11*AM319^3+BMILMS!$E$11*AM319^2+BMILMS!$F$11*AM319+BMILMS!$G$11)))</f>
        <v>0.79584630099999998</v>
      </c>
      <c r="AK319" s="4">
        <f>IF(D319="M",(IF(AM319&lt;2.5,BMILMS!$D$21*AM319^3+BMILMS!$E$21*AM319^2+BMILMS!$F$21*AM319+BMILMS!$G$21,IF(AM319&lt;9.5,BMILMS!$D$22*AM319^3+BMILMS!$E$22*AM319^2+BMILMS!$F$22*AM319+BMILMS!$G$22,IF(AM319&lt;26.75,BMILMS!$D$23*AM319^3+BMILMS!$E$23*AM319^2+BMILMS!$F$23*AM319+BMILMS!$G$23,IF(AM319&lt;90,BMILMS!$D$24*AM319^3+BMILMS!$E$24*AM319^2+BMILMS!$F$24*AM319+BMILMS!$G$24,BMILMS!$D$25*AM319^3+BMILMS!$E$25*AM319^2+BMILMS!$F$25*AM319+BMILMS!$G$25))))),(IF(AM319&lt;2.5,BMILMS!$D$27*AM319^3+BMILMS!$E$27*AM319^2+BMILMS!$F$27*AM319+BMILMS!$G$27,IF(AM319&lt;9.5,BMILMS!$D$28*AM319^3+BMILMS!$E$28*AM319^2+BMILMS!$F$28*AM319+BMILMS!$G$28,IF(AM319&lt;26.75,BMILMS!$D$29*AM319^3+BMILMS!$E$29*AM319^2+BMILMS!$F$29*AM319+BMILMS!$G$29,IF(AM319&lt;90,BMILMS!$D$30*AM319^3+BMILMS!$E$30*AM319^2+BMILMS!$F$30*AM319+BMILMS!$G$30,IF(AM319&lt;150,BMILMS!$D$31*AM319^3+BMILMS!$E$31*AM319^2+BMILMS!$F$31*AM319+BMILMS!$G$31,BMILMS!$D$32*AM319^3+BMILMS!$E$32*AM319^2+BMILMS!$F$32*AM319+BMILMS!$G$32)))))))</f>
        <v>12.568967990000001</v>
      </c>
      <c r="AL319" s="4">
        <f>IF(D319="M",(IF(AM319&lt;90,BMILMS!$D$14*AM319^3+BMILMS!$E$14*AM319^2+BMILMS!$F$14*AM319+BMILMS!$G$14,BMILMS!$D$15*AM319^3+BMILMS!$E$15*AM319^2+BMILMS!$F$15*AM319+BMILMS!$G$15)),(IF(AM319&lt;90,BMILMS!$D$17*AM319^3+BMILMS!$E$17*AM319^2+BMILMS!$F$17*AM319+BMILMS!$G$17,BMILMS!$D$18*AM319^3+BMILMS!$E$18*AM319^2+BMILMS!$F$18*AM319+BMILMS!$G$18)))</f>
        <v>8.8969350000000003E-2</v>
      </c>
      <c r="AM319" s="4">
        <f t="shared" si="104"/>
        <v>0</v>
      </c>
      <c r="AO319" s="56">
        <f>IF(D319="M",WeightSDS!P$5*$AM319^7+WeightSDS!Q$5*$AM319^6+WeightSDS!R$5*$AM319^5+WeightSDS!S$5*$AM319^4+WeightSDS!T$5*$AM319^3+WeightSDS!U$5*$AM319^2+WeightSDS!V$5*$AM319+WeightSDS!W$5,IF($AM319&lt;186,WeightSDS!P$8*$AM319^7+WeightSDS!Q$8*$AM319^6+WeightSDS!R$8*$AM319^5+WeightSDS!S$8*$AM319^4+WeightSDS!T$8*$AM319^3+WeightSDS!U$8*$AM319^2+WeightSDS!V$8*$AM319+WeightSDS!W$8,WeightSDS!$U$9+WeightSDS!$V$9*($AM319-WeightSDS!$W$9)))</f>
        <v>0.75407122999999998</v>
      </c>
      <c r="AP319" s="4">
        <f>IF(D319="M",IF($AM319&lt;45,WeightSDS!M$23*$AM319^10+WeightSDS!N$23*$AM319^9+WeightSDS!O$23*$AM319^8+WeightSDS!P$23*$AM319^7+WeightSDS!Q$23*$AM319^6+WeightSDS!R$23*$AM319^5+WeightSDS!S$23*$AM319^4+WeightSDS!T$23*$AM319^3+WeightSDS!U$23*$AM319^2+WeightSDS!V$23*$AM319+WeightSDS!W$23,IF($AM319&lt;153,WeightSDS!M$25*$AM319^10+WeightSDS!N$25*$AM319^9+WeightSDS!O$25*$AM319^8+WeightSDS!P$25*$AM319^7+WeightSDS!Q$25*$AM319^6+WeightSDS!R$25*$AM319^5+WeightSDS!S$25*$AM319^4+WeightSDS!T$25*$AM319^3+WeightSDS!U$25*$AM319^2+WeightSDS!V$25*$AM319+WeightSDS!W$25,WeightSDS!M$27+WeightSDS!N$27/(1+EXP(WeightSDS!O$27+WeightSDS!P$27*$AM319)))),IF($AM319&lt;43.8,WeightSDS!M$29*$AM319^10+WeightSDS!N$29*$AM319^9+WeightSDS!O$29*$AM319^8+WeightSDS!P$29*$AM319^7+WeightSDS!Q$29*$AM319^6+WeightSDS!R$29*$AM319^5+WeightSDS!S$29*$AM319^4+WeightSDS!T$29*$AM319^3+WeightSDS!U$29*$AM319^2+WeightSDS!V$29*$AM319+WeightSDS!W$29-0.010431*(1-$AM319/210),IF($AM319&lt;123,WeightSDS!M$30*$AM319^10+WeightSDS!N$30*$AM319^9+WeightSDS!O$30*$AM319^8+WeightSDS!P$30*$AM319^7+WeightSDS!Q$30*$AM319^6+WeightSDS!R$30*$AM319^5+WeightSDS!S$30*$AM319^4+WeightSDS!T$30*$AM319^3+WeightSDS!U$30*$AM319^2+WeightSDS!V$30*$AM319+WeightSDS!W$30-0.010431*(1-1/$AM319),WeightSDS!M$32+WeightSDS!N$32/(1+EXP(WeightSDS!O$32+WeightSDS!P$32*$AM319))-0.010431*(1-$AM319/210))))</f>
        <v>2.9500001032655536</v>
      </c>
      <c r="AQ319" s="4">
        <f>IF(D319="M",IF($AM319&lt;162,WeightSDS!P$12*$AM319^7+WeightSDS!Q$12*$AM319^6+WeightSDS!R$12*$AM319^5+WeightSDS!S$12*$AM319^4+WeightSDS!T$12*$AM319^3+WeightSDS!U$12*$AM319^2+WeightSDS!V$12*$AM319+WeightSDS!W$12,WeightSDS!P$14*$AM319^7+WeightSDS!Q$14*$AM319^6+WeightSDS!R$14*$AM319^5+WeightSDS!S$14*$AM319^4+WeightSDS!T$14*$AM319^3+WeightSDS!U$14*$AM319^2+WeightSDS!V$14*$AM319+WeightSDS!W$14),IF($AM319&lt;156,WeightSDS!O$17*$AM319^8+WeightSDS!P$17*$AM319^7+WeightSDS!Q$17*$AM319^6+WeightSDS!R$17*$AM319^5+WeightSDS!S$17*$AM319^4+WeightSDS!T$17*$AM319^3+WeightSDS!U$17*$AM319^2+WeightSDS!V$17*$AM319+WeightSDS!W$17,IF($AM319&lt;186,WeightSDS!$U$18+(WeightSDS!$V$18-WeightSDS!$U$18)/24*($AM319-186)+WeightSDS!$W$18*(-$AM319+186)^2-0.005,WeightSDS!$U$18+(WeightSDS!$V$18-WeightSDS!$U$18)/24*($AM319-186)-0.005)))</f>
        <v>0.14604529399999999</v>
      </c>
      <c r="AT319" s="4">
        <f t="shared" si="91"/>
        <v>0.56299999999999994</v>
      </c>
      <c r="AU319" s="4">
        <f t="shared" si="92"/>
        <v>69</v>
      </c>
      <c r="AV319" s="4">
        <f t="shared" si="93"/>
        <v>0.51</v>
      </c>
    </row>
    <row r="320" spans="1:48" x14ac:dyDescent="0.15">
      <c r="A320" s="4"/>
      <c r="B320" s="21"/>
      <c r="C320" s="21"/>
      <c r="D320" s="21"/>
      <c r="E320" s="22"/>
      <c r="F320" s="22"/>
      <c r="G320" s="23"/>
      <c r="H320" s="23"/>
      <c r="I320" s="181"/>
      <c r="J320" s="8" t="str">
        <f t="shared" si="85"/>
        <v/>
      </c>
      <c r="K320" s="2" t="str">
        <f t="shared" si="94"/>
        <v/>
      </c>
      <c r="L320" s="2" t="str">
        <f t="shared" si="86"/>
        <v/>
      </c>
      <c r="M320" s="2" t="str">
        <f t="shared" si="95"/>
        <v/>
      </c>
      <c r="N320" s="2" t="str">
        <f t="shared" si="103"/>
        <v/>
      </c>
      <c r="O320" s="2" t="str">
        <f t="shared" si="96"/>
        <v/>
      </c>
      <c r="P320" s="8" t="str">
        <f t="shared" si="97"/>
        <v/>
      </c>
      <c r="Q320" s="8" t="str">
        <f t="shared" si="98"/>
        <v/>
      </c>
      <c r="R320" s="111" t="str">
        <f t="shared" si="99"/>
        <v/>
      </c>
      <c r="S320" s="44" t="str">
        <f t="shared" si="100"/>
        <v/>
      </c>
      <c r="T320" s="37" t="str">
        <f t="shared" si="101"/>
        <v/>
      </c>
      <c r="U320" s="44" t="str">
        <f t="shared" si="102"/>
        <v/>
      </c>
      <c r="V320" s="26"/>
      <c r="W320" s="26"/>
      <c r="X320" s="26"/>
      <c r="Y320" s="26"/>
      <c r="Z320" s="24"/>
      <c r="AA320" s="169">
        <f t="shared" si="87"/>
        <v>0</v>
      </c>
      <c r="AB320" s="4">
        <f t="shared" si="88"/>
        <v>0</v>
      </c>
      <c r="AC320" s="170">
        <f t="shared" si="105"/>
        <v>0</v>
      </c>
      <c r="AD320" s="58"/>
      <c r="AE320" s="58"/>
      <c r="AF320" s="58"/>
      <c r="AG320" s="59">
        <f t="shared" si="89"/>
        <v>9.0359999999999996</v>
      </c>
      <c r="AH320" s="59">
        <f t="shared" si="90"/>
        <v>-184.49199999999999</v>
      </c>
      <c r="AJ320" s="4">
        <f>IF(D320="M",IF(AM320&lt;78,BMILMS!$D$5*AM320^3+BMILMS!$E$5*AM320^2+BMILMS!$F$5*AM320+BMILMS!$G$5,IF(AM320&lt;150,BMILMS!$D$6*AM320^3+BMILMS!$E$6*AM320^2+BMILMS!$F$6*AM320+BMILMS!$G$6,BMILMS!$D$7*AM320^3+BMILMS!$E$7*AM320^2+BMILMS!$F$7*AM320+BMILMS!$G$7)),IF(AM320&lt;69,BMILMS!$D$9*AM320^3+BMILMS!$E$9*AM320^2+BMILMS!$F$9*AM320+BMILMS!$G$9,IF(AM320&lt;150,BMILMS!$D$10*AM320^3+BMILMS!$E$10*AM320^2+BMILMS!$F$10*AM320+BMILMS!$G$10,BMILMS!$D$11*AM320^3+BMILMS!$E$11*AM320^2+BMILMS!$F$11*AM320+BMILMS!$G$11)))</f>
        <v>0.79584630099999998</v>
      </c>
      <c r="AK320" s="4">
        <f>IF(D320="M",(IF(AM320&lt;2.5,BMILMS!$D$21*AM320^3+BMILMS!$E$21*AM320^2+BMILMS!$F$21*AM320+BMILMS!$G$21,IF(AM320&lt;9.5,BMILMS!$D$22*AM320^3+BMILMS!$E$22*AM320^2+BMILMS!$F$22*AM320+BMILMS!$G$22,IF(AM320&lt;26.75,BMILMS!$D$23*AM320^3+BMILMS!$E$23*AM320^2+BMILMS!$F$23*AM320+BMILMS!$G$23,IF(AM320&lt;90,BMILMS!$D$24*AM320^3+BMILMS!$E$24*AM320^2+BMILMS!$F$24*AM320+BMILMS!$G$24,BMILMS!$D$25*AM320^3+BMILMS!$E$25*AM320^2+BMILMS!$F$25*AM320+BMILMS!$G$25))))),(IF(AM320&lt;2.5,BMILMS!$D$27*AM320^3+BMILMS!$E$27*AM320^2+BMILMS!$F$27*AM320+BMILMS!$G$27,IF(AM320&lt;9.5,BMILMS!$D$28*AM320^3+BMILMS!$E$28*AM320^2+BMILMS!$F$28*AM320+BMILMS!$G$28,IF(AM320&lt;26.75,BMILMS!$D$29*AM320^3+BMILMS!$E$29*AM320^2+BMILMS!$F$29*AM320+BMILMS!$G$29,IF(AM320&lt;90,BMILMS!$D$30*AM320^3+BMILMS!$E$30*AM320^2+BMILMS!$F$30*AM320+BMILMS!$G$30,IF(AM320&lt;150,BMILMS!$D$31*AM320^3+BMILMS!$E$31*AM320^2+BMILMS!$F$31*AM320+BMILMS!$G$31,BMILMS!$D$32*AM320^3+BMILMS!$E$32*AM320^2+BMILMS!$F$32*AM320+BMILMS!$G$32)))))))</f>
        <v>12.568967990000001</v>
      </c>
      <c r="AL320" s="4">
        <f>IF(D320="M",(IF(AM320&lt;90,BMILMS!$D$14*AM320^3+BMILMS!$E$14*AM320^2+BMILMS!$F$14*AM320+BMILMS!$G$14,BMILMS!$D$15*AM320^3+BMILMS!$E$15*AM320^2+BMILMS!$F$15*AM320+BMILMS!$G$15)),(IF(AM320&lt;90,BMILMS!$D$17*AM320^3+BMILMS!$E$17*AM320^2+BMILMS!$F$17*AM320+BMILMS!$G$17,BMILMS!$D$18*AM320^3+BMILMS!$E$18*AM320^2+BMILMS!$F$18*AM320+BMILMS!$G$18)))</f>
        <v>8.8969350000000003E-2</v>
      </c>
      <c r="AM320" s="4">
        <f t="shared" si="104"/>
        <v>0</v>
      </c>
      <c r="AO320" s="56">
        <f>IF(D320="M",WeightSDS!P$5*$AM320^7+WeightSDS!Q$5*$AM320^6+WeightSDS!R$5*$AM320^5+WeightSDS!S$5*$AM320^4+WeightSDS!T$5*$AM320^3+WeightSDS!U$5*$AM320^2+WeightSDS!V$5*$AM320+WeightSDS!W$5,IF($AM320&lt;186,WeightSDS!P$8*$AM320^7+WeightSDS!Q$8*$AM320^6+WeightSDS!R$8*$AM320^5+WeightSDS!S$8*$AM320^4+WeightSDS!T$8*$AM320^3+WeightSDS!U$8*$AM320^2+WeightSDS!V$8*$AM320+WeightSDS!W$8,WeightSDS!$U$9+WeightSDS!$V$9*($AM320-WeightSDS!$W$9)))</f>
        <v>0.75407122999999998</v>
      </c>
      <c r="AP320" s="4">
        <f>IF(D320="M",IF($AM320&lt;45,WeightSDS!M$23*$AM320^10+WeightSDS!N$23*$AM320^9+WeightSDS!O$23*$AM320^8+WeightSDS!P$23*$AM320^7+WeightSDS!Q$23*$AM320^6+WeightSDS!R$23*$AM320^5+WeightSDS!S$23*$AM320^4+WeightSDS!T$23*$AM320^3+WeightSDS!U$23*$AM320^2+WeightSDS!V$23*$AM320+WeightSDS!W$23,IF($AM320&lt;153,WeightSDS!M$25*$AM320^10+WeightSDS!N$25*$AM320^9+WeightSDS!O$25*$AM320^8+WeightSDS!P$25*$AM320^7+WeightSDS!Q$25*$AM320^6+WeightSDS!R$25*$AM320^5+WeightSDS!S$25*$AM320^4+WeightSDS!T$25*$AM320^3+WeightSDS!U$25*$AM320^2+WeightSDS!V$25*$AM320+WeightSDS!W$25,WeightSDS!M$27+WeightSDS!N$27/(1+EXP(WeightSDS!O$27+WeightSDS!P$27*$AM320)))),IF($AM320&lt;43.8,WeightSDS!M$29*$AM320^10+WeightSDS!N$29*$AM320^9+WeightSDS!O$29*$AM320^8+WeightSDS!P$29*$AM320^7+WeightSDS!Q$29*$AM320^6+WeightSDS!R$29*$AM320^5+WeightSDS!S$29*$AM320^4+WeightSDS!T$29*$AM320^3+WeightSDS!U$29*$AM320^2+WeightSDS!V$29*$AM320+WeightSDS!W$29-0.010431*(1-$AM320/210),IF($AM320&lt;123,WeightSDS!M$30*$AM320^10+WeightSDS!N$30*$AM320^9+WeightSDS!O$30*$AM320^8+WeightSDS!P$30*$AM320^7+WeightSDS!Q$30*$AM320^6+WeightSDS!R$30*$AM320^5+WeightSDS!S$30*$AM320^4+WeightSDS!T$30*$AM320^3+WeightSDS!U$30*$AM320^2+WeightSDS!V$30*$AM320+WeightSDS!W$30-0.010431*(1-1/$AM320),WeightSDS!M$32+WeightSDS!N$32/(1+EXP(WeightSDS!O$32+WeightSDS!P$32*$AM320))-0.010431*(1-$AM320/210))))</f>
        <v>2.9500001032655536</v>
      </c>
      <c r="AQ320" s="4">
        <f>IF(D320="M",IF($AM320&lt;162,WeightSDS!P$12*$AM320^7+WeightSDS!Q$12*$AM320^6+WeightSDS!R$12*$AM320^5+WeightSDS!S$12*$AM320^4+WeightSDS!T$12*$AM320^3+WeightSDS!U$12*$AM320^2+WeightSDS!V$12*$AM320+WeightSDS!W$12,WeightSDS!P$14*$AM320^7+WeightSDS!Q$14*$AM320^6+WeightSDS!R$14*$AM320^5+WeightSDS!S$14*$AM320^4+WeightSDS!T$14*$AM320^3+WeightSDS!U$14*$AM320^2+WeightSDS!V$14*$AM320+WeightSDS!W$14),IF($AM320&lt;156,WeightSDS!O$17*$AM320^8+WeightSDS!P$17*$AM320^7+WeightSDS!Q$17*$AM320^6+WeightSDS!R$17*$AM320^5+WeightSDS!S$17*$AM320^4+WeightSDS!T$17*$AM320^3+WeightSDS!U$17*$AM320^2+WeightSDS!V$17*$AM320+WeightSDS!W$17,IF($AM320&lt;186,WeightSDS!$U$18+(WeightSDS!$V$18-WeightSDS!$U$18)/24*($AM320-186)+WeightSDS!$W$18*(-$AM320+186)^2-0.005,WeightSDS!$U$18+(WeightSDS!$V$18-WeightSDS!$U$18)/24*($AM320-186)-0.005)))</f>
        <v>0.14604529399999999</v>
      </c>
      <c r="AT320" s="4">
        <f t="shared" si="91"/>
        <v>0.56299999999999994</v>
      </c>
      <c r="AU320" s="4">
        <f t="shared" si="92"/>
        <v>69</v>
      </c>
      <c r="AV320" s="4">
        <f t="shared" si="93"/>
        <v>0.51</v>
      </c>
    </row>
    <row r="321" spans="1:48" x14ac:dyDescent="0.15">
      <c r="A321" s="4"/>
      <c r="B321" s="21"/>
      <c r="C321" s="21"/>
      <c r="D321" s="21"/>
      <c r="E321" s="22"/>
      <c r="F321" s="22"/>
      <c r="G321" s="23"/>
      <c r="H321" s="23"/>
      <c r="I321" s="181"/>
      <c r="J321" s="8" t="str">
        <f t="shared" si="85"/>
        <v/>
      </c>
      <c r="K321" s="2" t="str">
        <f t="shared" si="94"/>
        <v/>
      </c>
      <c r="L321" s="2" t="str">
        <f t="shared" si="86"/>
        <v/>
      </c>
      <c r="M321" s="2" t="str">
        <f t="shared" si="95"/>
        <v/>
      </c>
      <c r="N321" s="2" t="str">
        <f t="shared" si="103"/>
        <v/>
      </c>
      <c r="O321" s="2" t="str">
        <f t="shared" si="96"/>
        <v/>
      </c>
      <c r="P321" s="8" t="str">
        <f t="shared" si="97"/>
        <v/>
      </c>
      <c r="Q321" s="8" t="str">
        <f t="shared" si="98"/>
        <v/>
      </c>
      <c r="R321" s="111" t="str">
        <f t="shared" si="99"/>
        <v/>
      </c>
      <c r="S321" s="44" t="str">
        <f t="shared" si="100"/>
        <v/>
      </c>
      <c r="T321" s="37" t="str">
        <f t="shared" si="101"/>
        <v/>
      </c>
      <c r="U321" s="44" t="str">
        <f t="shared" si="102"/>
        <v/>
      </c>
      <c r="V321" s="26"/>
      <c r="W321" s="26"/>
      <c r="X321" s="26"/>
      <c r="Y321" s="26"/>
      <c r="Z321" s="24"/>
      <c r="AA321" s="169">
        <f t="shared" si="87"/>
        <v>0</v>
      </c>
      <c r="AB321" s="4">
        <f t="shared" si="88"/>
        <v>0</v>
      </c>
      <c r="AC321" s="170">
        <f t="shared" si="105"/>
        <v>0</v>
      </c>
      <c r="AD321" s="58"/>
      <c r="AE321" s="58"/>
      <c r="AF321" s="58"/>
      <c r="AG321" s="59">
        <f t="shared" si="89"/>
        <v>9.0359999999999996</v>
      </c>
      <c r="AH321" s="59">
        <f t="shared" si="90"/>
        <v>-184.49199999999999</v>
      </c>
      <c r="AJ321" s="4">
        <f>IF(D321="M",IF(AM321&lt;78,BMILMS!$D$5*AM321^3+BMILMS!$E$5*AM321^2+BMILMS!$F$5*AM321+BMILMS!$G$5,IF(AM321&lt;150,BMILMS!$D$6*AM321^3+BMILMS!$E$6*AM321^2+BMILMS!$F$6*AM321+BMILMS!$G$6,BMILMS!$D$7*AM321^3+BMILMS!$E$7*AM321^2+BMILMS!$F$7*AM321+BMILMS!$G$7)),IF(AM321&lt;69,BMILMS!$D$9*AM321^3+BMILMS!$E$9*AM321^2+BMILMS!$F$9*AM321+BMILMS!$G$9,IF(AM321&lt;150,BMILMS!$D$10*AM321^3+BMILMS!$E$10*AM321^2+BMILMS!$F$10*AM321+BMILMS!$G$10,BMILMS!$D$11*AM321^3+BMILMS!$E$11*AM321^2+BMILMS!$F$11*AM321+BMILMS!$G$11)))</f>
        <v>0.79584630099999998</v>
      </c>
      <c r="AK321" s="4">
        <f>IF(D321="M",(IF(AM321&lt;2.5,BMILMS!$D$21*AM321^3+BMILMS!$E$21*AM321^2+BMILMS!$F$21*AM321+BMILMS!$G$21,IF(AM321&lt;9.5,BMILMS!$D$22*AM321^3+BMILMS!$E$22*AM321^2+BMILMS!$F$22*AM321+BMILMS!$G$22,IF(AM321&lt;26.75,BMILMS!$D$23*AM321^3+BMILMS!$E$23*AM321^2+BMILMS!$F$23*AM321+BMILMS!$G$23,IF(AM321&lt;90,BMILMS!$D$24*AM321^3+BMILMS!$E$24*AM321^2+BMILMS!$F$24*AM321+BMILMS!$G$24,BMILMS!$D$25*AM321^3+BMILMS!$E$25*AM321^2+BMILMS!$F$25*AM321+BMILMS!$G$25))))),(IF(AM321&lt;2.5,BMILMS!$D$27*AM321^3+BMILMS!$E$27*AM321^2+BMILMS!$F$27*AM321+BMILMS!$G$27,IF(AM321&lt;9.5,BMILMS!$D$28*AM321^3+BMILMS!$E$28*AM321^2+BMILMS!$F$28*AM321+BMILMS!$G$28,IF(AM321&lt;26.75,BMILMS!$D$29*AM321^3+BMILMS!$E$29*AM321^2+BMILMS!$F$29*AM321+BMILMS!$G$29,IF(AM321&lt;90,BMILMS!$D$30*AM321^3+BMILMS!$E$30*AM321^2+BMILMS!$F$30*AM321+BMILMS!$G$30,IF(AM321&lt;150,BMILMS!$D$31*AM321^3+BMILMS!$E$31*AM321^2+BMILMS!$F$31*AM321+BMILMS!$G$31,BMILMS!$D$32*AM321^3+BMILMS!$E$32*AM321^2+BMILMS!$F$32*AM321+BMILMS!$G$32)))))))</f>
        <v>12.568967990000001</v>
      </c>
      <c r="AL321" s="4">
        <f>IF(D321="M",(IF(AM321&lt;90,BMILMS!$D$14*AM321^3+BMILMS!$E$14*AM321^2+BMILMS!$F$14*AM321+BMILMS!$G$14,BMILMS!$D$15*AM321^3+BMILMS!$E$15*AM321^2+BMILMS!$F$15*AM321+BMILMS!$G$15)),(IF(AM321&lt;90,BMILMS!$D$17*AM321^3+BMILMS!$E$17*AM321^2+BMILMS!$F$17*AM321+BMILMS!$G$17,BMILMS!$D$18*AM321^3+BMILMS!$E$18*AM321^2+BMILMS!$F$18*AM321+BMILMS!$G$18)))</f>
        <v>8.8969350000000003E-2</v>
      </c>
      <c r="AM321" s="4">
        <f t="shared" si="104"/>
        <v>0</v>
      </c>
      <c r="AO321" s="56">
        <f>IF(D321="M",WeightSDS!P$5*$AM321^7+WeightSDS!Q$5*$AM321^6+WeightSDS!R$5*$AM321^5+WeightSDS!S$5*$AM321^4+WeightSDS!T$5*$AM321^3+WeightSDS!U$5*$AM321^2+WeightSDS!V$5*$AM321+WeightSDS!W$5,IF($AM321&lt;186,WeightSDS!P$8*$AM321^7+WeightSDS!Q$8*$AM321^6+WeightSDS!R$8*$AM321^5+WeightSDS!S$8*$AM321^4+WeightSDS!T$8*$AM321^3+WeightSDS!U$8*$AM321^2+WeightSDS!V$8*$AM321+WeightSDS!W$8,WeightSDS!$U$9+WeightSDS!$V$9*($AM321-WeightSDS!$W$9)))</f>
        <v>0.75407122999999998</v>
      </c>
      <c r="AP321" s="4">
        <f>IF(D321="M",IF($AM321&lt;45,WeightSDS!M$23*$AM321^10+WeightSDS!N$23*$AM321^9+WeightSDS!O$23*$AM321^8+WeightSDS!P$23*$AM321^7+WeightSDS!Q$23*$AM321^6+WeightSDS!R$23*$AM321^5+WeightSDS!S$23*$AM321^4+WeightSDS!T$23*$AM321^3+WeightSDS!U$23*$AM321^2+WeightSDS!V$23*$AM321+WeightSDS!W$23,IF($AM321&lt;153,WeightSDS!M$25*$AM321^10+WeightSDS!N$25*$AM321^9+WeightSDS!O$25*$AM321^8+WeightSDS!P$25*$AM321^7+WeightSDS!Q$25*$AM321^6+WeightSDS!R$25*$AM321^5+WeightSDS!S$25*$AM321^4+WeightSDS!T$25*$AM321^3+WeightSDS!U$25*$AM321^2+WeightSDS!V$25*$AM321+WeightSDS!W$25,WeightSDS!M$27+WeightSDS!N$27/(1+EXP(WeightSDS!O$27+WeightSDS!P$27*$AM321)))),IF($AM321&lt;43.8,WeightSDS!M$29*$AM321^10+WeightSDS!N$29*$AM321^9+WeightSDS!O$29*$AM321^8+WeightSDS!P$29*$AM321^7+WeightSDS!Q$29*$AM321^6+WeightSDS!R$29*$AM321^5+WeightSDS!S$29*$AM321^4+WeightSDS!T$29*$AM321^3+WeightSDS!U$29*$AM321^2+WeightSDS!V$29*$AM321+WeightSDS!W$29-0.010431*(1-$AM321/210),IF($AM321&lt;123,WeightSDS!M$30*$AM321^10+WeightSDS!N$30*$AM321^9+WeightSDS!O$30*$AM321^8+WeightSDS!P$30*$AM321^7+WeightSDS!Q$30*$AM321^6+WeightSDS!R$30*$AM321^5+WeightSDS!S$30*$AM321^4+WeightSDS!T$30*$AM321^3+WeightSDS!U$30*$AM321^2+WeightSDS!V$30*$AM321+WeightSDS!W$30-0.010431*(1-1/$AM321),WeightSDS!M$32+WeightSDS!N$32/(1+EXP(WeightSDS!O$32+WeightSDS!P$32*$AM321))-0.010431*(1-$AM321/210))))</f>
        <v>2.9500001032655536</v>
      </c>
      <c r="AQ321" s="4">
        <f>IF(D321="M",IF($AM321&lt;162,WeightSDS!P$12*$AM321^7+WeightSDS!Q$12*$AM321^6+WeightSDS!R$12*$AM321^5+WeightSDS!S$12*$AM321^4+WeightSDS!T$12*$AM321^3+WeightSDS!U$12*$AM321^2+WeightSDS!V$12*$AM321+WeightSDS!W$12,WeightSDS!P$14*$AM321^7+WeightSDS!Q$14*$AM321^6+WeightSDS!R$14*$AM321^5+WeightSDS!S$14*$AM321^4+WeightSDS!T$14*$AM321^3+WeightSDS!U$14*$AM321^2+WeightSDS!V$14*$AM321+WeightSDS!W$14),IF($AM321&lt;156,WeightSDS!O$17*$AM321^8+WeightSDS!P$17*$AM321^7+WeightSDS!Q$17*$AM321^6+WeightSDS!R$17*$AM321^5+WeightSDS!S$17*$AM321^4+WeightSDS!T$17*$AM321^3+WeightSDS!U$17*$AM321^2+WeightSDS!V$17*$AM321+WeightSDS!W$17,IF($AM321&lt;186,WeightSDS!$U$18+(WeightSDS!$V$18-WeightSDS!$U$18)/24*($AM321-186)+WeightSDS!$W$18*(-$AM321+186)^2-0.005,WeightSDS!$U$18+(WeightSDS!$V$18-WeightSDS!$U$18)/24*($AM321-186)-0.005)))</f>
        <v>0.14604529399999999</v>
      </c>
      <c r="AT321" s="4">
        <f t="shared" si="91"/>
        <v>0.56299999999999994</v>
      </c>
      <c r="AU321" s="4">
        <f t="shared" si="92"/>
        <v>69</v>
      </c>
      <c r="AV321" s="4">
        <f t="shared" si="93"/>
        <v>0.51</v>
      </c>
    </row>
    <row r="322" spans="1:48" x14ac:dyDescent="0.15">
      <c r="A322" s="4"/>
      <c r="B322" s="21"/>
      <c r="C322" s="21"/>
      <c r="D322" s="21"/>
      <c r="E322" s="22"/>
      <c r="F322" s="22"/>
      <c r="G322" s="23"/>
      <c r="H322" s="23"/>
      <c r="I322" s="181"/>
      <c r="J322" s="8" t="str">
        <f t="shared" si="85"/>
        <v/>
      </c>
      <c r="K322" s="2" t="str">
        <f t="shared" si="94"/>
        <v/>
      </c>
      <c r="L322" s="2" t="str">
        <f t="shared" si="86"/>
        <v/>
      </c>
      <c r="M322" s="2" t="str">
        <f t="shared" si="95"/>
        <v/>
      </c>
      <c r="N322" s="2" t="str">
        <f t="shared" si="103"/>
        <v/>
      </c>
      <c r="O322" s="2" t="str">
        <f t="shared" si="96"/>
        <v/>
      </c>
      <c r="P322" s="8" t="str">
        <f t="shared" si="97"/>
        <v/>
      </c>
      <c r="Q322" s="8" t="str">
        <f t="shared" si="98"/>
        <v/>
      </c>
      <c r="R322" s="111" t="str">
        <f t="shared" si="99"/>
        <v/>
      </c>
      <c r="S322" s="44" t="str">
        <f t="shared" si="100"/>
        <v/>
      </c>
      <c r="T322" s="37" t="str">
        <f t="shared" si="101"/>
        <v/>
      </c>
      <c r="U322" s="44" t="str">
        <f t="shared" si="102"/>
        <v/>
      </c>
      <c r="V322" s="26"/>
      <c r="W322" s="26"/>
      <c r="X322" s="26"/>
      <c r="Y322" s="26"/>
      <c r="Z322" s="24"/>
      <c r="AA322" s="169">
        <f t="shared" si="87"/>
        <v>0</v>
      </c>
      <c r="AB322" s="4">
        <f t="shared" si="88"/>
        <v>0</v>
      </c>
      <c r="AC322" s="170">
        <f t="shared" si="105"/>
        <v>0</v>
      </c>
      <c r="AD322" s="58"/>
      <c r="AE322" s="58"/>
      <c r="AF322" s="58"/>
      <c r="AG322" s="59">
        <f t="shared" si="89"/>
        <v>9.0359999999999996</v>
      </c>
      <c r="AH322" s="59">
        <f t="shared" si="90"/>
        <v>-184.49199999999999</v>
      </c>
      <c r="AJ322" s="4">
        <f>IF(D322="M",IF(AM322&lt;78,BMILMS!$D$5*AM322^3+BMILMS!$E$5*AM322^2+BMILMS!$F$5*AM322+BMILMS!$G$5,IF(AM322&lt;150,BMILMS!$D$6*AM322^3+BMILMS!$E$6*AM322^2+BMILMS!$F$6*AM322+BMILMS!$G$6,BMILMS!$D$7*AM322^3+BMILMS!$E$7*AM322^2+BMILMS!$F$7*AM322+BMILMS!$G$7)),IF(AM322&lt;69,BMILMS!$D$9*AM322^3+BMILMS!$E$9*AM322^2+BMILMS!$F$9*AM322+BMILMS!$G$9,IF(AM322&lt;150,BMILMS!$D$10*AM322^3+BMILMS!$E$10*AM322^2+BMILMS!$F$10*AM322+BMILMS!$G$10,BMILMS!$D$11*AM322^3+BMILMS!$E$11*AM322^2+BMILMS!$F$11*AM322+BMILMS!$G$11)))</f>
        <v>0.79584630099999998</v>
      </c>
      <c r="AK322" s="4">
        <f>IF(D322="M",(IF(AM322&lt;2.5,BMILMS!$D$21*AM322^3+BMILMS!$E$21*AM322^2+BMILMS!$F$21*AM322+BMILMS!$G$21,IF(AM322&lt;9.5,BMILMS!$D$22*AM322^3+BMILMS!$E$22*AM322^2+BMILMS!$F$22*AM322+BMILMS!$G$22,IF(AM322&lt;26.75,BMILMS!$D$23*AM322^3+BMILMS!$E$23*AM322^2+BMILMS!$F$23*AM322+BMILMS!$G$23,IF(AM322&lt;90,BMILMS!$D$24*AM322^3+BMILMS!$E$24*AM322^2+BMILMS!$F$24*AM322+BMILMS!$G$24,BMILMS!$D$25*AM322^3+BMILMS!$E$25*AM322^2+BMILMS!$F$25*AM322+BMILMS!$G$25))))),(IF(AM322&lt;2.5,BMILMS!$D$27*AM322^3+BMILMS!$E$27*AM322^2+BMILMS!$F$27*AM322+BMILMS!$G$27,IF(AM322&lt;9.5,BMILMS!$D$28*AM322^3+BMILMS!$E$28*AM322^2+BMILMS!$F$28*AM322+BMILMS!$G$28,IF(AM322&lt;26.75,BMILMS!$D$29*AM322^3+BMILMS!$E$29*AM322^2+BMILMS!$F$29*AM322+BMILMS!$G$29,IF(AM322&lt;90,BMILMS!$D$30*AM322^3+BMILMS!$E$30*AM322^2+BMILMS!$F$30*AM322+BMILMS!$G$30,IF(AM322&lt;150,BMILMS!$D$31*AM322^3+BMILMS!$E$31*AM322^2+BMILMS!$F$31*AM322+BMILMS!$G$31,BMILMS!$D$32*AM322^3+BMILMS!$E$32*AM322^2+BMILMS!$F$32*AM322+BMILMS!$G$32)))))))</f>
        <v>12.568967990000001</v>
      </c>
      <c r="AL322" s="4">
        <f>IF(D322="M",(IF(AM322&lt;90,BMILMS!$D$14*AM322^3+BMILMS!$E$14*AM322^2+BMILMS!$F$14*AM322+BMILMS!$G$14,BMILMS!$D$15*AM322^3+BMILMS!$E$15*AM322^2+BMILMS!$F$15*AM322+BMILMS!$G$15)),(IF(AM322&lt;90,BMILMS!$D$17*AM322^3+BMILMS!$E$17*AM322^2+BMILMS!$F$17*AM322+BMILMS!$G$17,BMILMS!$D$18*AM322^3+BMILMS!$E$18*AM322^2+BMILMS!$F$18*AM322+BMILMS!$G$18)))</f>
        <v>8.8969350000000003E-2</v>
      </c>
      <c r="AM322" s="4">
        <f t="shared" si="104"/>
        <v>0</v>
      </c>
      <c r="AO322" s="56">
        <f>IF(D322="M",WeightSDS!P$5*$AM322^7+WeightSDS!Q$5*$AM322^6+WeightSDS!R$5*$AM322^5+WeightSDS!S$5*$AM322^4+WeightSDS!T$5*$AM322^3+WeightSDS!U$5*$AM322^2+WeightSDS!V$5*$AM322+WeightSDS!W$5,IF($AM322&lt;186,WeightSDS!P$8*$AM322^7+WeightSDS!Q$8*$AM322^6+WeightSDS!R$8*$AM322^5+WeightSDS!S$8*$AM322^4+WeightSDS!T$8*$AM322^3+WeightSDS!U$8*$AM322^2+WeightSDS!V$8*$AM322+WeightSDS!W$8,WeightSDS!$U$9+WeightSDS!$V$9*($AM322-WeightSDS!$W$9)))</f>
        <v>0.75407122999999998</v>
      </c>
      <c r="AP322" s="4">
        <f>IF(D322="M",IF($AM322&lt;45,WeightSDS!M$23*$AM322^10+WeightSDS!N$23*$AM322^9+WeightSDS!O$23*$AM322^8+WeightSDS!P$23*$AM322^7+WeightSDS!Q$23*$AM322^6+WeightSDS!R$23*$AM322^5+WeightSDS!S$23*$AM322^4+WeightSDS!T$23*$AM322^3+WeightSDS!U$23*$AM322^2+WeightSDS!V$23*$AM322+WeightSDS!W$23,IF($AM322&lt;153,WeightSDS!M$25*$AM322^10+WeightSDS!N$25*$AM322^9+WeightSDS!O$25*$AM322^8+WeightSDS!P$25*$AM322^7+WeightSDS!Q$25*$AM322^6+WeightSDS!R$25*$AM322^5+WeightSDS!S$25*$AM322^4+WeightSDS!T$25*$AM322^3+WeightSDS!U$25*$AM322^2+WeightSDS!V$25*$AM322+WeightSDS!W$25,WeightSDS!M$27+WeightSDS!N$27/(1+EXP(WeightSDS!O$27+WeightSDS!P$27*$AM322)))),IF($AM322&lt;43.8,WeightSDS!M$29*$AM322^10+WeightSDS!N$29*$AM322^9+WeightSDS!O$29*$AM322^8+WeightSDS!P$29*$AM322^7+WeightSDS!Q$29*$AM322^6+WeightSDS!R$29*$AM322^5+WeightSDS!S$29*$AM322^4+WeightSDS!T$29*$AM322^3+WeightSDS!U$29*$AM322^2+WeightSDS!V$29*$AM322+WeightSDS!W$29-0.010431*(1-$AM322/210),IF($AM322&lt;123,WeightSDS!M$30*$AM322^10+WeightSDS!N$30*$AM322^9+WeightSDS!O$30*$AM322^8+WeightSDS!P$30*$AM322^7+WeightSDS!Q$30*$AM322^6+WeightSDS!R$30*$AM322^5+WeightSDS!S$30*$AM322^4+WeightSDS!T$30*$AM322^3+WeightSDS!U$30*$AM322^2+WeightSDS!V$30*$AM322+WeightSDS!W$30-0.010431*(1-1/$AM322),WeightSDS!M$32+WeightSDS!N$32/(1+EXP(WeightSDS!O$32+WeightSDS!P$32*$AM322))-0.010431*(1-$AM322/210))))</f>
        <v>2.9500001032655536</v>
      </c>
      <c r="AQ322" s="4">
        <f>IF(D322="M",IF($AM322&lt;162,WeightSDS!P$12*$AM322^7+WeightSDS!Q$12*$AM322^6+WeightSDS!R$12*$AM322^5+WeightSDS!S$12*$AM322^4+WeightSDS!T$12*$AM322^3+WeightSDS!U$12*$AM322^2+WeightSDS!V$12*$AM322+WeightSDS!W$12,WeightSDS!P$14*$AM322^7+WeightSDS!Q$14*$AM322^6+WeightSDS!R$14*$AM322^5+WeightSDS!S$14*$AM322^4+WeightSDS!T$14*$AM322^3+WeightSDS!U$14*$AM322^2+WeightSDS!V$14*$AM322+WeightSDS!W$14),IF($AM322&lt;156,WeightSDS!O$17*$AM322^8+WeightSDS!P$17*$AM322^7+WeightSDS!Q$17*$AM322^6+WeightSDS!R$17*$AM322^5+WeightSDS!S$17*$AM322^4+WeightSDS!T$17*$AM322^3+WeightSDS!U$17*$AM322^2+WeightSDS!V$17*$AM322+WeightSDS!W$17,IF($AM322&lt;186,WeightSDS!$U$18+(WeightSDS!$V$18-WeightSDS!$U$18)/24*($AM322-186)+WeightSDS!$W$18*(-$AM322+186)^2-0.005,WeightSDS!$U$18+(WeightSDS!$V$18-WeightSDS!$U$18)/24*($AM322-186)-0.005)))</f>
        <v>0.14604529399999999</v>
      </c>
      <c r="AT322" s="4">
        <f t="shared" si="91"/>
        <v>0.56299999999999994</v>
      </c>
      <c r="AU322" s="4">
        <f t="shared" si="92"/>
        <v>69</v>
      </c>
      <c r="AV322" s="4">
        <f t="shared" si="93"/>
        <v>0.51</v>
      </c>
    </row>
    <row r="323" spans="1:48" x14ac:dyDescent="0.15">
      <c r="A323" s="4"/>
      <c r="B323" s="21"/>
      <c r="C323" s="21"/>
      <c r="D323" s="21"/>
      <c r="E323" s="22"/>
      <c r="F323" s="22"/>
      <c r="G323" s="23"/>
      <c r="H323" s="23"/>
      <c r="I323" s="181"/>
      <c r="J323" s="8" t="str">
        <f t="shared" ref="J323:J386" si="106">IF(COUNTA(D323,E323,F323,G323)=4,IF(AA323+AB323/12&gt;17.583,"       *",(G323-(INDEX(IF(D323="F",Hfemalemean,Hmalemean),AB323+1,AA323+1)))/(INDEX(IF(D323="F",Hfemalesd,Hmalesd),AB323+1,AA323+1))),"")</f>
        <v/>
      </c>
      <c r="K323" s="2" t="str">
        <f t="shared" si="94"/>
        <v/>
      </c>
      <c r="L323" s="2" t="str">
        <f t="shared" ref="L323:L386" si="107">IF(COUNTA(D323,E323,F323,G323,H323)&lt;5,"",IF(T323&lt;6,"       *",IF(AA323+AB323/12&gt;=17.583,"       *",(H323-G323*INDEX(IF(D323="F",muratafemale,muratamale),AA323-4,1)-INDEX(IF(D323="F",muratafemale,muratamale),AA323-4,2))/(G323*INDEX(IF(D323="F",muratafemale,muratamale),AA323-4,1)+INDEX(IF(D323="F",muratafemale,muratamale),AA323-4,2))*100)))</f>
        <v/>
      </c>
      <c r="M323" s="2" t="str">
        <f t="shared" si="95"/>
        <v/>
      </c>
      <c r="N323" s="2" t="str">
        <f t="shared" si="103"/>
        <v/>
      </c>
      <c r="O323" s="2" t="str">
        <f t="shared" si="96"/>
        <v/>
      </c>
      <c r="P323" s="8" t="str">
        <f t="shared" si="97"/>
        <v/>
      </c>
      <c r="Q323" s="8" t="str">
        <f t="shared" si="98"/>
        <v/>
      </c>
      <c r="R323" s="111" t="str">
        <f t="shared" si="99"/>
        <v/>
      </c>
      <c r="S323" s="44" t="str">
        <f t="shared" si="100"/>
        <v/>
      </c>
      <c r="T323" s="37" t="str">
        <f t="shared" si="101"/>
        <v/>
      </c>
      <c r="U323" s="44" t="str">
        <f t="shared" si="102"/>
        <v/>
      </c>
      <c r="V323" s="26"/>
      <c r="W323" s="26"/>
      <c r="X323" s="26"/>
      <c r="Y323" s="26"/>
      <c r="Z323" s="24"/>
      <c r="AA323" s="169">
        <f t="shared" ref="AA323:AA386" si="108">DATEDIF(E323,F323,"Y")</f>
        <v>0</v>
      </c>
      <c r="AB323" s="4">
        <f t="shared" ref="AB323:AB386" si="109">DATEDIF(E323,F323,"YM")</f>
        <v>0</v>
      </c>
      <c r="AC323" s="170">
        <f t="shared" si="105"/>
        <v>0</v>
      </c>
      <c r="AD323" s="58"/>
      <c r="AE323" s="58"/>
      <c r="AF323" s="58"/>
      <c r="AG323" s="59">
        <f t="shared" ref="AG323:AG386" si="110">IF(D323="M",2.06*10^-3*G323^2-0.1166*G323+6.5273,2.49*10^-3*G323^2-0.1858*G323+9.036)</f>
        <v>9.0359999999999996</v>
      </c>
      <c r="AH323" s="59">
        <f t="shared" ref="AH323:AH386" si="111">((G323/100)^3*INDEX(itoOI,IF(D323="M",0,3)+IF(G323&lt;140,1,IF(G323&lt;=149,2,3)),1)+(G323/100)^2*INDEX(itoOI,IF(D323="M",0,3)+IF(G323&lt;140,1,IF(G323&lt;=149,2,3)),2)+(G323/100)*INDEX(itoOI,IF(D323="M",0,3)+IF(G323&lt;140,1,IF(G323&lt;=149,2,3)),3)+INDEX(itoOI,IF(D323="M",0,3)+IF(G323&lt;140,1,IF(G323&lt;=149,2,3)),4))</f>
        <v>-184.49199999999999</v>
      </c>
      <c r="AJ323" s="4">
        <f>IF(D323="M",IF(AM323&lt;78,BMILMS!$D$5*AM323^3+BMILMS!$E$5*AM323^2+BMILMS!$F$5*AM323+BMILMS!$G$5,IF(AM323&lt;150,BMILMS!$D$6*AM323^3+BMILMS!$E$6*AM323^2+BMILMS!$F$6*AM323+BMILMS!$G$6,BMILMS!$D$7*AM323^3+BMILMS!$E$7*AM323^2+BMILMS!$F$7*AM323+BMILMS!$G$7)),IF(AM323&lt;69,BMILMS!$D$9*AM323^3+BMILMS!$E$9*AM323^2+BMILMS!$F$9*AM323+BMILMS!$G$9,IF(AM323&lt;150,BMILMS!$D$10*AM323^3+BMILMS!$E$10*AM323^2+BMILMS!$F$10*AM323+BMILMS!$G$10,BMILMS!$D$11*AM323^3+BMILMS!$E$11*AM323^2+BMILMS!$F$11*AM323+BMILMS!$G$11)))</f>
        <v>0.79584630099999998</v>
      </c>
      <c r="AK323" s="4">
        <f>IF(D323="M",(IF(AM323&lt;2.5,BMILMS!$D$21*AM323^3+BMILMS!$E$21*AM323^2+BMILMS!$F$21*AM323+BMILMS!$G$21,IF(AM323&lt;9.5,BMILMS!$D$22*AM323^3+BMILMS!$E$22*AM323^2+BMILMS!$F$22*AM323+BMILMS!$G$22,IF(AM323&lt;26.75,BMILMS!$D$23*AM323^3+BMILMS!$E$23*AM323^2+BMILMS!$F$23*AM323+BMILMS!$G$23,IF(AM323&lt;90,BMILMS!$D$24*AM323^3+BMILMS!$E$24*AM323^2+BMILMS!$F$24*AM323+BMILMS!$G$24,BMILMS!$D$25*AM323^3+BMILMS!$E$25*AM323^2+BMILMS!$F$25*AM323+BMILMS!$G$25))))),(IF(AM323&lt;2.5,BMILMS!$D$27*AM323^3+BMILMS!$E$27*AM323^2+BMILMS!$F$27*AM323+BMILMS!$G$27,IF(AM323&lt;9.5,BMILMS!$D$28*AM323^3+BMILMS!$E$28*AM323^2+BMILMS!$F$28*AM323+BMILMS!$G$28,IF(AM323&lt;26.75,BMILMS!$D$29*AM323^3+BMILMS!$E$29*AM323^2+BMILMS!$F$29*AM323+BMILMS!$G$29,IF(AM323&lt;90,BMILMS!$D$30*AM323^3+BMILMS!$E$30*AM323^2+BMILMS!$F$30*AM323+BMILMS!$G$30,IF(AM323&lt;150,BMILMS!$D$31*AM323^3+BMILMS!$E$31*AM323^2+BMILMS!$F$31*AM323+BMILMS!$G$31,BMILMS!$D$32*AM323^3+BMILMS!$E$32*AM323^2+BMILMS!$F$32*AM323+BMILMS!$G$32)))))))</f>
        <v>12.568967990000001</v>
      </c>
      <c r="AL323" s="4">
        <f>IF(D323="M",(IF(AM323&lt;90,BMILMS!$D$14*AM323^3+BMILMS!$E$14*AM323^2+BMILMS!$F$14*AM323+BMILMS!$G$14,BMILMS!$D$15*AM323^3+BMILMS!$E$15*AM323^2+BMILMS!$F$15*AM323+BMILMS!$G$15)),(IF(AM323&lt;90,BMILMS!$D$17*AM323^3+BMILMS!$E$17*AM323^2+BMILMS!$F$17*AM323+BMILMS!$G$17,BMILMS!$D$18*AM323^3+BMILMS!$E$18*AM323^2+BMILMS!$F$18*AM323+BMILMS!$G$18)))</f>
        <v>8.8969350000000003E-2</v>
      </c>
      <c r="AM323" s="4">
        <f t="shared" si="104"/>
        <v>0</v>
      </c>
      <c r="AO323" s="56">
        <f>IF(D323="M",WeightSDS!P$5*$AM323^7+WeightSDS!Q$5*$AM323^6+WeightSDS!R$5*$AM323^5+WeightSDS!S$5*$AM323^4+WeightSDS!T$5*$AM323^3+WeightSDS!U$5*$AM323^2+WeightSDS!V$5*$AM323+WeightSDS!W$5,IF($AM323&lt;186,WeightSDS!P$8*$AM323^7+WeightSDS!Q$8*$AM323^6+WeightSDS!R$8*$AM323^5+WeightSDS!S$8*$AM323^4+WeightSDS!T$8*$AM323^3+WeightSDS!U$8*$AM323^2+WeightSDS!V$8*$AM323+WeightSDS!W$8,WeightSDS!$U$9+WeightSDS!$V$9*($AM323-WeightSDS!$W$9)))</f>
        <v>0.75407122999999998</v>
      </c>
      <c r="AP323" s="4">
        <f>IF(D323="M",IF($AM323&lt;45,WeightSDS!M$23*$AM323^10+WeightSDS!N$23*$AM323^9+WeightSDS!O$23*$AM323^8+WeightSDS!P$23*$AM323^7+WeightSDS!Q$23*$AM323^6+WeightSDS!R$23*$AM323^5+WeightSDS!S$23*$AM323^4+WeightSDS!T$23*$AM323^3+WeightSDS!U$23*$AM323^2+WeightSDS!V$23*$AM323+WeightSDS!W$23,IF($AM323&lt;153,WeightSDS!M$25*$AM323^10+WeightSDS!N$25*$AM323^9+WeightSDS!O$25*$AM323^8+WeightSDS!P$25*$AM323^7+WeightSDS!Q$25*$AM323^6+WeightSDS!R$25*$AM323^5+WeightSDS!S$25*$AM323^4+WeightSDS!T$25*$AM323^3+WeightSDS!U$25*$AM323^2+WeightSDS!V$25*$AM323+WeightSDS!W$25,WeightSDS!M$27+WeightSDS!N$27/(1+EXP(WeightSDS!O$27+WeightSDS!P$27*$AM323)))),IF($AM323&lt;43.8,WeightSDS!M$29*$AM323^10+WeightSDS!N$29*$AM323^9+WeightSDS!O$29*$AM323^8+WeightSDS!P$29*$AM323^7+WeightSDS!Q$29*$AM323^6+WeightSDS!R$29*$AM323^5+WeightSDS!S$29*$AM323^4+WeightSDS!T$29*$AM323^3+WeightSDS!U$29*$AM323^2+WeightSDS!V$29*$AM323+WeightSDS!W$29-0.010431*(1-$AM323/210),IF($AM323&lt;123,WeightSDS!M$30*$AM323^10+WeightSDS!N$30*$AM323^9+WeightSDS!O$30*$AM323^8+WeightSDS!P$30*$AM323^7+WeightSDS!Q$30*$AM323^6+WeightSDS!R$30*$AM323^5+WeightSDS!S$30*$AM323^4+WeightSDS!T$30*$AM323^3+WeightSDS!U$30*$AM323^2+WeightSDS!V$30*$AM323+WeightSDS!W$30-0.010431*(1-1/$AM323),WeightSDS!M$32+WeightSDS!N$32/(1+EXP(WeightSDS!O$32+WeightSDS!P$32*$AM323))-0.010431*(1-$AM323/210))))</f>
        <v>2.9500001032655536</v>
      </c>
      <c r="AQ323" s="4">
        <f>IF(D323="M",IF($AM323&lt;162,WeightSDS!P$12*$AM323^7+WeightSDS!Q$12*$AM323^6+WeightSDS!R$12*$AM323^5+WeightSDS!S$12*$AM323^4+WeightSDS!T$12*$AM323^3+WeightSDS!U$12*$AM323^2+WeightSDS!V$12*$AM323+WeightSDS!W$12,WeightSDS!P$14*$AM323^7+WeightSDS!Q$14*$AM323^6+WeightSDS!R$14*$AM323^5+WeightSDS!S$14*$AM323^4+WeightSDS!T$14*$AM323^3+WeightSDS!U$14*$AM323^2+WeightSDS!V$14*$AM323+WeightSDS!W$14),IF($AM323&lt;156,WeightSDS!O$17*$AM323^8+WeightSDS!P$17*$AM323^7+WeightSDS!Q$17*$AM323^6+WeightSDS!R$17*$AM323^5+WeightSDS!S$17*$AM323^4+WeightSDS!T$17*$AM323^3+WeightSDS!U$17*$AM323^2+WeightSDS!V$17*$AM323+WeightSDS!W$17,IF($AM323&lt;186,WeightSDS!$U$18+(WeightSDS!$V$18-WeightSDS!$U$18)/24*($AM323-186)+WeightSDS!$W$18*(-$AM323+186)^2-0.005,WeightSDS!$U$18+(WeightSDS!$V$18-WeightSDS!$U$18)/24*($AM323-186)-0.005)))</f>
        <v>0.14604529399999999</v>
      </c>
      <c r="AT323" s="4">
        <f t="shared" ref="AT323:AT386" si="112">INDEX(IF(D323="M",IGFmale, IGFfemale), AA323+1,1)</f>
        <v>0.56299999999999994</v>
      </c>
      <c r="AU323" s="4">
        <f t="shared" ref="AU323:AU386" si="113">INDEX(IF(D323="M",IGFmale, IGFfemale), AA323+1,2)</f>
        <v>69</v>
      </c>
      <c r="AV323" s="4">
        <f t="shared" ref="AV323:AV386" si="114">INDEX(IF(D323="M",IGFmale, IGFfemale), AA323+1,3)</f>
        <v>0.51</v>
      </c>
    </row>
    <row r="324" spans="1:48" x14ac:dyDescent="0.15">
      <c r="A324" s="4"/>
      <c r="B324" s="21"/>
      <c r="C324" s="21"/>
      <c r="D324" s="21"/>
      <c r="E324" s="22"/>
      <c r="F324" s="22"/>
      <c r="G324" s="23"/>
      <c r="H324" s="23"/>
      <c r="I324" s="181"/>
      <c r="J324" s="8" t="str">
        <f t="shared" si="106"/>
        <v/>
      </c>
      <c r="K324" s="2" t="str">
        <f t="shared" ref="K324:K387" si="115">IF(COUNTA(D324,E324,F324,G324,H324)=5,IF(T324&lt;1,"       *",IF(T324&gt;=6,"       *",IF(G324&gt;=120,"       *",IF(G324&lt;70,"       *",(H324-AG324)/AG324*100)))),"")</f>
        <v/>
      </c>
      <c r="L324" s="2" t="str">
        <f t="shared" si="107"/>
        <v/>
      </c>
      <c r="M324" s="2" t="str">
        <f t="shared" ref="M324:M387" si="116">IF(COUNTA(D324,E324,F324,G324,H324)=5,IF(G324&gt;=IF(D324="M",181,174),"*",IF(G324&lt;101,"       *",IF(T324&lt;6,"       *",IF(AA324+AB324/12&gt;=17.583,"*",(H324-AH324)/AH324*100)))),"")</f>
        <v/>
      </c>
      <c r="N324" s="2" t="str">
        <f t="shared" si="103"/>
        <v/>
      </c>
      <c r="O324" s="2" t="str">
        <f t="shared" ref="O324:O387" si="117">IF(COUNTA(D324,E324,F324,G324,H324)=5,IF(AA324+AB324/12&gt;17.583,"   *",NORMSDIST(((N324/AK324)^(AJ324)-1)/AJ324/AL324)*100),"")</f>
        <v/>
      </c>
      <c r="P324" s="8" t="str">
        <f t="shared" ref="P324:P387" si="118">IF(COUNTA(D324,E324,F324,G324,H324)=5,IF(AA324+AB324/12&gt;17.583,"   *",((N324/AK324)^(AJ324)-1)/AJ324/AL324),"")</f>
        <v/>
      </c>
      <c r="Q324" s="8" t="str">
        <f t="shared" ref="Q324:Q387" si="119">IF(COUNTA(D324,E324,F324,H324)=4,IF(AA324+AB324/12&gt;17.583,"   *",((H324/AP324)^(AO324)-1)/AO324/AQ324),"")</f>
        <v/>
      </c>
      <c r="R324" s="111" t="str">
        <f t="shared" ref="R324:R387" si="120">IF(COUNTA(D324,E324,F324,I324)=4,IF(AC324&gt;77,"*",NORMSDIST(((I324/AU324)^(AT324)-1)/AT324/AV324)*100),"")</f>
        <v/>
      </c>
      <c r="S324" s="44" t="str">
        <f t="shared" ref="S324:S387" si="121">IF(COUNTA(D324,E324,F324,I324)=4,IF(AC324&gt;77,"*",((I324/AU324)^(AT324)-1)/AT324/AV324),"")</f>
        <v/>
      </c>
      <c r="T324" s="37" t="str">
        <f t="shared" ref="T324:T387" si="122">IF(COUNTA(E324,F324)=2,AC324,"")</f>
        <v/>
      </c>
      <c r="U324" s="44" t="str">
        <f t="shared" ref="U324:U387" si="123">IF(COUNTA(E324,F324)=2,AA324&amp;"歳"&amp;AB324&amp;"か月","")</f>
        <v/>
      </c>
      <c r="V324" s="26"/>
      <c r="W324" s="26"/>
      <c r="X324" s="26"/>
      <c r="Y324" s="26"/>
      <c r="Z324" s="24"/>
      <c r="AA324" s="169">
        <f t="shared" si="108"/>
        <v>0</v>
      </c>
      <c r="AB324" s="4">
        <f t="shared" si="109"/>
        <v>0</v>
      </c>
      <c r="AC324" s="170">
        <f t="shared" si="105"/>
        <v>0</v>
      </c>
      <c r="AD324" s="58"/>
      <c r="AE324" s="58"/>
      <c r="AF324" s="58"/>
      <c r="AG324" s="59">
        <f t="shared" si="110"/>
        <v>9.0359999999999996</v>
      </c>
      <c r="AH324" s="59">
        <f t="shared" si="111"/>
        <v>-184.49199999999999</v>
      </c>
      <c r="AJ324" s="4">
        <f>IF(D324="M",IF(AM324&lt;78,BMILMS!$D$5*AM324^3+BMILMS!$E$5*AM324^2+BMILMS!$F$5*AM324+BMILMS!$G$5,IF(AM324&lt;150,BMILMS!$D$6*AM324^3+BMILMS!$E$6*AM324^2+BMILMS!$F$6*AM324+BMILMS!$G$6,BMILMS!$D$7*AM324^3+BMILMS!$E$7*AM324^2+BMILMS!$F$7*AM324+BMILMS!$G$7)),IF(AM324&lt;69,BMILMS!$D$9*AM324^3+BMILMS!$E$9*AM324^2+BMILMS!$F$9*AM324+BMILMS!$G$9,IF(AM324&lt;150,BMILMS!$D$10*AM324^3+BMILMS!$E$10*AM324^2+BMILMS!$F$10*AM324+BMILMS!$G$10,BMILMS!$D$11*AM324^3+BMILMS!$E$11*AM324^2+BMILMS!$F$11*AM324+BMILMS!$G$11)))</f>
        <v>0.79584630099999998</v>
      </c>
      <c r="AK324" s="4">
        <f>IF(D324="M",(IF(AM324&lt;2.5,BMILMS!$D$21*AM324^3+BMILMS!$E$21*AM324^2+BMILMS!$F$21*AM324+BMILMS!$G$21,IF(AM324&lt;9.5,BMILMS!$D$22*AM324^3+BMILMS!$E$22*AM324^2+BMILMS!$F$22*AM324+BMILMS!$G$22,IF(AM324&lt;26.75,BMILMS!$D$23*AM324^3+BMILMS!$E$23*AM324^2+BMILMS!$F$23*AM324+BMILMS!$G$23,IF(AM324&lt;90,BMILMS!$D$24*AM324^3+BMILMS!$E$24*AM324^2+BMILMS!$F$24*AM324+BMILMS!$G$24,BMILMS!$D$25*AM324^3+BMILMS!$E$25*AM324^2+BMILMS!$F$25*AM324+BMILMS!$G$25))))),(IF(AM324&lt;2.5,BMILMS!$D$27*AM324^3+BMILMS!$E$27*AM324^2+BMILMS!$F$27*AM324+BMILMS!$G$27,IF(AM324&lt;9.5,BMILMS!$D$28*AM324^3+BMILMS!$E$28*AM324^2+BMILMS!$F$28*AM324+BMILMS!$G$28,IF(AM324&lt;26.75,BMILMS!$D$29*AM324^3+BMILMS!$E$29*AM324^2+BMILMS!$F$29*AM324+BMILMS!$G$29,IF(AM324&lt;90,BMILMS!$D$30*AM324^3+BMILMS!$E$30*AM324^2+BMILMS!$F$30*AM324+BMILMS!$G$30,IF(AM324&lt;150,BMILMS!$D$31*AM324^3+BMILMS!$E$31*AM324^2+BMILMS!$F$31*AM324+BMILMS!$G$31,BMILMS!$D$32*AM324^3+BMILMS!$E$32*AM324^2+BMILMS!$F$32*AM324+BMILMS!$G$32)))))))</f>
        <v>12.568967990000001</v>
      </c>
      <c r="AL324" s="4">
        <f>IF(D324="M",(IF(AM324&lt;90,BMILMS!$D$14*AM324^3+BMILMS!$E$14*AM324^2+BMILMS!$F$14*AM324+BMILMS!$G$14,BMILMS!$D$15*AM324^3+BMILMS!$E$15*AM324^2+BMILMS!$F$15*AM324+BMILMS!$G$15)),(IF(AM324&lt;90,BMILMS!$D$17*AM324^3+BMILMS!$E$17*AM324^2+BMILMS!$F$17*AM324+BMILMS!$G$17,BMILMS!$D$18*AM324^3+BMILMS!$E$18*AM324^2+BMILMS!$F$18*AM324+BMILMS!$G$18)))</f>
        <v>8.8969350000000003E-2</v>
      </c>
      <c r="AM324" s="4">
        <f t="shared" si="104"/>
        <v>0</v>
      </c>
      <c r="AO324" s="56">
        <f>IF(D324="M",WeightSDS!P$5*$AM324^7+WeightSDS!Q$5*$AM324^6+WeightSDS!R$5*$AM324^5+WeightSDS!S$5*$AM324^4+WeightSDS!T$5*$AM324^3+WeightSDS!U$5*$AM324^2+WeightSDS!V$5*$AM324+WeightSDS!W$5,IF($AM324&lt;186,WeightSDS!P$8*$AM324^7+WeightSDS!Q$8*$AM324^6+WeightSDS!R$8*$AM324^5+WeightSDS!S$8*$AM324^4+WeightSDS!T$8*$AM324^3+WeightSDS!U$8*$AM324^2+WeightSDS!V$8*$AM324+WeightSDS!W$8,WeightSDS!$U$9+WeightSDS!$V$9*($AM324-WeightSDS!$W$9)))</f>
        <v>0.75407122999999998</v>
      </c>
      <c r="AP324" s="4">
        <f>IF(D324="M",IF($AM324&lt;45,WeightSDS!M$23*$AM324^10+WeightSDS!N$23*$AM324^9+WeightSDS!O$23*$AM324^8+WeightSDS!P$23*$AM324^7+WeightSDS!Q$23*$AM324^6+WeightSDS!R$23*$AM324^5+WeightSDS!S$23*$AM324^4+WeightSDS!T$23*$AM324^3+WeightSDS!U$23*$AM324^2+WeightSDS!V$23*$AM324+WeightSDS!W$23,IF($AM324&lt;153,WeightSDS!M$25*$AM324^10+WeightSDS!N$25*$AM324^9+WeightSDS!O$25*$AM324^8+WeightSDS!P$25*$AM324^7+WeightSDS!Q$25*$AM324^6+WeightSDS!R$25*$AM324^5+WeightSDS!S$25*$AM324^4+WeightSDS!T$25*$AM324^3+WeightSDS!U$25*$AM324^2+WeightSDS!V$25*$AM324+WeightSDS!W$25,WeightSDS!M$27+WeightSDS!N$27/(1+EXP(WeightSDS!O$27+WeightSDS!P$27*$AM324)))),IF($AM324&lt;43.8,WeightSDS!M$29*$AM324^10+WeightSDS!N$29*$AM324^9+WeightSDS!O$29*$AM324^8+WeightSDS!P$29*$AM324^7+WeightSDS!Q$29*$AM324^6+WeightSDS!R$29*$AM324^5+WeightSDS!S$29*$AM324^4+WeightSDS!T$29*$AM324^3+WeightSDS!U$29*$AM324^2+WeightSDS!V$29*$AM324+WeightSDS!W$29-0.010431*(1-$AM324/210),IF($AM324&lt;123,WeightSDS!M$30*$AM324^10+WeightSDS!N$30*$AM324^9+WeightSDS!O$30*$AM324^8+WeightSDS!P$30*$AM324^7+WeightSDS!Q$30*$AM324^6+WeightSDS!R$30*$AM324^5+WeightSDS!S$30*$AM324^4+WeightSDS!T$30*$AM324^3+WeightSDS!U$30*$AM324^2+WeightSDS!V$30*$AM324+WeightSDS!W$30-0.010431*(1-1/$AM324),WeightSDS!M$32+WeightSDS!N$32/(1+EXP(WeightSDS!O$32+WeightSDS!P$32*$AM324))-0.010431*(1-$AM324/210))))</f>
        <v>2.9500001032655536</v>
      </c>
      <c r="AQ324" s="4">
        <f>IF(D324="M",IF($AM324&lt;162,WeightSDS!P$12*$AM324^7+WeightSDS!Q$12*$AM324^6+WeightSDS!R$12*$AM324^5+WeightSDS!S$12*$AM324^4+WeightSDS!T$12*$AM324^3+WeightSDS!U$12*$AM324^2+WeightSDS!V$12*$AM324+WeightSDS!W$12,WeightSDS!P$14*$AM324^7+WeightSDS!Q$14*$AM324^6+WeightSDS!R$14*$AM324^5+WeightSDS!S$14*$AM324^4+WeightSDS!T$14*$AM324^3+WeightSDS!U$14*$AM324^2+WeightSDS!V$14*$AM324+WeightSDS!W$14),IF($AM324&lt;156,WeightSDS!O$17*$AM324^8+WeightSDS!P$17*$AM324^7+WeightSDS!Q$17*$AM324^6+WeightSDS!R$17*$AM324^5+WeightSDS!S$17*$AM324^4+WeightSDS!T$17*$AM324^3+WeightSDS!U$17*$AM324^2+WeightSDS!V$17*$AM324+WeightSDS!W$17,IF($AM324&lt;186,WeightSDS!$U$18+(WeightSDS!$V$18-WeightSDS!$U$18)/24*($AM324-186)+WeightSDS!$W$18*(-$AM324+186)^2-0.005,WeightSDS!$U$18+(WeightSDS!$V$18-WeightSDS!$U$18)/24*($AM324-186)-0.005)))</f>
        <v>0.14604529399999999</v>
      </c>
      <c r="AT324" s="4">
        <f t="shared" si="112"/>
        <v>0.56299999999999994</v>
      </c>
      <c r="AU324" s="4">
        <f t="shared" si="113"/>
        <v>69</v>
      </c>
      <c r="AV324" s="4">
        <f t="shared" si="114"/>
        <v>0.51</v>
      </c>
    </row>
    <row r="325" spans="1:48" x14ac:dyDescent="0.15">
      <c r="A325" s="4"/>
      <c r="B325" s="21"/>
      <c r="C325" s="21"/>
      <c r="D325" s="21"/>
      <c r="E325" s="22"/>
      <c r="F325" s="22"/>
      <c r="G325" s="23"/>
      <c r="H325" s="23"/>
      <c r="I325" s="181"/>
      <c r="J325" s="8" t="str">
        <f t="shared" si="106"/>
        <v/>
      </c>
      <c r="K325" s="2" t="str">
        <f t="shared" si="115"/>
        <v/>
      </c>
      <c r="L325" s="2" t="str">
        <f t="shared" si="107"/>
        <v/>
      </c>
      <c r="M325" s="2" t="str">
        <f t="shared" si="116"/>
        <v/>
      </c>
      <c r="N325" s="2" t="str">
        <f t="shared" si="103"/>
        <v/>
      </c>
      <c r="O325" s="2" t="str">
        <f t="shared" si="117"/>
        <v/>
      </c>
      <c r="P325" s="8" t="str">
        <f t="shared" si="118"/>
        <v/>
      </c>
      <c r="Q325" s="8" t="str">
        <f t="shared" si="119"/>
        <v/>
      </c>
      <c r="R325" s="111" t="str">
        <f t="shared" si="120"/>
        <v/>
      </c>
      <c r="S325" s="44" t="str">
        <f t="shared" si="121"/>
        <v/>
      </c>
      <c r="T325" s="37" t="str">
        <f t="shared" si="122"/>
        <v/>
      </c>
      <c r="U325" s="44" t="str">
        <f t="shared" si="123"/>
        <v/>
      </c>
      <c r="V325" s="26"/>
      <c r="W325" s="26"/>
      <c r="X325" s="26"/>
      <c r="Y325" s="26"/>
      <c r="Z325" s="24"/>
      <c r="AA325" s="169">
        <f t="shared" si="108"/>
        <v>0</v>
      </c>
      <c r="AB325" s="4">
        <f t="shared" si="109"/>
        <v>0</v>
      </c>
      <c r="AC325" s="170">
        <f t="shared" si="105"/>
        <v>0</v>
      </c>
      <c r="AD325" s="58"/>
      <c r="AE325" s="58"/>
      <c r="AF325" s="58"/>
      <c r="AG325" s="59">
        <f t="shared" si="110"/>
        <v>9.0359999999999996</v>
      </c>
      <c r="AH325" s="59">
        <f t="shared" si="111"/>
        <v>-184.49199999999999</v>
      </c>
      <c r="AJ325" s="4">
        <f>IF(D325="M",IF(AM325&lt;78,BMILMS!$D$5*AM325^3+BMILMS!$E$5*AM325^2+BMILMS!$F$5*AM325+BMILMS!$G$5,IF(AM325&lt;150,BMILMS!$D$6*AM325^3+BMILMS!$E$6*AM325^2+BMILMS!$F$6*AM325+BMILMS!$G$6,BMILMS!$D$7*AM325^3+BMILMS!$E$7*AM325^2+BMILMS!$F$7*AM325+BMILMS!$G$7)),IF(AM325&lt;69,BMILMS!$D$9*AM325^3+BMILMS!$E$9*AM325^2+BMILMS!$F$9*AM325+BMILMS!$G$9,IF(AM325&lt;150,BMILMS!$D$10*AM325^3+BMILMS!$E$10*AM325^2+BMILMS!$F$10*AM325+BMILMS!$G$10,BMILMS!$D$11*AM325^3+BMILMS!$E$11*AM325^2+BMILMS!$F$11*AM325+BMILMS!$G$11)))</f>
        <v>0.79584630099999998</v>
      </c>
      <c r="AK325" s="4">
        <f>IF(D325="M",(IF(AM325&lt;2.5,BMILMS!$D$21*AM325^3+BMILMS!$E$21*AM325^2+BMILMS!$F$21*AM325+BMILMS!$G$21,IF(AM325&lt;9.5,BMILMS!$D$22*AM325^3+BMILMS!$E$22*AM325^2+BMILMS!$F$22*AM325+BMILMS!$G$22,IF(AM325&lt;26.75,BMILMS!$D$23*AM325^3+BMILMS!$E$23*AM325^2+BMILMS!$F$23*AM325+BMILMS!$G$23,IF(AM325&lt;90,BMILMS!$D$24*AM325^3+BMILMS!$E$24*AM325^2+BMILMS!$F$24*AM325+BMILMS!$G$24,BMILMS!$D$25*AM325^3+BMILMS!$E$25*AM325^2+BMILMS!$F$25*AM325+BMILMS!$G$25))))),(IF(AM325&lt;2.5,BMILMS!$D$27*AM325^3+BMILMS!$E$27*AM325^2+BMILMS!$F$27*AM325+BMILMS!$G$27,IF(AM325&lt;9.5,BMILMS!$D$28*AM325^3+BMILMS!$E$28*AM325^2+BMILMS!$F$28*AM325+BMILMS!$G$28,IF(AM325&lt;26.75,BMILMS!$D$29*AM325^3+BMILMS!$E$29*AM325^2+BMILMS!$F$29*AM325+BMILMS!$G$29,IF(AM325&lt;90,BMILMS!$D$30*AM325^3+BMILMS!$E$30*AM325^2+BMILMS!$F$30*AM325+BMILMS!$G$30,IF(AM325&lt;150,BMILMS!$D$31*AM325^3+BMILMS!$E$31*AM325^2+BMILMS!$F$31*AM325+BMILMS!$G$31,BMILMS!$D$32*AM325^3+BMILMS!$E$32*AM325^2+BMILMS!$F$32*AM325+BMILMS!$G$32)))))))</f>
        <v>12.568967990000001</v>
      </c>
      <c r="AL325" s="4">
        <f>IF(D325="M",(IF(AM325&lt;90,BMILMS!$D$14*AM325^3+BMILMS!$E$14*AM325^2+BMILMS!$F$14*AM325+BMILMS!$G$14,BMILMS!$D$15*AM325^3+BMILMS!$E$15*AM325^2+BMILMS!$F$15*AM325+BMILMS!$G$15)),(IF(AM325&lt;90,BMILMS!$D$17*AM325^3+BMILMS!$E$17*AM325^2+BMILMS!$F$17*AM325+BMILMS!$G$17,BMILMS!$D$18*AM325^3+BMILMS!$E$18*AM325^2+BMILMS!$F$18*AM325+BMILMS!$G$18)))</f>
        <v>8.8969350000000003E-2</v>
      </c>
      <c r="AM325" s="4">
        <f t="shared" si="104"/>
        <v>0</v>
      </c>
      <c r="AO325" s="56">
        <f>IF(D325="M",WeightSDS!P$5*$AM325^7+WeightSDS!Q$5*$AM325^6+WeightSDS!R$5*$AM325^5+WeightSDS!S$5*$AM325^4+WeightSDS!T$5*$AM325^3+WeightSDS!U$5*$AM325^2+WeightSDS!V$5*$AM325+WeightSDS!W$5,IF($AM325&lt;186,WeightSDS!P$8*$AM325^7+WeightSDS!Q$8*$AM325^6+WeightSDS!R$8*$AM325^5+WeightSDS!S$8*$AM325^4+WeightSDS!T$8*$AM325^3+WeightSDS!U$8*$AM325^2+WeightSDS!V$8*$AM325+WeightSDS!W$8,WeightSDS!$U$9+WeightSDS!$V$9*($AM325-WeightSDS!$W$9)))</f>
        <v>0.75407122999999998</v>
      </c>
      <c r="AP325" s="4">
        <f>IF(D325="M",IF($AM325&lt;45,WeightSDS!M$23*$AM325^10+WeightSDS!N$23*$AM325^9+WeightSDS!O$23*$AM325^8+WeightSDS!P$23*$AM325^7+WeightSDS!Q$23*$AM325^6+WeightSDS!R$23*$AM325^5+WeightSDS!S$23*$AM325^4+WeightSDS!T$23*$AM325^3+WeightSDS!U$23*$AM325^2+WeightSDS!V$23*$AM325+WeightSDS!W$23,IF($AM325&lt;153,WeightSDS!M$25*$AM325^10+WeightSDS!N$25*$AM325^9+WeightSDS!O$25*$AM325^8+WeightSDS!P$25*$AM325^7+WeightSDS!Q$25*$AM325^6+WeightSDS!R$25*$AM325^5+WeightSDS!S$25*$AM325^4+WeightSDS!T$25*$AM325^3+WeightSDS!U$25*$AM325^2+WeightSDS!V$25*$AM325+WeightSDS!W$25,WeightSDS!M$27+WeightSDS!N$27/(1+EXP(WeightSDS!O$27+WeightSDS!P$27*$AM325)))),IF($AM325&lt;43.8,WeightSDS!M$29*$AM325^10+WeightSDS!N$29*$AM325^9+WeightSDS!O$29*$AM325^8+WeightSDS!P$29*$AM325^7+WeightSDS!Q$29*$AM325^6+WeightSDS!R$29*$AM325^5+WeightSDS!S$29*$AM325^4+WeightSDS!T$29*$AM325^3+WeightSDS!U$29*$AM325^2+WeightSDS!V$29*$AM325+WeightSDS!W$29-0.010431*(1-$AM325/210),IF($AM325&lt;123,WeightSDS!M$30*$AM325^10+WeightSDS!N$30*$AM325^9+WeightSDS!O$30*$AM325^8+WeightSDS!P$30*$AM325^7+WeightSDS!Q$30*$AM325^6+WeightSDS!R$30*$AM325^5+WeightSDS!S$30*$AM325^4+WeightSDS!T$30*$AM325^3+WeightSDS!U$30*$AM325^2+WeightSDS!V$30*$AM325+WeightSDS!W$30-0.010431*(1-1/$AM325),WeightSDS!M$32+WeightSDS!N$32/(1+EXP(WeightSDS!O$32+WeightSDS!P$32*$AM325))-0.010431*(1-$AM325/210))))</f>
        <v>2.9500001032655536</v>
      </c>
      <c r="AQ325" s="4">
        <f>IF(D325="M",IF($AM325&lt;162,WeightSDS!P$12*$AM325^7+WeightSDS!Q$12*$AM325^6+WeightSDS!R$12*$AM325^5+WeightSDS!S$12*$AM325^4+WeightSDS!T$12*$AM325^3+WeightSDS!U$12*$AM325^2+WeightSDS!V$12*$AM325+WeightSDS!W$12,WeightSDS!P$14*$AM325^7+WeightSDS!Q$14*$AM325^6+WeightSDS!R$14*$AM325^5+WeightSDS!S$14*$AM325^4+WeightSDS!T$14*$AM325^3+WeightSDS!U$14*$AM325^2+WeightSDS!V$14*$AM325+WeightSDS!W$14),IF($AM325&lt;156,WeightSDS!O$17*$AM325^8+WeightSDS!P$17*$AM325^7+WeightSDS!Q$17*$AM325^6+WeightSDS!R$17*$AM325^5+WeightSDS!S$17*$AM325^4+WeightSDS!T$17*$AM325^3+WeightSDS!U$17*$AM325^2+WeightSDS!V$17*$AM325+WeightSDS!W$17,IF($AM325&lt;186,WeightSDS!$U$18+(WeightSDS!$V$18-WeightSDS!$U$18)/24*($AM325-186)+WeightSDS!$W$18*(-$AM325+186)^2-0.005,WeightSDS!$U$18+(WeightSDS!$V$18-WeightSDS!$U$18)/24*($AM325-186)-0.005)))</f>
        <v>0.14604529399999999</v>
      </c>
      <c r="AT325" s="4">
        <f t="shared" si="112"/>
        <v>0.56299999999999994</v>
      </c>
      <c r="AU325" s="4">
        <f t="shared" si="113"/>
        <v>69</v>
      </c>
      <c r="AV325" s="4">
        <f t="shared" si="114"/>
        <v>0.51</v>
      </c>
    </row>
    <row r="326" spans="1:48" x14ac:dyDescent="0.15">
      <c r="A326" s="4"/>
      <c r="B326" s="21"/>
      <c r="C326" s="21"/>
      <c r="D326" s="21"/>
      <c r="E326" s="22"/>
      <c r="F326" s="22"/>
      <c r="G326" s="23"/>
      <c r="H326" s="23"/>
      <c r="I326" s="181"/>
      <c r="J326" s="8" t="str">
        <f t="shared" si="106"/>
        <v/>
      </c>
      <c r="K326" s="2" t="str">
        <f t="shared" si="115"/>
        <v/>
      </c>
      <c r="L326" s="2" t="str">
        <f t="shared" si="107"/>
        <v/>
      </c>
      <c r="M326" s="2" t="str">
        <f t="shared" si="116"/>
        <v/>
      </c>
      <c r="N326" s="2" t="str">
        <f t="shared" si="103"/>
        <v/>
      </c>
      <c r="O326" s="2" t="str">
        <f t="shared" si="117"/>
        <v/>
      </c>
      <c r="P326" s="8" t="str">
        <f t="shared" si="118"/>
        <v/>
      </c>
      <c r="Q326" s="8" t="str">
        <f t="shared" si="119"/>
        <v/>
      </c>
      <c r="R326" s="111" t="str">
        <f t="shared" si="120"/>
        <v/>
      </c>
      <c r="S326" s="44" t="str">
        <f t="shared" si="121"/>
        <v/>
      </c>
      <c r="T326" s="37" t="str">
        <f t="shared" si="122"/>
        <v/>
      </c>
      <c r="U326" s="44" t="str">
        <f t="shared" si="123"/>
        <v/>
      </c>
      <c r="V326" s="26"/>
      <c r="W326" s="26"/>
      <c r="X326" s="26"/>
      <c r="Y326" s="26"/>
      <c r="Z326" s="24"/>
      <c r="AA326" s="169">
        <f t="shared" si="108"/>
        <v>0</v>
      </c>
      <c r="AB326" s="4">
        <f t="shared" si="109"/>
        <v>0</v>
      </c>
      <c r="AC326" s="170">
        <f t="shared" si="105"/>
        <v>0</v>
      </c>
      <c r="AD326" s="58"/>
      <c r="AE326" s="58"/>
      <c r="AF326" s="58"/>
      <c r="AG326" s="59">
        <f t="shared" si="110"/>
        <v>9.0359999999999996</v>
      </c>
      <c r="AH326" s="59">
        <f t="shared" si="111"/>
        <v>-184.49199999999999</v>
      </c>
      <c r="AJ326" s="4">
        <f>IF(D326="M",IF(AM326&lt;78,BMILMS!$D$5*AM326^3+BMILMS!$E$5*AM326^2+BMILMS!$F$5*AM326+BMILMS!$G$5,IF(AM326&lt;150,BMILMS!$D$6*AM326^3+BMILMS!$E$6*AM326^2+BMILMS!$F$6*AM326+BMILMS!$G$6,BMILMS!$D$7*AM326^3+BMILMS!$E$7*AM326^2+BMILMS!$F$7*AM326+BMILMS!$G$7)),IF(AM326&lt;69,BMILMS!$D$9*AM326^3+BMILMS!$E$9*AM326^2+BMILMS!$F$9*AM326+BMILMS!$G$9,IF(AM326&lt;150,BMILMS!$D$10*AM326^3+BMILMS!$E$10*AM326^2+BMILMS!$F$10*AM326+BMILMS!$G$10,BMILMS!$D$11*AM326^3+BMILMS!$E$11*AM326^2+BMILMS!$F$11*AM326+BMILMS!$G$11)))</f>
        <v>0.79584630099999998</v>
      </c>
      <c r="AK326" s="4">
        <f>IF(D326="M",(IF(AM326&lt;2.5,BMILMS!$D$21*AM326^3+BMILMS!$E$21*AM326^2+BMILMS!$F$21*AM326+BMILMS!$G$21,IF(AM326&lt;9.5,BMILMS!$D$22*AM326^3+BMILMS!$E$22*AM326^2+BMILMS!$F$22*AM326+BMILMS!$G$22,IF(AM326&lt;26.75,BMILMS!$D$23*AM326^3+BMILMS!$E$23*AM326^2+BMILMS!$F$23*AM326+BMILMS!$G$23,IF(AM326&lt;90,BMILMS!$D$24*AM326^3+BMILMS!$E$24*AM326^2+BMILMS!$F$24*AM326+BMILMS!$G$24,BMILMS!$D$25*AM326^3+BMILMS!$E$25*AM326^2+BMILMS!$F$25*AM326+BMILMS!$G$25))))),(IF(AM326&lt;2.5,BMILMS!$D$27*AM326^3+BMILMS!$E$27*AM326^2+BMILMS!$F$27*AM326+BMILMS!$G$27,IF(AM326&lt;9.5,BMILMS!$D$28*AM326^3+BMILMS!$E$28*AM326^2+BMILMS!$F$28*AM326+BMILMS!$G$28,IF(AM326&lt;26.75,BMILMS!$D$29*AM326^3+BMILMS!$E$29*AM326^2+BMILMS!$F$29*AM326+BMILMS!$G$29,IF(AM326&lt;90,BMILMS!$D$30*AM326^3+BMILMS!$E$30*AM326^2+BMILMS!$F$30*AM326+BMILMS!$G$30,IF(AM326&lt;150,BMILMS!$D$31*AM326^3+BMILMS!$E$31*AM326^2+BMILMS!$F$31*AM326+BMILMS!$G$31,BMILMS!$D$32*AM326^3+BMILMS!$E$32*AM326^2+BMILMS!$F$32*AM326+BMILMS!$G$32)))))))</f>
        <v>12.568967990000001</v>
      </c>
      <c r="AL326" s="4">
        <f>IF(D326="M",(IF(AM326&lt;90,BMILMS!$D$14*AM326^3+BMILMS!$E$14*AM326^2+BMILMS!$F$14*AM326+BMILMS!$G$14,BMILMS!$D$15*AM326^3+BMILMS!$E$15*AM326^2+BMILMS!$F$15*AM326+BMILMS!$G$15)),(IF(AM326&lt;90,BMILMS!$D$17*AM326^3+BMILMS!$E$17*AM326^2+BMILMS!$F$17*AM326+BMILMS!$G$17,BMILMS!$D$18*AM326^3+BMILMS!$E$18*AM326^2+BMILMS!$F$18*AM326+BMILMS!$G$18)))</f>
        <v>8.8969350000000003E-2</v>
      </c>
      <c r="AM326" s="4">
        <f t="shared" si="104"/>
        <v>0</v>
      </c>
      <c r="AO326" s="56">
        <f>IF(D326="M",WeightSDS!P$5*$AM326^7+WeightSDS!Q$5*$AM326^6+WeightSDS!R$5*$AM326^5+WeightSDS!S$5*$AM326^4+WeightSDS!T$5*$AM326^3+WeightSDS!U$5*$AM326^2+WeightSDS!V$5*$AM326+WeightSDS!W$5,IF($AM326&lt;186,WeightSDS!P$8*$AM326^7+WeightSDS!Q$8*$AM326^6+WeightSDS!R$8*$AM326^5+WeightSDS!S$8*$AM326^4+WeightSDS!T$8*$AM326^3+WeightSDS!U$8*$AM326^2+WeightSDS!V$8*$AM326+WeightSDS!W$8,WeightSDS!$U$9+WeightSDS!$V$9*($AM326-WeightSDS!$W$9)))</f>
        <v>0.75407122999999998</v>
      </c>
      <c r="AP326" s="4">
        <f>IF(D326="M",IF($AM326&lt;45,WeightSDS!M$23*$AM326^10+WeightSDS!N$23*$AM326^9+WeightSDS!O$23*$AM326^8+WeightSDS!P$23*$AM326^7+WeightSDS!Q$23*$AM326^6+WeightSDS!R$23*$AM326^5+WeightSDS!S$23*$AM326^4+WeightSDS!T$23*$AM326^3+WeightSDS!U$23*$AM326^2+WeightSDS!V$23*$AM326+WeightSDS!W$23,IF($AM326&lt;153,WeightSDS!M$25*$AM326^10+WeightSDS!N$25*$AM326^9+WeightSDS!O$25*$AM326^8+WeightSDS!P$25*$AM326^7+WeightSDS!Q$25*$AM326^6+WeightSDS!R$25*$AM326^5+WeightSDS!S$25*$AM326^4+WeightSDS!T$25*$AM326^3+WeightSDS!U$25*$AM326^2+WeightSDS!V$25*$AM326+WeightSDS!W$25,WeightSDS!M$27+WeightSDS!N$27/(1+EXP(WeightSDS!O$27+WeightSDS!P$27*$AM326)))),IF($AM326&lt;43.8,WeightSDS!M$29*$AM326^10+WeightSDS!N$29*$AM326^9+WeightSDS!O$29*$AM326^8+WeightSDS!P$29*$AM326^7+WeightSDS!Q$29*$AM326^6+WeightSDS!R$29*$AM326^5+WeightSDS!S$29*$AM326^4+WeightSDS!T$29*$AM326^3+WeightSDS!U$29*$AM326^2+WeightSDS!V$29*$AM326+WeightSDS!W$29-0.010431*(1-$AM326/210),IF($AM326&lt;123,WeightSDS!M$30*$AM326^10+WeightSDS!N$30*$AM326^9+WeightSDS!O$30*$AM326^8+WeightSDS!P$30*$AM326^7+WeightSDS!Q$30*$AM326^6+WeightSDS!R$30*$AM326^5+WeightSDS!S$30*$AM326^4+WeightSDS!T$30*$AM326^3+WeightSDS!U$30*$AM326^2+WeightSDS!V$30*$AM326+WeightSDS!W$30-0.010431*(1-1/$AM326),WeightSDS!M$32+WeightSDS!N$32/(1+EXP(WeightSDS!O$32+WeightSDS!P$32*$AM326))-0.010431*(1-$AM326/210))))</f>
        <v>2.9500001032655536</v>
      </c>
      <c r="AQ326" s="4">
        <f>IF(D326="M",IF($AM326&lt;162,WeightSDS!P$12*$AM326^7+WeightSDS!Q$12*$AM326^6+WeightSDS!R$12*$AM326^5+WeightSDS!S$12*$AM326^4+WeightSDS!T$12*$AM326^3+WeightSDS!U$12*$AM326^2+WeightSDS!V$12*$AM326+WeightSDS!W$12,WeightSDS!P$14*$AM326^7+WeightSDS!Q$14*$AM326^6+WeightSDS!R$14*$AM326^5+WeightSDS!S$14*$AM326^4+WeightSDS!T$14*$AM326^3+WeightSDS!U$14*$AM326^2+WeightSDS!V$14*$AM326+WeightSDS!W$14),IF($AM326&lt;156,WeightSDS!O$17*$AM326^8+WeightSDS!P$17*$AM326^7+WeightSDS!Q$17*$AM326^6+WeightSDS!R$17*$AM326^5+WeightSDS!S$17*$AM326^4+WeightSDS!T$17*$AM326^3+WeightSDS!U$17*$AM326^2+WeightSDS!V$17*$AM326+WeightSDS!W$17,IF($AM326&lt;186,WeightSDS!$U$18+(WeightSDS!$V$18-WeightSDS!$U$18)/24*($AM326-186)+WeightSDS!$W$18*(-$AM326+186)^2-0.005,WeightSDS!$U$18+(WeightSDS!$V$18-WeightSDS!$U$18)/24*($AM326-186)-0.005)))</f>
        <v>0.14604529399999999</v>
      </c>
      <c r="AT326" s="4">
        <f t="shared" si="112"/>
        <v>0.56299999999999994</v>
      </c>
      <c r="AU326" s="4">
        <f t="shared" si="113"/>
        <v>69</v>
      </c>
      <c r="AV326" s="4">
        <f t="shared" si="114"/>
        <v>0.51</v>
      </c>
    </row>
    <row r="327" spans="1:48" x14ac:dyDescent="0.15">
      <c r="A327" s="4"/>
      <c r="B327" s="21"/>
      <c r="C327" s="21"/>
      <c r="D327" s="21"/>
      <c r="E327" s="22"/>
      <c r="F327" s="22"/>
      <c r="G327" s="23"/>
      <c r="H327" s="23"/>
      <c r="I327" s="181"/>
      <c r="J327" s="8" t="str">
        <f t="shared" si="106"/>
        <v/>
      </c>
      <c r="K327" s="2" t="str">
        <f t="shared" si="115"/>
        <v/>
      </c>
      <c r="L327" s="2" t="str">
        <f t="shared" si="107"/>
        <v/>
      </c>
      <c r="M327" s="2" t="str">
        <f t="shared" si="116"/>
        <v/>
      </c>
      <c r="N327" s="2" t="str">
        <f t="shared" si="103"/>
        <v/>
      </c>
      <c r="O327" s="2" t="str">
        <f t="shared" si="117"/>
        <v/>
      </c>
      <c r="P327" s="8" t="str">
        <f t="shared" si="118"/>
        <v/>
      </c>
      <c r="Q327" s="8" t="str">
        <f t="shared" si="119"/>
        <v/>
      </c>
      <c r="R327" s="111" t="str">
        <f t="shared" si="120"/>
        <v/>
      </c>
      <c r="S327" s="44" t="str">
        <f t="shared" si="121"/>
        <v/>
      </c>
      <c r="T327" s="37" t="str">
        <f t="shared" si="122"/>
        <v/>
      </c>
      <c r="U327" s="44" t="str">
        <f t="shared" si="123"/>
        <v/>
      </c>
      <c r="V327" s="26"/>
      <c r="W327" s="26"/>
      <c r="X327" s="26"/>
      <c r="Y327" s="26"/>
      <c r="Z327" s="24"/>
      <c r="AA327" s="169">
        <f t="shared" si="108"/>
        <v>0</v>
      </c>
      <c r="AB327" s="4">
        <f t="shared" si="109"/>
        <v>0</v>
      </c>
      <c r="AC327" s="170">
        <f t="shared" si="105"/>
        <v>0</v>
      </c>
      <c r="AD327" s="58"/>
      <c r="AE327" s="58"/>
      <c r="AF327" s="58"/>
      <c r="AG327" s="59">
        <f t="shared" si="110"/>
        <v>9.0359999999999996</v>
      </c>
      <c r="AH327" s="59">
        <f t="shared" si="111"/>
        <v>-184.49199999999999</v>
      </c>
      <c r="AJ327" s="4">
        <f>IF(D327="M",IF(AM327&lt;78,BMILMS!$D$5*AM327^3+BMILMS!$E$5*AM327^2+BMILMS!$F$5*AM327+BMILMS!$G$5,IF(AM327&lt;150,BMILMS!$D$6*AM327^3+BMILMS!$E$6*AM327^2+BMILMS!$F$6*AM327+BMILMS!$G$6,BMILMS!$D$7*AM327^3+BMILMS!$E$7*AM327^2+BMILMS!$F$7*AM327+BMILMS!$G$7)),IF(AM327&lt;69,BMILMS!$D$9*AM327^3+BMILMS!$E$9*AM327^2+BMILMS!$F$9*AM327+BMILMS!$G$9,IF(AM327&lt;150,BMILMS!$D$10*AM327^3+BMILMS!$E$10*AM327^2+BMILMS!$F$10*AM327+BMILMS!$G$10,BMILMS!$D$11*AM327^3+BMILMS!$E$11*AM327^2+BMILMS!$F$11*AM327+BMILMS!$G$11)))</f>
        <v>0.79584630099999998</v>
      </c>
      <c r="AK327" s="4">
        <f>IF(D327="M",(IF(AM327&lt;2.5,BMILMS!$D$21*AM327^3+BMILMS!$E$21*AM327^2+BMILMS!$F$21*AM327+BMILMS!$G$21,IF(AM327&lt;9.5,BMILMS!$D$22*AM327^3+BMILMS!$E$22*AM327^2+BMILMS!$F$22*AM327+BMILMS!$G$22,IF(AM327&lt;26.75,BMILMS!$D$23*AM327^3+BMILMS!$E$23*AM327^2+BMILMS!$F$23*AM327+BMILMS!$G$23,IF(AM327&lt;90,BMILMS!$D$24*AM327^3+BMILMS!$E$24*AM327^2+BMILMS!$F$24*AM327+BMILMS!$G$24,BMILMS!$D$25*AM327^3+BMILMS!$E$25*AM327^2+BMILMS!$F$25*AM327+BMILMS!$G$25))))),(IF(AM327&lt;2.5,BMILMS!$D$27*AM327^3+BMILMS!$E$27*AM327^2+BMILMS!$F$27*AM327+BMILMS!$G$27,IF(AM327&lt;9.5,BMILMS!$D$28*AM327^3+BMILMS!$E$28*AM327^2+BMILMS!$F$28*AM327+BMILMS!$G$28,IF(AM327&lt;26.75,BMILMS!$D$29*AM327^3+BMILMS!$E$29*AM327^2+BMILMS!$F$29*AM327+BMILMS!$G$29,IF(AM327&lt;90,BMILMS!$D$30*AM327^3+BMILMS!$E$30*AM327^2+BMILMS!$F$30*AM327+BMILMS!$G$30,IF(AM327&lt;150,BMILMS!$D$31*AM327^3+BMILMS!$E$31*AM327^2+BMILMS!$F$31*AM327+BMILMS!$G$31,BMILMS!$D$32*AM327^3+BMILMS!$E$32*AM327^2+BMILMS!$F$32*AM327+BMILMS!$G$32)))))))</f>
        <v>12.568967990000001</v>
      </c>
      <c r="AL327" s="4">
        <f>IF(D327="M",(IF(AM327&lt;90,BMILMS!$D$14*AM327^3+BMILMS!$E$14*AM327^2+BMILMS!$F$14*AM327+BMILMS!$G$14,BMILMS!$D$15*AM327^3+BMILMS!$E$15*AM327^2+BMILMS!$F$15*AM327+BMILMS!$G$15)),(IF(AM327&lt;90,BMILMS!$D$17*AM327^3+BMILMS!$E$17*AM327^2+BMILMS!$F$17*AM327+BMILMS!$G$17,BMILMS!$D$18*AM327^3+BMILMS!$E$18*AM327^2+BMILMS!$F$18*AM327+BMILMS!$G$18)))</f>
        <v>8.8969350000000003E-2</v>
      </c>
      <c r="AM327" s="4">
        <f t="shared" si="104"/>
        <v>0</v>
      </c>
      <c r="AO327" s="56">
        <f>IF(D327="M",WeightSDS!P$5*$AM327^7+WeightSDS!Q$5*$AM327^6+WeightSDS!R$5*$AM327^5+WeightSDS!S$5*$AM327^4+WeightSDS!T$5*$AM327^3+WeightSDS!U$5*$AM327^2+WeightSDS!V$5*$AM327+WeightSDS!W$5,IF($AM327&lt;186,WeightSDS!P$8*$AM327^7+WeightSDS!Q$8*$AM327^6+WeightSDS!R$8*$AM327^5+WeightSDS!S$8*$AM327^4+WeightSDS!T$8*$AM327^3+WeightSDS!U$8*$AM327^2+WeightSDS!V$8*$AM327+WeightSDS!W$8,WeightSDS!$U$9+WeightSDS!$V$9*($AM327-WeightSDS!$W$9)))</f>
        <v>0.75407122999999998</v>
      </c>
      <c r="AP327" s="4">
        <f>IF(D327="M",IF($AM327&lt;45,WeightSDS!M$23*$AM327^10+WeightSDS!N$23*$AM327^9+WeightSDS!O$23*$AM327^8+WeightSDS!P$23*$AM327^7+WeightSDS!Q$23*$AM327^6+WeightSDS!R$23*$AM327^5+WeightSDS!S$23*$AM327^4+WeightSDS!T$23*$AM327^3+WeightSDS!U$23*$AM327^2+WeightSDS!V$23*$AM327+WeightSDS!W$23,IF($AM327&lt;153,WeightSDS!M$25*$AM327^10+WeightSDS!N$25*$AM327^9+WeightSDS!O$25*$AM327^8+WeightSDS!P$25*$AM327^7+WeightSDS!Q$25*$AM327^6+WeightSDS!R$25*$AM327^5+WeightSDS!S$25*$AM327^4+WeightSDS!T$25*$AM327^3+WeightSDS!U$25*$AM327^2+WeightSDS!V$25*$AM327+WeightSDS!W$25,WeightSDS!M$27+WeightSDS!N$27/(1+EXP(WeightSDS!O$27+WeightSDS!P$27*$AM327)))),IF($AM327&lt;43.8,WeightSDS!M$29*$AM327^10+WeightSDS!N$29*$AM327^9+WeightSDS!O$29*$AM327^8+WeightSDS!P$29*$AM327^7+WeightSDS!Q$29*$AM327^6+WeightSDS!R$29*$AM327^5+WeightSDS!S$29*$AM327^4+WeightSDS!T$29*$AM327^3+WeightSDS!U$29*$AM327^2+WeightSDS!V$29*$AM327+WeightSDS!W$29-0.010431*(1-$AM327/210),IF($AM327&lt;123,WeightSDS!M$30*$AM327^10+WeightSDS!N$30*$AM327^9+WeightSDS!O$30*$AM327^8+WeightSDS!P$30*$AM327^7+WeightSDS!Q$30*$AM327^6+WeightSDS!R$30*$AM327^5+WeightSDS!S$30*$AM327^4+WeightSDS!T$30*$AM327^3+WeightSDS!U$30*$AM327^2+WeightSDS!V$30*$AM327+WeightSDS!W$30-0.010431*(1-1/$AM327),WeightSDS!M$32+WeightSDS!N$32/(1+EXP(WeightSDS!O$32+WeightSDS!P$32*$AM327))-0.010431*(1-$AM327/210))))</f>
        <v>2.9500001032655536</v>
      </c>
      <c r="AQ327" s="4">
        <f>IF(D327="M",IF($AM327&lt;162,WeightSDS!P$12*$AM327^7+WeightSDS!Q$12*$AM327^6+WeightSDS!R$12*$AM327^5+WeightSDS!S$12*$AM327^4+WeightSDS!T$12*$AM327^3+WeightSDS!U$12*$AM327^2+WeightSDS!V$12*$AM327+WeightSDS!W$12,WeightSDS!P$14*$AM327^7+WeightSDS!Q$14*$AM327^6+WeightSDS!R$14*$AM327^5+WeightSDS!S$14*$AM327^4+WeightSDS!T$14*$AM327^3+WeightSDS!U$14*$AM327^2+WeightSDS!V$14*$AM327+WeightSDS!W$14),IF($AM327&lt;156,WeightSDS!O$17*$AM327^8+WeightSDS!P$17*$AM327^7+WeightSDS!Q$17*$AM327^6+WeightSDS!R$17*$AM327^5+WeightSDS!S$17*$AM327^4+WeightSDS!T$17*$AM327^3+WeightSDS!U$17*$AM327^2+WeightSDS!V$17*$AM327+WeightSDS!W$17,IF($AM327&lt;186,WeightSDS!$U$18+(WeightSDS!$V$18-WeightSDS!$U$18)/24*($AM327-186)+WeightSDS!$W$18*(-$AM327+186)^2-0.005,WeightSDS!$U$18+(WeightSDS!$V$18-WeightSDS!$U$18)/24*($AM327-186)-0.005)))</f>
        <v>0.14604529399999999</v>
      </c>
      <c r="AT327" s="4">
        <f t="shared" si="112"/>
        <v>0.56299999999999994</v>
      </c>
      <c r="AU327" s="4">
        <f t="shared" si="113"/>
        <v>69</v>
      </c>
      <c r="AV327" s="4">
        <f t="shared" si="114"/>
        <v>0.51</v>
      </c>
    </row>
    <row r="328" spans="1:48" x14ac:dyDescent="0.15">
      <c r="A328" s="4"/>
      <c r="B328" s="21"/>
      <c r="C328" s="21"/>
      <c r="D328" s="21"/>
      <c r="E328" s="22"/>
      <c r="F328" s="22"/>
      <c r="G328" s="23"/>
      <c r="H328" s="23"/>
      <c r="I328" s="181"/>
      <c r="J328" s="8" t="str">
        <f t="shared" si="106"/>
        <v/>
      </c>
      <c r="K328" s="2" t="str">
        <f t="shared" si="115"/>
        <v/>
      </c>
      <c r="L328" s="2" t="str">
        <f t="shared" si="107"/>
        <v/>
      </c>
      <c r="M328" s="2" t="str">
        <f t="shared" si="116"/>
        <v/>
      </c>
      <c r="N328" s="2" t="str">
        <f t="shared" ref="N328:N391" si="124">IF(COUNTA(D328,E328,F328,G328,H328)=5,H328/G328^2*10000,"")</f>
        <v/>
      </c>
      <c r="O328" s="2" t="str">
        <f t="shared" si="117"/>
        <v/>
      </c>
      <c r="P328" s="8" t="str">
        <f t="shared" si="118"/>
        <v/>
      </c>
      <c r="Q328" s="8" t="str">
        <f t="shared" si="119"/>
        <v/>
      </c>
      <c r="R328" s="111" t="str">
        <f t="shared" si="120"/>
        <v/>
      </c>
      <c r="S328" s="44" t="str">
        <f t="shared" si="121"/>
        <v/>
      </c>
      <c r="T328" s="37" t="str">
        <f t="shared" si="122"/>
        <v/>
      </c>
      <c r="U328" s="44" t="str">
        <f t="shared" si="123"/>
        <v/>
      </c>
      <c r="V328" s="26"/>
      <c r="W328" s="26"/>
      <c r="X328" s="26"/>
      <c r="Y328" s="26"/>
      <c r="Z328" s="24"/>
      <c r="AA328" s="169">
        <f t="shared" si="108"/>
        <v>0</v>
      </c>
      <c r="AB328" s="4">
        <f t="shared" si="109"/>
        <v>0</v>
      </c>
      <c r="AC328" s="170">
        <f t="shared" si="105"/>
        <v>0</v>
      </c>
      <c r="AD328" s="58"/>
      <c r="AE328" s="58"/>
      <c r="AF328" s="58"/>
      <c r="AG328" s="59">
        <f t="shared" si="110"/>
        <v>9.0359999999999996</v>
      </c>
      <c r="AH328" s="59">
        <f t="shared" si="111"/>
        <v>-184.49199999999999</v>
      </c>
      <c r="AJ328" s="4">
        <f>IF(D328="M",IF(AM328&lt;78,BMILMS!$D$5*AM328^3+BMILMS!$E$5*AM328^2+BMILMS!$F$5*AM328+BMILMS!$G$5,IF(AM328&lt;150,BMILMS!$D$6*AM328^3+BMILMS!$E$6*AM328^2+BMILMS!$F$6*AM328+BMILMS!$G$6,BMILMS!$D$7*AM328^3+BMILMS!$E$7*AM328^2+BMILMS!$F$7*AM328+BMILMS!$G$7)),IF(AM328&lt;69,BMILMS!$D$9*AM328^3+BMILMS!$E$9*AM328^2+BMILMS!$F$9*AM328+BMILMS!$G$9,IF(AM328&lt;150,BMILMS!$D$10*AM328^3+BMILMS!$E$10*AM328^2+BMILMS!$F$10*AM328+BMILMS!$G$10,BMILMS!$D$11*AM328^3+BMILMS!$E$11*AM328^2+BMILMS!$F$11*AM328+BMILMS!$G$11)))</f>
        <v>0.79584630099999998</v>
      </c>
      <c r="AK328" s="4">
        <f>IF(D328="M",(IF(AM328&lt;2.5,BMILMS!$D$21*AM328^3+BMILMS!$E$21*AM328^2+BMILMS!$F$21*AM328+BMILMS!$G$21,IF(AM328&lt;9.5,BMILMS!$D$22*AM328^3+BMILMS!$E$22*AM328^2+BMILMS!$F$22*AM328+BMILMS!$G$22,IF(AM328&lt;26.75,BMILMS!$D$23*AM328^3+BMILMS!$E$23*AM328^2+BMILMS!$F$23*AM328+BMILMS!$G$23,IF(AM328&lt;90,BMILMS!$D$24*AM328^3+BMILMS!$E$24*AM328^2+BMILMS!$F$24*AM328+BMILMS!$G$24,BMILMS!$D$25*AM328^3+BMILMS!$E$25*AM328^2+BMILMS!$F$25*AM328+BMILMS!$G$25))))),(IF(AM328&lt;2.5,BMILMS!$D$27*AM328^3+BMILMS!$E$27*AM328^2+BMILMS!$F$27*AM328+BMILMS!$G$27,IF(AM328&lt;9.5,BMILMS!$D$28*AM328^3+BMILMS!$E$28*AM328^2+BMILMS!$F$28*AM328+BMILMS!$G$28,IF(AM328&lt;26.75,BMILMS!$D$29*AM328^3+BMILMS!$E$29*AM328^2+BMILMS!$F$29*AM328+BMILMS!$G$29,IF(AM328&lt;90,BMILMS!$D$30*AM328^3+BMILMS!$E$30*AM328^2+BMILMS!$F$30*AM328+BMILMS!$G$30,IF(AM328&lt;150,BMILMS!$D$31*AM328^3+BMILMS!$E$31*AM328^2+BMILMS!$F$31*AM328+BMILMS!$G$31,BMILMS!$D$32*AM328^3+BMILMS!$E$32*AM328^2+BMILMS!$F$32*AM328+BMILMS!$G$32)))))))</f>
        <v>12.568967990000001</v>
      </c>
      <c r="AL328" s="4">
        <f>IF(D328="M",(IF(AM328&lt;90,BMILMS!$D$14*AM328^3+BMILMS!$E$14*AM328^2+BMILMS!$F$14*AM328+BMILMS!$G$14,BMILMS!$D$15*AM328^3+BMILMS!$E$15*AM328^2+BMILMS!$F$15*AM328+BMILMS!$G$15)),(IF(AM328&lt;90,BMILMS!$D$17*AM328^3+BMILMS!$E$17*AM328^2+BMILMS!$F$17*AM328+BMILMS!$G$17,BMILMS!$D$18*AM328^3+BMILMS!$E$18*AM328^2+BMILMS!$F$18*AM328+BMILMS!$G$18)))</f>
        <v>8.8969350000000003E-2</v>
      </c>
      <c r="AM328" s="4">
        <f t="shared" ref="AM328:AM391" si="125">AA328*12+AB328</f>
        <v>0</v>
      </c>
      <c r="AO328" s="56">
        <f>IF(D328="M",WeightSDS!P$5*$AM328^7+WeightSDS!Q$5*$AM328^6+WeightSDS!R$5*$AM328^5+WeightSDS!S$5*$AM328^4+WeightSDS!T$5*$AM328^3+WeightSDS!U$5*$AM328^2+WeightSDS!V$5*$AM328+WeightSDS!W$5,IF($AM328&lt;186,WeightSDS!P$8*$AM328^7+WeightSDS!Q$8*$AM328^6+WeightSDS!R$8*$AM328^5+WeightSDS!S$8*$AM328^4+WeightSDS!T$8*$AM328^3+WeightSDS!U$8*$AM328^2+WeightSDS!V$8*$AM328+WeightSDS!W$8,WeightSDS!$U$9+WeightSDS!$V$9*($AM328-WeightSDS!$W$9)))</f>
        <v>0.75407122999999998</v>
      </c>
      <c r="AP328" s="4">
        <f>IF(D328="M",IF($AM328&lt;45,WeightSDS!M$23*$AM328^10+WeightSDS!N$23*$AM328^9+WeightSDS!O$23*$AM328^8+WeightSDS!P$23*$AM328^7+WeightSDS!Q$23*$AM328^6+WeightSDS!R$23*$AM328^5+WeightSDS!S$23*$AM328^4+WeightSDS!T$23*$AM328^3+WeightSDS!U$23*$AM328^2+WeightSDS!V$23*$AM328+WeightSDS!W$23,IF($AM328&lt;153,WeightSDS!M$25*$AM328^10+WeightSDS!N$25*$AM328^9+WeightSDS!O$25*$AM328^8+WeightSDS!P$25*$AM328^7+WeightSDS!Q$25*$AM328^6+WeightSDS!R$25*$AM328^5+WeightSDS!S$25*$AM328^4+WeightSDS!T$25*$AM328^3+WeightSDS!U$25*$AM328^2+WeightSDS!V$25*$AM328+WeightSDS!W$25,WeightSDS!M$27+WeightSDS!N$27/(1+EXP(WeightSDS!O$27+WeightSDS!P$27*$AM328)))),IF($AM328&lt;43.8,WeightSDS!M$29*$AM328^10+WeightSDS!N$29*$AM328^9+WeightSDS!O$29*$AM328^8+WeightSDS!P$29*$AM328^7+WeightSDS!Q$29*$AM328^6+WeightSDS!R$29*$AM328^5+WeightSDS!S$29*$AM328^4+WeightSDS!T$29*$AM328^3+WeightSDS!U$29*$AM328^2+WeightSDS!V$29*$AM328+WeightSDS!W$29-0.010431*(1-$AM328/210),IF($AM328&lt;123,WeightSDS!M$30*$AM328^10+WeightSDS!N$30*$AM328^9+WeightSDS!O$30*$AM328^8+WeightSDS!P$30*$AM328^7+WeightSDS!Q$30*$AM328^6+WeightSDS!R$30*$AM328^5+WeightSDS!S$30*$AM328^4+WeightSDS!T$30*$AM328^3+WeightSDS!U$30*$AM328^2+WeightSDS!V$30*$AM328+WeightSDS!W$30-0.010431*(1-1/$AM328),WeightSDS!M$32+WeightSDS!N$32/(1+EXP(WeightSDS!O$32+WeightSDS!P$32*$AM328))-0.010431*(1-$AM328/210))))</f>
        <v>2.9500001032655536</v>
      </c>
      <c r="AQ328" s="4">
        <f>IF(D328="M",IF($AM328&lt;162,WeightSDS!P$12*$AM328^7+WeightSDS!Q$12*$AM328^6+WeightSDS!R$12*$AM328^5+WeightSDS!S$12*$AM328^4+WeightSDS!T$12*$AM328^3+WeightSDS!U$12*$AM328^2+WeightSDS!V$12*$AM328+WeightSDS!W$12,WeightSDS!P$14*$AM328^7+WeightSDS!Q$14*$AM328^6+WeightSDS!R$14*$AM328^5+WeightSDS!S$14*$AM328^4+WeightSDS!T$14*$AM328^3+WeightSDS!U$14*$AM328^2+WeightSDS!V$14*$AM328+WeightSDS!W$14),IF($AM328&lt;156,WeightSDS!O$17*$AM328^8+WeightSDS!P$17*$AM328^7+WeightSDS!Q$17*$AM328^6+WeightSDS!R$17*$AM328^5+WeightSDS!S$17*$AM328^4+WeightSDS!T$17*$AM328^3+WeightSDS!U$17*$AM328^2+WeightSDS!V$17*$AM328+WeightSDS!W$17,IF($AM328&lt;186,WeightSDS!$U$18+(WeightSDS!$V$18-WeightSDS!$U$18)/24*($AM328-186)+WeightSDS!$W$18*(-$AM328+186)^2-0.005,WeightSDS!$U$18+(WeightSDS!$V$18-WeightSDS!$U$18)/24*($AM328-186)-0.005)))</f>
        <v>0.14604529399999999</v>
      </c>
      <c r="AT328" s="4">
        <f t="shared" si="112"/>
        <v>0.56299999999999994</v>
      </c>
      <c r="AU328" s="4">
        <f t="shared" si="113"/>
        <v>69</v>
      </c>
      <c r="AV328" s="4">
        <f t="shared" si="114"/>
        <v>0.51</v>
      </c>
    </row>
    <row r="329" spans="1:48" x14ac:dyDescent="0.15">
      <c r="A329" s="4"/>
      <c r="B329" s="21"/>
      <c r="C329" s="21"/>
      <c r="D329" s="21"/>
      <c r="E329" s="22"/>
      <c r="F329" s="22"/>
      <c r="G329" s="23"/>
      <c r="H329" s="23"/>
      <c r="I329" s="181"/>
      <c r="J329" s="8" t="str">
        <f t="shared" si="106"/>
        <v/>
      </c>
      <c r="K329" s="2" t="str">
        <f t="shared" si="115"/>
        <v/>
      </c>
      <c r="L329" s="2" t="str">
        <f t="shared" si="107"/>
        <v/>
      </c>
      <c r="M329" s="2" t="str">
        <f t="shared" si="116"/>
        <v/>
      </c>
      <c r="N329" s="2" t="str">
        <f t="shared" si="124"/>
        <v/>
      </c>
      <c r="O329" s="2" t="str">
        <f t="shared" si="117"/>
        <v/>
      </c>
      <c r="P329" s="8" t="str">
        <f t="shared" si="118"/>
        <v/>
      </c>
      <c r="Q329" s="8" t="str">
        <f t="shared" si="119"/>
        <v/>
      </c>
      <c r="R329" s="111" t="str">
        <f t="shared" si="120"/>
        <v/>
      </c>
      <c r="S329" s="44" t="str">
        <f t="shared" si="121"/>
        <v/>
      </c>
      <c r="T329" s="37" t="str">
        <f t="shared" si="122"/>
        <v/>
      </c>
      <c r="U329" s="44" t="str">
        <f t="shared" si="123"/>
        <v/>
      </c>
      <c r="V329" s="26"/>
      <c r="W329" s="26"/>
      <c r="X329" s="26"/>
      <c r="Y329" s="26"/>
      <c r="Z329" s="24"/>
      <c r="AA329" s="169">
        <f t="shared" si="108"/>
        <v>0</v>
      </c>
      <c r="AB329" s="4">
        <f t="shared" si="109"/>
        <v>0</v>
      </c>
      <c r="AC329" s="170">
        <f t="shared" si="105"/>
        <v>0</v>
      </c>
      <c r="AD329" s="58"/>
      <c r="AE329" s="58"/>
      <c r="AF329" s="58"/>
      <c r="AG329" s="59">
        <f t="shared" si="110"/>
        <v>9.0359999999999996</v>
      </c>
      <c r="AH329" s="59">
        <f t="shared" si="111"/>
        <v>-184.49199999999999</v>
      </c>
      <c r="AJ329" s="4">
        <f>IF(D329="M",IF(AM329&lt;78,BMILMS!$D$5*AM329^3+BMILMS!$E$5*AM329^2+BMILMS!$F$5*AM329+BMILMS!$G$5,IF(AM329&lt;150,BMILMS!$D$6*AM329^3+BMILMS!$E$6*AM329^2+BMILMS!$F$6*AM329+BMILMS!$G$6,BMILMS!$D$7*AM329^3+BMILMS!$E$7*AM329^2+BMILMS!$F$7*AM329+BMILMS!$G$7)),IF(AM329&lt;69,BMILMS!$D$9*AM329^3+BMILMS!$E$9*AM329^2+BMILMS!$F$9*AM329+BMILMS!$G$9,IF(AM329&lt;150,BMILMS!$D$10*AM329^3+BMILMS!$E$10*AM329^2+BMILMS!$F$10*AM329+BMILMS!$G$10,BMILMS!$D$11*AM329^3+BMILMS!$E$11*AM329^2+BMILMS!$F$11*AM329+BMILMS!$G$11)))</f>
        <v>0.79584630099999998</v>
      </c>
      <c r="AK329" s="4">
        <f>IF(D329="M",(IF(AM329&lt;2.5,BMILMS!$D$21*AM329^3+BMILMS!$E$21*AM329^2+BMILMS!$F$21*AM329+BMILMS!$G$21,IF(AM329&lt;9.5,BMILMS!$D$22*AM329^3+BMILMS!$E$22*AM329^2+BMILMS!$F$22*AM329+BMILMS!$G$22,IF(AM329&lt;26.75,BMILMS!$D$23*AM329^3+BMILMS!$E$23*AM329^2+BMILMS!$F$23*AM329+BMILMS!$G$23,IF(AM329&lt;90,BMILMS!$D$24*AM329^3+BMILMS!$E$24*AM329^2+BMILMS!$F$24*AM329+BMILMS!$G$24,BMILMS!$D$25*AM329^3+BMILMS!$E$25*AM329^2+BMILMS!$F$25*AM329+BMILMS!$G$25))))),(IF(AM329&lt;2.5,BMILMS!$D$27*AM329^3+BMILMS!$E$27*AM329^2+BMILMS!$F$27*AM329+BMILMS!$G$27,IF(AM329&lt;9.5,BMILMS!$D$28*AM329^3+BMILMS!$E$28*AM329^2+BMILMS!$F$28*AM329+BMILMS!$G$28,IF(AM329&lt;26.75,BMILMS!$D$29*AM329^3+BMILMS!$E$29*AM329^2+BMILMS!$F$29*AM329+BMILMS!$G$29,IF(AM329&lt;90,BMILMS!$D$30*AM329^3+BMILMS!$E$30*AM329^2+BMILMS!$F$30*AM329+BMILMS!$G$30,IF(AM329&lt;150,BMILMS!$D$31*AM329^3+BMILMS!$E$31*AM329^2+BMILMS!$F$31*AM329+BMILMS!$G$31,BMILMS!$D$32*AM329^3+BMILMS!$E$32*AM329^2+BMILMS!$F$32*AM329+BMILMS!$G$32)))))))</f>
        <v>12.568967990000001</v>
      </c>
      <c r="AL329" s="4">
        <f>IF(D329="M",(IF(AM329&lt;90,BMILMS!$D$14*AM329^3+BMILMS!$E$14*AM329^2+BMILMS!$F$14*AM329+BMILMS!$G$14,BMILMS!$D$15*AM329^3+BMILMS!$E$15*AM329^2+BMILMS!$F$15*AM329+BMILMS!$G$15)),(IF(AM329&lt;90,BMILMS!$D$17*AM329^3+BMILMS!$E$17*AM329^2+BMILMS!$F$17*AM329+BMILMS!$G$17,BMILMS!$D$18*AM329^3+BMILMS!$E$18*AM329^2+BMILMS!$F$18*AM329+BMILMS!$G$18)))</f>
        <v>8.8969350000000003E-2</v>
      </c>
      <c r="AM329" s="4">
        <f t="shared" si="125"/>
        <v>0</v>
      </c>
      <c r="AO329" s="56">
        <f>IF(D329="M",WeightSDS!P$5*$AM329^7+WeightSDS!Q$5*$AM329^6+WeightSDS!R$5*$AM329^5+WeightSDS!S$5*$AM329^4+WeightSDS!T$5*$AM329^3+WeightSDS!U$5*$AM329^2+WeightSDS!V$5*$AM329+WeightSDS!W$5,IF($AM329&lt;186,WeightSDS!P$8*$AM329^7+WeightSDS!Q$8*$AM329^6+WeightSDS!R$8*$AM329^5+WeightSDS!S$8*$AM329^4+WeightSDS!T$8*$AM329^3+WeightSDS!U$8*$AM329^2+WeightSDS!V$8*$AM329+WeightSDS!W$8,WeightSDS!$U$9+WeightSDS!$V$9*($AM329-WeightSDS!$W$9)))</f>
        <v>0.75407122999999998</v>
      </c>
      <c r="AP329" s="4">
        <f>IF(D329="M",IF($AM329&lt;45,WeightSDS!M$23*$AM329^10+WeightSDS!N$23*$AM329^9+WeightSDS!O$23*$AM329^8+WeightSDS!P$23*$AM329^7+WeightSDS!Q$23*$AM329^6+WeightSDS!R$23*$AM329^5+WeightSDS!S$23*$AM329^4+WeightSDS!T$23*$AM329^3+WeightSDS!U$23*$AM329^2+WeightSDS!V$23*$AM329+WeightSDS!W$23,IF($AM329&lt;153,WeightSDS!M$25*$AM329^10+WeightSDS!N$25*$AM329^9+WeightSDS!O$25*$AM329^8+WeightSDS!P$25*$AM329^7+WeightSDS!Q$25*$AM329^6+WeightSDS!R$25*$AM329^5+WeightSDS!S$25*$AM329^4+WeightSDS!T$25*$AM329^3+WeightSDS!U$25*$AM329^2+WeightSDS!V$25*$AM329+WeightSDS!W$25,WeightSDS!M$27+WeightSDS!N$27/(1+EXP(WeightSDS!O$27+WeightSDS!P$27*$AM329)))),IF($AM329&lt;43.8,WeightSDS!M$29*$AM329^10+WeightSDS!N$29*$AM329^9+WeightSDS!O$29*$AM329^8+WeightSDS!P$29*$AM329^7+WeightSDS!Q$29*$AM329^6+WeightSDS!R$29*$AM329^5+WeightSDS!S$29*$AM329^4+WeightSDS!T$29*$AM329^3+WeightSDS!U$29*$AM329^2+WeightSDS!V$29*$AM329+WeightSDS!W$29-0.010431*(1-$AM329/210),IF($AM329&lt;123,WeightSDS!M$30*$AM329^10+WeightSDS!N$30*$AM329^9+WeightSDS!O$30*$AM329^8+WeightSDS!P$30*$AM329^7+WeightSDS!Q$30*$AM329^6+WeightSDS!R$30*$AM329^5+WeightSDS!S$30*$AM329^4+WeightSDS!T$30*$AM329^3+WeightSDS!U$30*$AM329^2+WeightSDS!V$30*$AM329+WeightSDS!W$30-0.010431*(1-1/$AM329),WeightSDS!M$32+WeightSDS!N$32/(1+EXP(WeightSDS!O$32+WeightSDS!P$32*$AM329))-0.010431*(1-$AM329/210))))</f>
        <v>2.9500001032655536</v>
      </c>
      <c r="AQ329" s="4">
        <f>IF(D329="M",IF($AM329&lt;162,WeightSDS!P$12*$AM329^7+WeightSDS!Q$12*$AM329^6+WeightSDS!R$12*$AM329^5+WeightSDS!S$12*$AM329^4+WeightSDS!T$12*$AM329^3+WeightSDS!U$12*$AM329^2+WeightSDS!V$12*$AM329+WeightSDS!W$12,WeightSDS!P$14*$AM329^7+WeightSDS!Q$14*$AM329^6+WeightSDS!R$14*$AM329^5+WeightSDS!S$14*$AM329^4+WeightSDS!T$14*$AM329^3+WeightSDS!U$14*$AM329^2+WeightSDS!V$14*$AM329+WeightSDS!W$14),IF($AM329&lt;156,WeightSDS!O$17*$AM329^8+WeightSDS!P$17*$AM329^7+WeightSDS!Q$17*$AM329^6+WeightSDS!R$17*$AM329^5+WeightSDS!S$17*$AM329^4+WeightSDS!T$17*$AM329^3+WeightSDS!U$17*$AM329^2+WeightSDS!V$17*$AM329+WeightSDS!W$17,IF($AM329&lt;186,WeightSDS!$U$18+(WeightSDS!$V$18-WeightSDS!$U$18)/24*($AM329-186)+WeightSDS!$W$18*(-$AM329+186)^2-0.005,WeightSDS!$U$18+(WeightSDS!$V$18-WeightSDS!$U$18)/24*($AM329-186)-0.005)))</f>
        <v>0.14604529399999999</v>
      </c>
      <c r="AT329" s="4">
        <f t="shared" si="112"/>
        <v>0.56299999999999994</v>
      </c>
      <c r="AU329" s="4">
        <f t="shared" si="113"/>
        <v>69</v>
      </c>
      <c r="AV329" s="4">
        <f t="shared" si="114"/>
        <v>0.51</v>
      </c>
    </row>
    <row r="330" spans="1:48" x14ac:dyDescent="0.15">
      <c r="A330" s="4"/>
      <c r="B330" s="21"/>
      <c r="C330" s="21"/>
      <c r="D330" s="21"/>
      <c r="E330" s="22"/>
      <c r="F330" s="22"/>
      <c r="G330" s="23"/>
      <c r="H330" s="23"/>
      <c r="I330" s="181"/>
      <c r="J330" s="8" t="str">
        <f t="shared" si="106"/>
        <v/>
      </c>
      <c r="K330" s="2" t="str">
        <f t="shared" si="115"/>
        <v/>
      </c>
      <c r="L330" s="2" t="str">
        <f t="shared" si="107"/>
        <v/>
      </c>
      <c r="M330" s="2" t="str">
        <f t="shared" si="116"/>
        <v/>
      </c>
      <c r="N330" s="2" t="str">
        <f t="shared" si="124"/>
        <v/>
      </c>
      <c r="O330" s="2" t="str">
        <f t="shared" si="117"/>
        <v/>
      </c>
      <c r="P330" s="8" t="str">
        <f t="shared" si="118"/>
        <v/>
      </c>
      <c r="Q330" s="8" t="str">
        <f t="shared" si="119"/>
        <v/>
      </c>
      <c r="R330" s="111" t="str">
        <f t="shared" si="120"/>
        <v/>
      </c>
      <c r="S330" s="44" t="str">
        <f t="shared" si="121"/>
        <v/>
      </c>
      <c r="T330" s="37" t="str">
        <f t="shared" si="122"/>
        <v/>
      </c>
      <c r="U330" s="44" t="str">
        <f t="shared" si="123"/>
        <v/>
      </c>
      <c r="V330" s="26"/>
      <c r="W330" s="26"/>
      <c r="X330" s="26"/>
      <c r="Y330" s="26"/>
      <c r="Z330" s="24"/>
      <c r="AA330" s="169">
        <f t="shared" si="108"/>
        <v>0</v>
      </c>
      <c r="AB330" s="4">
        <f t="shared" si="109"/>
        <v>0</v>
      </c>
      <c r="AC330" s="170">
        <f t="shared" si="105"/>
        <v>0</v>
      </c>
      <c r="AD330" s="58"/>
      <c r="AE330" s="58"/>
      <c r="AF330" s="58"/>
      <c r="AG330" s="59">
        <f t="shared" si="110"/>
        <v>9.0359999999999996</v>
      </c>
      <c r="AH330" s="59">
        <f t="shared" si="111"/>
        <v>-184.49199999999999</v>
      </c>
      <c r="AJ330" s="4">
        <f>IF(D330="M",IF(AM330&lt;78,BMILMS!$D$5*AM330^3+BMILMS!$E$5*AM330^2+BMILMS!$F$5*AM330+BMILMS!$G$5,IF(AM330&lt;150,BMILMS!$D$6*AM330^3+BMILMS!$E$6*AM330^2+BMILMS!$F$6*AM330+BMILMS!$G$6,BMILMS!$D$7*AM330^3+BMILMS!$E$7*AM330^2+BMILMS!$F$7*AM330+BMILMS!$G$7)),IF(AM330&lt;69,BMILMS!$D$9*AM330^3+BMILMS!$E$9*AM330^2+BMILMS!$F$9*AM330+BMILMS!$G$9,IF(AM330&lt;150,BMILMS!$D$10*AM330^3+BMILMS!$E$10*AM330^2+BMILMS!$F$10*AM330+BMILMS!$G$10,BMILMS!$D$11*AM330^3+BMILMS!$E$11*AM330^2+BMILMS!$F$11*AM330+BMILMS!$G$11)))</f>
        <v>0.79584630099999998</v>
      </c>
      <c r="AK330" s="4">
        <f>IF(D330="M",(IF(AM330&lt;2.5,BMILMS!$D$21*AM330^3+BMILMS!$E$21*AM330^2+BMILMS!$F$21*AM330+BMILMS!$G$21,IF(AM330&lt;9.5,BMILMS!$D$22*AM330^3+BMILMS!$E$22*AM330^2+BMILMS!$F$22*AM330+BMILMS!$G$22,IF(AM330&lt;26.75,BMILMS!$D$23*AM330^3+BMILMS!$E$23*AM330^2+BMILMS!$F$23*AM330+BMILMS!$G$23,IF(AM330&lt;90,BMILMS!$D$24*AM330^3+BMILMS!$E$24*AM330^2+BMILMS!$F$24*AM330+BMILMS!$G$24,BMILMS!$D$25*AM330^3+BMILMS!$E$25*AM330^2+BMILMS!$F$25*AM330+BMILMS!$G$25))))),(IF(AM330&lt;2.5,BMILMS!$D$27*AM330^3+BMILMS!$E$27*AM330^2+BMILMS!$F$27*AM330+BMILMS!$G$27,IF(AM330&lt;9.5,BMILMS!$D$28*AM330^3+BMILMS!$E$28*AM330^2+BMILMS!$F$28*AM330+BMILMS!$G$28,IF(AM330&lt;26.75,BMILMS!$D$29*AM330^3+BMILMS!$E$29*AM330^2+BMILMS!$F$29*AM330+BMILMS!$G$29,IF(AM330&lt;90,BMILMS!$D$30*AM330^3+BMILMS!$E$30*AM330^2+BMILMS!$F$30*AM330+BMILMS!$G$30,IF(AM330&lt;150,BMILMS!$D$31*AM330^3+BMILMS!$E$31*AM330^2+BMILMS!$F$31*AM330+BMILMS!$G$31,BMILMS!$D$32*AM330^3+BMILMS!$E$32*AM330^2+BMILMS!$F$32*AM330+BMILMS!$G$32)))))))</f>
        <v>12.568967990000001</v>
      </c>
      <c r="AL330" s="4">
        <f>IF(D330="M",(IF(AM330&lt;90,BMILMS!$D$14*AM330^3+BMILMS!$E$14*AM330^2+BMILMS!$F$14*AM330+BMILMS!$G$14,BMILMS!$D$15*AM330^3+BMILMS!$E$15*AM330^2+BMILMS!$F$15*AM330+BMILMS!$G$15)),(IF(AM330&lt;90,BMILMS!$D$17*AM330^3+BMILMS!$E$17*AM330^2+BMILMS!$F$17*AM330+BMILMS!$G$17,BMILMS!$D$18*AM330^3+BMILMS!$E$18*AM330^2+BMILMS!$F$18*AM330+BMILMS!$G$18)))</f>
        <v>8.8969350000000003E-2</v>
      </c>
      <c r="AM330" s="4">
        <f t="shared" si="125"/>
        <v>0</v>
      </c>
      <c r="AO330" s="56">
        <f>IF(D330="M",WeightSDS!P$5*$AM330^7+WeightSDS!Q$5*$AM330^6+WeightSDS!R$5*$AM330^5+WeightSDS!S$5*$AM330^4+WeightSDS!T$5*$AM330^3+WeightSDS!U$5*$AM330^2+WeightSDS!V$5*$AM330+WeightSDS!W$5,IF($AM330&lt;186,WeightSDS!P$8*$AM330^7+WeightSDS!Q$8*$AM330^6+WeightSDS!R$8*$AM330^5+WeightSDS!S$8*$AM330^4+WeightSDS!T$8*$AM330^3+WeightSDS!U$8*$AM330^2+WeightSDS!V$8*$AM330+WeightSDS!W$8,WeightSDS!$U$9+WeightSDS!$V$9*($AM330-WeightSDS!$W$9)))</f>
        <v>0.75407122999999998</v>
      </c>
      <c r="AP330" s="4">
        <f>IF(D330="M",IF($AM330&lt;45,WeightSDS!M$23*$AM330^10+WeightSDS!N$23*$AM330^9+WeightSDS!O$23*$AM330^8+WeightSDS!P$23*$AM330^7+WeightSDS!Q$23*$AM330^6+WeightSDS!R$23*$AM330^5+WeightSDS!S$23*$AM330^4+WeightSDS!T$23*$AM330^3+WeightSDS!U$23*$AM330^2+WeightSDS!V$23*$AM330+WeightSDS!W$23,IF($AM330&lt;153,WeightSDS!M$25*$AM330^10+WeightSDS!N$25*$AM330^9+WeightSDS!O$25*$AM330^8+WeightSDS!P$25*$AM330^7+WeightSDS!Q$25*$AM330^6+WeightSDS!R$25*$AM330^5+WeightSDS!S$25*$AM330^4+WeightSDS!T$25*$AM330^3+WeightSDS!U$25*$AM330^2+WeightSDS!V$25*$AM330+WeightSDS!W$25,WeightSDS!M$27+WeightSDS!N$27/(1+EXP(WeightSDS!O$27+WeightSDS!P$27*$AM330)))),IF($AM330&lt;43.8,WeightSDS!M$29*$AM330^10+WeightSDS!N$29*$AM330^9+WeightSDS!O$29*$AM330^8+WeightSDS!P$29*$AM330^7+WeightSDS!Q$29*$AM330^6+WeightSDS!R$29*$AM330^5+WeightSDS!S$29*$AM330^4+WeightSDS!T$29*$AM330^3+WeightSDS!U$29*$AM330^2+WeightSDS!V$29*$AM330+WeightSDS!W$29-0.010431*(1-$AM330/210),IF($AM330&lt;123,WeightSDS!M$30*$AM330^10+WeightSDS!N$30*$AM330^9+WeightSDS!O$30*$AM330^8+WeightSDS!P$30*$AM330^7+WeightSDS!Q$30*$AM330^6+WeightSDS!R$30*$AM330^5+WeightSDS!S$30*$AM330^4+WeightSDS!T$30*$AM330^3+WeightSDS!U$30*$AM330^2+WeightSDS!V$30*$AM330+WeightSDS!W$30-0.010431*(1-1/$AM330),WeightSDS!M$32+WeightSDS!N$32/(1+EXP(WeightSDS!O$32+WeightSDS!P$32*$AM330))-0.010431*(1-$AM330/210))))</f>
        <v>2.9500001032655536</v>
      </c>
      <c r="AQ330" s="4">
        <f>IF(D330="M",IF($AM330&lt;162,WeightSDS!P$12*$AM330^7+WeightSDS!Q$12*$AM330^6+WeightSDS!R$12*$AM330^5+WeightSDS!S$12*$AM330^4+WeightSDS!T$12*$AM330^3+WeightSDS!U$12*$AM330^2+WeightSDS!V$12*$AM330+WeightSDS!W$12,WeightSDS!P$14*$AM330^7+WeightSDS!Q$14*$AM330^6+WeightSDS!R$14*$AM330^5+WeightSDS!S$14*$AM330^4+WeightSDS!T$14*$AM330^3+WeightSDS!U$14*$AM330^2+WeightSDS!V$14*$AM330+WeightSDS!W$14),IF($AM330&lt;156,WeightSDS!O$17*$AM330^8+WeightSDS!P$17*$AM330^7+WeightSDS!Q$17*$AM330^6+WeightSDS!R$17*$AM330^5+WeightSDS!S$17*$AM330^4+WeightSDS!T$17*$AM330^3+WeightSDS!U$17*$AM330^2+WeightSDS!V$17*$AM330+WeightSDS!W$17,IF($AM330&lt;186,WeightSDS!$U$18+(WeightSDS!$V$18-WeightSDS!$U$18)/24*($AM330-186)+WeightSDS!$W$18*(-$AM330+186)^2-0.005,WeightSDS!$U$18+(WeightSDS!$V$18-WeightSDS!$U$18)/24*($AM330-186)-0.005)))</f>
        <v>0.14604529399999999</v>
      </c>
      <c r="AT330" s="4">
        <f t="shared" si="112"/>
        <v>0.56299999999999994</v>
      </c>
      <c r="AU330" s="4">
        <f t="shared" si="113"/>
        <v>69</v>
      </c>
      <c r="AV330" s="4">
        <f t="shared" si="114"/>
        <v>0.51</v>
      </c>
    </row>
    <row r="331" spans="1:48" x14ac:dyDescent="0.15">
      <c r="A331" s="4"/>
      <c r="B331" s="21"/>
      <c r="C331" s="21"/>
      <c r="D331" s="21"/>
      <c r="E331" s="22"/>
      <c r="F331" s="22"/>
      <c r="G331" s="23"/>
      <c r="H331" s="23"/>
      <c r="I331" s="181"/>
      <c r="J331" s="8" t="str">
        <f t="shared" si="106"/>
        <v/>
      </c>
      <c r="K331" s="2" t="str">
        <f t="shared" si="115"/>
        <v/>
      </c>
      <c r="L331" s="2" t="str">
        <f t="shared" si="107"/>
        <v/>
      </c>
      <c r="M331" s="2" t="str">
        <f t="shared" si="116"/>
        <v/>
      </c>
      <c r="N331" s="2" t="str">
        <f t="shared" si="124"/>
        <v/>
      </c>
      <c r="O331" s="2" t="str">
        <f t="shared" si="117"/>
        <v/>
      </c>
      <c r="P331" s="8" t="str">
        <f t="shared" si="118"/>
        <v/>
      </c>
      <c r="Q331" s="8" t="str">
        <f t="shared" si="119"/>
        <v/>
      </c>
      <c r="R331" s="111" t="str">
        <f t="shared" si="120"/>
        <v/>
      </c>
      <c r="S331" s="44" t="str">
        <f t="shared" si="121"/>
        <v/>
      </c>
      <c r="T331" s="37" t="str">
        <f t="shared" si="122"/>
        <v/>
      </c>
      <c r="U331" s="44" t="str">
        <f t="shared" si="123"/>
        <v/>
      </c>
      <c r="V331" s="26"/>
      <c r="W331" s="26"/>
      <c r="X331" s="26"/>
      <c r="Y331" s="26"/>
      <c r="Z331" s="24"/>
      <c r="AA331" s="169">
        <f t="shared" si="108"/>
        <v>0</v>
      </c>
      <c r="AB331" s="4">
        <f t="shared" si="109"/>
        <v>0</v>
      </c>
      <c r="AC331" s="170">
        <f t="shared" si="105"/>
        <v>0</v>
      </c>
      <c r="AD331" s="58"/>
      <c r="AE331" s="58"/>
      <c r="AF331" s="58"/>
      <c r="AG331" s="59">
        <f t="shared" si="110"/>
        <v>9.0359999999999996</v>
      </c>
      <c r="AH331" s="59">
        <f t="shared" si="111"/>
        <v>-184.49199999999999</v>
      </c>
      <c r="AJ331" s="4">
        <f>IF(D331="M",IF(AM331&lt;78,BMILMS!$D$5*AM331^3+BMILMS!$E$5*AM331^2+BMILMS!$F$5*AM331+BMILMS!$G$5,IF(AM331&lt;150,BMILMS!$D$6*AM331^3+BMILMS!$E$6*AM331^2+BMILMS!$F$6*AM331+BMILMS!$G$6,BMILMS!$D$7*AM331^3+BMILMS!$E$7*AM331^2+BMILMS!$F$7*AM331+BMILMS!$G$7)),IF(AM331&lt;69,BMILMS!$D$9*AM331^3+BMILMS!$E$9*AM331^2+BMILMS!$F$9*AM331+BMILMS!$G$9,IF(AM331&lt;150,BMILMS!$D$10*AM331^3+BMILMS!$E$10*AM331^2+BMILMS!$F$10*AM331+BMILMS!$G$10,BMILMS!$D$11*AM331^3+BMILMS!$E$11*AM331^2+BMILMS!$F$11*AM331+BMILMS!$G$11)))</f>
        <v>0.79584630099999998</v>
      </c>
      <c r="AK331" s="4">
        <f>IF(D331="M",(IF(AM331&lt;2.5,BMILMS!$D$21*AM331^3+BMILMS!$E$21*AM331^2+BMILMS!$F$21*AM331+BMILMS!$G$21,IF(AM331&lt;9.5,BMILMS!$D$22*AM331^3+BMILMS!$E$22*AM331^2+BMILMS!$F$22*AM331+BMILMS!$G$22,IF(AM331&lt;26.75,BMILMS!$D$23*AM331^3+BMILMS!$E$23*AM331^2+BMILMS!$F$23*AM331+BMILMS!$G$23,IF(AM331&lt;90,BMILMS!$D$24*AM331^3+BMILMS!$E$24*AM331^2+BMILMS!$F$24*AM331+BMILMS!$G$24,BMILMS!$D$25*AM331^3+BMILMS!$E$25*AM331^2+BMILMS!$F$25*AM331+BMILMS!$G$25))))),(IF(AM331&lt;2.5,BMILMS!$D$27*AM331^3+BMILMS!$E$27*AM331^2+BMILMS!$F$27*AM331+BMILMS!$G$27,IF(AM331&lt;9.5,BMILMS!$D$28*AM331^3+BMILMS!$E$28*AM331^2+BMILMS!$F$28*AM331+BMILMS!$G$28,IF(AM331&lt;26.75,BMILMS!$D$29*AM331^3+BMILMS!$E$29*AM331^2+BMILMS!$F$29*AM331+BMILMS!$G$29,IF(AM331&lt;90,BMILMS!$D$30*AM331^3+BMILMS!$E$30*AM331^2+BMILMS!$F$30*AM331+BMILMS!$G$30,IF(AM331&lt;150,BMILMS!$D$31*AM331^3+BMILMS!$E$31*AM331^2+BMILMS!$F$31*AM331+BMILMS!$G$31,BMILMS!$D$32*AM331^3+BMILMS!$E$32*AM331^2+BMILMS!$F$32*AM331+BMILMS!$G$32)))))))</f>
        <v>12.568967990000001</v>
      </c>
      <c r="AL331" s="4">
        <f>IF(D331="M",(IF(AM331&lt;90,BMILMS!$D$14*AM331^3+BMILMS!$E$14*AM331^2+BMILMS!$F$14*AM331+BMILMS!$G$14,BMILMS!$D$15*AM331^3+BMILMS!$E$15*AM331^2+BMILMS!$F$15*AM331+BMILMS!$G$15)),(IF(AM331&lt;90,BMILMS!$D$17*AM331^3+BMILMS!$E$17*AM331^2+BMILMS!$F$17*AM331+BMILMS!$G$17,BMILMS!$D$18*AM331^3+BMILMS!$E$18*AM331^2+BMILMS!$F$18*AM331+BMILMS!$G$18)))</f>
        <v>8.8969350000000003E-2</v>
      </c>
      <c r="AM331" s="4">
        <f t="shared" si="125"/>
        <v>0</v>
      </c>
      <c r="AO331" s="56">
        <f>IF(D331="M",WeightSDS!P$5*$AM331^7+WeightSDS!Q$5*$AM331^6+WeightSDS!R$5*$AM331^5+WeightSDS!S$5*$AM331^4+WeightSDS!T$5*$AM331^3+WeightSDS!U$5*$AM331^2+WeightSDS!V$5*$AM331+WeightSDS!W$5,IF($AM331&lt;186,WeightSDS!P$8*$AM331^7+WeightSDS!Q$8*$AM331^6+WeightSDS!R$8*$AM331^5+WeightSDS!S$8*$AM331^4+WeightSDS!T$8*$AM331^3+WeightSDS!U$8*$AM331^2+WeightSDS!V$8*$AM331+WeightSDS!W$8,WeightSDS!$U$9+WeightSDS!$V$9*($AM331-WeightSDS!$W$9)))</f>
        <v>0.75407122999999998</v>
      </c>
      <c r="AP331" s="4">
        <f>IF(D331="M",IF($AM331&lt;45,WeightSDS!M$23*$AM331^10+WeightSDS!N$23*$AM331^9+WeightSDS!O$23*$AM331^8+WeightSDS!P$23*$AM331^7+WeightSDS!Q$23*$AM331^6+WeightSDS!R$23*$AM331^5+WeightSDS!S$23*$AM331^4+WeightSDS!T$23*$AM331^3+WeightSDS!U$23*$AM331^2+WeightSDS!V$23*$AM331+WeightSDS!W$23,IF($AM331&lt;153,WeightSDS!M$25*$AM331^10+WeightSDS!N$25*$AM331^9+WeightSDS!O$25*$AM331^8+WeightSDS!P$25*$AM331^7+WeightSDS!Q$25*$AM331^6+WeightSDS!R$25*$AM331^5+WeightSDS!S$25*$AM331^4+WeightSDS!T$25*$AM331^3+WeightSDS!U$25*$AM331^2+WeightSDS!V$25*$AM331+WeightSDS!W$25,WeightSDS!M$27+WeightSDS!N$27/(1+EXP(WeightSDS!O$27+WeightSDS!P$27*$AM331)))),IF($AM331&lt;43.8,WeightSDS!M$29*$AM331^10+WeightSDS!N$29*$AM331^9+WeightSDS!O$29*$AM331^8+WeightSDS!P$29*$AM331^7+WeightSDS!Q$29*$AM331^6+WeightSDS!R$29*$AM331^5+WeightSDS!S$29*$AM331^4+WeightSDS!T$29*$AM331^3+WeightSDS!U$29*$AM331^2+WeightSDS!V$29*$AM331+WeightSDS!W$29-0.010431*(1-$AM331/210),IF($AM331&lt;123,WeightSDS!M$30*$AM331^10+WeightSDS!N$30*$AM331^9+WeightSDS!O$30*$AM331^8+WeightSDS!P$30*$AM331^7+WeightSDS!Q$30*$AM331^6+WeightSDS!R$30*$AM331^5+WeightSDS!S$30*$AM331^4+WeightSDS!T$30*$AM331^3+WeightSDS!U$30*$AM331^2+WeightSDS!V$30*$AM331+WeightSDS!W$30-0.010431*(1-1/$AM331),WeightSDS!M$32+WeightSDS!N$32/(1+EXP(WeightSDS!O$32+WeightSDS!P$32*$AM331))-0.010431*(1-$AM331/210))))</f>
        <v>2.9500001032655536</v>
      </c>
      <c r="AQ331" s="4">
        <f>IF(D331="M",IF($AM331&lt;162,WeightSDS!P$12*$AM331^7+WeightSDS!Q$12*$AM331^6+WeightSDS!R$12*$AM331^5+WeightSDS!S$12*$AM331^4+WeightSDS!T$12*$AM331^3+WeightSDS!U$12*$AM331^2+WeightSDS!V$12*$AM331+WeightSDS!W$12,WeightSDS!P$14*$AM331^7+WeightSDS!Q$14*$AM331^6+WeightSDS!R$14*$AM331^5+WeightSDS!S$14*$AM331^4+WeightSDS!T$14*$AM331^3+WeightSDS!U$14*$AM331^2+WeightSDS!V$14*$AM331+WeightSDS!W$14),IF($AM331&lt;156,WeightSDS!O$17*$AM331^8+WeightSDS!P$17*$AM331^7+WeightSDS!Q$17*$AM331^6+WeightSDS!R$17*$AM331^5+WeightSDS!S$17*$AM331^4+WeightSDS!T$17*$AM331^3+WeightSDS!U$17*$AM331^2+WeightSDS!V$17*$AM331+WeightSDS!W$17,IF($AM331&lt;186,WeightSDS!$U$18+(WeightSDS!$V$18-WeightSDS!$U$18)/24*($AM331-186)+WeightSDS!$W$18*(-$AM331+186)^2-0.005,WeightSDS!$U$18+(WeightSDS!$V$18-WeightSDS!$U$18)/24*($AM331-186)-0.005)))</f>
        <v>0.14604529399999999</v>
      </c>
      <c r="AT331" s="4">
        <f t="shared" si="112"/>
        <v>0.56299999999999994</v>
      </c>
      <c r="AU331" s="4">
        <f t="shared" si="113"/>
        <v>69</v>
      </c>
      <c r="AV331" s="4">
        <f t="shared" si="114"/>
        <v>0.51</v>
      </c>
    </row>
    <row r="332" spans="1:48" x14ac:dyDescent="0.15">
      <c r="A332" s="4"/>
      <c r="B332" s="21"/>
      <c r="C332" s="21"/>
      <c r="D332" s="21"/>
      <c r="E332" s="22"/>
      <c r="F332" s="22"/>
      <c r="G332" s="23"/>
      <c r="H332" s="23"/>
      <c r="I332" s="181"/>
      <c r="J332" s="8" t="str">
        <f t="shared" si="106"/>
        <v/>
      </c>
      <c r="K332" s="2" t="str">
        <f t="shared" si="115"/>
        <v/>
      </c>
      <c r="L332" s="2" t="str">
        <f t="shared" si="107"/>
        <v/>
      </c>
      <c r="M332" s="2" t="str">
        <f t="shared" si="116"/>
        <v/>
      </c>
      <c r="N332" s="2" t="str">
        <f t="shared" si="124"/>
        <v/>
      </c>
      <c r="O332" s="2" t="str">
        <f t="shared" si="117"/>
        <v/>
      </c>
      <c r="P332" s="8" t="str">
        <f t="shared" si="118"/>
        <v/>
      </c>
      <c r="Q332" s="8" t="str">
        <f t="shared" si="119"/>
        <v/>
      </c>
      <c r="R332" s="111" t="str">
        <f t="shared" si="120"/>
        <v/>
      </c>
      <c r="S332" s="44" t="str">
        <f t="shared" si="121"/>
        <v/>
      </c>
      <c r="T332" s="37" t="str">
        <f t="shared" si="122"/>
        <v/>
      </c>
      <c r="U332" s="44" t="str">
        <f t="shared" si="123"/>
        <v/>
      </c>
      <c r="V332" s="26"/>
      <c r="W332" s="26"/>
      <c r="X332" s="26"/>
      <c r="Y332" s="26"/>
      <c r="Z332" s="24"/>
      <c r="AA332" s="169">
        <f t="shared" si="108"/>
        <v>0</v>
      </c>
      <c r="AB332" s="4">
        <f t="shared" si="109"/>
        <v>0</v>
      </c>
      <c r="AC332" s="170">
        <f t="shared" si="105"/>
        <v>0</v>
      </c>
      <c r="AD332" s="58"/>
      <c r="AE332" s="58"/>
      <c r="AF332" s="58"/>
      <c r="AG332" s="59">
        <f t="shared" si="110"/>
        <v>9.0359999999999996</v>
      </c>
      <c r="AH332" s="59">
        <f t="shared" si="111"/>
        <v>-184.49199999999999</v>
      </c>
      <c r="AJ332" s="4">
        <f>IF(D332="M",IF(AM332&lt;78,BMILMS!$D$5*AM332^3+BMILMS!$E$5*AM332^2+BMILMS!$F$5*AM332+BMILMS!$G$5,IF(AM332&lt;150,BMILMS!$D$6*AM332^3+BMILMS!$E$6*AM332^2+BMILMS!$F$6*AM332+BMILMS!$G$6,BMILMS!$D$7*AM332^3+BMILMS!$E$7*AM332^2+BMILMS!$F$7*AM332+BMILMS!$G$7)),IF(AM332&lt;69,BMILMS!$D$9*AM332^3+BMILMS!$E$9*AM332^2+BMILMS!$F$9*AM332+BMILMS!$G$9,IF(AM332&lt;150,BMILMS!$D$10*AM332^3+BMILMS!$E$10*AM332^2+BMILMS!$F$10*AM332+BMILMS!$G$10,BMILMS!$D$11*AM332^3+BMILMS!$E$11*AM332^2+BMILMS!$F$11*AM332+BMILMS!$G$11)))</f>
        <v>0.79584630099999998</v>
      </c>
      <c r="AK332" s="4">
        <f>IF(D332="M",(IF(AM332&lt;2.5,BMILMS!$D$21*AM332^3+BMILMS!$E$21*AM332^2+BMILMS!$F$21*AM332+BMILMS!$G$21,IF(AM332&lt;9.5,BMILMS!$D$22*AM332^3+BMILMS!$E$22*AM332^2+BMILMS!$F$22*AM332+BMILMS!$G$22,IF(AM332&lt;26.75,BMILMS!$D$23*AM332^3+BMILMS!$E$23*AM332^2+BMILMS!$F$23*AM332+BMILMS!$G$23,IF(AM332&lt;90,BMILMS!$D$24*AM332^3+BMILMS!$E$24*AM332^2+BMILMS!$F$24*AM332+BMILMS!$G$24,BMILMS!$D$25*AM332^3+BMILMS!$E$25*AM332^2+BMILMS!$F$25*AM332+BMILMS!$G$25))))),(IF(AM332&lt;2.5,BMILMS!$D$27*AM332^3+BMILMS!$E$27*AM332^2+BMILMS!$F$27*AM332+BMILMS!$G$27,IF(AM332&lt;9.5,BMILMS!$D$28*AM332^3+BMILMS!$E$28*AM332^2+BMILMS!$F$28*AM332+BMILMS!$G$28,IF(AM332&lt;26.75,BMILMS!$D$29*AM332^3+BMILMS!$E$29*AM332^2+BMILMS!$F$29*AM332+BMILMS!$G$29,IF(AM332&lt;90,BMILMS!$D$30*AM332^3+BMILMS!$E$30*AM332^2+BMILMS!$F$30*AM332+BMILMS!$G$30,IF(AM332&lt;150,BMILMS!$D$31*AM332^3+BMILMS!$E$31*AM332^2+BMILMS!$F$31*AM332+BMILMS!$G$31,BMILMS!$D$32*AM332^3+BMILMS!$E$32*AM332^2+BMILMS!$F$32*AM332+BMILMS!$G$32)))))))</f>
        <v>12.568967990000001</v>
      </c>
      <c r="AL332" s="4">
        <f>IF(D332="M",(IF(AM332&lt;90,BMILMS!$D$14*AM332^3+BMILMS!$E$14*AM332^2+BMILMS!$F$14*AM332+BMILMS!$G$14,BMILMS!$D$15*AM332^3+BMILMS!$E$15*AM332^2+BMILMS!$F$15*AM332+BMILMS!$G$15)),(IF(AM332&lt;90,BMILMS!$D$17*AM332^3+BMILMS!$E$17*AM332^2+BMILMS!$F$17*AM332+BMILMS!$G$17,BMILMS!$D$18*AM332^3+BMILMS!$E$18*AM332^2+BMILMS!$F$18*AM332+BMILMS!$G$18)))</f>
        <v>8.8969350000000003E-2</v>
      </c>
      <c r="AM332" s="4">
        <f t="shared" si="125"/>
        <v>0</v>
      </c>
      <c r="AO332" s="56">
        <f>IF(D332="M",WeightSDS!P$5*$AM332^7+WeightSDS!Q$5*$AM332^6+WeightSDS!R$5*$AM332^5+WeightSDS!S$5*$AM332^4+WeightSDS!T$5*$AM332^3+WeightSDS!U$5*$AM332^2+WeightSDS!V$5*$AM332+WeightSDS!W$5,IF($AM332&lt;186,WeightSDS!P$8*$AM332^7+WeightSDS!Q$8*$AM332^6+WeightSDS!R$8*$AM332^5+WeightSDS!S$8*$AM332^4+WeightSDS!T$8*$AM332^3+WeightSDS!U$8*$AM332^2+WeightSDS!V$8*$AM332+WeightSDS!W$8,WeightSDS!$U$9+WeightSDS!$V$9*($AM332-WeightSDS!$W$9)))</f>
        <v>0.75407122999999998</v>
      </c>
      <c r="AP332" s="4">
        <f>IF(D332="M",IF($AM332&lt;45,WeightSDS!M$23*$AM332^10+WeightSDS!N$23*$AM332^9+WeightSDS!O$23*$AM332^8+WeightSDS!P$23*$AM332^7+WeightSDS!Q$23*$AM332^6+WeightSDS!R$23*$AM332^5+WeightSDS!S$23*$AM332^4+WeightSDS!T$23*$AM332^3+WeightSDS!U$23*$AM332^2+WeightSDS!V$23*$AM332+WeightSDS!W$23,IF($AM332&lt;153,WeightSDS!M$25*$AM332^10+WeightSDS!N$25*$AM332^9+WeightSDS!O$25*$AM332^8+WeightSDS!P$25*$AM332^7+WeightSDS!Q$25*$AM332^6+WeightSDS!R$25*$AM332^5+WeightSDS!S$25*$AM332^4+WeightSDS!T$25*$AM332^3+WeightSDS!U$25*$AM332^2+WeightSDS!V$25*$AM332+WeightSDS!W$25,WeightSDS!M$27+WeightSDS!N$27/(1+EXP(WeightSDS!O$27+WeightSDS!P$27*$AM332)))),IF($AM332&lt;43.8,WeightSDS!M$29*$AM332^10+WeightSDS!N$29*$AM332^9+WeightSDS!O$29*$AM332^8+WeightSDS!P$29*$AM332^7+WeightSDS!Q$29*$AM332^6+WeightSDS!R$29*$AM332^5+WeightSDS!S$29*$AM332^4+WeightSDS!T$29*$AM332^3+WeightSDS!U$29*$AM332^2+WeightSDS!V$29*$AM332+WeightSDS!W$29-0.010431*(1-$AM332/210),IF($AM332&lt;123,WeightSDS!M$30*$AM332^10+WeightSDS!N$30*$AM332^9+WeightSDS!O$30*$AM332^8+WeightSDS!P$30*$AM332^7+WeightSDS!Q$30*$AM332^6+WeightSDS!R$30*$AM332^5+WeightSDS!S$30*$AM332^4+WeightSDS!T$30*$AM332^3+WeightSDS!U$30*$AM332^2+WeightSDS!V$30*$AM332+WeightSDS!W$30-0.010431*(1-1/$AM332),WeightSDS!M$32+WeightSDS!N$32/(1+EXP(WeightSDS!O$32+WeightSDS!P$32*$AM332))-0.010431*(1-$AM332/210))))</f>
        <v>2.9500001032655536</v>
      </c>
      <c r="AQ332" s="4">
        <f>IF(D332="M",IF($AM332&lt;162,WeightSDS!P$12*$AM332^7+WeightSDS!Q$12*$AM332^6+WeightSDS!R$12*$AM332^5+WeightSDS!S$12*$AM332^4+WeightSDS!T$12*$AM332^3+WeightSDS!U$12*$AM332^2+WeightSDS!V$12*$AM332+WeightSDS!W$12,WeightSDS!P$14*$AM332^7+WeightSDS!Q$14*$AM332^6+WeightSDS!R$14*$AM332^5+WeightSDS!S$14*$AM332^4+WeightSDS!T$14*$AM332^3+WeightSDS!U$14*$AM332^2+WeightSDS!V$14*$AM332+WeightSDS!W$14),IF($AM332&lt;156,WeightSDS!O$17*$AM332^8+WeightSDS!P$17*$AM332^7+WeightSDS!Q$17*$AM332^6+WeightSDS!R$17*$AM332^5+WeightSDS!S$17*$AM332^4+WeightSDS!T$17*$AM332^3+WeightSDS!U$17*$AM332^2+WeightSDS!V$17*$AM332+WeightSDS!W$17,IF($AM332&lt;186,WeightSDS!$U$18+(WeightSDS!$V$18-WeightSDS!$U$18)/24*($AM332-186)+WeightSDS!$W$18*(-$AM332+186)^2-0.005,WeightSDS!$U$18+(WeightSDS!$V$18-WeightSDS!$U$18)/24*($AM332-186)-0.005)))</f>
        <v>0.14604529399999999</v>
      </c>
      <c r="AT332" s="4">
        <f t="shared" si="112"/>
        <v>0.56299999999999994</v>
      </c>
      <c r="AU332" s="4">
        <f t="shared" si="113"/>
        <v>69</v>
      </c>
      <c r="AV332" s="4">
        <f t="shared" si="114"/>
        <v>0.51</v>
      </c>
    </row>
    <row r="333" spans="1:48" x14ac:dyDescent="0.15">
      <c r="A333" s="4"/>
      <c r="B333" s="21"/>
      <c r="C333" s="21"/>
      <c r="D333" s="21"/>
      <c r="E333" s="22"/>
      <c r="F333" s="22"/>
      <c r="G333" s="23"/>
      <c r="H333" s="23"/>
      <c r="I333" s="181"/>
      <c r="J333" s="8" t="str">
        <f t="shared" si="106"/>
        <v/>
      </c>
      <c r="K333" s="2" t="str">
        <f t="shared" si="115"/>
        <v/>
      </c>
      <c r="L333" s="2" t="str">
        <f t="shared" si="107"/>
        <v/>
      </c>
      <c r="M333" s="2" t="str">
        <f t="shared" si="116"/>
        <v/>
      </c>
      <c r="N333" s="2" t="str">
        <f t="shared" si="124"/>
        <v/>
      </c>
      <c r="O333" s="2" t="str">
        <f t="shared" si="117"/>
        <v/>
      </c>
      <c r="P333" s="8" t="str">
        <f t="shared" si="118"/>
        <v/>
      </c>
      <c r="Q333" s="8" t="str">
        <f t="shared" si="119"/>
        <v/>
      </c>
      <c r="R333" s="111" t="str">
        <f t="shared" si="120"/>
        <v/>
      </c>
      <c r="S333" s="44" t="str">
        <f t="shared" si="121"/>
        <v/>
      </c>
      <c r="T333" s="37" t="str">
        <f t="shared" si="122"/>
        <v/>
      </c>
      <c r="U333" s="44" t="str">
        <f t="shared" si="123"/>
        <v/>
      </c>
      <c r="V333" s="26"/>
      <c r="W333" s="26"/>
      <c r="X333" s="26"/>
      <c r="Y333" s="26"/>
      <c r="Z333" s="24"/>
      <c r="AA333" s="169">
        <f t="shared" si="108"/>
        <v>0</v>
      </c>
      <c r="AB333" s="4">
        <f t="shared" si="109"/>
        <v>0</v>
      </c>
      <c r="AC333" s="170">
        <f t="shared" si="105"/>
        <v>0</v>
      </c>
      <c r="AD333" s="58"/>
      <c r="AE333" s="58"/>
      <c r="AF333" s="58"/>
      <c r="AG333" s="59">
        <f t="shared" si="110"/>
        <v>9.0359999999999996</v>
      </c>
      <c r="AH333" s="59">
        <f t="shared" si="111"/>
        <v>-184.49199999999999</v>
      </c>
      <c r="AJ333" s="4">
        <f>IF(D333="M",IF(AM333&lt;78,BMILMS!$D$5*AM333^3+BMILMS!$E$5*AM333^2+BMILMS!$F$5*AM333+BMILMS!$G$5,IF(AM333&lt;150,BMILMS!$D$6*AM333^3+BMILMS!$E$6*AM333^2+BMILMS!$F$6*AM333+BMILMS!$G$6,BMILMS!$D$7*AM333^3+BMILMS!$E$7*AM333^2+BMILMS!$F$7*AM333+BMILMS!$G$7)),IF(AM333&lt;69,BMILMS!$D$9*AM333^3+BMILMS!$E$9*AM333^2+BMILMS!$F$9*AM333+BMILMS!$G$9,IF(AM333&lt;150,BMILMS!$D$10*AM333^3+BMILMS!$E$10*AM333^2+BMILMS!$F$10*AM333+BMILMS!$G$10,BMILMS!$D$11*AM333^3+BMILMS!$E$11*AM333^2+BMILMS!$F$11*AM333+BMILMS!$G$11)))</f>
        <v>0.79584630099999998</v>
      </c>
      <c r="AK333" s="4">
        <f>IF(D333="M",(IF(AM333&lt;2.5,BMILMS!$D$21*AM333^3+BMILMS!$E$21*AM333^2+BMILMS!$F$21*AM333+BMILMS!$G$21,IF(AM333&lt;9.5,BMILMS!$D$22*AM333^3+BMILMS!$E$22*AM333^2+BMILMS!$F$22*AM333+BMILMS!$G$22,IF(AM333&lt;26.75,BMILMS!$D$23*AM333^3+BMILMS!$E$23*AM333^2+BMILMS!$F$23*AM333+BMILMS!$G$23,IF(AM333&lt;90,BMILMS!$D$24*AM333^3+BMILMS!$E$24*AM333^2+BMILMS!$F$24*AM333+BMILMS!$G$24,BMILMS!$D$25*AM333^3+BMILMS!$E$25*AM333^2+BMILMS!$F$25*AM333+BMILMS!$G$25))))),(IF(AM333&lt;2.5,BMILMS!$D$27*AM333^3+BMILMS!$E$27*AM333^2+BMILMS!$F$27*AM333+BMILMS!$G$27,IF(AM333&lt;9.5,BMILMS!$D$28*AM333^3+BMILMS!$E$28*AM333^2+BMILMS!$F$28*AM333+BMILMS!$G$28,IF(AM333&lt;26.75,BMILMS!$D$29*AM333^3+BMILMS!$E$29*AM333^2+BMILMS!$F$29*AM333+BMILMS!$G$29,IF(AM333&lt;90,BMILMS!$D$30*AM333^3+BMILMS!$E$30*AM333^2+BMILMS!$F$30*AM333+BMILMS!$G$30,IF(AM333&lt;150,BMILMS!$D$31*AM333^3+BMILMS!$E$31*AM333^2+BMILMS!$F$31*AM333+BMILMS!$G$31,BMILMS!$D$32*AM333^3+BMILMS!$E$32*AM333^2+BMILMS!$F$32*AM333+BMILMS!$G$32)))))))</f>
        <v>12.568967990000001</v>
      </c>
      <c r="AL333" s="4">
        <f>IF(D333="M",(IF(AM333&lt;90,BMILMS!$D$14*AM333^3+BMILMS!$E$14*AM333^2+BMILMS!$F$14*AM333+BMILMS!$G$14,BMILMS!$D$15*AM333^3+BMILMS!$E$15*AM333^2+BMILMS!$F$15*AM333+BMILMS!$G$15)),(IF(AM333&lt;90,BMILMS!$D$17*AM333^3+BMILMS!$E$17*AM333^2+BMILMS!$F$17*AM333+BMILMS!$G$17,BMILMS!$D$18*AM333^3+BMILMS!$E$18*AM333^2+BMILMS!$F$18*AM333+BMILMS!$G$18)))</f>
        <v>8.8969350000000003E-2</v>
      </c>
      <c r="AM333" s="4">
        <f t="shared" si="125"/>
        <v>0</v>
      </c>
      <c r="AO333" s="56">
        <f>IF(D333="M",WeightSDS!P$5*$AM333^7+WeightSDS!Q$5*$AM333^6+WeightSDS!R$5*$AM333^5+WeightSDS!S$5*$AM333^4+WeightSDS!T$5*$AM333^3+WeightSDS!U$5*$AM333^2+WeightSDS!V$5*$AM333+WeightSDS!W$5,IF($AM333&lt;186,WeightSDS!P$8*$AM333^7+WeightSDS!Q$8*$AM333^6+WeightSDS!R$8*$AM333^5+WeightSDS!S$8*$AM333^4+WeightSDS!T$8*$AM333^3+WeightSDS!U$8*$AM333^2+WeightSDS!V$8*$AM333+WeightSDS!W$8,WeightSDS!$U$9+WeightSDS!$V$9*($AM333-WeightSDS!$W$9)))</f>
        <v>0.75407122999999998</v>
      </c>
      <c r="AP333" s="4">
        <f>IF(D333="M",IF($AM333&lt;45,WeightSDS!M$23*$AM333^10+WeightSDS!N$23*$AM333^9+WeightSDS!O$23*$AM333^8+WeightSDS!P$23*$AM333^7+WeightSDS!Q$23*$AM333^6+WeightSDS!R$23*$AM333^5+WeightSDS!S$23*$AM333^4+WeightSDS!T$23*$AM333^3+WeightSDS!U$23*$AM333^2+WeightSDS!V$23*$AM333+WeightSDS!W$23,IF($AM333&lt;153,WeightSDS!M$25*$AM333^10+WeightSDS!N$25*$AM333^9+WeightSDS!O$25*$AM333^8+WeightSDS!P$25*$AM333^7+WeightSDS!Q$25*$AM333^6+WeightSDS!R$25*$AM333^5+WeightSDS!S$25*$AM333^4+WeightSDS!T$25*$AM333^3+WeightSDS!U$25*$AM333^2+WeightSDS!V$25*$AM333+WeightSDS!W$25,WeightSDS!M$27+WeightSDS!N$27/(1+EXP(WeightSDS!O$27+WeightSDS!P$27*$AM333)))),IF($AM333&lt;43.8,WeightSDS!M$29*$AM333^10+WeightSDS!N$29*$AM333^9+WeightSDS!O$29*$AM333^8+WeightSDS!P$29*$AM333^7+WeightSDS!Q$29*$AM333^6+WeightSDS!R$29*$AM333^5+WeightSDS!S$29*$AM333^4+WeightSDS!T$29*$AM333^3+WeightSDS!U$29*$AM333^2+WeightSDS!V$29*$AM333+WeightSDS!W$29-0.010431*(1-$AM333/210),IF($AM333&lt;123,WeightSDS!M$30*$AM333^10+WeightSDS!N$30*$AM333^9+WeightSDS!O$30*$AM333^8+WeightSDS!P$30*$AM333^7+WeightSDS!Q$30*$AM333^6+WeightSDS!R$30*$AM333^5+WeightSDS!S$30*$AM333^4+WeightSDS!T$30*$AM333^3+WeightSDS!U$30*$AM333^2+WeightSDS!V$30*$AM333+WeightSDS!W$30-0.010431*(1-1/$AM333),WeightSDS!M$32+WeightSDS!N$32/(1+EXP(WeightSDS!O$32+WeightSDS!P$32*$AM333))-0.010431*(1-$AM333/210))))</f>
        <v>2.9500001032655536</v>
      </c>
      <c r="AQ333" s="4">
        <f>IF(D333="M",IF($AM333&lt;162,WeightSDS!P$12*$AM333^7+WeightSDS!Q$12*$AM333^6+WeightSDS!R$12*$AM333^5+WeightSDS!S$12*$AM333^4+WeightSDS!T$12*$AM333^3+WeightSDS!U$12*$AM333^2+WeightSDS!V$12*$AM333+WeightSDS!W$12,WeightSDS!P$14*$AM333^7+WeightSDS!Q$14*$AM333^6+WeightSDS!R$14*$AM333^5+WeightSDS!S$14*$AM333^4+WeightSDS!T$14*$AM333^3+WeightSDS!U$14*$AM333^2+WeightSDS!V$14*$AM333+WeightSDS!W$14),IF($AM333&lt;156,WeightSDS!O$17*$AM333^8+WeightSDS!P$17*$AM333^7+WeightSDS!Q$17*$AM333^6+WeightSDS!R$17*$AM333^5+WeightSDS!S$17*$AM333^4+WeightSDS!T$17*$AM333^3+WeightSDS!U$17*$AM333^2+WeightSDS!V$17*$AM333+WeightSDS!W$17,IF($AM333&lt;186,WeightSDS!$U$18+(WeightSDS!$V$18-WeightSDS!$U$18)/24*($AM333-186)+WeightSDS!$W$18*(-$AM333+186)^2-0.005,WeightSDS!$U$18+(WeightSDS!$V$18-WeightSDS!$U$18)/24*($AM333-186)-0.005)))</f>
        <v>0.14604529399999999</v>
      </c>
      <c r="AT333" s="4">
        <f t="shared" si="112"/>
        <v>0.56299999999999994</v>
      </c>
      <c r="AU333" s="4">
        <f t="shared" si="113"/>
        <v>69</v>
      </c>
      <c r="AV333" s="4">
        <f t="shared" si="114"/>
        <v>0.51</v>
      </c>
    </row>
    <row r="334" spans="1:48" x14ac:dyDescent="0.15">
      <c r="A334" s="4"/>
      <c r="B334" s="21"/>
      <c r="C334" s="21"/>
      <c r="D334" s="21"/>
      <c r="E334" s="22"/>
      <c r="F334" s="22"/>
      <c r="G334" s="23"/>
      <c r="H334" s="23"/>
      <c r="I334" s="181"/>
      <c r="J334" s="8" t="str">
        <f t="shared" si="106"/>
        <v/>
      </c>
      <c r="K334" s="2" t="str">
        <f t="shared" si="115"/>
        <v/>
      </c>
      <c r="L334" s="2" t="str">
        <f t="shared" si="107"/>
        <v/>
      </c>
      <c r="M334" s="2" t="str">
        <f t="shared" si="116"/>
        <v/>
      </c>
      <c r="N334" s="2" t="str">
        <f t="shared" si="124"/>
        <v/>
      </c>
      <c r="O334" s="2" t="str">
        <f t="shared" si="117"/>
        <v/>
      </c>
      <c r="P334" s="8" t="str">
        <f t="shared" si="118"/>
        <v/>
      </c>
      <c r="Q334" s="8" t="str">
        <f t="shared" si="119"/>
        <v/>
      </c>
      <c r="R334" s="111" t="str">
        <f t="shared" si="120"/>
        <v/>
      </c>
      <c r="S334" s="44" t="str">
        <f t="shared" si="121"/>
        <v/>
      </c>
      <c r="T334" s="37" t="str">
        <f t="shared" si="122"/>
        <v/>
      </c>
      <c r="U334" s="44" t="str">
        <f t="shared" si="123"/>
        <v/>
      </c>
      <c r="V334" s="26"/>
      <c r="W334" s="26"/>
      <c r="X334" s="26"/>
      <c r="Y334" s="26"/>
      <c r="Z334" s="24"/>
      <c r="AA334" s="169">
        <f t="shared" si="108"/>
        <v>0</v>
      </c>
      <c r="AB334" s="4">
        <f t="shared" si="109"/>
        <v>0</v>
      </c>
      <c r="AC334" s="170">
        <f t="shared" si="105"/>
        <v>0</v>
      </c>
      <c r="AD334" s="58"/>
      <c r="AE334" s="58"/>
      <c r="AF334" s="58"/>
      <c r="AG334" s="59">
        <f t="shared" si="110"/>
        <v>9.0359999999999996</v>
      </c>
      <c r="AH334" s="59">
        <f t="shared" si="111"/>
        <v>-184.49199999999999</v>
      </c>
      <c r="AJ334" s="4">
        <f>IF(D334="M",IF(AM334&lt;78,BMILMS!$D$5*AM334^3+BMILMS!$E$5*AM334^2+BMILMS!$F$5*AM334+BMILMS!$G$5,IF(AM334&lt;150,BMILMS!$D$6*AM334^3+BMILMS!$E$6*AM334^2+BMILMS!$F$6*AM334+BMILMS!$G$6,BMILMS!$D$7*AM334^3+BMILMS!$E$7*AM334^2+BMILMS!$F$7*AM334+BMILMS!$G$7)),IF(AM334&lt;69,BMILMS!$D$9*AM334^3+BMILMS!$E$9*AM334^2+BMILMS!$F$9*AM334+BMILMS!$G$9,IF(AM334&lt;150,BMILMS!$D$10*AM334^3+BMILMS!$E$10*AM334^2+BMILMS!$F$10*AM334+BMILMS!$G$10,BMILMS!$D$11*AM334^3+BMILMS!$E$11*AM334^2+BMILMS!$F$11*AM334+BMILMS!$G$11)))</f>
        <v>0.79584630099999998</v>
      </c>
      <c r="AK334" s="4">
        <f>IF(D334="M",(IF(AM334&lt;2.5,BMILMS!$D$21*AM334^3+BMILMS!$E$21*AM334^2+BMILMS!$F$21*AM334+BMILMS!$G$21,IF(AM334&lt;9.5,BMILMS!$D$22*AM334^3+BMILMS!$E$22*AM334^2+BMILMS!$F$22*AM334+BMILMS!$G$22,IF(AM334&lt;26.75,BMILMS!$D$23*AM334^3+BMILMS!$E$23*AM334^2+BMILMS!$F$23*AM334+BMILMS!$G$23,IF(AM334&lt;90,BMILMS!$D$24*AM334^3+BMILMS!$E$24*AM334^2+BMILMS!$F$24*AM334+BMILMS!$G$24,BMILMS!$D$25*AM334^3+BMILMS!$E$25*AM334^2+BMILMS!$F$25*AM334+BMILMS!$G$25))))),(IF(AM334&lt;2.5,BMILMS!$D$27*AM334^3+BMILMS!$E$27*AM334^2+BMILMS!$F$27*AM334+BMILMS!$G$27,IF(AM334&lt;9.5,BMILMS!$D$28*AM334^3+BMILMS!$E$28*AM334^2+BMILMS!$F$28*AM334+BMILMS!$G$28,IF(AM334&lt;26.75,BMILMS!$D$29*AM334^3+BMILMS!$E$29*AM334^2+BMILMS!$F$29*AM334+BMILMS!$G$29,IF(AM334&lt;90,BMILMS!$D$30*AM334^3+BMILMS!$E$30*AM334^2+BMILMS!$F$30*AM334+BMILMS!$G$30,IF(AM334&lt;150,BMILMS!$D$31*AM334^3+BMILMS!$E$31*AM334^2+BMILMS!$F$31*AM334+BMILMS!$G$31,BMILMS!$D$32*AM334^3+BMILMS!$E$32*AM334^2+BMILMS!$F$32*AM334+BMILMS!$G$32)))))))</f>
        <v>12.568967990000001</v>
      </c>
      <c r="AL334" s="4">
        <f>IF(D334="M",(IF(AM334&lt;90,BMILMS!$D$14*AM334^3+BMILMS!$E$14*AM334^2+BMILMS!$F$14*AM334+BMILMS!$G$14,BMILMS!$D$15*AM334^3+BMILMS!$E$15*AM334^2+BMILMS!$F$15*AM334+BMILMS!$G$15)),(IF(AM334&lt;90,BMILMS!$D$17*AM334^3+BMILMS!$E$17*AM334^2+BMILMS!$F$17*AM334+BMILMS!$G$17,BMILMS!$D$18*AM334^3+BMILMS!$E$18*AM334^2+BMILMS!$F$18*AM334+BMILMS!$G$18)))</f>
        <v>8.8969350000000003E-2</v>
      </c>
      <c r="AM334" s="4">
        <f t="shared" si="125"/>
        <v>0</v>
      </c>
      <c r="AO334" s="56">
        <f>IF(D334="M",WeightSDS!P$5*$AM334^7+WeightSDS!Q$5*$AM334^6+WeightSDS!R$5*$AM334^5+WeightSDS!S$5*$AM334^4+WeightSDS!T$5*$AM334^3+WeightSDS!U$5*$AM334^2+WeightSDS!V$5*$AM334+WeightSDS!W$5,IF($AM334&lt;186,WeightSDS!P$8*$AM334^7+WeightSDS!Q$8*$AM334^6+WeightSDS!R$8*$AM334^5+WeightSDS!S$8*$AM334^4+WeightSDS!T$8*$AM334^3+WeightSDS!U$8*$AM334^2+WeightSDS!V$8*$AM334+WeightSDS!W$8,WeightSDS!$U$9+WeightSDS!$V$9*($AM334-WeightSDS!$W$9)))</f>
        <v>0.75407122999999998</v>
      </c>
      <c r="AP334" s="4">
        <f>IF(D334="M",IF($AM334&lt;45,WeightSDS!M$23*$AM334^10+WeightSDS!N$23*$AM334^9+WeightSDS!O$23*$AM334^8+WeightSDS!P$23*$AM334^7+WeightSDS!Q$23*$AM334^6+WeightSDS!R$23*$AM334^5+WeightSDS!S$23*$AM334^4+WeightSDS!T$23*$AM334^3+WeightSDS!U$23*$AM334^2+WeightSDS!V$23*$AM334+WeightSDS!W$23,IF($AM334&lt;153,WeightSDS!M$25*$AM334^10+WeightSDS!N$25*$AM334^9+WeightSDS!O$25*$AM334^8+WeightSDS!P$25*$AM334^7+WeightSDS!Q$25*$AM334^6+WeightSDS!R$25*$AM334^5+WeightSDS!S$25*$AM334^4+WeightSDS!T$25*$AM334^3+WeightSDS!U$25*$AM334^2+WeightSDS!V$25*$AM334+WeightSDS!W$25,WeightSDS!M$27+WeightSDS!N$27/(1+EXP(WeightSDS!O$27+WeightSDS!P$27*$AM334)))),IF($AM334&lt;43.8,WeightSDS!M$29*$AM334^10+WeightSDS!N$29*$AM334^9+WeightSDS!O$29*$AM334^8+WeightSDS!P$29*$AM334^7+WeightSDS!Q$29*$AM334^6+WeightSDS!R$29*$AM334^5+WeightSDS!S$29*$AM334^4+WeightSDS!T$29*$AM334^3+WeightSDS!U$29*$AM334^2+WeightSDS!V$29*$AM334+WeightSDS!W$29-0.010431*(1-$AM334/210),IF($AM334&lt;123,WeightSDS!M$30*$AM334^10+WeightSDS!N$30*$AM334^9+WeightSDS!O$30*$AM334^8+WeightSDS!P$30*$AM334^7+WeightSDS!Q$30*$AM334^6+WeightSDS!R$30*$AM334^5+WeightSDS!S$30*$AM334^4+WeightSDS!T$30*$AM334^3+WeightSDS!U$30*$AM334^2+WeightSDS!V$30*$AM334+WeightSDS!W$30-0.010431*(1-1/$AM334),WeightSDS!M$32+WeightSDS!N$32/(1+EXP(WeightSDS!O$32+WeightSDS!P$32*$AM334))-0.010431*(1-$AM334/210))))</f>
        <v>2.9500001032655536</v>
      </c>
      <c r="AQ334" s="4">
        <f>IF(D334="M",IF($AM334&lt;162,WeightSDS!P$12*$AM334^7+WeightSDS!Q$12*$AM334^6+WeightSDS!R$12*$AM334^5+WeightSDS!S$12*$AM334^4+WeightSDS!T$12*$AM334^3+WeightSDS!U$12*$AM334^2+WeightSDS!V$12*$AM334+WeightSDS!W$12,WeightSDS!P$14*$AM334^7+WeightSDS!Q$14*$AM334^6+WeightSDS!R$14*$AM334^5+WeightSDS!S$14*$AM334^4+WeightSDS!T$14*$AM334^3+WeightSDS!U$14*$AM334^2+WeightSDS!V$14*$AM334+WeightSDS!W$14),IF($AM334&lt;156,WeightSDS!O$17*$AM334^8+WeightSDS!P$17*$AM334^7+WeightSDS!Q$17*$AM334^6+WeightSDS!R$17*$AM334^5+WeightSDS!S$17*$AM334^4+WeightSDS!T$17*$AM334^3+WeightSDS!U$17*$AM334^2+WeightSDS!V$17*$AM334+WeightSDS!W$17,IF($AM334&lt;186,WeightSDS!$U$18+(WeightSDS!$V$18-WeightSDS!$U$18)/24*($AM334-186)+WeightSDS!$W$18*(-$AM334+186)^2-0.005,WeightSDS!$U$18+(WeightSDS!$V$18-WeightSDS!$U$18)/24*($AM334-186)-0.005)))</f>
        <v>0.14604529399999999</v>
      </c>
      <c r="AT334" s="4">
        <f t="shared" si="112"/>
        <v>0.56299999999999994</v>
      </c>
      <c r="AU334" s="4">
        <f t="shared" si="113"/>
        <v>69</v>
      </c>
      <c r="AV334" s="4">
        <f t="shared" si="114"/>
        <v>0.51</v>
      </c>
    </row>
    <row r="335" spans="1:48" x14ac:dyDescent="0.15">
      <c r="A335" s="4"/>
      <c r="B335" s="21"/>
      <c r="C335" s="21"/>
      <c r="D335" s="21"/>
      <c r="E335" s="22"/>
      <c r="F335" s="22"/>
      <c r="G335" s="23"/>
      <c r="H335" s="23"/>
      <c r="I335" s="181"/>
      <c r="J335" s="8" t="str">
        <f t="shared" si="106"/>
        <v/>
      </c>
      <c r="K335" s="2" t="str">
        <f t="shared" si="115"/>
        <v/>
      </c>
      <c r="L335" s="2" t="str">
        <f t="shared" si="107"/>
        <v/>
      </c>
      <c r="M335" s="2" t="str">
        <f t="shared" si="116"/>
        <v/>
      </c>
      <c r="N335" s="2" t="str">
        <f t="shared" si="124"/>
        <v/>
      </c>
      <c r="O335" s="2" t="str">
        <f t="shared" si="117"/>
        <v/>
      </c>
      <c r="P335" s="8" t="str">
        <f t="shared" si="118"/>
        <v/>
      </c>
      <c r="Q335" s="8" t="str">
        <f t="shared" si="119"/>
        <v/>
      </c>
      <c r="R335" s="111" t="str">
        <f t="shared" si="120"/>
        <v/>
      </c>
      <c r="S335" s="44" t="str">
        <f t="shared" si="121"/>
        <v/>
      </c>
      <c r="T335" s="37" t="str">
        <f t="shared" si="122"/>
        <v/>
      </c>
      <c r="U335" s="44" t="str">
        <f t="shared" si="123"/>
        <v/>
      </c>
      <c r="V335" s="26"/>
      <c r="W335" s="26"/>
      <c r="X335" s="26"/>
      <c r="Y335" s="26"/>
      <c r="Z335" s="24"/>
      <c r="AA335" s="169">
        <f t="shared" si="108"/>
        <v>0</v>
      </c>
      <c r="AB335" s="4">
        <f t="shared" si="109"/>
        <v>0</v>
      </c>
      <c r="AC335" s="170">
        <f t="shared" si="105"/>
        <v>0</v>
      </c>
      <c r="AD335" s="58"/>
      <c r="AE335" s="58"/>
      <c r="AF335" s="58"/>
      <c r="AG335" s="59">
        <f t="shared" si="110"/>
        <v>9.0359999999999996</v>
      </c>
      <c r="AH335" s="59">
        <f t="shared" si="111"/>
        <v>-184.49199999999999</v>
      </c>
      <c r="AJ335" s="4">
        <f>IF(D335="M",IF(AM335&lt;78,BMILMS!$D$5*AM335^3+BMILMS!$E$5*AM335^2+BMILMS!$F$5*AM335+BMILMS!$G$5,IF(AM335&lt;150,BMILMS!$D$6*AM335^3+BMILMS!$E$6*AM335^2+BMILMS!$F$6*AM335+BMILMS!$G$6,BMILMS!$D$7*AM335^3+BMILMS!$E$7*AM335^2+BMILMS!$F$7*AM335+BMILMS!$G$7)),IF(AM335&lt;69,BMILMS!$D$9*AM335^3+BMILMS!$E$9*AM335^2+BMILMS!$F$9*AM335+BMILMS!$G$9,IF(AM335&lt;150,BMILMS!$D$10*AM335^3+BMILMS!$E$10*AM335^2+BMILMS!$F$10*AM335+BMILMS!$G$10,BMILMS!$D$11*AM335^3+BMILMS!$E$11*AM335^2+BMILMS!$F$11*AM335+BMILMS!$G$11)))</f>
        <v>0.79584630099999998</v>
      </c>
      <c r="AK335" s="4">
        <f>IF(D335="M",(IF(AM335&lt;2.5,BMILMS!$D$21*AM335^3+BMILMS!$E$21*AM335^2+BMILMS!$F$21*AM335+BMILMS!$G$21,IF(AM335&lt;9.5,BMILMS!$D$22*AM335^3+BMILMS!$E$22*AM335^2+BMILMS!$F$22*AM335+BMILMS!$G$22,IF(AM335&lt;26.75,BMILMS!$D$23*AM335^3+BMILMS!$E$23*AM335^2+BMILMS!$F$23*AM335+BMILMS!$G$23,IF(AM335&lt;90,BMILMS!$D$24*AM335^3+BMILMS!$E$24*AM335^2+BMILMS!$F$24*AM335+BMILMS!$G$24,BMILMS!$D$25*AM335^3+BMILMS!$E$25*AM335^2+BMILMS!$F$25*AM335+BMILMS!$G$25))))),(IF(AM335&lt;2.5,BMILMS!$D$27*AM335^3+BMILMS!$E$27*AM335^2+BMILMS!$F$27*AM335+BMILMS!$G$27,IF(AM335&lt;9.5,BMILMS!$D$28*AM335^3+BMILMS!$E$28*AM335^2+BMILMS!$F$28*AM335+BMILMS!$G$28,IF(AM335&lt;26.75,BMILMS!$D$29*AM335^3+BMILMS!$E$29*AM335^2+BMILMS!$F$29*AM335+BMILMS!$G$29,IF(AM335&lt;90,BMILMS!$D$30*AM335^3+BMILMS!$E$30*AM335^2+BMILMS!$F$30*AM335+BMILMS!$G$30,IF(AM335&lt;150,BMILMS!$D$31*AM335^3+BMILMS!$E$31*AM335^2+BMILMS!$F$31*AM335+BMILMS!$G$31,BMILMS!$D$32*AM335^3+BMILMS!$E$32*AM335^2+BMILMS!$F$32*AM335+BMILMS!$G$32)))))))</f>
        <v>12.568967990000001</v>
      </c>
      <c r="AL335" s="4">
        <f>IF(D335="M",(IF(AM335&lt;90,BMILMS!$D$14*AM335^3+BMILMS!$E$14*AM335^2+BMILMS!$F$14*AM335+BMILMS!$G$14,BMILMS!$D$15*AM335^3+BMILMS!$E$15*AM335^2+BMILMS!$F$15*AM335+BMILMS!$G$15)),(IF(AM335&lt;90,BMILMS!$D$17*AM335^3+BMILMS!$E$17*AM335^2+BMILMS!$F$17*AM335+BMILMS!$G$17,BMILMS!$D$18*AM335^3+BMILMS!$E$18*AM335^2+BMILMS!$F$18*AM335+BMILMS!$G$18)))</f>
        <v>8.8969350000000003E-2</v>
      </c>
      <c r="AM335" s="4">
        <f t="shared" si="125"/>
        <v>0</v>
      </c>
      <c r="AO335" s="56">
        <f>IF(D335="M",WeightSDS!P$5*$AM335^7+WeightSDS!Q$5*$AM335^6+WeightSDS!R$5*$AM335^5+WeightSDS!S$5*$AM335^4+WeightSDS!T$5*$AM335^3+WeightSDS!U$5*$AM335^2+WeightSDS!V$5*$AM335+WeightSDS!W$5,IF($AM335&lt;186,WeightSDS!P$8*$AM335^7+WeightSDS!Q$8*$AM335^6+WeightSDS!R$8*$AM335^5+WeightSDS!S$8*$AM335^4+WeightSDS!T$8*$AM335^3+WeightSDS!U$8*$AM335^2+WeightSDS!V$8*$AM335+WeightSDS!W$8,WeightSDS!$U$9+WeightSDS!$V$9*($AM335-WeightSDS!$W$9)))</f>
        <v>0.75407122999999998</v>
      </c>
      <c r="AP335" s="4">
        <f>IF(D335="M",IF($AM335&lt;45,WeightSDS!M$23*$AM335^10+WeightSDS!N$23*$AM335^9+WeightSDS!O$23*$AM335^8+WeightSDS!P$23*$AM335^7+WeightSDS!Q$23*$AM335^6+WeightSDS!R$23*$AM335^5+WeightSDS!S$23*$AM335^4+WeightSDS!T$23*$AM335^3+WeightSDS!U$23*$AM335^2+WeightSDS!V$23*$AM335+WeightSDS!W$23,IF($AM335&lt;153,WeightSDS!M$25*$AM335^10+WeightSDS!N$25*$AM335^9+WeightSDS!O$25*$AM335^8+WeightSDS!P$25*$AM335^7+WeightSDS!Q$25*$AM335^6+WeightSDS!R$25*$AM335^5+WeightSDS!S$25*$AM335^4+WeightSDS!T$25*$AM335^3+WeightSDS!U$25*$AM335^2+WeightSDS!V$25*$AM335+WeightSDS!W$25,WeightSDS!M$27+WeightSDS!N$27/(1+EXP(WeightSDS!O$27+WeightSDS!P$27*$AM335)))),IF($AM335&lt;43.8,WeightSDS!M$29*$AM335^10+WeightSDS!N$29*$AM335^9+WeightSDS!O$29*$AM335^8+WeightSDS!P$29*$AM335^7+WeightSDS!Q$29*$AM335^6+WeightSDS!R$29*$AM335^5+WeightSDS!S$29*$AM335^4+WeightSDS!T$29*$AM335^3+WeightSDS!U$29*$AM335^2+WeightSDS!V$29*$AM335+WeightSDS!W$29-0.010431*(1-$AM335/210),IF($AM335&lt;123,WeightSDS!M$30*$AM335^10+WeightSDS!N$30*$AM335^9+WeightSDS!O$30*$AM335^8+WeightSDS!P$30*$AM335^7+WeightSDS!Q$30*$AM335^6+WeightSDS!R$30*$AM335^5+WeightSDS!S$30*$AM335^4+WeightSDS!T$30*$AM335^3+WeightSDS!U$30*$AM335^2+WeightSDS!V$30*$AM335+WeightSDS!W$30-0.010431*(1-1/$AM335),WeightSDS!M$32+WeightSDS!N$32/(1+EXP(WeightSDS!O$32+WeightSDS!P$32*$AM335))-0.010431*(1-$AM335/210))))</f>
        <v>2.9500001032655536</v>
      </c>
      <c r="AQ335" s="4">
        <f>IF(D335="M",IF($AM335&lt;162,WeightSDS!P$12*$AM335^7+WeightSDS!Q$12*$AM335^6+WeightSDS!R$12*$AM335^5+WeightSDS!S$12*$AM335^4+WeightSDS!T$12*$AM335^3+WeightSDS!U$12*$AM335^2+WeightSDS!V$12*$AM335+WeightSDS!W$12,WeightSDS!P$14*$AM335^7+WeightSDS!Q$14*$AM335^6+WeightSDS!R$14*$AM335^5+WeightSDS!S$14*$AM335^4+WeightSDS!T$14*$AM335^3+WeightSDS!U$14*$AM335^2+WeightSDS!V$14*$AM335+WeightSDS!W$14),IF($AM335&lt;156,WeightSDS!O$17*$AM335^8+WeightSDS!P$17*$AM335^7+WeightSDS!Q$17*$AM335^6+WeightSDS!R$17*$AM335^5+WeightSDS!S$17*$AM335^4+WeightSDS!T$17*$AM335^3+WeightSDS!U$17*$AM335^2+WeightSDS!V$17*$AM335+WeightSDS!W$17,IF($AM335&lt;186,WeightSDS!$U$18+(WeightSDS!$V$18-WeightSDS!$U$18)/24*($AM335-186)+WeightSDS!$W$18*(-$AM335+186)^2-0.005,WeightSDS!$U$18+(WeightSDS!$V$18-WeightSDS!$U$18)/24*($AM335-186)-0.005)))</f>
        <v>0.14604529399999999</v>
      </c>
      <c r="AT335" s="4">
        <f t="shared" si="112"/>
        <v>0.56299999999999994</v>
      </c>
      <c r="AU335" s="4">
        <f t="shared" si="113"/>
        <v>69</v>
      </c>
      <c r="AV335" s="4">
        <f t="shared" si="114"/>
        <v>0.51</v>
      </c>
    </row>
    <row r="336" spans="1:48" x14ac:dyDescent="0.15">
      <c r="A336" s="4"/>
      <c r="B336" s="21"/>
      <c r="C336" s="21"/>
      <c r="D336" s="21"/>
      <c r="E336" s="22"/>
      <c r="F336" s="22"/>
      <c r="G336" s="23"/>
      <c r="H336" s="23"/>
      <c r="I336" s="181"/>
      <c r="J336" s="8" t="str">
        <f t="shared" si="106"/>
        <v/>
      </c>
      <c r="K336" s="2" t="str">
        <f t="shared" si="115"/>
        <v/>
      </c>
      <c r="L336" s="2" t="str">
        <f t="shared" si="107"/>
        <v/>
      </c>
      <c r="M336" s="2" t="str">
        <f t="shared" si="116"/>
        <v/>
      </c>
      <c r="N336" s="2" t="str">
        <f t="shared" si="124"/>
        <v/>
      </c>
      <c r="O336" s="2" t="str">
        <f t="shared" si="117"/>
        <v/>
      </c>
      <c r="P336" s="8" t="str">
        <f t="shared" si="118"/>
        <v/>
      </c>
      <c r="Q336" s="8" t="str">
        <f t="shared" si="119"/>
        <v/>
      </c>
      <c r="R336" s="111" t="str">
        <f t="shared" si="120"/>
        <v/>
      </c>
      <c r="S336" s="44" t="str">
        <f t="shared" si="121"/>
        <v/>
      </c>
      <c r="T336" s="37" t="str">
        <f t="shared" si="122"/>
        <v/>
      </c>
      <c r="U336" s="44" t="str">
        <f t="shared" si="123"/>
        <v/>
      </c>
      <c r="V336" s="26"/>
      <c r="W336" s="26"/>
      <c r="X336" s="26"/>
      <c r="Y336" s="26"/>
      <c r="Z336" s="24"/>
      <c r="AA336" s="169">
        <f t="shared" si="108"/>
        <v>0</v>
      </c>
      <c r="AB336" s="4">
        <f t="shared" si="109"/>
        <v>0</v>
      </c>
      <c r="AC336" s="170">
        <f t="shared" si="105"/>
        <v>0</v>
      </c>
      <c r="AD336" s="58"/>
      <c r="AE336" s="58"/>
      <c r="AF336" s="58"/>
      <c r="AG336" s="59">
        <f t="shared" si="110"/>
        <v>9.0359999999999996</v>
      </c>
      <c r="AH336" s="59">
        <f t="shared" si="111"/>
        <v>-184.49199999999999</v>
      </c>
      <c r="AJ336" s="4">
        <f>IF(D336="M",IF(AM336&lt;78,BMILMS!$D$5*AM336^3+BMILMS!$E$5*AM336^2+BMILMS!$F$5*AM336+BMILMS!$G$5,IF(AM336&lt;150,BMILMS!$D$6*AM336^3+BMILMS!$E$6*AM336^2+BMILMS!$F$6*AM336+BMILMS!$G$6,BMILMS!$D$7*AM336^3+BMILMS!$E$7*AM336^2+BMILMS!$F$7*AM336+BMILMS!$G$7)),IF(AM336&lt;69,BMILMS!$D$9*AM336^3+BMILMS!$E$9*AM336^2+BMILMS!$F$9*AM336+BMILMS!$G$9,IF(AM336&lt;150,BMILMS!$D$10*AM336^3+BMILMS!$E$10*AM336^2+BMILMS!$F$10*AM336+BMILMS!$G$10,BMILMS!$D$11*AM336^3+BMILMS!$E$11*AM336^2+BMILMS!$F$11*AM336+BMILMS!$G$11)))</f>
        <v>0.79584630099999998</v>
      </c>
      <c r="AK336" s="4">
        <f>IF(D336="M",(IF(AM336&lt;2.5,BMILMS!$D$21*AM336^3+BMILMS!$E$21*AM336^2+BMILMS!$F$21*AM336+BMILMS!$G$21,IF(AM336&lt;9.5,BMILMS!$D$22*AM336^3+BMILMS!$E$22*AM336^2+BMILMS!$F$22*AM336+BMILMS!$G$22,IF(AM336&lt;26.75,BMILMS!$D$23*AM336^3+BMILMS!$E$23*AM336^2+BMILMS!$F$23*AM336+BMILMS!$G$23,IF(AM336&lt;90,BMILMS!$D$24*AM336^3+BMILMS!$E$24*AM336^2+BMILMS!$F$24*AM336+BMILMS!$G$24,BMILMS!$D$25*AM336^3+BMILMS!$E$25*AM336^2+BMILMS!$F$25*AM336+BMILMS!$G$25))))),(IF(AM336&lt;2.5,BMILMS!$D$27*AM336^3+BMILMS!$E$27*AM336^2+BMILMS!$F$27*AM336+BMILMS!$G$27,IF(AM336&lt;9.5,BMILMS!$D$28*AM336^3+BMILMS!$E$28*AM336^2+BMILMS!$F$28*AM336+BMILMS!$G$28,IF(AM336&lt;26.75,BMILMS!$D$29*AM336^3+BMILMS!$E$29*AM336^2+BMILMS!$F$29*AM336+BMILMS!$G$29,IF(AM336&lt;90,BMILMS!$D$30*AM336^3+BMILMS!$E$30*AM336^2+BMILMS!$F$30*AM336+BMILMS!$G$30,IF(AM336&lt;150,BMILMS!$D$31*AM336^3+BMILMS!$E$31*AM336^2+BMILMS!$F$31*AM336+BMILMS!$G$31,BMILMS!$D$32*AM336^3+BMILMS!$E$32*AM336^2+BMILMS!$F$32*AM336+BMILMS!$G$32)))))))</f>
        <v>12.568967990000001</v>
      </c>
      <c r="AL336" s="4">
        <f>IF(D336="M",(IF(AM336&lt;90,BMILMS!$D$14*AM336^3+BMILMS!$E$14*AM336^2+BMILMS!$F$14*AM336+BMILMS!$G$14,BMILMS!$D$15*AM336^3+BMILMS!$E$15*AM336^2+BMILMS!$F$15*AM336+BMILMS!$G$15)),(IF(AM336&lt;90,BMILMS!$D$17*AM336^3+BMILMS!$E$17*AM336^2+BMILMS!$F$17*AM336+BMILMS!$G$17,BMILMS!$D$18*AM336^3+BMILMS!$E$18*AM336^2+BMILMS!$F$18*AM336+BMILMS!$G$18)))</f>
        <v>8.8969350000000003E-2</v>
      </c>
      <c r="AM336" s="4">
        <f t="shared" si="125"/>
        <v>0</v>
      </c>
      <c r="AO336" s="56">
        <f>IF(D336="M",WeightSDS!P$5*$AM336^7+WeightSDS!Q$5*$AM336^6+WeightSDS!R$5*$AM336^5+WeightSDS!S$5*$AM336^4+WeightSDS!T$5*$AM336^3+WeightSDS!U$5*$AM336^2+WeightSDS!V$5*$AM336+WeightSDS!W$5,IF($AM336&lt;186,WeightSDS!P$8*$AM336^7+WeightSDS!Q$8*$AM336^6+WeightSDS!R$8*$AM336^5+WeightSDS!S$8*$AM336^4+WeightSDS!T$8*$AM336^3+WeightSDS!U$8*$AM336^2+WeightSDS!V$8*$AM336+WeightSDS!W$8,WeightSDS!$U$9+WeightSDS!$V$9*($AM336-WeightSDS!$W$9)))</f>
        <v>0.75407122999999998</v>
      </c>
      <c r="AP336" s="4">
        <f>IF(D336="M",IF($AM336&lt;45,WeightSDS!M$23*$AM336^10+WeightSDS!N$23*$AM336^9+WeightSDS!O$23*$AM336^8+WeightSDS!P$23*$AM336^7+WeightSDS!Q$23*$AM336^6+WeightSDS!R$23*$AM336^5+WeightSDS!S$23*$AM336^4+WeightSDS!T$23*$AM336^3+WeightSDS!U$23*$AM336^2+WeightSDS!V$23*$AM336+WeightSDS!W$23,IF($AM336&lt;153,WeightSDS!M$25*$AM336^10+WeightSDS!N$25*$AM336^9+WeightSDS!O$25*$AM336^8+WeightSDS!P$25*$AM336^7+WeightSDS!Q$25*$AM336^6+WeightSDS!R$25*$AM336^5+WeightSDS!S$25*$AM336^4+WeightSDS!T$25*$AM336^3+WeightSDS!U$25*$AM336^2+WeightSDS!V$25*$AM336+WeightSDS!W$25,WeightSDS!M$27+WeightSDS!N$27/(1+EXP(WeightSDS!O$27+WeightSDS!P$27*$AM336)))),IF($AM336&lt;43.8,WeightSDS!M$29*$AM336^10+WeightSDS!N$29*$AM336^9+WeightSDS!O$29*$AM336^8+WeightSDS!P$29*$AM336^7+WeightSDS!Q$29*$AM336^6+WeightSDS!R$29*$AM336^5+WeightSDS!S$29*$AM336^4+WeightSDS!T$29*$AM336^3+WeightSDS!U$29*$AM336^2+WeightSDS!V$29*$AM336+WeightSDS!W$29-0.010431*(1-$AM336/210),IF($AM336&lt;123,WeightSDS!M$30*$AM336^10+WeightSDS!N$30*$AM336^9+WeightSDS!O$30*$AM336^8+WeightSDS!P$30*$AM336^7+WeightSDS!Q$30*$AM336^6+WeightSDS!R$30*$AM336^5+WeightSDS!S$30*$AM336^4+WeightSDS!T$30*$AM336^3+WeightSDS!U$30*$AM336^2+WeightSDS!V$30*$AM336+WeightSDS!W$30-0.010431*(1-1/$AM336),WeightSDS!M$32+WeightSDS!N$32/(1+EXP(WeightSDS!O$32+WeightSDS!P$32*$AM336))-0.010431*(1-$AM336/210))))</f>
        <v>2.9500001032655536</v>
      </c>
      <c r="AQ336" s="4">
        <f>IF(D336="M",IF($AM336&lt;162,WeightSDS!P$12*$AM336^7+WeightSDS!Q$12*$AM336^6+WeightSDS!R$12*$AM336^5+WeightSDS!S$12*$AM336^4+WeightSDS!T$12*$AM336^3+WeightSDS!U$12*$AM336^2+WeightSDS!V$12*$AM336+WeightSDS!W$12,WeightSDS!P$14*$AM336^7+WeightSDS!Q$14*$AM336^6+WeightSDS!R$14*$AM336^5+WeightSDS!S$14*$AM336^4+WeightSDS!T$14*$AM336^3+WeightSDS!U$14*$AM336^2+WeightSDS!V$14*$AM336+WeightSDS!W$14),IF($AM336&lt;156,WeightSDS!O$17*$AM336^8+WeightSDS!P$17*$AM336^7+WeightSDS!Q$17*$AM336^6+WeightSDS!R$17*$AM336^5+WeightSDS!S$17*$AM336^4+WeightSDS!T$17*$AM336^3+WeightSDS!U$17*$AM336^2+WeightSDS!V$17*$AM336+WeightSDS!W$17,IF($AM336&lt;186,WeightSDS!$U$18+(WeightSDS!$V$18-WeightSDS!$U$18)/24*($AM336-186)+WeightSDS!$W$18*(-$AM336+186)^2-0.005,WeightSDS!$U$18+(WeightSDS!$V$18-WeightSDS!$U$18)/24*($AM336-186)-0.005)))</f>
        <v>0.14604529399999999</v>
      </c>
      <c r="AT336" s="4">
        <f t="shared" si="112"/>
        <v>0.56299999999999994</v>
      </c>
      <c r="AU336" s="4">
        <f t="shared" si="113"/>
        <v>69</v>
      </c>
      <c r="AV336" s="4">
        <f t="shared" si="114"/>
        <v>0.51</v>
      </c>
    </row>
    <row r="337" spans="1:48" x14ac:dyDescent="0.15">
      <c r="A337" s="4"/>
      <c r="B337" s="21"/>
      <c r="C337" s="21"/>
      <c r="D337" s="21"/>
      <c r="E337" s="22"/>
      <c r="F337" s="22"/>
      <c r="G337" s="23"/>
      <c r="H337" s="23"/>
      <c r="I337" s="181"/>
      <c r="J337" s="8" t="str">
        <f t="shared" si="106"/>
        <v/>
      </c>
      <c r="K337" s="2" t="str">
        <f t="shared" si="115"/>
        <v/>
      </c>
      <c r="L337" s="2" t="str">
        <f t="shared" si="107"/>
        <v/>
      </c>
      <c r="M337" s="2" t="str">
        <f t="shared" si="116"/>
        <v/>
      </c>
      <c r="N337" s="2" t="str">
        <f t="shared" si="124"/>
        <v/>
      </c>
      <c r="O337" s="2" t="str">
        <f t="shared" si="117"/>
        <v/>
      </c>
      <c r="P337" s="8" t="str">
        <f t="shared" si="118"/>
        <v/>
      </c>
      <c r="Q337" s="8" t="str">
        <f t="shared" si="119"/>
        <v/>
      </c>
      <c r="R337" s="111" t="str">
        <f t="shared" si="120"/>
        <v/>
      </c>
      <c r="S337" s="44" t="str">
        <f t="shared" si="121"/>
        <v/>
      </c>
      <c r="T337" s="37" t="str">
        <f t="shared" si="122"/>
        <v/>
      </c>
      <c r="U337" s="44" t="str">
        <f t="shared" si="123"/>
        <v/>
      </c>
      <c r="V337" s="26"/>
      <c r="W337" s="26"/>
      <c r="X337" s="26"/>
      <c r="Y337" s="26"/>
      <c r="Z337" s="24"/>
      <c r="AA337" s="169">
        <f t="shared" si="108"/>
        <v>0</v>
      </c>
      <c r="AB337" s="4">
        <f t="shared" si="109"/>
        <v>0</v>
      </c>
      <c r="AC337" s="170">
        <f t="shared" si="105"/>
        <v>0</v>
      </c>
      <c r="AD337" s="58"/>
      <c r="AE337" s="58"/>
      <c r="AF337" s="58"/>
      <c r="AG337" s="59">
        <f t="shared" si="110"/>
        <v>9.0359999999999996</v>
      </c>
      <c r="AH337" s="59">
        <f t="shared" si="111"/>
        <v>-184.49199999999999</v>
      </c>
      <c r="AJ337" s="4">
        <f>IF(D337="M",IF(AM337&lt;78,BMILMS!$D$5*AM337^3+BMILMS!$E$5*AM337^2+BMILMS!$F$5*AM337+BMILMS!$G$5,IF(AM337&lt;150,BMILMS!$D$6*AM337^3+BMILMS!$E$6*AM337^2+BMILMS!$F$6*AM337+BMILMS!$G$6,BMILMS!$D$7*AM337^3+BMILMS!$E$7*AM337^2+BMILMS!$F$7*AM337+BMILMS!$G$7)),IF(AM337&lt;69,BMILMS!$D$9*AM337^3+BMILMS!$E$9*AM337^2+BMILMS!$F$9*AM337+BMILMS!$G$9,IF(AM337&lt;150,BMILMS!$D$10*AM337^3+BMILMS!$E$10*AM337^2+BMILMS!$F$10*AM337+BMILMS!$G$10,BMILMS!$D$11*AM337^3+BMILMS!$E$11*AM337^2+BMILMS!$F$11*AM337+BMILMS!$G$11)))</f>
        <v>0.79584630099999998</v>
      </c>
      <c r="AK337" s="4">
        <f>IF(D337="M",(IF(AM337&lt;2.5,BMILMS!$D$21*AM337^3+BMILMS!$E$21*AM337^2+BMILMS!$F$21*AM337+BMILMS!$G$21,IF(AM337&lt;9.5,BMILMS!$D$22*AM337^3+BMILMS!$E$22*AM337^2+BMILMS!$F$22*AM337+BMILMS!$G$22,IF(AM337&lt;26.75,BMILMS!$D$23*AM337^3+BMILMS!$E$23*AM337^2+BMILMS!$F$23*AM337+BMILMS!$G$23,IF(AM337&lt;90,BMILMS!$D$24*AM337^3+BMILMS!$E$24*AM337^2+BMILMS!$F$24*AM337+BMILMS!$G$24,BMILMS!$D$25*AM337^3+BMILMS!$E$25*AM337^2+BMILMS!$F$25*AM337+BMILMS!$G$25))))),(IF(AM337&lt;2.5,BMILMS!$D$27*AM337^3+BMILMS!$E$27*AM337^2+BMILMS!$F$27*AM337+BMILMS!$G$27,IF(AM337&lt;9.5,BMILMS!$D$28*AM337^3+BMILMS!$E$28*AM337^2+BMILMS!$F$28*AM337+BMILMS!$G$28,IF(AM337&lt;26.75,BMILMS!$D$29*AM337^3+BMILMS!$E$29*AM337^2+BMILMS!$F$29*AM337+BMILMS!$G$29,IF(AM337&lt;90,BMILMS!$D$30*AM337^3+BMILMS!$E$30*AM337^2+BMILMS!$F$30*AM337+BMILMS!$G$30,IF(AM337&lt;150,BMILMS!$D$31*AM337^3+BMILMS!$E$31*AM337^2+BMILMS!$F$31*AM337+BMILMS!$G$31,BMILMS!$D$32*AM337^3+BMILMS!$E$32*AM337^2+BMILMS!$F$32*AM337+BMILMS!$G$32)))))))</f>
        <v>12.568967990000001</v>
      </c>
      <c r="AL337" s="4">
        <f>IF(D337="M",(IF(AM337&lt;90,BMILMS!$D$14*AM337^3+BMILMS!$E$14*AM337^2+BMILMS!$F$14*AM337+BMILMS!$G$14,BMILMS!$D$15*AM337^3+BMILMS!$E$15*AM337^2+BMILMS!$F$15*AM337+BMILMS!$G$15)),(IF(AM337&lt;90,BMILMS!$D$17*AM337^3+BMILMS!$E$17*AM337^2+BMILMS!$F$17*AM337+BMILMS!$G$17,BMILMS!$D$18*AM337^3+BMILMS!$E$18*AM337^2+BMILMS!$F$18*AM337+BMILMS!$G$18)))</f>
        <v>8.8969350000000003E-2</v>
      </c>
      <c r="AM337" s="4">
        <f t="shared" si="125"/>
        <v>0</v>
      </c>
      <c r="AO337" s="56">
        <f>IF(D337="M",WeightSDS!P$5*$AM337^7+WeightSDS!Q$5*$AM337^6+WeightSDS!R$5*$AM337^5+WeightSDS!S$5*$AM337^4+WeightSDS!T$5*$AM337^3+WeightSDS!U$5*$AM337^2+WeightSDS!V$5*$AM337+WeightSDS!W$5,IF($AM337&lt;186,WeightSDS!P$8*$AM337^7+WeightSDS!Q$8*$AM337^6+WeightSDS!R$8*$AM337^5+WeightSDS!S$8*$AM337^4+WeightSDS!T$8*$AM337^3+WeightSDS!U$8*$AM337^2+WeightSDS!V$8*$AM337+WeightSDS!W$8,WeightSDS!$U$9+WeightSDS!$V$9*($AM337-WeightSDS!$W$9)))</f>
        <v>0.75407122999999998</v>
      </c>
      <c r="AP337" s="4">
        <f>IF(D337="M",IF($AM337&lt;45,WeightSDS!M$23*$AM337^10+WeightSDS!N$23*$AM337^9+WeightSDS!O$23*$AM337^8+WeightSDS!P$23*$AM337^7+WeightSDS!Q$23*$AM337^6+WeightSDS!R$23*$AM337^5+WeightSDS!S$23*$AM337^4+WeightSDS!T$23*$AM337^3+WeightSDS!U$23*$AM337^2+WeightSDS!V$23*$AM337+WeightSDS!W$23,IF($AM337&lt;153,WeightSDS!M$25*$AM337^10+WeightSDS!N$25*$AM337^9+WeightSDS!O$25*$AM337^8+WeightSDS!P$25*$AM337^7+WeightSDS!Q$25*$AM337^6+WeightSDS!R$25*$AM337^5+WeightSDS!S$25*$AM337^4+WeightSDS!T$25*$AM337^3+WeightSDS!U$25*$AM337^2+WeightSDS!V$25*$AM337+WeightSDS!W$25,WeightSDS!M$27+WeightSDS!N$27/(1+EXP(WeightSDS!O$27+WeightSDS!P$27*$AM337)))),IF($AM337&lt;43.8,WeightSDS!M$29*$AM337^10+WeightSDS!N$29*$AM337^9+WeightSDS!O$29*$AM337^8+WeightSDS!P$29*$AM337^7+WeightSDS!Q$29*$AM337^6+WeightSDS!R$29*$AM337^5+WeightSDS!S$29*$AM337^4+WeightSDS!T$29*$AM337^3+WeightSDS!U$29*$AM337^2+WeightSDS!V$29*$AM337+WeightSDS!W$29-0.010431*(1-$AM337/210),IF($AM337&lt;123,WeightSDS!M$30*$AM337^10+WeightSDS!N$30*$AM337^9+WeightSDS!O$30*$AM337^8+WeightSDS!P$30*$AM337^7+WeightSDS!Q$30*$AM337^6+WeightSDS!R$30*$AM337^5+WeightSDS!S$30*$AM337^4+WeightSDS!T$30*$AM337^3+WeightSDS!U$30*$AM337^2+WeightSDS!V$30*$AM337+WeightSDS!W$30-0.010431*(1-1/$AM337),WeightSDS!M$32+WeightSDS!N$32/(1+EXP(WeightSDS!O$32+WeightSDS!P$32*$AM337))-0.010431*(1-$AM337/210))))</f>
        <v>2.9500001032655536</v>
      </c>
      <c r="AQ337" s="4">
        <f>IF(D337="M",IF($AM337&lt;162,WeightSDS!P$12*$AM337^7+WeightSDS!Q$12*$AM337^6+WeightSDS!R$12*$AM337^5+WeightSDS!S$12*$AM337^4+WeightSDS!T$12*$AM337^3+WeightSDS!U$12*$AM337^2+WeightSDS!V$12*$AM337+WeightSDS!W$12,WeightSDS!P$14*$AM337^7+WeightSDS!Q$14*$AM337^6+WeightSDS!R$14*$AM337^5+WeightSDS!S$14*$AM337^4+WeightSDS!T$14*$AM337^3+WeightSDS!U$14*$AM337^2+WeightSDS!V$14*$AM337+WeightSDS!W$14),IF($AM337&lt;156,WeightSDS!O$17*$AM337^8+WeightSDS!P$17*$AM337^7+WeightSDS!Q$17*$AM337^6+WeightSDS!R$17*$AM337^5+WeightSDS!S$17*$AM337^4+WeightSDS!T$17*$AM337^3+WeightSDS!U$17*$AM337^2+WeightSDS!V$17*$AM337+WeightSDS!W$17,IF($AM337&lt;186,WeightSDS!$U$18+(WeightSDS!$V$18-WeightSDS!$U$18)/24*($AM337-186)+WeightSDS!$W$18*(-$AM337+186)^2-0.005,WeightSDS!$U$18+(WeightSDS!$V$18-WeightSDS!$U$18)/24*($AM337-186)-0.005)))</f>
        <v>0.14604529399999999</v>
      </c>
      <c r="AT337" s="4">
        <f t="shared" si="112"/>
        <v>0.56299999999999994</v>
      </c>
      <c r="AU337" s="4">
        <f t="shared" si="113"/>
        <v>69</v>
      </c>
      <c r="AV337" s="4">
        <f t="shared" si="114"/>
        <v>0.51</v>
      </c>
    </row>
    <row r="338" spans="1:48" x14ac:dyDescent="0.15">
      <c r="A338" s="4"/>
      <c r="B338" s="21"/>
      <c r="C338" s="21"/>
      <c r="D338" s="21"/>
      <c r="E338" s="22"/>
      <c r="F338" s="22"/>
      <c r="G338" s="23"/>
      <c r="H338" s="23"/>
      <c r="I338" s="181"/>
      <c r="J338" s="8" t="str">
        <f t="shared" si="106"/>
        <v/>
      </c>
      <c r="K338" s="2" t="str">
        <f t="shared" si="115"/>
        <v/>
      </c>
      <c r="L338" s="2" t="str">
        <f t="shared" si="107"/>
        <v/>
      </c>
      <c r="M338" s="2" t="str">
        <f t="shared" si="116"/>
        <v/>
      </c>
      <c r="N338" s="2" t="str">
        <f t="shared" si="124"/>
        <v/>
      </c>
      <c r="O338" s="2" t="str">
        <f t="shared" si="117"/>
        <v/>
      </c>
      <c r="P338" s="8" t="str">
        <f t="shared" si="118"/>
        <v/>
      </c>
      <c r="Q338" s="8" t="str">
        <f t="shared" si="119"/>
        <v/>
      </c>
      <c r="R338" s="111" t="str">
        <f t="shared" si="120"/>
        <v/>
      </c>
      <c r="S338" s="44" t="str">
        <f t="shared" si="121"/>
        <v/>
      </c>
      <c r="T338" s="37" t="str">
        <f t="shared" si="122"/>
        <v/>
      </c>
      <c r="U338" s="44" t="str">
        <f t="shared" si="123"/>
        <v/>
      </c>
      <c r="V338" s="26"/>
      <c r="W338" s="26"/>
      <c r="X338" s="26"/>
      <c r="Y338" s="26"/>
      <c r="Z338" s="24"/>
      <c r="AA338" s="169">
        <f t="shared" si="108"/>
        <v>0</v>
      </c>
      <c r="AB338" s="4">
        <f t="shared" si="109"/>
        <v>0</v>
      </c>
      <c r="AC338" s="170">
        <f t="shared" si="105"/>
        <v>0</v>
      </c>
      <c r="AD338" s="58"/>
      <c r="AE338" s="58"/>
      <c r="AF338" s="58"/>
      <c r="AG338" s="59">
        <f t="shared" si="110"/>
        <v>9.0359999999999996</v>
      </c>
      <c r="AH338" s="59">
        <f t="shared" si="111"/>
        <v>-184.49199999999999</v>
      </c>
      <c r="AJ338" s="4">
        <f>IF(D338="M",IF(AM338&lt;78,BMILMS!$D$5*AM338^3+BMILMS!$E$5*AM338^2+BMILMS!$F$5*AM338+BMILMS!$G$5,IF(AM338&lt;150,BMILMS!$D$6*AM338^3+BMILMS!$E$6*AM338^2+BMILMS!$F$6*AM338+BMILMS!$G$6,BMILMS!$D$7*AM338^3+BMILMS!$E$7*AM338^2+BMILMS!$F$7*AM338+BMILMS!$G$7)),IF(AM338&lt;69,BMILMS!$D$9*AM338^3+BMILMS!$E$9*AM338^2+BMILMS!$F$9*AM338+BMILMS!$G$9,IF(AM338&lt;150,BMILMS!$D$10*AM338^3+BMILMS!$E$10*AM338^2+BMILMS!$F$10*AM338+BMILMS!$G$10,BMILMS!$D$11*AM338^3+BMILMS!$E$11*AM338^2+BMILMS!$F$11*AM338+BMILMS!$G$11)))</f>
        <v>0.79584630099999998</v>
      </c>
      <c r="AK338" s="4">
        <f>IF(D338="M",(IF(AM338&lt;2.5,BMILMS!$D$21*AM338^3+BMILMS!$E$21*AM338^2+BMILMS!$F$21*AM338+BMILMS!$G$21,IF(AM338&lt;9.5,BMILMS!$D$22*AM338^3+BMILMS!$E$22*AM338^2+BMILMS!$F$22*AM338+BMILMS!$G$22,IF(AM338&lt;26.75,BMILMS!$D$23*AM338^3+BMILMS!$E$23*AM338^2+BMILMS!$F$23*AM338+BMILMS!$G$23,IF(AM338&lt;90,BMILMS!$D$24*AM338^3+BMILMS!$E$24*AM338^2+BMILMS!$F$24*AM338+BMILMS!$G$24,BMILMS!$D$25*AM338^3+BMILMS!$E$25*AM338^2+BMILMS!$F$25*AM338+BMILMS!$G$25))))),(IF(AM338&lt;2.5,BMILMS!$D$27*AM338^3+BMILMS!$E$27*AM338^2+BMILMS!$F$27*AM338+BMILMS!$G$27,IF(AM338&lt;9.5,BMILMS!$D$28*AM338^3+BMILMS!$E$28*AM338^2+BMILMS!$F$28*AM338+BMILMS!$G$28,IF(AM338&lt;26.75,BMILMS!$D$29*AM338^3+BMILMS!$E$29*AM338^2+BMILMS!$F$29*AM338+BMILMS!$G$29,IF(AM338&lt;90,BMILMS!$D$30*AM338^3+BMILMS!$E$30*AM338^2+BMILMS!$F$30*AM338+BMILMS!$G$30,IF(AM338&lt;150,BMILMS!$D$31*AM338^3+BMILMS!$E$31*AM338^2+BMILMS!$F$31*AM338+BMILMS!$G$31,BMILMS!$D$32*AM338^3+BMILMS!$E$32*AM338^2+BMILMS!$F$32*AM338+BMILMS!$G$32)))))))</f>
        <v>12.568967990000001</v>
      </c>
      <c r="AL338" s="4">
        <f>IF(D338="M",(IF(AM338&lt;90,BMILMS!$D$14*AM338^3+BMILMS!$E$14*AM338^2+BMILMS!$F$14*AM338+BMILMS!$G$14,BMILMS!$D$15*AM338^3+BMILMS!$E$15*AM338^2+BMILMS!$F$15*AM338+BMILMS!$G$15)),(IF(AM338&lt;90,BMILMS!$D$17*AM338^3+BMILMS!$E$17*AM338^2+BMILMS!$F$17*AM338+BMILMS!$G$17,BMILMS!$D$18*AM338^3+BMILMS!$E$18*AM338^2+BMILMS!$F$18*AM338+BMILMS!$G$18)))</f>
        <v>8.8969350000000003E-2</v>
      </c>
      <c r="AM338" s="4">
        <f t="shared" si="125"/>
        <v>0</v>
      </c>
      <c r="AO338" s="56">
        <f>IF(D338="M",WeightSDS!P$5*$AM338^7+WeightSDS!Q$5*$AM338^6+WeightSDS!R$5*$AM338^5+WeightSDS!S$5*$AM338^4+WeightSDS!T$5*$AM338^3+WeightSDS!U$5*$AM338^2+WeightSDS!V$5*$AM338+WeightSDS!W$5,IF($AM338&lt;186,WeightSDS!P$8*$AM338^7+WeightSDS!Q$8*$AM338^6+WeightSDS!R$8*$AM338^5+WeightSDS!S$8*$AM338^4+WeightSDS!T$8*$AM338^3+WeightSDS!U$8*$AM338^2+WeightSDS!V$8*$AM338+WeightSDS!W$8,WeightSDS!$U$9+WeightSDS!$V$9*($AM338-WeightSDS!$W$9)))</f>
        <v>0.75407122999999998</v>
      </c>
      <c r="AP338" s="4">
        <f>IF(D338="M",IF($AM338&lt;45,WeightSDS!M$23*$AM338^10+WeightSDS!N$23*$AM338^9+WeightSDS!O$23*$AM338^8+WeightSDS!P$23*$AM338^7+WeightSDS!Q$23*$AM338^6+WeightSDS!R$23*$AM338^5+WeightSDS!S$23*$AM338^4+WeightSDS!T$23*$AM338^3+WeightSDS!U$23*$AM338^2+WeightSDS!V$23*$AM338+WeightSDS!W$23,IF($AM338&lt;153,WeightSDS!M$25*$AM338^10+WeightSDS!N$25*$AM338^9+WeightSDS!O$25*$AM338^8+WeightSDS!P$25*$AM338^7+WeightSDS!Q$25*$AM338^6+WeightSDS!R$25*$AM338^5+WeightSDS!S$25*$AM338^4+WeightSDS!T$25*$AM338^3+WeightSDS!U$25*$AM338^2+WeightSDS!V$25*$AM338+WeightSDS!W$25,WeightSDS!M$27+WeightSDS!N$27/(1+EXP(WeightSDS!O$27+WeightSDS!P$27*$AM338)))),IF($AM338&lt;43.8,WeightSDS!M$29*$AM338^10+WeightSDS!N$29*$AM338^9+WeightSDS!O$29*$AM338^8+WeightSDS!P$29*$AM338^7+WeightSDS!Q$29*$AM338^6+WeightSDS!R$29*$AM338^5+WeightSDS!S$29*$AM338^4+WeightSDS!T$29*$AM338^3+WeightSDS!U$29*$AM338^2+WeightSDS!V$29*$AM338+WeightSDS!W$29-0.010431*(1-$AM338/210),IF($AM338&lt;123,WeightSDS!M$30*$AM338^10+WeightSDS!N$30*$AM338^9+WeightSDS!O$30*$AM338^8+WeightSDS!P$30*$AM338^7+WeightSDS!Q$30*$AM338^6+WeightSDS!R$30*$AM338^5+WeightSDS!S$30*$AM338^4+WeightSDS!T$30*$AM338^3+WeightSDS!U$30*$AM338^2+WeightSDS!V$30*$AM338+WeightSDS!W$30-0.010431*(1-1/$AM338),WeightSDS!M$32+WeightSDS!N$32/(1+EXP(WeightSDS!O$32+WeightSDS!P$32*$AM338))-0.010431*(1-$AM338/210))))</f>
        <v>2.9500001032655536</v>
      </c>
      <c r="AQ338" s="4">
        <f>IF(D338="M",IF($AM338&lt;162,WeightSDS!P$12*$AM338^7+WeightSDS!Q$12*$AM338^6+WeightSDS!R$12*$AM338^5+WeightSDS!S$12*$AM338^4+WeightSDS!T$12*$AM338^3+WeightSDS!U$12*$AM338^2+WeightSDS!V$12*$AM338+WeightSDS!W$12,WeightSDS!P$14*$AM338^7+WeightSDS!Q$14*$AM338^6+WeightSDS!R$14*$AM338^5+WeightSDS!S$14*$AM338^4+WeightSDS!T$14*$AM338^3+WeightSDS!U$14*$AM338^2+WeightSDS!V$14*$AM338+WeightSDS!W$14),IF($AM338&lt;156,WeightSDS!O$17*$AM338^8+WeightSDS!P$17*$AM338^7+WeightSDS!Q$17*$AM338^6+WeightSDS!R$17*$AM338^5+WeightSDS!S$17*$AM338^4+WeightSDS!T$17*$AM338^3+WeightSDS!U$17*$AM338^2+WeightSDS!V$17*$AM338+WeightSDS!W$17,IF($AM338&lt;186,WeightSDS!$U$18+(WeightSDS!$V$18-WeightSDS!$U$18)/24*($AM338-186)+WeightSDS!$W$18*(-$AM338+186)^2-0.005,WeightSDS!$U$18+(WeightSDS!$V$18-WeightSDS!$U$18)/24*($AM338-186)-0.005)))</f>
        <v>0.14604529399999999</v>
      </c>
      <c r="AT338" s="4">
        <f t="shared" si="112"/>
        <v>0.56299999999999994</v>
      </c>
      <c r="AU338" s="4">
        <f t="shared" si="113"/>
        <v>69</v>
      </c>
      <c r="AV338" s="4">
        <f t="shared" si="114"/>
        <v>0.51</v>
      </c>
    </row>
    <row r="339" spans="1:48" x14ac:dyDescent="0.15">
      <c r="A339" s="4"/>
      <c r="B339" s="21"/>
      <c r="C339" s="21"/>
      <c r="D339" s="21"/>
      <c r="E339" s="22"/>
      <c r="F339" s="22"/>
      <c r="G339" s="23"/>
      <c r="H339" s="23"/>
      <c r="I339" s="181"/>
      <c r="J339" s="8" t="str">
        <f t="shared" si="106"/>
        <v/>
      </c>
      <c r="K339" s="2" t="str">
        <f t="shared" si="115"/>
        <v/>
      </c>
      <c r="L339" s="2" t="str">
        <f t="shared" si="107"/>
        <v/>
      </c>
      <c r="M339" s="2" t="str">
        <f t="shared" si="116"/>
        <v/>
      </c>
      <c r="N339" s="2" t="str">
        <f t="shared" si="124"/>
        <v/>
      </c>
      <c r="O339" s="2" t="str">
        <f t="shared" si="117"/>
        <v/>
      </c>
      <c r="P339" s="8" t="str">
        <f t="shared" si="118"/>
        <v/>
      </c>
      <c r="Q339" s="8" t="str">
        <f t="shared" si="119"/>
        <v/>
      </c>
      <c r="R339" s="111" t="str">
        <f t="shared" si="120"/>
        <v/>
      </c>
      <c r="S339" s="44" t="str">
        <f t="shared" si="121"/>
        <v/>
      </c>
      <c r="T339" s="37" t="str">
        <f t="shared" si="122"/>
        <v/>
      </c>
      <c r="U339" s="44" t="str">
        <f t="shared" si="123"/>
        <v/>
      </c>
      <c r="V339" s="26"/>
      <c r="W339" s="26"/>
      <c r="X339" s="26"/>
      <c r="Y339" s="26"/>
      <c r="Z339" s="24"/>
      <c r="AA339" s="169">
        <f t="shared" si="108"/>
        <v>0</v>
      </c>
      <c r="AB339" s="4">
        <f t="shared" si="109"/>
        <v>0</v>
      </c>
      <c r="AC339" s="170">
        <f t="shared" si="105"/>
        <v>0</v>
      </c>
      <c r="AD339" s="58"/>
      <c r="AE339" s="58"/>
      <c r="AF339" s="58"/>
      <c r="AG339" s="59">
        <f t="shared" si="110"/>
        <v>9.0359999999999996</v>
      </c>
      <c r="AH339" s="59">
        <f t="shared" si="111"/>
        <v>-184.49199999999999</v>
      </c>
      <c r="AJ339" s="4">
        <f>IF(D339="M",IF(AM339&lt;78,BMILMS!$D$5*AM339^3+BMILMS!$E$5*AM339^2+BMILMS!$F$5*AM339+BMILMS!$G$5,IF(AM339&lt;150,BMILMS!$D$6*AM339^3+BMILMS!$E$6*AM339^2+BMILMS!$F$6*AM339+BMILMS!$G$6,BMILMS!$D$7*AM339^3+BMILMS!$E$7*AM339^2+BMILMS!$F$7*AM339+BMILMS!$G$7)),IF(AM339&lt;69,BMILMS!$D$9*AM339^3+BMILMS!$E$9*AM339^2+BMILMS!$F$9*AM339+BMILMS!$G$9,IF(AM339&lt;150,BMILMS!$D$10*AM339^3+BMILMS!$E$10*AM339^2+BMILMS!$F$10*AM339+BMILMS!$G$10,BMILMS!$D$11*AM339^3+BMILMS!$E$11*AM339^2+BMILMS!$F$11*AM339+BMILMS!$G$11)))</f>
        <v>0.79584630099999998</v>
      </c>
      <c r="AK339" s="4">
        <f>IF(D339="M",(IF(AM339&lt;2.5,BMILMS!$D$21*AM339^3+BMILMS!$E$21*AM339^2+BMILMS!$F$21*AM339+BMILMS!$G$21,IF(AM339&lt;9.5,BMILMS!$D$22*AM339^3+BMILMS!$E$22*AM339^2+BMILMS!$F$22*AM339+BMILMS!$G$22,IF(AM339&lt;26.75,BMILMS!$D$23*AM339^3+BMILMS!$E$23*AM339^2+BMILMS!$F$23*AM339+BMILMS!$G$23,IF(AM339&lt;90,BMILMS!$D$24*AM339^3+BMILMS!$E$24*AM339^2+BMILMS!$F$24*AM339+BMILMS!$G$24,BMILMS!$D$25*AM339^3+BMILMS!$E$25*AM339^2+BMILMS!$F$25*AM339+BMILMS!$G$25))))),(IF(AM339&lt;2.5,BMILMS!$D$27*AM339^3+BMILMS!$E$27*AM339^2+BMILMS!$F$27*AM339+BMILMS!$G$27,IF(AM339&lt;9.5,BMILMS!$D$28*AM339^3+BMILMS!$E$28*AM339^2+BMILMS!$F$28*AM339+BMILMS!$G$28,IF(AM339&lt;26.75,BMILMS!$D$29*AM339^3+BMILMS!$E$29*AM339^2+BMILMS!$F$29*AM339+BMILMS!$G$29,IF(AM339&lt;90,BMILMS!$D$30*AM339^3+BMILMS!$E$30*AM339^2+BMILMS!$F$30*AM339+BMILMS!$G$30,IF(AM339&lt;150,BMILMS!$D$31*AM339^3+BMILMS!$E$31*AM339^2+BMILMS!$F$31*AM339+BMILMS!$G$31,BMILMS!$D$32*AM339^3+BMILMS!$E$32*AM339^2+BMILMS!$F$32*AM339+BMILMS!$G$32)))))))</f>
        <v>12.568967990000001</v>
      </c>
      <c r="AL339" s="4">
        <f>IF(D339="M",(IF(AM339&lt;90,BMILMS!$D$14*AM339^3+BMILMS!$E$14*AM339^2+BMILMS!$F$14*AM339+BMILMS!$G$14,BMILMS!$D$15*AM339^3+BMILMS!$E$15*AM339^2+BMILMS!$F$15*AM339+BMILMS!$G$15)),(IF(AM339&lt;90,BMILMS!$D$17*AM339^3+BMILMS!$E$17*AM339^2+BMILMS!$F$17*AM339+BMILMS!$G$17,BMILMS!$D$18*AM339^3+BMILMS!$E$18*AM339^2+BMILMS!$F$18*AM339+BMILMS!$G$18)))</f>
        <v>8.8969350000000003E-2</v>
      </c>
      <c r="AM339" s="4">
        <f t="shared" si="125"/>
        <v>0</v>
      </c>
      <c r="AO339" s="56">
        <f>IF(D339="M",WeightSDS!P$5*$AM339^7+WeightSDS!Q$5*$AM339^6+WeightSDS!R$5*$AM339^5+WeightSDS!S$5*$AM339^4+WeightSDS!T$5*$AM339^3+WeightSDS!U$5*$AM339^2+WeightSDS!V$5*$AM339+WeightSDS!W$5,IF($AM339&lt;186,WeightSDS!P$8*$AM339^7+WeightSDS!Q$8*$AM339^6+WeightSDS!R$8*$AM339^5+WeightSDS!S$8*$AM339^4+WeightSDS!T$8*$AM339^3+WeightSDS!U$8*$AM339^2+WeightSDS!V$8*$AM339+WeightSDS!W$8,WeightSDS!$U$9+WeightSDS!$V$9*($AM339-WeightSDS!$W$9)))</f>
        <v>0.75407122999999998</v>
      </c>
      <c r="AP339" s="4">
        <f>IF(D339="M",IF($AM339&lt;45,WeightSDS!M$23*$AM339^10+WeightSDS!N$23*$AM339^9+WeightSDS!O$23*$AM339^8+WeightSDS!P$23*$AM339^7+WeightSDS!Q$23*$AM339^6+WeightSDS!R$23*$AM339^5+WeightSDS!S$23*$AM339^4+WeightSDS!T$23*$AM339^3+WeightSDS!U$23*$AM339^2+WeightSDS!V$23*$AM339+WeightSDS!W$23,IF($AM339&lt;153,WeightSDS!M$25*$AM339^10+WeightSDS!N$25*$AM339^9+WeightSDS!O$25*$AM339^8+WeightSDS!P$25*$AM339^7+WeightSDS!Q$25*$AM339^6+WeightSDS!R$25*$AM339^5+WeightSDS!S$25*$AM339^4+WeightSDS!T$25*$AM339^3+WeightSDS!U$25*$AM339^2+WeightSDS!V$25*$AM339+WeightSDS!W$25,WeightSDS!M$27+WeightSDS!N$27/(1+EXP(WeightSDS!O$27+WeightSDS!P$27*$AM339)))),IF($AM339&lt;43.8,WeightSDS!M$29*$AM339^10+WeightSDS!N$29*$AM339^9+WeightSDS!O$29*$AM339^8+WeightSDS!P$29*$AM339^7+WeightSDS!Q$29*$AM339^6+WeightSDS!R$29*$AM339^5+WeightSDS!S$29*$AM339^4+WeightSDS!T$29*$AM339^3+WeightSDS!U$29*$AM339^2+WeightSDS!V$29*$AM339+WeightSDS!W$29-0.010431*(1-$AM339/210),IF($AM339&lt;123,WeightSDS!M$30*$AM339^10+WeightSDS!N$30*$AM339^9+WeightSDS!O$30*$AM339^8+WeightSDS!P$30*$AM339^7+WeightSDS!Q$30*$AM339^6+WeightSDS!R$30*$AM339^5+WeightSDS!S$30*$AM339^4+WeightSDS!T$30*$AM339^3+WeightSDS!U$30*$AM339^2+WeightSDS!V$30*$AM339+WeightSDS!W$30-0.010431*(1-1/$AM339),WeightSDS!M$32+WeightSDS!N$32/(1+EXP(WeightSDS!O$32+WeightSDS!P$32*$AM339))-0.010431*(1-$AM339/210))))</f>
        <v>2.9500001032655536</v>
      </c>
      <c r="AQ339" s="4">
        <f>IF(D339="M",IF($AM339&lt;162,WeightSDS!P$12*$AM339^7+WeightSDS!Q$12*$AM339^6+WeightSDS!R$12*$AM339^5+WeightSDS!S$12*$AM339^4+WeightSDS!T$12*$AM339^3+WeightSDS!U$12*$AM339^2+WeightSDS!V$12*$AM339+WeightSDS!W$12,WeightSDS!P$14*$AM339^7+WeightSDS!Q$14*$AM339^6+WeightSDS!R$14*$AM339^5+WeightSDS!S$14*$AM339^4+WeightSDS!T$14*$AM339^3+WeightSDS!U$14*$AM339^2+WeightSDS!V$14*$AM339+WeightSDS!W$14),IF($AM339&lt;156,WeightSDS!O$17*$AM339^8+WeightSDS!P$17*$AM339^7+WeightSDS!Q$17*$AM339^6+WeightSDS!R$17*$AM339^5+WeightSDS!S$17*$AM339^4+WeightSDS!T$17*$AM339^3+WeightSDS!U$17*$AM339^2+WeightSDS!V$17*$AM339+WeightSDS!W$17,IF($AM339&lt;186,WeightSDS!$U$18+(WeightSDS!$V$18-WeightSDS!$U$18)/24*($AM339-186)+WeightSDS!$W$18*(-$AM339+186)^2-0.005,WeightSDS!$U$18+(WeightSDS!$V$18-WeightSDS!$U$18)/24*($AM339-186)-0.005)))</f>
        <v>0.14604529399999999</v>
      </c>
      <c r="AT339" s="4">
        <f t="shared" si="112"/>
        <v>0.56299999999999994</v>
      </c>
      <c r="AU339" s="4">
        <f t="shared" si="113"/>
        <v>69</v>
      </c>
      <c r="AV339" s="4">
        <f t="shared" si="114"/>
        <v>0.51</v>
      </c>
    </row>
    <row r="340" spans="1:48" x14ac:dyDescent="0.15">
      <c r="A340" s="4"/>
      <c r="B340" s="21"/>
      <c r="C340" s="21"/>
      <c r="D340" s="21"/>
      <c r="E340" s="22"/>
      <c r="F340" s="22"/>
      <c r="G340" s="23"/>
      <c r="H340" s="23"/>
      <c r="I340" s="181"/>
      <c r="J340" s="8" t="str">
        <f t="shared" si="106"/>
        <v/>
      </c>
      <c r="K340" s="2" t="str">
        <f t="shared" si="115"/>
        <v/>
      </c>
      <c r="L340" s="2" t="str">
        <f t="shared" si="107"/>
        <v/>
      </c>
      <c r="M340" s="2" t="str">
        <f t="shared" si="116"/>
        <v/>
      </c>
      <c r="N340" s="2" t="str">
        <f t="shared" si="124"/>
        <v/>
      </c>
      <c r="O340" s="2" t="str">
        <f t="shared" si="117"/>
        <v/>
      </c>
      <c r="P340" s="8" t="str">
        <f t="shared" si="118"/>
        <v/>
      </c>
      <c r="Q340" s="8" t="str">
        <f t="shared" si="119"/>
        <v/>
      </c>
      <c r="R340" s="111" t="str">
        <f t="shared" si="120"/>
        <v/>
      </c>
      <c r="S340" s="44" t="str">
        <f t="shared" si="121"/>
        <v/>
      </c>
      <c r="T340" s="37" t="str">
        <f t="shared" si="122"/>
        <v/>
      </c>
      <c r="U340" s="44" t="str">
        <f t="shared" si="123"/>
        <v/>
      </c>
      <c r="V340" s="26"/>
      <c r="W340" s="26"/>
      <c r="X340" s="26"/>
      <c r="Y340" s="26"/>
      <c r="Z340" s="24"/>
      <c r="AA340" s="169">
        <f t="shared" si="108"/>
        <v>0</v>
      </c>
      <c r="AB340" s="4">
        <f t="shared" si="109"/>
        <v>0</v>
      </c>
      <c r="AC340" s="170">
        <f t="shared" si="105"/>
        <v>0</v>
      </c>
      <c r="AD340" s="58"/>
      <c r="AE340" s="58"/>
      <c r="AF340" s="58"/>
      <c r="AG340" s="59">
        <f t="shared" si="110"/>
        <v>9.0359999999999996</v>
      </c>
      <c r="AH340" s="59">
        <f t="shared" si="111"/>
        <v>-184.49199999999999</v>
      </c>
      <c r="AJ340" s="4">
        <f>IF(D340="M",IF(AM340&lt;78,BMILMS!$D$5*AM340^3+BMILMS!$E$5*AM340^2+BMILMS!$F$5*AM340+BMILMS!$G$5,IF(AM340&lt;150,BMILMS!$D$6*AM340^3+BMILMS!$E$6*AM340^2+BMILMS!$F$6*AM340+BMILMS!$G$6,BMILMS!$D$7*AM340^3+BMILMS!$E$7*AM340^2+BMILMS!$F$7*AM340+BMILMS!$G$7)),IF(AM340&lt;69,BMILMS!$D$9*AM340^3+BMILMS!$E$9*AM340^2+BMILMS!$F$9*AM340+BMILMS!$G$9,IF(AM340&lt;150,BMILMS!$D$10*AM340^3+BMILMS!$E$10*AM340^2+BMILMS!$F$10*AM340+BMILMS!$G$10,BMILMS!$D$11*AM340^3+BMILMS!$E$11*AM340^2+BMILMS!$F$11*AM340+BMILMS!$G$11)))</f>
        <v>0.79584630099999998</v>
      </c>
      <c r="AK340" s="4">
        <f>IF(D340="M",(IF(AM340&lt;2.5,BMILMS!$D$21*AM340^3+BMILMS!$E$21*AM340^2+BMILMS!$F$21*AM340+BMILMS!$G$21,IF(AM340&lt;9.5,BMILMS!$D$22*AM340^3+BMILMS!$E$22*AM340^2+BMILMS!$F$22*AM340+BMILMS!$G$22,IF(AM340&lt;26.75,BMILMS!$D$23*AM340^3+BMILMS!$E$23*AM340^2+BMILMS!$F$23*AM340+BMILMS!$G$23,IF(AM340&lt;90,BMILMS!$D$24*AM340^3+BMILMS!$E$24*AM340^2+BMILMS!$F$24*AM340+BMILMS!$G$24,BMILMS!$D$25*AM340^3+BMILMS!$E$25*AM340^2+BMILMS!$F$25*AM340+BMILMS!$G$25))))),(IF(AM340&lt;2.5,BMILMS!$D$27*AM340^3+BMILMS!$E$27*AM340^2+BMILMS!$F$27*AM340+BMILMS!$G$27,IF(AM340&lt;9.5,BMILMS!$D$28*AM340^3+BMILMS!$E$28*AM340^2+BMILMS!$F$28*AM340+BMILMS!$G$28,IF(AM340&lt;26.75,BMILMS!$D$29*AM340^3+BMILMS!$E$29*AM340^2+BMILMS!$F$29*AM340+BMILMS!$G$29,IF(AM340&lt;90,BMILMS!$D$30*AM340^3+BMILMS!$E$30*AM340^2+BMILMS!$F$30*AM340+BMILMS!$G$30,IF(AM340&lt;150,BMILMS!$D$31*AM340^3+BMILMS!$E$31*AM340^2+BMILMS!$F$31*AM340+BMILMS!$G$31,BMILMS!$D$32*AM340^3+BMILMS!$E$32*AM340^2+BMILMS!$F$32*AM340+BMILMS!$G$32)))))))</f>
        <v>12.568967990000001</v>
      </c>
      <c r="AL340" s="4">
        <f>IF(D340="M",(IF(AM340&lt;90,BMILMS!$D$14*AM340^3+BMILMS!$E$14*AM340^2+BMILMS!$F$14*AM340+BMILMS!$G$14,BMILMS!$D$15*AM340^3+BMILMS!$E$15*AM340^2+BMILMS!$F$15*AM340+BMILMS!$G$15)),(IF(AM340&lt;90,BMILMS!$D$17*AM340^3+BMILMS!$E$17*AM340^2+BMILMS!$F$17*AM340+BMILMS!$G$17,BMILMS!$D$18*AM340^3+BMILMS!$E$18*AM340^2+BMILMS!$F$18*AM340+BMILMS!$G$18)))</f>
        <v>8.8969350000000003E-2</v>
      </c>
      <c r="AM340" s="4">
        <f t="shared" si="125"/>
        <v>0</v>
      </c>
      <c r="AO340" s="56">
        <f>IF(D340="M",WeightSDS!P$5*$AM340^7+WeightSDS!Q$5*$AM340^6+WeightSDS!R$5*$AM340^5+WeightSDS!S$5*$AM340^4+WeightSDS!T$5*$AM340^3+WeightSDS!U$5*$AM340^2+WeightSDS!V$5*$AM340+WeightSDS!W$5,IF($AM340&lt;186,WeightSDS!P$8*$AM340^7+WeightSDS!Q$8*$AM340^6+WeightSDS!R$8*$AM340^5+WeightSDS!S$8*$AM340^4+WeightSDS!T$8*$AM340^3+WeightSDS!U$8*$AM340^2+WeightSDS!V$8*$AM340+WeightSDS!W$8,WeightSDS!$U$9+WeightSDS!$V$9*($AM340-WeightSDS!$W$9)))</f>
        <v>0.75407122999999998</v>
      </c>
      <c r="AP340" s="4">
        <f>IF(D340="M",IF($AM340&lt;45,WeightSDS!M$23*$AM340^10+WeightSDS!N$23*$AM340^9+WeightSDS!O$23*$AM340^8+WeightSDS!P$23*$AM340^7+WeightSDS!Q$23*$AM340^6+WeightSDS!R$23*$AM340^5+WeightSDS!S$23*$AM340^4+WeightSDS!T$23*$AM340^3+WeightSDS!U$23*$AM340^2+WeightSDS!V$23*$AM340+WeightSDS!W$23,IF($AM340&lt;153,WeightSDS!M$25*$AM340^10+WeightSDS!N$25*$AM340^9+WeightSDS!O$25*$AM340^8+WeightSDS!P$25*$AM340^7+WeightSDS!Q$25*$AM340^6+WeightSDS!R$25*$AM340^5+WeightSDS!S$25*$AM340^4+WeightSDS!T$25*$AM340^3+WeightSDS!U$25*$AM340^2+WeightSDS!V$25*$AM340+WeightSDS!W$25,WeightSDS!M$27+WeightSDS!N$27/(1+EXP(WeightSDS!O$27+WeightSDS!P$27*$AM340)))),IF($AM340&lt;43.8,WeightSDS!M$29*$AM340^10+WeightSDS!N$29*$AM340^9+WeightSDS!O$29*$AM340^8+WeightSDS!P$29*$AM340^7+WeightSDS!Q$29*$AM340^6+WeightSDS!R$29*$AM340^5+WeightSDS!S$29*$AM340^4+WeightSDS!T$29*$AM340^3+WeightSDS!U$29*$AM340^2+WeightSDS!V$29*$AM340+WeightSDS!W$29-0.010431*(1-$AM340/210),IF($AM340&lt;123,WeightSDS!M$30*$AM340^10+WeightSDS!N$30*$AM340^9+WeightSDS!O$30*$AM340^8+WeightSDS!P$30*$AM340^7+WeightSDS!Q$30*$AM340^6+WeightSDS!R$30*$AM340^5+WeightSDS!S$30*$AM340^4+WeightSDS!T$30*$AM340^3+WeightSDS!U$30*$AM340^2+WeightSDS!V$30*$AM340+WeightSDS!W$30-0.010431*(1-1/$AM340),WeightSDS!M$32+WeightSDS!N$32/(1+EXP(WeightSDS!O$32+WeightSDS!P$32*$AM340))-0.010431*(1-$AM340/210))))</f>
        <v>2.9500001032655536</v>
      </c>
      <c r="AQ340" s="4">
        <f>IF(D340="M",IF($AM340&lt;162,WeightSDS!P$12*$AM340^7+WeightSDS!Q$12*$AM340^6+WeightSDS!R$12*$AM340^5+WeightSDS!S$12*$AM340^4+WeightSDS!T$12*$AM340^3+WeightSDS!U$12*$AM340^2+WeightSDS!V$12*$AM340+WeightSDS!W$12,WeightSDS!P$14*$AM340^7+WeightSDS!Q$14*$AM340^6+WeightSDS!R$14*$AM340^5+WeightSDS!S$14*$AM340^4+WeightSDS!T$14*$AM340^3+WeightSDS!U$14*$AM340^2+WeightSDS!V$14*$AM340+WeightSDS!W$14),IF($AM340&lt;156,WeightSDS!O$17*$AM340^8+WeightSDS!P$17*$AM340^7+WeightSDS!Q$17*$AM340^6+WeightSDS!R$17*$AM340^5+WeightSDS!S$17*$AM340^4+WeightSDS!T$17*$AM340^3+WeightSDS!U$17*$AM340^2+WeightSDS!V$17*$AM340+WeightSDS!W$17,IF($AM340&lt;186,WeightSDS!$U$18+(WeightSDS!$V$18-WeightSDS!$U$18)/24*($AM340-186)+WeightSDS!$W$18*(-$AM340+186)^2-0.005,WeightSDS!$U$18+(WeightSDS!$V$18-WeightSDS!$U$18)/24*($AM340-186)-0.005)))</f>
        <v>0.14604529399999999</v>
      </c>
      <c r="AT340" s="4">
        <f t="shared" si="112"/>
        <v>0.56299999999999994</v>
      </c>
      <c r="AU340" s="4">
        <f t="shared" si="113"/>
        <v>69</v>
      </c>
      <c r="AV340" s="4">
        <f t="shared" si="114"/>
        <v>0.51</v>
      </c>
    </row>
    <row r="341" spans="1:48" x14ac:dyDescent="0.15">
      <c r="A341" s="4"/>
      <c r="B341" s="21"/>
      <c r="C341" s="21"/>
      <c r="D341" s="21"/>
      <c r="E341" s="22"/>
      <c r="F341" s="22"/>
      <c r="G341" s="23"/>
      <c r="H341" s="23"/>
      <c r="I341" s="181"/>
      <c r="J341" s="8" t="str">
        <f t="shared" si="106"/>
        <v/>
      </c>
      <c r="K341" s="2" t="str">
        <f t="shared" si="115"/>
        <v/>
      </c>
      <c r="L341" s="2" t="str">
        <f t="shared" si="107"/>
        <v/>
      </c>
      <c r="M341" s="2" t="str">
        <f t="shared" si="116"/>
        <v/>
      </c>
      <c r="N341" s="2" t="str">
        <f t="shared" si="124"/>
        <v/>
      </c>
      <c r="O341" s="2" t="str">
        <f t="shared" si="117"/>
        <v/>
      </c>
      <c r="P341" s="8" t="str">
        <f t="shared" si="118"/>
        <v/>
      </c>
      <c r="Q341" s="8" t="str">
        <f t="shared" si="119"/>
        <v/>
      </c>
      <c r="R341" s="111" t="str">
        <f t="shared" si="120"/>
        <v/>
      </c>
      <c r="S341" s="44" t="str">
        <f t="shared" si="121"/>
        <v/>
      </c>
      <c r="T341" s="37" t="str">
        <f t="shared" si="122"/>
        <v/>
      </c>
      <c r="U341" s="44" t="str">
        <f t="shared" si="123"/>
        <v/>
      </c>
      <c r="V341" s="26"/>
      <c r="W341" s="26"/>
      <c r="X341" s="26"/>
      <c r="Y341" s="26"/>
      <c r="Z341" s="24"/>
      <c r="AA341" s="169">
        <f t="shared" si="108"/>
        <v>0</v>
      </c>
      <c r="AB341" s="4">
        <f t="shared" si="109"/>
        <v>0</v>
      </c>
      <c r="AC341" s="170">
        <f t="shared" si="105"/>
        <v>0</v>
      </c>
      <c r="AD341" s="58"/>
      <c r="AE341" s="58"/>
      <c r="AF341" s="58"/>
      <c r="AG341" s="59">
        <f t="shared" si="110"/>
        <v>9.0359999999999996</v>
      </c>
      <c r="AH341" s="59">
        <f t="shared" si="111"/>
        <v>-184.49199999999999</v>
      </c>
      <c r="AJ341" s="4">
        <f>IF(D341="M",IF(AM341&lt;78,BMILMS!$D$5*AM341^3+BMILMS!$E$5*AM341^2+BMILMS!$F$5*AM341+BMILMS!$G$5,IF(AM341&lt;150,BMILMS!$D$6*AM341^3+BMILMS!$E$6*AM341^2+BMILMS!$F$6*AM341+BMILMS!$G$6,BMILMS!$D$7*AM341^3+BMILMS!$E$7*AM341^2+BMILMS!$F$7*AM341+BMILMS!$G$7)),IF(AM341&lt;69,BMILMS!$D$9*AM341^3+BMILMS!$E$9*AM341^2+BMILMS!$F$9*AM341+BMILMS!$G$9,IF(AM341&lt;150,BMILMS!$D$10*AM341^3+BMILMS!$E$10*AM341^2+BMILMS!$F$10*AM341+BMILMS!$G$10,BMILMS!$D$11*AM341^3+BMILMS!$E$11*AM341^2+BMILMS!$F$11*AM341+BMILMS!$G$11)))</f>
        <v>0.79584630099999998</v>
      </c>
      <c r="AK341" s="4">
        <f>IF(D341="M",(IF(AM341&lt;2.5,BMILMS!$D$21*AM341^3+BMILMS!$E$21*AM341^2+BMILMS!$F$21*AM341+BMILMS!$G$21,IF(AM341&lt;9.5,BMILMS!$D$22*AM341^3+BMILMS!$E$22*AM341^2+BMILMS!$F$22*AM341+BMILMS!$G$22,IF(AM341&lt;26.75,BMILMS!$D$23*AM341^3+BMILMS!$E$23*AM341^2+BMILMS!$F$23*AM341+BMILMS!$G$23,IF(AM341&lt;90,BMILMS!$D$24*AM341^3+BMILMS!$E$24*AM341^2+BMILMS!$F$24*AM341+BMILMS!$G$24,BMILMS!$D$25*AM341^3+BMILMS!$E$25*AM341^2+BMILMS!$F$25*AM341+BMILMS!$G$25))))),(IF(AM341&lt;2.5,BMILMS!$D$27*AM341^3+BMILMS!$E$27*AM341^2+BMILMS!$F$27*AM341+BMILMS!$G$27,IF(AM341&lt;9.5,BMILMS!$D$28*AM341^3+BMILMS!$E$28*AM341^2+BMILMS!$F$28*AM341+BMILMS!$G$28,IF(AM341&lt;26.75,BMILMS!$D$29*AM341^3+BMILMS!$E$29*AM341^2+BMILMS!$F$29*AM341+BMILMS!$G$29,IF(AM341&lt;90,BMILMS!$D$30*AM341^3+BMILMS!$E$30*AM341^2+BMILMS!$F$30*AM341+BMILMS!$G$30,IF(AM341&lt;150,BMILMS!$D$31*AM341^3+BMILMS!$E$31*AM341^2+BMILMS!$F$31*AM341+BMILMS!$G$31,BMILMS!$D$32*AM341^3+BMILMS!$E$32*AM341^2+BMILMS!$F$32*AM341+BMILMS!$G$32)))))))</f>
        <v>12.568967990000001</v>
      </c>
      <c r="AL341" s="4">
        <f>IF(D341="M",(IF(AM341&lt;90,BMILMS!$D$14*AM341^3+BMILMS!$E$14*AM341^2+BMILMS!$F$14*AM341+BMILMS!$G$14,BMILMS!$D$15*AM341^3+BMILMS!$E$15*AM341^2+BMILMS!$F$15*AM341+BMILMS!$G$15)),(IF(AM341&lt;90,BMILMS!$D$17*AM341^3+BMILMS!$E$17*AM341^2+BMILMS!$F$17*AM341+BMILMS!$G$17,BMILMS!$D$18*AM341^3+BMILMS!$E$18*AM341^2+BMILMS!$F$18*AM341+BMILMS!$G$18)))</f>
        <v>8.8969350000000003E-2</v>
      </c>
      <c r="AM341" s="4">
        <f t="shared" si="125"/>
        <v>0</v>
      </c>
      <c r="AO341" s="56">
        <f>IF(D341="M",WeightSDS!P$5*$AM341^7+WeightSDS!Q$5*$AM341^6+WeightSDS!R$5*$AM341^5+WeightSDS!S$5*$AM341^4+WeightSDS!T$5*$AM341^3+WeightSDS!U$5*$AM341^2+WeightSDS!V$5*$AM341+WeightSDS!W$5,IF($AM341&lt;186,WeightSDS!P$8*$AM341^7+WeightSDS!Q$8*$AM341^6+WeightSDS!R$8*$AM341^5+WeightSDS!S$8*$AM341^4+WeightSDS!T$8*$AM341^3+WeightSDS!U$8*$AM341^2+WeightSDS!V$8*$AM341+WeightSDS!W$8,WeightSDS!$U$9+WeightSDS!$V$9*($AM341-WeightSDS!$W$9)))</f>
        <v>0.75407122999999998</v>
      </c>
      <c r="AP341" s="4">
        <f>IF(D341="M",IF($AM341&lt;45,WeightSDS!M$23*$AM341^10+WeightSDS!N$23*$AM341^9+WeightSDS!O$23*$AM341^8+WeightSDS!P$23*$AM341^7+WeightSDS!Q$23*$AM341^6+WeightSDS!R$23*$AM341^5+WeightSDS!S$23*$AM341^4+WeightSDS!T$23*$AM341^3+WeightSDS!U$23*$AM341^2+WeightSDS!V$23*$AM341+WeightSDS!W$23,IF($AM341&lt;153,WeightSDS!M$25*$AM341^10+WeightSDS!N$25*$AM341^9+WeightSDS!O$25*$AM341^8+WeightSDS!P$25*$AM341^7+WeightSDS!Q$25*$AM341^6+WeightSDS!R$25*$AM341^5+WeightSDS!S$25*$AM341^4+WeightSDS!T$25*$AM341^3+WeightSDS!U$25*$AM341^2+WeightSDS!V$25*$AM341+WeightSDS!W$25,WeightSDS!M$27+WeightSDS!N$27/(1+EXP(WeightSDS!O$27+WeightSDS!P$27*$AM341)))),IF($AM341&lt;43.8,WeightSDS!M$29*$AM341^10+WeightSDS!N$29*$AM341^9+WeightSDS!O$29*$AM341^8+WeightSDS!P$29*$AM341^7+WeightSDS!Q$29*$AM341^6+WeightSDS!R$29*$AM341^5+WeightSDS!S$29*$AM341^4+WeightSDS!T$29*$AM341^3+WeightSDS!U$29*$AM341^2+WeightSDS!V$29*$AM341+WeightSDS!W$29-0.010431*(1-$AM341/210),IF($AM341&lt;123,WeightSDS!M$30*$AM341^10+WeightSDS!N$30*$AM341^9+WeightSDS!O$30*$AM341^8+WeightSDS!P$30*$AM341^7+WeightSDS!Q$30*$AM341^6+WeightSDS!R$30*$AM341^5+WeightSDS!S$30*$AM341^4+WeightSDS!T$30*$AM341^3+WeightSDS!U$30*$AM341^2+WeightSDS!V$30*$AM341+WeightSDS!W$30-0.010431*(1-1/$AM341),WeightSDS!M$32+WeightSDS!N$32/(1+EXP(WeightSDS!O$32+WeightSDS!P$32*$AM341))-0.010431*(1-$AM341/210))))</f>
        <v>2.9500001032655536</v>
      </c>
      <c r="AQ341" s="4">
        <f>IF(D341="M",IF($AM341&lt;162,WeightSDS!P$12*$AM341^7+WeightSDS!Q$12*$AM341^6+WeightSDS!R$12*$AM341^5+WeightSDS!S$12*$AM341^4+WeightSDS!T$12*$AM341^3+WeightSDS!U$12*$AM341^2+WeightSDS!V$12*$AM341+WeightSDS!W$12,WeightSDS!P$14*$AM341^7+WeightSDS!Q$14*$AM341^6+WeightSDS!R$14*$AM341^5+WeightSDS!S$14*$AM341^4+WeightSDS!T$14*$AM341^3+WeightSDS!U$14*$AM341^2+WeightSDS!V$14*$AM341+WeightSDS!W$14),IF($AM341&lt;156,WeightSDS!O$17*$AM341^8+WeightSDS!P$17*$AM341^7+WeightSDS!Q$17*$AM341^6+WeightSDS!R$17*$AM341^5+WeightSDS!S$17*$AM341^4+WeightSDS!T$17*$AM341^3+WeightSDS!U$17*$AM341^2+WeightSDS!V$17*$AM341+WeightSDS!W$17,IF($AM341&lt;186,WeightSDS!$U$18+(WeightSDS!$V$18-WeightSDS!$U$18)/24*($AM341-186)+WeightSDS!$W$18*(-$AM341+186)^2-0.005,WeightSDS!$U$18+(WeightSDS!$V$18-WeightSDS!$U$18)/24*($AM341-186)-0.005)))</f>
        <v>0.14604529399999999</v>
      </c>
      <c r="AT341" s="4">
        <f t="shared" si="112"/>
        <v>0.56299999999999994</v>
      </c>
      <c r="AU341" s="4">
        <f t="shared" si="113"/>
        <v>69</v>
      </c>
      <c r="AV341" s="4">
        <f t="shared" si="114"/>
        <v>0.51</v>
      </c>
    </row>
    <row r="342" spans="1:48" x14ac:dyDescent="0.15">
      <c r="A342" s="4"/>
      <c r="B342" s="21"/>
      <c r="C342" s="21"/>
      <c r="D342" s="21"/>
      <c r="E342" s="22"/>
      <c r="F342" s="22"/>
      <c r="G342" s="23"/>
      <c r="H342" s="23"/>
      <c r="I342" s="181"/>
      <c r="J342" s="8" t="str">
        <f t="shared" si="106"/>
        <v/>
      </c>
      <c r="K342" s="2" t="str">
        <f t="shared" si="115"/>
        <v/>
      </c>
      <c r="L342" s="2" t="str">
        <f t="shared" si="107"/>
        <v/>
      </c>
      <c r="M342" s="2" t="str">
        <f t="shared" si="116"/>
        <v/>
      </c>
      <c r="N342" s="2" t="str">
        <f t="shared" si="124"/>
        <v/>
      </c>
      <c r="O342" s="2" t="str">
        <f t="shared" si="117"/>
        <v/>
      </c>
      <c r="P342" s="8" t="str">
        <f t="shared" si="118"/>
        <v/>
      </c>
      <c r="Q342" s="8" t="str">
        <f t="shared" si="119"/>
        <v/>
      </c>
      <c r="R342" s="111" t="str">
        <f t="shared" si="120"/>
        <v/>
      </c>
      <c r="S342" s="44" t="str">
        <f t="shared" si="121"/>
        <v/>
      </c>
      <c r="T342" s="37" t="str">
        <f t="shared" si="122"/>
        <v/>
      </c>
      <c r="U342" s="44" t="str">
        <f t="shared" si="123"/>
        <v/>
      </c>
      <c r="V342" s="26"/>
      <c r="W342" s="26"/>
      <c r="X342" s="26"/>
      <c r="Y342" s="26"/>
      <c r="Z342" s="24"/>
      <c r="AA342" s="169">
        <f t="shared" si="108"/>
        <v>0</v>
      </c>
      <c r="AB342" s="4">
        <f t="shared" si="109"/>
        <v>0</v>
      </c>
      <c r="AC342" s="170">
        <f t="shared" si="105"/>
        <v>0</v>
      </c>
      <c r="AD342" s="58"/>
      <c r="AE342" s="58"/>
      <c r="AF342" s="58"/>
      <c r="AG342" s="59">
        <f t="shared" si="110"/>
        <v>9.0359999999999996</v>
      </c>
      <c r="AH342" s="59">
        <f t="shared" si="111"/>
        <v>-184.49199999999999</v>
      </c>
      <c r="AJ342" s="4">
        <f>IF(D342="M",IF(AM342&lt;78,BMILMS!$D$5*AM342^3+BMILMS!$E$5*AM342^2+BMILMS!$F$5*AM342+BMILMS!$G$5,IF(AM342&lt;150,BMILMS!$D$6*AM342^3+BMILMS!$E$6*AM342^2+BMILMS!$F$6*AM342+BMILMS!$G$6,BMILMS!$D$7*AM342^3+BMILMS!$E$7*AM342^2+BMILMS!$F$7*AM342+BMILMS!$G$7)),IF(AM342&lt;69,BMILMS!$D$9*AM342^3+BMILMS!$E$9*AM342^2+BMILMS!$F$9*AM342+BMILMS!$G$9,IF(AM342&lt;150,BMILMS!$D$10*AM342^3+BMILMS!$E$10*AM342^2+BMILMS!$F$10*AM342+BMILMS!$G$10,BMILMS!$D$11*AM342^3+BMILMS!$E$11*AM342^2+BMILMS!$F$11*AM342+BMILMS!$G$11)))</f>
        <v>0.79584630099999998</v>
      </c>
      <c r="AK342" s="4">
        <f>IF(D342="M",(IF(AM342&lt;2.5,BMILMS!$D$21*AM342^3+BMILMS!$E$21*AM342^2+BMILMS!$F$21*AM342+BMILMS!$G$21,IF(AM342&lt;9.5,BMILMS!$D$22*AM342^3+BMILMS!$E$22*AM342^2+BMILMS!$F$22*AM342+BMILMS!$G$22,IF(AM342&lt;26.75,BMILMS!$D$23*AM342^3+BMILMS!$E$23*AM342^2+BMILMS!$F$23*AM342+BMILMS!$G$23,IF(AM342&lt;90,BMILMS!$D$24*AM342^3+BMILMS!$E$24*AM342^2+BMILMS!$F$24*AM342+BMILMS!$G$24,BMILMS!$D$25*AM342^3+BMILMS!$E$25*AM342^2+BMILMS!$F$25*AM342+BMILMS!$G$25))))),(IF(AM342&lt;2.5,BMILMS!$D$27*AM342^3+BMILMS!$E$27*AM342^2+BMILMS!$F$27*AM342+BMILMS!$G$27,IF(AM342&lt;9.5,BMILMS!$D$28*AM342^3+BMILMS!$E$28*AM342^2+BMILMS!$F$28*AM342+BMILMS!$G$28,IF(AM342&lt;26.75,BMILMS!$D$29*AM342^3+BMILMS!$E$29*AM342^2+BMILMS!$F$29*AM342+BMILMS!$G$29,IF(AM342&lt;90,BMILMS!$D$30*AM342^3+BMILMS!$E$30*AM342^2+BMILMS!$F$30*AM342+BMILMS!$G$30,IF(AM342&lt;150,BMILMS!$D$31*AM342^3+BMILMS!$E$31*AM342^2+BMILMS!$F$31*AM342+BMILMS!$G$31,BMILMS!$D$32*AM342^3+BMILMS!$E$32*AM342^2+BMILMS!$F$32*AM342+BMILMS!$G$32)))))))</f>
        <v>12.568967990000001</v>
      </c>
      <c r="AL342" s="4">
        <f>IF(D342="M",(IF(AM342&lt;90,BMILMS!$D$14*AM342^3+BMILMS!$E$14*AM342^2+BMILMS!$F$14*AM342+BMILMS!$G$14,BMILMS!$D$15*AM342^3+BMILMS!$E$15*AM342^2+BMILMS!$F$15*AM342+BMILMS!$G$15)),(IF(AM342&lt;90,BMILMS!$D$17*AM342^3+BMILMS!$E$17*AM342^2+BMILMS!$F$17*AM342+BMILMS!$G$17,BMILMS!$D$18*AM342^3+BMILMS!$E$18*AM342^2+BMILMS!$F$18*AM342+BMILMS!$G$18)))</f>
        <v>8.8969350000000003E-2</v>
      </c>
      <c r="AM342" s="4">
        <f t="shared" si="125"/>
        <v>0</v>
      </c>
      <c r="AO342" s="56">
        <f>IF(D342="M",WeightSDS!P$5*$AM342^7+WeightSDS!Q$5*$AM342^6+WeightSDS!R$5*$AM342^5+WeightSDS!S$5*$AM342^4+WeightSDS!T$5*$AM342^3+WeightSDS!U$5*$AM342^2+WeightSDS!V$5*$AM342+WeightSDS!W$5,IF($AM342&lt;186,WeightSDS!P$8*$AM342^7+WeightSDS!Q$8*$AM342^6+WeightSDS!R$8*$AM342^5+WeightSDS!S$8*$AM342^4+WeightSDS!T$8*$AM342^3+WeightSDS!U$8*$AM342^2+WeightSDS!V$8*$AM342+WeightSDS!W$8,WeightSDS!$U$9+WeightSDS!$V$9*($AM342-WeightSDS!$W$9)))</f>
        <v>0.75407122999999998</v>
      </c>
      <c r="AP342" s="4">
        <f>IF(D342="M",IF($AM342&lt;45,WeightSDS!M$23*$AM342^10+WeightSDS!N$23*$AM342^9+WeightSDS!O$23*$AM342^8+WeightSDS!P$23*$AM342^7+WeightSDS!Q$23*$AM342^6+WeightSDS!R$23*$AM342^5+WeightSDS!S$23*$AM342^4+WeightSDS!T$23*$AM342^3+WeightSDS!U$23*$AM342^2+WeightSDS!V$23*$AM342+WeightSDS!W$23,IF($AM342&lt;153,WeightSDS!M$25*$AM342^10+WeightSDS!N$25*$AM342^9+WeightSDS!O$25*$AM342^8+WeightSDS!P$25*$AM342^7+WeightSDS!Q$25*$AM342^6+WeightSDS!R$25*$AM342^5+WeightSDS!S$25*$AM342^4+WeightSDS!T$25*$AM342^3+WeightSDS!U$25*$AM342^2+WeightSDS!V$25*$AM342+WeightSDS!W$25,WeightSDS!M$27+WeightSDS!N$27/(1+EXP(WeightSDS!O$27+WeightSDS!P$27*$AM342)))),IF($AM342&lt;43.8,WeightSDS!M$29*$AM342^10+WeightSDS!N$29*$AM342^9+WeightSDS!O$29*$AM342^8+WeightSDS!P$29*$AM342^7+WeightSDS!Q$29*$AM342^6+WeightSDS!R$29*$AM342^5+WeightSDS!S$29*$AM342^4+WeightSDS!T$29*$AM342^3+WeightSDS!U$29*$AM342^2+WeightSDS!V$29*$AM342+WeightSDS!W$29-0.010431*(1-$AM342/210),IF($AM342&lt;123,WeightSDS!M$30*$AM342^10+WeightSDS!N$30*$AM342^9+WeightSDS!O$30*$AM342^8+WeightSDS!P$30*$AM342^7+WeightSDS!Q$30*$AM342^6+WeightSDS!R$30*$AM342^5+WeightSDS!S$30*$AM342^4+WeightSDS!T$30*$AM342^3+WeightSDS!U$30*$AM342^2+WeightSDS!V$30*$AM342+WeightSDS!W$30-0.010431*(1-1/$AM342),WeightSDS!M$32+WeightSDS!N$32/(1+EXP(WeightSDS!O$32+WeightSDS!P$32*$AM342))-0.010431*(1-$AM342/210))))</f>
        <v>2.9500001032655536</v>
      </c>
      <c r="AQ342" s="4">
        <f>IF(D342="M",IF($AM342&lt;162,WeightSDS!P$12*$AM342^7+WeightSDS!Q$12*$AM342^6+WeightSDS!R$12*$AM342^5+WeightSDS!S$12*$AM342^4+WeightSDS!T$12*$AM342^3+WeightSDS!U$12*$AM342^2+WeightSDS!V$12*$AM342+WeightSDS!W$12,WeightSDS!P$14*$AM342^7+WeightSDS!Q$14*$AM342^6+WeightSDS!R$14*$AM342^5+WeightSDS!S$14*$AM342^4+WeightSDS!T$14*$AM342^3+WeightSDS!U$14*$AM342^2+WeightSDS!V$14*$AM342+WeightSDS!W$14),IF($AM342&lt;156,WeightSDS!O$17*$AM342^8+WeightSDS!P$17*$AM342^7+WeightSDS!Q$17*$AM342^6+WeightSDS!R$17*$AM342^5+WeightSDS!S$17*$AM342^4+WeightSDS!T$17*$AM342^3+WeightSDS!U$17*$AM342^2+WeightSDS!V$17*$AM342+WeightSDS!W$17,IF($AM342&lt;186,WeightSDS!$U$18+(WeightSDS!$V$18-WeightSDS!$U$18)/24*($AM342-186)+WeightSDS!$W$18*(-$AM342+186)^2-0.005,WeightSDS!$U$18+(WeightSDS!$V$18-WeightSDS!$U$18)/24*($AM342-186)-0.005)))</f>
        <v>0.14604529399999999</v>
      </c>
      <c r="AT342" s="4">
        <f t="shared" si="112"/>
        <v>0.56299999999999994</v>
      </c>
      <c r="AU342" s="4">
        <f t="shared" si="113"/>
        <v>69</v>
      </c>
      <c r="AV342" s="4">
        <f t="shared" si="114"/>
        <v>0.51</v>
      </c>
    </row>
    <row r="343" spans="1:48" x14ac:dyDescent="0.15">
      <c r="A343" s="4"/>
      <c r="B343" s="21"/>
      <c r="C343" s="21"/>
      <c r="D343" s="21"/>
      <c r="E343" s="22"/>
      <c r="F343" s="22"/>
      <c r="G343" s="23"/>
      <c r="H343" s="23"/>
      <c r="I343" s="181"/>
      <c r="J343" s="8" t="str">
        <f t="shared" si="106"/>
        <v/>
      </c>
      <c r="K343" s="2" t="str">
        <f t="shared" si="115"/>
        <v/>
      </c>
      <c r="L343" s="2" t="str">
        <f t="shared" si="107"/>
        <v/>
      </c>
      <c r="M343" s="2" t="str">
        <f t="shared" si="116"/>
        <v/>
      </c>
      <c r="N343" s="2" t="str">
        <f t="shared" si="124"/>
        <v/>
      </c>
      <c r="O343" s="2" t="str">
        <f t="shared" si="117"/>
        <v/>
      </c>
      <c r="P343" s="8" t="str">
        <f t="shared" si="118"/>
        <v/>
      </c>
      <c r="Q343" s="8" t="str">
        <f t="shared" si="119"/>
        <v/>
      </c>
      <c r="R343" s="111" t="str">
        <f t="shared" si="120"/>
        <v/>
      </c>
      <c r="S343" s="44" t="str">
        <f t="shared" si="121"/>
        <v/>
      </c>
      <c r="T343" s="37" t="str">
        <f t="shared" si="122"/>
        <v/>
      </c>
      <c r="U343" s="44" t="str">
        <f t="shared" si="123"/>
        <v/>
      </c>
      <c r="V343" s="26"/>
      <c r="W343" s="26"/>
      <c r="X343" s="26"/>
      <c r="Y343" s="26"/>
      <c r="Z343" s="24"/>
      <c r="AA343" s="169">
        <f t="shared" si="108"/>
        <v>0</v>
      </c>
      <c r="AB343" s="4">
        <f t="shared" si="109"/>
        <v>0</v>
      </c>
      <c r="AC343" s="170">
        <f t="shared" si="105"/>
        <v>0</v>
      </c>
      <c r="AD343" s="58"/>
      <c r="AE343" s="58"/>
      <c r="AF343" s="58"/>
      <c r="AG343" s="59">
        <f t="shared" si="110"/>
        <v>9.0359999999999996</v>
      </c>
      <c r="AH343" s="59">
        <f t="shared" si="111"/>
        <v>-184.49199999999999</v>
      </c>
      <c r="AJ343" s="4">
        <f>IF(D343="M",IF(AM343&lt;78,BMILMS!$D$5*AM343^3+BMILMS!$E$5*AM343^2+BMILMS!$F$5*AM343+BMILMS!$G$5,IF(AM343&lt;150,BMILMS!$D$6*AM343^3+BMILMS!$E$6*AM343^2+BMILMS!$F$6*AM343+BMILMS!$G$6,BMILMS!$D$7*AM343^3+BMILMS!$E$7*AM343^2+BMILMS!$F$7*AM343+BMILMS!$G$7)),IF(AM343&lt;69,BMILMS!$D$9*AM343^3+BMILMS!$E$9*AM343^2+BMILMS!$F$9*AM343+BMILMS!$G$9,IF(AM343&lt;150,BMILMS!$D$10*AM343^3+BMILMS!$E$10*AM343^2+BMILMS!$F$10*AM343+BMILMS!$G$10,BMILMS!$D$11*AM343^3+BMILMS!$E$11*AM343^2+BMILMS!$F$11*AM343+BMILMS!$G$11)))</f>
        <v>0.79584630099999998</v>
      </c>
      <c r="AK343" s="4">
        <f>IF(D343="M",(IF(AM343&lt;2.5,BMILMS!$D$21*AM343^3+BMILMS!$E$21*AM343^2+BMILMS!$F$21*AM343+BMILMS!$G$21,IF(AM343&lt;9.5,BMILMS!$D$22*AM343^3+BMILMS!$E$22*AM343^2+BMILMS!$F$22*AM343+BMILMS!$G$22,IF(AM343&lt;26.75,BMILMS!$D$23*AM343^3+BMILMS!$E$23*AM343^2+BMILMS!$F$23*AM343+BMILMS!$G$23,IF(AM343&lt;90,BMILMS!$D$24*AM343^3+BMILMS!$E$24*AM343^2+BMILMS!$F$24*AM343+BMILMS!$G$24,BMILMS!$D$25*AM343^3+BMILMS!$E$25*AM343^2+BMILMS!$F$25*AM343+BMILMS!$G$25))))),(IF(AM343&lt;2.5,BMILMS!$D$27*AM343^3+BMILMS!$E$27*AM343^2+BMILMS!$F$27*AM343+BMILMS!$G$27,IF(AM343&lt;9.5,BMILMS!$D$28*AM343^3+BMILMS!$E$28*AM343^2+BMILMS!$F$28*AM343+BMILMS!$G$28,IF(AM343&lt;26.75,BMILMS!$D$29*AM343^3+BMILMS!$E$29*AM343^2+BMILMS!$F$29*AM343+BMILMS!$G$29,IF(AM343&lt;90,BMILMS!$D$30*AM343^3+BMILMS!$E$30*AM343^2+BMILMS!$F$30*AM343+BMILMS!$G$30,IF(AM343&lt;150,BMILMS!$D$31*AM343^3+BMILMS!$E$31*AM343^2+BMILMS!$F$31*AM343+BMILMS!$G$31,BMILMS!$D$32*AM343^3+BMILMS!$E$32*AM343^2+BMILMS!$F$32*AM343+BMILMS!$G$32)))))))</f>
        <v>12.568967990000001</v>
      </c>
      <c r="AL343" s="4">
        <f>IF(D343="M",(IF(AM343&lt;90,BMILMS!$D$14*AM343^3+BMILMS!$E$14*AM343^2+BMILMS!$F$14*AM343+BMILMS!$G$14,BMILMS!$D$15*AM343^3+BMILMS!$E$15*AM343^2+BMILMS!$F$15*AM343+BMILMS!$G$15)),(IF(AM343&lt;90,BMILMS!$D$17*AM343^3+BMILMS!$E$17*AM343^2+BMILMS!$F$17*AM343+BMILMS!$G$17,BMILMS!$D$18*AM343^3+BMILMS!$E$18*AM343^2+BMILMS!$F$18*AM343+BMILMS!$G$18)))</f>
        <v>8.8969350000000003E-2</v>
      </c>
      <c r="AM343" s="4">
        <f t="shared" si="125"/>
        <v>0</v>
      </c>
      <c r="AO343" s="56">
        <f>IF(D343="M",WeightSDS!P$5*$AM343^7+WeightSDS!Q$5*$AM343^6+WeightSDS!R$5*$AM343^5+WeightSDS!S$5*$AM343^4+WeightSDS!T$5*$AM343^3+WeightSDS!U$5*$AM343^2+WeightSDS!V$5*$AM343+WeightSDS!W$5,IF($AM343&lt;186,WeightSDS!P$8*$AM343^7+WeightSDS!Q$8*$AM343^6+WeightSDS!R$8*$AM343^5+WeightSDS!S$8*$AM343^4+WeightSDS!T$8*$AM343^3+WeightSDS!U$8*$AM343^2+WeightSDS!V$8*$AM343+WeightSDS!W$8,WeightSDS!$U$9+WeightSDS!$V$9*($AM343-WeightSDS!$W$9)))</f>
        <v>0.75407122999999998</v>
      </c>
      <c r="AP343" s="4">
        <f>IF(D343="M",IF($AM343&lt;45,WeightSDS!M$23*$AM343^10+WeightSDS!N$23*$AM343^9+WeightSDS!O$23*$AM343^8+WeightSDS!P$23*$AM343^7+WeightSDS!Q$23*$AM343^6+WeightSDS!R$23*$AM343^5+WeightSDS!S$23*$AM343^4+WeightSDS!T$23*$AM343^3+WeightSDS!U$23*$AM343^2+WeightSDS!V$23*$AM343+WeightSDS!W$23,IF($AM343&lt;153,WeightSDS!M$25*$AM343^10+WeightSDS!N$25*$AM343^9+WeightSDS!O$25*$AM343^8+WeightSDS!P$25*$AM343^7+WeightSDS!Q$25*$AM343^6+WeightSDS!R$25*$AM343^5+WeightSDS!S$25*$AM343^4+WeightSDS!T$25*$AM343^3+WeightSDS!U$25*$AM343^2+WeightSDS!V$25*$AM343+WeightSDS!W$25,WeightSDS!M$27+WeightSDS!N$27/(1+EXP(WeightSDS!O$27+WeightSDS!P$27*$AM343)))),IF($AM343&lt;43.8,WeightSDS!M$29*$AM343^10+WeightSDS!N$29*$AM343^9+WeightSDS!O$29*$AM343^8+WeightSDS!P$29*$AM343^7+WeightSDS!Q$29*$AM343^6+WeightSDS!R$29*$AM343^5+WeightSDS!S$29*$AM343^4+WeightSDS!T$29*$AM343^3+WeightSDS!U$29*$AM343^2+WeightSDS!V$29*$AM343+WeightSDS!W$29-0.010431*(1-$AM343/210),IF($AM343&lt;123,WeightSDS!M$30*$AM343^10+WeightSDS!N$30*$AM343^9+WeightSDS!O$30*$AM343^8+WeightSDS!P$30*$AM343^7+WeightSDS!Q$30*$AM343^6+WeightSDS!R$30*$AM343^5+WeightSDS!S$30*$AM343^4+WeightSDS!T$30*$AM343^3+WeightSDS!U$30*$AM343^2+WeightSDS!V$30*$AM343+WeightSDS!W$30-0.010431*(1-1/$AM343),WeightSDS!M$32+WeightSDS!N$32/(1+EXP(WeightSDS!O$32+WeightSDS!P$32*$AM343))-0.010431*(1-$AM343/210))))</f>
        <v>2.9500001032655536</v>
      </c>
      <c r="AQ343" s="4">
        <f>IF(D343="M",IF($AM343&lt;162,WeightSDS!P$12*$AM343^7+WeightSDS!Q$12*$AM343^6+WeightSDS!R$12*$AM343^5+WeightSDS!S$12*$AM343^4+WeightSDS!T$12*$AM343^3+WeightSDS!U$12*$AM343^2+WeightSDS!V$12*$AM343+WeightSDS!W$12,WeightSDS!P$14*$AM343^7+WeightSDS!Q$14*$AM343^6+WeightSDS!R$14*$AM343^5+WeightSDS!S$14*$AM343^4+WeightSDS!T$14*$AM343^3+WeightSDS!U$14*$AM343^2+WeightSDS!V$14*$AM343+WeightSDS!W$14),IF($AM343&lt;156,WeightSDS!O$17*$AM343^8+WeightSDS!P$17*$AM343^7+WeightSDS!Q$17*$AM343^6+WeightSDS!R$17*$AM343^5+WeightSDS!S$17*$AM343^4+WeightSDS!T$17*$AM343^3+WeightSDS!U$17*$AM343^2+WeightSDS!V$17*$AM343+WeightSDS!W$17,IF($AM343&lt;186,WeightSDS!$U$18+(WeightSDS!$V$18-WeightSDS!$U$18)/24*($AM343-186)+WeightSDS!$W$18*(-$AM343+186)^2-0.005,WeightSDS!$U$18+(WeightSDS!$V$18-WeightSDS!$U$18)/24*($AM343-186)-0.005)))</f>
        <v>0.14604529399999999</v>
      </c>
      <c r="AT343" s="4">
        <f t="shared" si="112"/>
        <v>0.56299999999999994</v>
      </c>
      <c r="AU343" s="4">
        <f t="shared" si="113"/>
        <v>69</v>
      </c>
      <c r="AV343" s="4">
        <f t="shared" si="114"/>
        <v>0.51</v>
      </c>
    </row>
    <row r="344" spans="1:48" x14ac:dyDescent="0.15">
      <c r="A344" s="4"/>
      <c r="B344" s="21"/>
      <c r="C344" s="21"/>
      <c r="D344" s="21"/>
      <c r="E344" s="22"/>
      <c r="F344" s="22"/>
      <c r="G344" s="23"/>
      <c r="H344" s="23"/>
      <c r="I344" s="181"/>
      <c r="J344" s="8" t="str">
        <f t="shared" si="106"/>
        <v/>
      </c>
      <c r="K344" s="2" t="str">
        <f t="shared" si="115"/>
        <v/>
      </c>
      <c r="L344" s="2" t="str">
        <f t="shared" si="107"/>
        <v/>
      </c>
      <c r="M344" s="2" t="str">
        <f t="shared" si="116"/>
        <v/>
      </c>
      <c r="N344" s="2" t="str">
        <f t="shared" si="124"/>
        <v/>
      </c>
      <c r="O344" s="2" t="str">
        <f t="shared" si="117"/>
        <v/>
      </c>
      <c r="P344" s="8" t="str">
        <f t="shared" si="118"/>
        <v/>
      </c>
      <c r="Q344" s="8" t="str">
        <f t="shared" si="119"/>
        <v/>
      </c>
      <c r="R344" s="111" t="str">
        <f t="shared" si="120"/>
        <v/>
      </c>
      <c r="S344" s="44" t="str">
        <f t="shared" si="121"/>
        <v/>
      </c>
      <c r="T344" s="37" t="str">
        <f t="shared" si="122"/>
        <v/>
      </c>
      <c r="U344" s="44" t="str">
        <f t="shared" si="123"/>
        <v/>
      </c>
      <c r="V344" s="26"/>
      <c r="W344" s="26"/>
      <c r="X344" s="26"/>
      <c r="Y344" s="26"/>
      <c r="Z344" s="24"/>
      <c r="AA344" s="169">
        <f t="shared" si="108"/>
        <v>0</v>
      </c>
      <c r="AB344" s="4">
        <f t="shared" si="109"/>
        <v>0</v>
      </c>
      <c r="AC344" s="170">
        <f t="shared" si="105"/>
        <v>0</v>
      </c>
      <c r="AD344" s="58"/>
      <c r="AE344" s="58"/>
      <c r="AF344" s="58"/>
      <c r="AG344" s="59">
        <f t="shared" si="110"/>
        <v>9.0359999999999996</v>
      </c>
      <c r="AH344" s="59">
        <f t="shared" si="111"/>
        <v>-184.49199999999999</v>
      </c>
      <c r="AJ344" s="4">
        <f>IF(D344="M",IF(AM344&lt;78,BMILMS!$D$5*AM344^3+BMILMS!$E$5*AM344^2+BMILMS!$F$5*AM344+BMILMS!$G$5,IF(AM344&lt;150,BMILMS!$D$6*AM344^3+BMILMS!$E$6*AM344^2+BMILMS!$F$6*AM344+BMILMS!$G$6,BMILMS!$D$7*AM344^3+BMILMS!$E$7*AM344^2+BMILMS!$F$7*AM344+BMILMS!$G$7)),IF(AM344&lt;69,BMILMS!$D$9*AM344^3+BMILMS!$E$9*AM344^2+BMILMS!$F$9*AM344+BMILMS!$G$9,IF(AM344&lt;150,BMILMS!$D$10*AM344^3+BMILMS!$E$10*AM344^2+BMILMS!$F$10*AM344+BMILMS!$G$10,BMILMS!$D$11*AM344^3+BMILMS!$E$11*AM344^2+BMILMS!$F$11*AM344+BMILMS!$G$11)))</f>
        <v>0.79584630099999998</v>
      </c>
      <c r="AK344" s="4">
        <f>IF(D344="M",(IF(AM344&lt;2.5,BMILMS!$D$21*AM344^3+BMILMS!$E$21*AM344^2+BMILMS!$F$21*AM344+BMILMS!$G$21,IF(AM344&lt;9.5,BMILMS!$D$22*AM344^3+BMILMS!$E$22*AM344^2+BMILMS!$F$22*AM344+BMILMS!$G$22,IF(AM344&lt;26.75,BMILMS!$D$23*AM344^3+BMILMS!$E$23*AM344^2+BMILMS!$F$23*AM344+BMILMS!$G$23,IF(AM344&lt;90,BMILMS!$D$24*AM344^3+BMILMS!$E$24*AM344^2+BMILMS!$F$24*AM344+BMILMS!$G$24,BMILMS!$D$25*AM344^3+BMILMS!$E$25*AM344^2+BMILMS!$F$25*AM344+BMILMS!$G$25))))),(IF(AM344&lt;2.5,BMILMS!$D$27*AM344^3+BMILMS!$E$27*AM344^2+BMILMS!$F$27*AM344+BMILMS!$G$27,IF(AM344&lt;9.5,BMILMS!$D$28*AM344^3+BMILMS!$E$28*AM344^2+BMILMS!$F$28*AM344+BMILMS!$G$28,IF(AM344&lt;26.75,BMILMS!$D$29*AM344^3+BMILMS!$E$29*AM344^2+BMILMS!$F$29*AM344+BMILMS!$G$29,IF(AM344&lt;90,BMILMS!$D$30*AM344^3+BMILMS!$E$30*AM344^2+BMILMS!$F$30*AM344+BMILMS!$G$30,IF(AM344&lt;150,BMILMS!$D$31*AM344^3+BMILMS!$E$31*AM344^2+BMILMS!$F$31*AM344+BMILMS!$G$31,BMILMS!$D$32*AM344^3+BMILMS!$E$32*AM344^2+BMILMS!$F$32*AM344+BMILMS!$G$32)))))))</f>
        <v>12.568967990000001</v>
      </c>
      <c r="AL344" s="4">
        <f>IF(D344="M",(IF(AM344&lt;90,BMILMS!$D$14*AM344^3+BMILMS!$E$14*AM344^2+BMILMS!$F$14*AM344+BMILMS!$G$14,BMILMS!$D$15*AM344^3+BMILMS!$E$15*AM344^2+BMILMS!$F$15*AM344+BMILMS!$G$15)),(IF(AM344&lt;90,BMILMS!$D$17*AM344^3+BMILMS!$E$17*AM344^2+BMILMS!$F$17*AM344+BMILMS!$G$17,BMILMS!$D$18*AM344^3+BMILMS!$E$18*AM344^2+BMILMS!$F$18*AM344+BMILMS!$G$18)))</f>
        <v>8.8969350000000003E-2</v>
      </c>
      <c r="AM344" s="4">
        <f t="shared" si="125"/>
        <v>0</v>
      </c>
      <c r="AO344" s="56">
        <f>IF(D344="M",WeightSDS!P$5*$AM344^7+WeightSDS!Q$5*$AM344^6+WeightSDS!R$5*$AM344^5+WeightSDS!S$5*$AM344^4+WeightSDS!T$5*$AM344^3+WeightSDS!U$5*$AM344^2+WeightSDS!V$5*$AM344+WeightSDS!W$5,IF($AM344&lt;186,WeightSDS!P$8*$AM344^7+WeightSDS!Q$8*$AM344^6+WeightSDS!R$8*$AM344^5+WeightSDS!S$8*$AM344^4+WeightSDS!T$8*$AM344^3+WeightSDS!U$8*$AM344^2+WeightSDS!V$8*$AM344+WeightSDS!W$8,WeightSDS!$U$9+WeightSDS!$V$9*($AM344-WeightSDS!$W$9)))</f>
        <v>0.75407122999999998</v>
      </c>
      <c r="AP344" s="4">
        <f>IF(D344="M",IF($AM344&lt;45,WeightSDS!M$23*$AM344^10+WeightSDS!N$23*$AM344^9+WeightSDS!O$23*$AM344^8+WeightSDS!P$23*$AM344^7+WeightSDS!Q$23*$AM344^6+WeightSDS!R$23*$AM344^5+WeightSDS!S$23*$AM344^4+WeightSDS!T$23*$AM344^3+WeightSDS!U$23*$AM344^2+WeightSDS!V$23*$AM344+WeightSDS!W$23,IF($AM344&lt;153,WeightSDS!M$25*$AM344^10+WeightSDS!N$25*$AM344^9+WeightSDS!O$25*$AM344^8+WeightSDS!P$25*$AM344^7+WeightSDS!Q$25*$AM344^6+WeightSDS!R$25*$AM344^5+WeightSDS!S$25*$AM344^4+WeightSDS!T$25*$AM344^3+WeightSDS!U$25*$AM344^2+WeightSDS!V$25*$AM344+WeightSDS!W$25,WeightSDS!M$27+WeightSDS!N$27/(1+EXP(WeightSDS!O$27+WeightSDS!P$27*$AM344)))),IF($AM344&lt;43.8,WeightSDS!M$29*$AM344^10+WeightSDS!N$29*$AM344^9+WeightSDS!O$29*$AM344^8+WeightSDS!P$29*$AM344^7+WeightSDS!Q$29*$AM344^6+WeightSDS!R$29*$AM344^5+WeightSDS!S$29*$AM344^4+WeightSDS!T$29*$AM344^3+WeightSDS!U$29*$AM344^2+WeightSDS!V$29*$AM344+WeightSDS!W$29-0.010431*(1-$AM344/210),IF($AM344&lt;123,WeightSDS!M$30*$AM344^10+WeightSDS!N$30*$AM344^9+WeightSDS!O$30*$AM344^8+WeightSDS!P$30*$AM344^7+WeightSDS!Q$30*$AM344^6+WeightSDS!R$30*$AM344^5+WeightSDS!S$30*$AM344^4+WeightSDS!T$30*$AM344^3+WeightSDS!U$30*$AM344^2+WeightSDS!V$30*$AM344+WeightSDS!W$30-0.010431*(1-1/$AM344),WeightSDS!M$32+WeightSDS!N$32/(1+EXP(WeightSDS!O$32+WeightSDS!P$32*$AM344))-0.010431*(1-$AM344/210))))</f>
        <v>2.9500001032655536</v>
      </c>
      <c r="AQ344" s="4">
        <f>IF(D344="M",IF($AM344&lt;162,WeightSDS!P$12*$AM344^7+WeightSDS!Q$12*$AM344^6+WeightSDS!R$12*$AM344^5+WeightSDS!S$12*$AM344^4+WeightSDS!T$12*$AM344^3+WeightSDS!U$12*$AM344^2+WeightSDS!V$12*$AM344+WeightSDS!W$12,WeightSDS!P$14*$AM344^7+WeightSDS!Q$14*$AM344^6+WeightSDS!R$14*$AM344^5+WeightSDS!S$14*$AM344^4+WeightSDS!T$14*$AM344^3+WeightSDS!U$14*$AM344^2+WeightSDS!V$14*$AM344+WeightSDS!W$14),IF($AM344&lt;156,WeightSDS!O$17*$AM344^8+WeightSDS!P$17*$AM344^7+WeightSDS!Q$17*$AM344^6+WeightSDS!R$17*$AM344^5+WeightSDS!S$17*$AM344^4+WeightSDS!T$17*$AM344^3+WeightSDS!U$17*$AM344^2+WeightSDS!V$17*$AM344+WeightSDS!W$17,IF($AM344&lt;186,WeightSDS!$U$18+(WeightSDS!$V$18-WeightSDS!$U$18)/24*($AM344-186)+WeightSDS!$W$18*(-$AM344+186)^2-0.005,WeightSDS!$U$18+(WeightSDS!$V$18-WeightSDS!$U$18)/24*($AM344-186)-0.005)))</f>
        <v>0.14604529399999999</v>
      </c>
      <c r="AT344" s="4">
        <f t="shared" si="112"/>
        <v>0.56299999999999994</v>
      </c>
      <c r="AU344" s="4">
        <f t="shared" si="113"/>
        <v>69</v>
      </c>
      <c r="AV344" s="4">
        <f t="shared" si="114"/>
        <v>0.51</v>
      </c>
    </row>
    <row r="345" spans="1:48" x14ac:dyDescent="0.15">
      <c r="A345" s="4"/>
      <c r="B345" s="21"/>
      <c r="C345" s="21"/>
      <c r="D345" s="21"/>
      <c r="E345" s="22"/>
      <c r="F345" s="22"/>
      <c r="G345" s="23"/>
      <c r="H345" s="23"/>
      <c r="I345" s="181"/>
      <c r="J345" s="8" t="str">
        <f t="shared" si="106"/>
        <v/>
      </c>
      <c r="K345" s="2" t="str">
        <f t="shared" si="115"/>
        <v/>
      </c>
      <c r="L345" s="2" t="str">
        <f t="shared" si="107"/>
        <v/>
      </c>
      <c r="M345" s="2" t="str">
        <f t="shared" si="116"/>
        <v/>
      </c>
      <c r="N345" s="2" t="str">
        <f t="shared" si="124"/>
        <v/>
      </c>
      <c r="O345" s="2" t="str">
        <f t="shared" si="117"/>
        <v/>
      </c>
      <c r="P345" s="8" t="str">
        <f t="shared" si="118"/>
        <v/>
      </c>
      <c r="Q345" s="8" t="str">
        <f t="shared" si="119"/>
        <v/>
      </c>
      <c r="R345" s="111" t="str">
        <f t="shared" si="120"/>
        <v/>
      </c>
      <c r="S345" s="44" t="str">
        <f t="shared" si="121"/>
        <v/>
      </c>
      <c r="T345" s="37" t="str">
        <f t="shared" si="122"/>
        <v/>
      </c>
      <c r="U345" s="44" t="str">
        <f t="shared" si="123"/>
        <v/>
      </c>
      <c r="V345" s="26"/>
      <c r="W345" s="26"/>
      <c r="X345" s="26"/>
      <c r="Y345" s="26"/>
      <c r="Z345" s="24"/>
      <c r="AA345" s="169">
        <f t="shared" si="108"/>
        <v>0</v>
      </c>
      <c r="AB345" s="4">
        <f t="shared" si="109"/>
        <v>0</v>
      </c>
      <c r="AC345" s="170">
        <f t="shared" si="105"/>
        <v>0</v>
      </c>
      <c r="AD345" s="58"/>
      <c r="AE345" s="58"/>
      <c r="AF345" s="58"/>
      <c r="AG345" s="59">
        <f t="shared" si="110"/>
        <v>9.0359999999999996</v>
      </c>
      <c r="AH345" s="59">
        <f t="shared" si="111"/>
        <v>-184.49199999999999</v>
      </c>
      <c r="AJ345" s="4">
        <f>IF(D345="M",IF(AM345&lt;78,BMILMS!$D$5*AM345^3+BMILMS!$E$5*AM345^2+BMILMS!$F$5*AM345+BMILMS!$G$5,IF(AM345&lt;150,BMILMS!$D$6*AM345^3+BMILMS!$E$6*AM345^2+BMILMS!$F$6*AM345+BMILMS!$G$6,BMILMS!$D$7*AM345^3+BMILMS!$E$7*AM345^2+BMILMS!$F$7*AM345+BMILMS!$G$7)),IF(AM345&lt;69,BMILMS!$D$9*AM345^3+BMILMS!$E$9*AM345^2+BMILMS!$F$9*AM345+BMILMS!$G$9,IF(AM345&lt;150,BMILMS!$D$10*AM345^3+BMILMS!$E$10*AM345^2+BMILMS!$F$10*AM345+BMILMS!$G$10,BMILMS!$D$11*AM345^3+BMILMS!$E$11*AM345^2+BMILMS!$F$11*AM345+BMILMS!$G$11)))</f>
        <v>0.79584630099999998</v>
      </c>
      <c r="AK345" s="4">
        <f>IF(D345="M",(IF(AM345&lt;2.5,BMILMS!$D$21*AM345^3+BMILMS!$E$21*AM345^2+BMILMS!$F$21*AM345+BMILMS!$G$21,IF(AM345&lt;9.5,BMILMS!$D$22*AM345^3+BMILMS!$E$22*AM345^2+BMILMS!$F$22*AM345+BMILMS!$G$22,IF(AM345&lt;26.75,BMILMS!$D$23*AM345^3+BMILMS!$E$23*AM345^2+BMILMS!$F$23*AM345+BMILMS!$G$23,IF(AM345&lt;90,BMILMS!$D$24*AM345^3+BMILMS!$E$24*AM345^2+BMILMS!$F$24*AM345+BMILMS!$G$24,BMILMS!$D$25*AM345^3+BMILMS!$E$25*AM345^2+BMILMS!$F$25*AM345+BMILMS!$G$25))))),(IF(AM345&lt;2.5,BMILMS!$D$27*AM345^3+BMILMS!$E$27*AM345^2+BMILMS!$F$27*AM345+BMILMS!$G$27,IF(AM345&lt;9.5,BMILMS!$D$28*AM345^3+BMILMS!$E$28*AM345^2+BMILMS!$F$28*AM345+BMILMS!$G$28,IF(AM345&lt;26.75,BMILMS!$D$29*AM345^3+BMILMS!$E$29*AM345^2+BMILMS!$F$29*AM345+BMILMS!$G$29,IF(AM345&lt;90,BMILMS!$D$30*AM345^3+BMILMS!$E$30*AM345^2+BMILMS!$F$30*AM345+BMILMS!$G$30,IF(AM345&lt;150,BMILMS!$D$31*AM345^3+BMILMS!$E$31*AM345^2+BMILMS!$F$31*AM345+BMILMS!$G$31,BMILMS!$D$32*AM345^3+BMILMS!$E$32*AM345^2+BMILMS!$F$32*AM345+BMILMS!$G$32)))))))</f>
        <v>12.568967990000001</v>
      </c>
      <c r="AL345" s="4">
        <f>IF(D345="M",(IF(AM345&lt;90,BMILMS!$D$14*AM345^3+BMILMS!$E$14*AM345^2+BMILMS!$F$14*AM345+BMILMS!$G$14,BMILMS!$D$15*AM345^3+BMILMS!$E$15*AM345^2+BMILMS!$F$15*AM345+BMILMS!$G$15)),(IF(AM345&lt;90,BMILMS!$D$17*AM345^3+BMILMS!$E$17*AM345^2+BMILMS!$F$17*AM345+BMILMS!$G$17,BMILMS!$D$18*AM345^3+BMILMS!$E$18*AM345^2+BMILMS!$F$18*AM345+BMILMS!$G$18)))</f>
        <v>8.8969350000000003E-2</v>
      </c>
      <c r="AM345" s="4">
        <f t="shared" si="125"/>
        <v>0</v>
      </c>
      <c r="AO345" s="56">
        <f>IF(D345="M",WeightSDS!P$5*$AM345^7+WeightSDS!Q$5*$AM345^6+WeightSDS!R$5*$AM345^5+WeightSDS!S$5*$AM345^4+WeightSDS!T$5*$AM345^3+WeightSDS!U$5*$AM345^2+WeightSDS!V$5*$AM345+WeightSDS!W$5,IF($AM345&lt;186,WeightSDS!P$8*$AM345^7+WeightSDS!Q$8*$AM345^6+WeightSDS!R$8*$AM345^5+WeightSDS!S$8*$AM345^4+WeightSDS!T$8*$AM345^3+WeightSDS!U$8*$AM345^2+WeightSDS!V$8*$AM345+WeightSDS!W$8,WeightSDS!$U$9+WeightSDS!$V$9*($AM345-WeightSDS!$W$9)))</f>
        <v>0.75407122999999998</v>
      </c>
      <c r="AP345" s="4">
        <f>IF(D345="M",IF($AM345&lt;45,WeightSDS!M$23*$AM345^10+WeightSDS!N$23*$AM345^9+WeightSDS!O$23*$AM345^8+WeightSDS!P$23*$AM345^7+WeightSDS!Q$23*$AM345^6+WeightSDS!R$23*$AM345^5+WeightSDS!S$23*$AM345^4+WeightSDS!T$23*$AM345^3+WeightSDS!U$23*$AM345^2+WeightSDS!V$23*$AM345+WeightSDS!W$23,IF($AM345&lt;153,WeightSDS!M$25*$AM345^10+WeightSDS!N$25*$AM345^9+WeightSDS!O$25*$AM345^8+WeightSDS!P$25*$AM345^7+WeightSDS!Q$25*$AM345^6+WeightSDS!R$25*$AM345^5+WeightSDS!S$25*$AM345^4+WeightSDS!T$25*$AM345^3+WeightSDS!U$25*$AM345^2+WeightSDS!V$25*$AM345+WeightSDS!W$25,WeightSDS!M$27+WeightSDS!N$27/(1+EXP(WeightSDS!O$27+WeightSDS!P$27*$AM345)))),IF($AM345&lt;43.8,WeightSDS!M$29*$AM345^10+WeightSDS!N$29*$AM345^9+WeightSDS!O$29*$AM345^8+WeightSDS!P$29*$AM345^7+WeightSDS!Q$29*$AM345^6+WeightSDS!R$29*$AM345^5+WeightSDS!S$29*$AM345^4+WeightSDS!T$29*$AM345^3+WeightSDS!U$29*$AM345^2+WeightSDS!V$29*$AM345+WeightSDS!W$29-0.010431*(1-$AM345/210),IF($AM345&lt;123,WeightSDS!M$30*$AM345^10+WeightSDS!N$30*$AM345^9+WeightSDS!O$30*$AM345^8+WeightSDS!P$30*$AM345^7+WeightSDS!Q$30*$AM345^6+WeightSDS!R$30*$AM345^5+WeightSDS!S$30*$AM345^4+WeightSDS!T$30*$AM345^3+WeightSDS!U$30*$AM345^2+WeightSDS!V$30*$AM345+WeightSDS!W$30-0.010431*(1-1/$AM345),WeightSDS!M$32+WeightSDS!N$32/(1+EXP(WeightSDS!O$32+WeightSDS!P$32*$AM345))-0.010431*(1-$AM345/210))))</f>
        <v>2.9500001032655536</v>
      </c>
      <c r="AQ345" s="4">
        <f>IF(D345="M",IF($AM345&lt;162,WeightSDS!P$12*$AM345^7+WeightSDS!Q$12*$AM345^6+WeightSDS!R$12*$AM345^5+WeightSDS!S$12*$AM345^4+WeightSDS!T$12*$AM345^3+WeightSDS!U$12*$AM345^2+WeightSDS!V$12*$AM345+WeightSDS!W$12,WeightSDS!P$14*$AM345^7+WeightSDS!Q$14*$AM345^6+WeightSDS!R$14*$AM345^5+WeightSDS!S$14*$AM345^4+WeightSDS!T$14*$AM345^3+WeightSDS!U$14*$AM345^2+WeightSDS!V$14*$AM345+WeightSDS!W$14),IF($AM345&lt;156,WeightSDS!O$17*$AM345^8+WeightSDS!P$17*$AM345^7+WeightSDS!Q$17*$AM345^6+WeightSDS!R$17*$AM345^5+WeightSDS!S$17*$AM345^4+WeightSDS!T$17*$AM345^3+WeightSDS!U$17*$AM345^2+WeightSDS!V$17*$AM345+WeightSDS!W$17,IF($AM345&lt;186,WeightSDS!$U$18+(WeightSDS!$V$18-WeightSDS!$U$18)/24*($AM345-186)+WeightSDS!$W$18*(-$AM345+186)^2-0.005,WeightSDS!$U$18+(WeightSDS!$V$18-WeightSDS!$U$18)/24*($AM345-186)-0.005)))</f>
        <v>0.14604529399999999</v>
      </c>
      <c r="AT345" s="4">
        <f t="shared" si="112"/>
        <v>0.56299999999999994</v>
      </c>
      <c r="AU345" s="4">
        <f t="shared" si="113"/>
        <v>69</v>
      </c>
      <c r="AV345" s="4">
        <f t="shared" si="114"/>
        <v>0.51</v>
      </c>
    </row>
    <row r="346" spans="1:48" x14ac:dyDescent="0.15">
      <c r="A346" s="4"/>
      <c r="B346" s="21"/>
      <c r="C346" s="21"/>
      <c r="D346" s="21"/>
      <c r="E346" s="22"/>
      <c r="F346" s="22"/>
      <c r="G346" s="23"/>
      <c r="H346" s="23"/>
      <c r="I346" s="181"/>
      <c r="J346" s="8" t="str">
        <f t="shared" si="106"/>
        <v/>
      </c>
      <c r="K346" s="2" t="str">
        <f t="shared" si="115"/>
        <v/>
      </c>
      <c r="L346" s="2" t="str">
        <f t="shared" si="107"/>
        <v/>
      </c>
      <c r="M346" s="2" t="str">
        <f t="shared" si="116"/>
        <v/>
      </c>
      <c r="N346" s="2" t="str">
        <f t="shared" si="124"/>
        <v/>
      </c>
      <c r="O346" s="2" t="str">
        <f t="shared" si="117"/>
        <v/>
      </c>
      <c r="P346" s="8" t="str">
        <f t="shared" si="118"/>
        <v/>
      </c>
      <c r="Q346" s="8" t="str">
        <f t="shared" si="119"/>
        <v/>
      </c>
      <c r="R346" s="111" t="str">
        <f t="shared" si="120"/>
        <v/>
      </c>
      <c r="S346" s="44" t="str">
        <f t="shared" si="121"/>
        <v/>
      </c>
      <c r="T346" s="37" t="str">
        <f t="shared" si="122"/>
        <v/>
      </c>
      <c r="U346" s="44" t="str">
        <f t="shared" si="123"/>
        <v/>
      </c>
      <c r="V346" s="26"/>
      <c r="W346" s="26"/>
      <c r="X346" s="26"/>
      <c r="Y346" s="26"/>
      <c r="Z346" s="24"/>
      <c r="AA346" s="169">
        <f t="shared" si="108"/>
        <v>0</v>
      </c>
      <c r="AB346" s="4">
        <f t="shared" si="109"/>
        <v>0</v>
      </c>
      <c r="AC346" s="170">
        <f t="shared" si="105"/>
        <v>0</v>
      </c>
      <c r="AD346" s="58"/>
      <c r="AE346" s="58"/>
      <c r="AF346" s="58"/>
      <c r="AG346" s="59">
        <f t="shared" si="110"/>
        <v>9.0359999999999996</v>
      </c>
      <c r="AH346" s="59">
        <f t="shared" si="111"/>
        <v>-184.49199999999999</v>
      </c>
      <c r="AJ346" s="4">
        <f>IF(D346="M",IF(AM346&lt;78,BMILMS!$D$5*AM346^3+BMILMS!$E$5*AM346^2+BMILMS!$F$5*AM346+BMILMS!$G$5,IF(AM346&lt;150,BMILMS!$D$6*AM346^3+BMILMS!$E$6*AM346^2+BMILMS!$F$6*AM346+BMILMS!$G$6,BMILMS!$D$7*AM346^3+BMILMS!$E$7*AM346^2+BMILMS!$F$7*AM346+BMILMS!$G$7)),IF(AM346&lt;69,BMILMS!$D$9*AM346^3+BMILMS!$E$9*AM346^2+BMILMS!$F$9*AM346+BMILMS!$G$9,IF(AM346&lt;150,BMILMS!$D$10*AM346^3+BMILMS!$E$10*AM346^2+BMILMS!$F$10*AM346+BMILMS!$G$10,BMILMS!$D$11*AM346^3+BMILMS!$E$11*AM346^2+BMILMS!$F$11*AM346+BMILMS!$G$11)))</f>
        <v>0.79584630099999998</v>
      </c>
      <c r="AK346" s="4">
        <f>IF(D346="M",(IF(AM346&lt;2.5,BMILMS!$D$21*AM346^3+BMILMS!$E$21*AM346^2+BMILMS!$F$21*AM346+BMILMS!$G$21,IF(AM346&lt;9.5,BMILMS!$D$22*AM346^3+BMILMS!$E$22*AM346^2+BMILMS!$F$22*AM346+BMILMS!$G$22,IF(AM346&lt;26.75,BMILMS!$D$23*AM346^3+BMILMS!$E$23*AM346^2+BMILMS!$F$23*AM346+BMILMS!$G$23,IF(AM346&lt;90,BMILMS!$D$24*AM346^3+BMILMS!$E$24*AM346^2+BMILMS!$F$24*AM346+BMILMS!$G$24,BMILMS!$D$25*AM346^3+BMILMS!$E$25*AM346^2+BMILMS!$F$25*AM346+BMILMS!$G$25))))),(IF(AM346&lt;2.5,BMILMS!$D$27*AM346^3+BMILMS!$E$27*AM346^2+BMILMS!$F$27*AM346+BMILMS!$G$27,IF(AM346&lt;9.5,BMILMS!$D$28*AM346^3+BMILMS!$E$28*AM346^2+BMILMS!$F$28*AM346+BMILMS!$G$28,IF(AM346&lt;26.75,BMILMS!$D$29*AM346^3+BMILMS!$E$29*AM346^2+BMILMS!$F$29*AM346+BMILMS!$G$29,IF(AM346&lt;90,BMILMS!$D$30*AM346^3+BMILMS!$E$30*AM346^2+BMILMS!$F$30*AM346+BMILMS!$G$30,IF(AM346&lt;150,BMILMS!$D$31*AM346^3+BMILMS!$E$31*AM346^2+BMILMS!$F$31*AM346+BMILMS!$G$31,BMILMS!$D$32*AM346^3+BMILMS!$E$32*AM346^2+BMILMS!$F$32*AM346+BMILMS!$G$32)))))))</f>
        <v>12.568967990000001</v>
      </c>
      <c r="AL346" s="4">
        <f>IF(D346="M",(IF(AM346&lt;90,BMILMS!$D$14*AM346^3+BMILMS!$E$14*AM346^2+BMILMS!$F$14*AM346+BMILMS!$G$14,BMILMS!$D$15*AM346^3+BMILMS!$E$15*AM346^2+BMILMS!$F$15*AM346+BMILMS!$G$15)),(IF(AM346&lt;90,BMILMS!$D$17*AM346^3+BMILMS!$E$17*AM346^2+BMILMS!$F$17*AM346+BMILMS!$G$17,BMILMS!$D$18*AM346^3+BMILMS!$E$18*AM346^2+BMILMS!$F$18*AM346+BMILMS!$G$18)))</f>
        <v>8.8969350000000003E-2</v>
      </c>
      <c r="AM346" s="4">
        <f t="shared" si="125"/>
        <v>0</v>
      </c>
      <c r="AO346" s="56">
        <f>IF(D346="M",WeightSDS!P$5*$AM346^7+WeightSDS!Q$5*$AM346^6+WeightSDS!R$5*$AM346^5+WeightSDS!S$5*$AM346^4+WeightSDS!T$5*$AM346^3+WeightSDS!U$5*$AM346^2+WeightSDS!V$5*$AM346+WeightSDS!W$5,IF($AM346&lt;186,WeightSDS!P$8*$AM346^7+WeightSDS!Q$8*$AM346^6+WeightSDS!R$8*$AM346^5+WeightSDS!S$8*$AM346^4+WeightSDS!T$8*$AM346^3+WeightSDS!U$8*$AM346^2+WeightSDS!V$8*$AM346+WeightSDS!W$8,WeightSDS!$U$9+WeightSDS!$V$9*($AM346-WeightSDS!$W$9)))</f>
        <v>0.75407122999999998</v>
      </c>
      <c r="AP346" s="4">
        <f>IF(D346="M",IF($AM346&lt;45,WeightSDS!M$23*$AM346^10+WeightSDS!N$23*$AM346^9+WeightSDS!O$23*$AM346^8+WeightSDS!P$23*$AM346^7+WeightSDS!Q$23*$AM346^6+WeightSDS!R$23*$AM346^5+WeightSDS!S$23*$AM346^4+WeightSDS!T$23*$AM346^3+WeightSDS!U$23*$AM346^2+WeightSDS!V$23*$AM346+WeightSDS!W$23,IF($AM346&lt;153,WeightSDS!M$25*$AM346^10+WeightSDS!N$25*$AM346^9+WeightSDS!O$25*$AM346^8+WeightSDS!P$25*$AM346^7+WeightSDS!Q$25*$AM346^6+WeightSDS!R$25*$AM346^5+WeightSDS!S$25*$AM346^4+WeightSDS!T$25*$AM346^3+WeightSDS!U$25*$AM346^2+WeightSDS!V$25*$AM346+WeightSDS!W$25,WeightSDS!M$27+WeightSDS!N$27/(1+EXP(WeightSDS!O$27+WeightSDS!P$27*$AM346)))),IF($AM346&lt;43.8,WeightSDS!M$29*$AM346^10+WeightSDS!N$29*$AM346^9+WeightSDS!O$29*$AM346^8+WeightSDS!P$29*$AM346^7+WeightSDS!Q$29*$AM346^6+WeightSDS!R$29*$AM346^5+WeightSDS!S$29*$AM346^4+WeightSDS!T$29*$AM346^3+WeightSDS!U$29*$AM346^2+WeightSDS!V$29*$AM346+WeightSDS!W$29-0.010431*(1-$AM346/210),IF($AM346&lt;123,WeightSDS!M$30*$AM346^10+WeightSDS!N$30*$AM346^9+WeightSDS!O$30*$AM346^8+WeightSDS!P$30*$AM346^7+WeightSDS!Q$30*$AM346^6+WeightSDS!R$30*$AM346^5+WeightSDS!S$30*$AM346^4+WeightSDS!T$30*$AM346^3+WeightSDS!U$30*$AM346^2+WeightSDS!V$30*$AM346+WeightSDS!W$30-0.010431*(1-1/$AM346),WeightSDS!M$32+WeightSDS!N$32/(1+EXP(WeightSDS!O$32+WeightSDS!P$32*$AM346))-0.010431*(1-$AM346/210))))</f>
        <v>2.9500001032655536</v>
      </c>
      <c r="AQ346" s="4">
        <f>IF(D346="M",IF($AM346&lt;162,WeightSDS!P$12*$AM346^7+WeightSDS!Q$12*$AM346^6+WeightSDS!R$12*$AM346^5+WeightSDS!S$12*$AM346^4+WeightSDS!T$12*$AM346^3+WeightSDS!U$12*$AM346^2+WeightSDS!V$12*$AM346+WeightSDS!W$12,WeightSDS!P$14*$AM346^7+WeightSDS!Q$14*$AM346^6+WeightSDS!R$14*$AM346^5+WeightSDS!S$14*$AM346^4+WeightSDS!T$14*$AM346^3+WeightSDS!U$14*$AM346^2+WeightSDS!V$14*$AM346+WeightSDS!W$14),IF($AM346&lt;156,WeightSDS!O$17*$AM346^8+WeightSDS!P$17*$AM346^7+WeightSDS!Q$17*$AM346^6+WeightSDS!R$17*$AM346^5+WeightSDS!S$17*$AM346^4+WeightSDS!T$17*$AM346^3+WeightSDS!U$17*$AM346^2+WeightSDS!V$17*$AM346+WeightSDS!W$17,IF($AM346&lt;186,WeightSDS!$U$18+(WeightSDS!$V$18-WeightSDS!$U$18)/24*($AM346-186)+WeightSDS!$W$18*(-$AM346+186)^2-0.005,WeightSDS!$U$18+(WeightSDS!$V$18-WeightSDS!$U$18)/24*($AM346-186)-0.005)))</f>
        <v>0.14604529399999999</v>
      </c>
      <c r="AT346" s="4">
        <f t="shared" si="112"/>
        <v>0.56299999999999994</v>
      </c>
      <c r="AU346" s="4">
        <f t="shared" si="113"/>
        <v>69</v>
      </c>
      <c r="AV346" s="4">
        <f t="shared" si="114"/>
        <v>0.51</v>
      </c>
    </row>
    <row r="347" spans="1:48" x14ac:dyDescent="0.15">
      <c r="A347" s="4"/>
      <c r="B347" s="21"/>
      <c r="C347" s="21"/>
      <c r="D347" s="21"/>
      <c r="E347" s="22"/>
      <c r="F347" s="22"/>
      <c r="G347" s="23"/>
      <c r="H347" s="23"/>
      <c r="I347" s="181"/>
      <c r="J347" s="8" t="str">
        <f t="shared" si="106"/>
        <v/>
      </c>
      <c r="K347" s="2" t="str">
        <f t="shared" si="115"/>
        <v/>
      </c>
      <c r="L347" s="2" t="str">
        <f t="shared" si="107"/>
        <v/>
      </c>
      <c r="M347" s="2" t="str">
        <f t="shared" si="116"/>
        <v/>
      </c>
      <c r="N347" s="2" t="str">
        <f t="shared" si="124"/>
        <v/>
      </c>
      <c r="O347" s="2" t="str">
        <f t="shared" si="117"/>
        <v/>
      </c>
      <c r="P347" s="8" t="str">
        <f t="shared" si="118"/>
        <v/>
      </c>
      <c r="Q347" s="8" t="str">
        <f t="shared" si="119"/>
        <v/>
      </c>
      <c r="R347" s="111" t="str">
        <f t="shared" si="120"/>
        <v/>
      </c>
      <c r="S347" s="44" t="str">
        <f t="shared" si="121"/>
        <v/>
      </c>
      <c r="T347" s="37" t="str">
        <f t="shared" si="122"/>
        <v/>
      </c>
      <c r="U347" s="44" t="str">
        <f t="shared" si="123"/>
        <v/>
      </c>
      <c r="V347" s="26"/>
      <c r="W347" s="26"/>
      <c r="X347" s="26"/>
      <c r="Y347" s="26"/>
      <c r="Z347" s="24"/>
      <c r="AA347" s="169">
        <f t="shared" si="108"/>
        <v>0</v>
      </c>
      <c r="AB347" s="4">
        <f t="shared" si="109"/>
        <v>0</v>
      </c>
      <c r="AC347" s="170">
        <f t="shared" si="105"/>
        <v>0</v>
      </c>
      <c r="AD347" s="58"/>
      <c r="AE347" s="58"/>
      <c r="AF347" s="58"/>
      <c r="AG347" s="59">
        <f t="shared" si="110"/>
        <v>9.0359999999999996</v>
      </c>
      <c r="AH347" s="59">
        <f t="shared" si="111"/>
        <v>-184.49199999999999</v>
      </c>
      <c r="AJ347" s="4">
        <f>IF(D347="M",IF(AM347&lt;78,BMILMS!$D$5*AM347^3+BMILMS!$E$5*AM347^2+BMILMS!$F$5*AM347+BMILMS!$G$5,IF(AM347&lt;150,BMILMS!$D$6*AM347^3+BMILMS!$E$6*AM347^2+BMILMS!$F$6*AM347+BMILMS!$G$6,BMILMS!$D$7*AM347^3+BMILMS!$E$7*AM347^2+BMILMS!$F$7*AM347+BMILMS!$G$7)),IF(AM347&lt;69,BMILMS!$D$9*AM347^3+BMILMS!$E$9*AM347^2+BMILMS!$F$9*AM347+BMILMS!$G$9,IF(AM347&lt;150,BMILMS!$D$10*AM347^3+BMILMS!$E$10*AM347^2+BMILMS!$F$10*AM347+BMILMS!$G$10,BMILMS!$D$11*AM347^3+BMILMS!$E$11*AM347^2+BMILMS!$F$11*AM347+BMILMS!$G$11)))</f>
        <v>0.79584630099999998</v>
      </c>
      <c r="AK347" s="4">
        <f>IF(D347="M",(IF(AM347&lt;2.5,BMILMS!$D$21*AM347^3+BMILMS!$E$21*AM347^2+BMILMS!$F$21*AM347+BMILMS!$G$21,IF(AM347&lt;9.5,BMILMS!$D$22*AM347^3+BMILMS!$E$22*AM347^2+BMILMS!$F$22*AM347+BMILMS!$G$22,IF(AM347&lt;26.75,BMILMS!$D$23*AM347^3+BMILMS!$E$23*AM347^2+BMILMS!$F$23*AM347+BMILMS!$G$23,IF(AM347&lt;90,BMILMS!$D$24*AM347^3+BMILMS!$E$24*AM347^2+BMILMS!$F$24*AM347+BMILMS!$G$24,BMILMS!$D$25*AM347^3+BMILMS!$E$25*AM347^2+BMILMS!$F$25*AM347+BMILMS!$G$25))))),(IF(AM347&lt;2.5,BMILMS!$D$27*AM347^3+BMILMS!$E$27*AM347^2+BMILMS!$F$27*AM347+BMILMS!$G$27,IF(AM347&lt;9.5,BMILMS!$D$28*AM347^3+BMILMS!$E$28*AM347^2+BMILMS!$F$28*AM347+BMILMS!$G$28,IF(AM347&lt;26.75,BMILMS!$D$29*AM347^3+BMILMS!$E$29*AM347^2+BMILMS!$F$29*AM347+BMILMS!$G$29,IF(AM347&lt;90,BMILMS!$D$30*AM347^3+BMILMS!$E$30*AM347^2+BMILMS!$F$30*AM347+BMILMS!$G$30,IF(AM347&lt;150,BMILMS!$D$31*AM347^3+BMILMS!$E$31*AM347^2+BMILMS!$F$31*AM347+BMILMS!$G$31,BMILMS!$D$32*AM347^3+BMILMS!$E$32*AM347^2+BMILMS!$F$32*AM347+BMILMS!$G$32)))))))</f>
        <v>12.568967990000001</v>
      </c>
      <c r="AL347" s="4">
        <f>IF(D347="M",(IF(AM347&lt;90,BMILMS!$D$14*AM347^3+BMILMS!$E$14*AM347^2+BMILMS!$F$14*AM347+BMILMS!$G$14,BMILMS!$D$15*AM347^3+BMILMS!$E$15*AM347^2+BMILMS!$F$15*AM347+BMILMS!$G$15)),(IF(AM347&lt;90,BMILMS!$D$17*AM347^3+BMILMS!$E$17*AM347^2+BMILMS!$F$17*AM347+BMILMS!$G$17,BMILMS!$D$18*AM347^3+BMILMS!$E$18*AM347^2+BMILMS!$F$18*AM347+BMILMS!$G$18)))</f>
        <v>8.8969350000000003E-2</v>
      </c>
      <c r="AM347" s="4">
        <f t="shared" si="125"/>
        <v>0</v>
      </c>
      <c r="AO347" s="56">
        <f>IF(D347="M",WeightSDS!P$5*$AM347^7+WeightSDS!Q$5*$AM347^6+WeightSDS!R$5*$AM347^5+WeightSDS!S$5*$AM347^4+WeightSDS!T$5*$AM347^3+WeightSDS!U$5*$AM347^2+WeightSDS!V$5*$AM347+WeightSDS!W$5,IF($AM347&lt;186,WeightSDS!P$8*$AM347^7+WeightSDS!Q$8*$AM347^6+WeightSDS!R$8*$AM347^5+WeightSDS!S$8*$AM347^4+WeightSDS!T$8*$AM347^3+WeightSDS!U$8*$AM347^2+WeightSDS!V$8*$AM347+WeightSDS!W$8,WeightSDS!$U$9+WeightSDS!$V$9*($AM347-WeightSDS!$W$9)))</f>
        <v>0.75407122999999998</v>
      </c>
      <c r="AP347" s="4">
        <f>IF(D347="M",IF($AM347&lt;45,WeightSDS!M$23*$AM347^10+WeightSDS!N$23*$AM347^9+WeightSDS!O$23*$AM347^8+WeightSDS!P$23*$AM347^7+WeightSDS!Q$23*$AM347^6+WeightSDS!R$23*$AM347^5+WeightSDS!S$23*$AM347^4+WeightSDS!T$23*$AM347^3+WeightSDS!U$23*$AM347^2+WeightSDS!V$23*$AM347+WeightSDS!W$23,IF($AM347&lt;153,WeightSDS!M$25*$AM347^10+WeightSDS!N$25*$AM347^9+WeightSDS!O$25*$AM347^8+WeightSDS!P$25*$AM347^7+WeightSDS!Q$25*$AM347^6+WeightSDS!R$25*$AM347^5+WeightSDS!S$25*$AM347^4+WeightSDS!T$25*$AM347^3+WeightSDS!U$25*$AM347^2+WeightSDS!V$25*$AM347+WeightSDS!W$25,WeightSDS!M$27+WeightSDS!N$27/(1+EXP(WeightSDS!O$27+WeightSDS!P$27*$AM347)))),IF($AM347&lt;43.8,WeightSDS!M$29*$AM347^10+WeightSDS!N$29*$AM347^9+WeightSDS!O$29*$AM347^8+WeightSDS!P$29*$AM347^7+WeightSDS!Q$29*$AM347^6+WeightSDS!R$29*$AM347^5+WeightSDS!S$29*$AM347^4+WeightSDS!T$29*$AM347^3+WeightSDS!U$29*$AM347^2+WeightSDS!V$29*$AM347+WeightSDS!W$29-0.010431*(1-$AM347/210),IF($AM347&lt;123,WeightSDS!M$30*$AM347^10+WeightSDS!N$30*$AM347^9+WeightSDS!O$30*$AM347^8+WeightSDS!P$30*$AM347^7+WeightSDS!Q$30*$AM347^6+WeightSDS!R$30*$AM347^5+WeightSDS!S$30*$AM347^4+WeightSDS!T$30*$AM347^3+WeightSDS!U$30*$AM347^2+WeightSDS!V$30*$AM347+WeightSDS!W$30-0.010431*(1-1/$AM347),WeightSDS!M$32+WeightSDS!N$32/(1+EXP(WeightSDS!O$32+WeightSDS!P$32*$AM347))-0.010431*(1-$AM347/210))))</f>
        <v>2.9500001032655536</v>
      </c>
      <c r="AQ347" s="4">
        <f>IF(D347="M",IF($AM347&lt;162,WeightSDS!P$12*$AM347^7+WeightSDS!Q$12*$AM347^6+WeightSDS!R$12*$AM347^5+WeightSDS!S$12*$AM347^4+WeightSDS!T$12*$AM347^3+WeightSDS!U$12*$AM347^2+WeightSDS!V$12*$AM347+WeightSDS!W$12,WeightSDS!P$14*$AM347^7+WeightSDS!Q$14*$AM347^6+WeightSDS!R$14*$AM347^5+WeightSDS!S$14*$AM347^4+WeightSDS!T$14*$AM347^3+WeightSDS!U$14*$AM347^2+WeightSDS!V$14*$AM347+WeightSDS!W$14),IF($AM347&lt;156,WeightSDS!O$17*$AM347^8+WeightSDS!P$17*$AM347^7+WeightSDS!Q$17*$AM347^6+WeightSDS!R$17*$AM347^5+WeightSDS!S$17*$AM347^4+WeightSDS!T$17*$AM347^3+WeightSDS!U$17*$AM347^2+WeightSDS!V$17*$AM347+WeightSDS!W$17,IF($AM347&lt;186,WeightSDS!$U$18+(WeightSDS!$V$18-WeightSDS!$U$18)/24*($AM347-186)+WeightSDS!$W$18*(-$AM347+186)^2-0.005,WeightSDS!$U$18+(WeightSDS!$V$18-WeightSDS!$U$18)/24*($AM347-186)-0.005)))</f>
        <v>0.14604529399999999</v>
      </c>
      <c r="AT347" s="4">
        <f t="shared" si="112"/>
        <v>0.56299999999999994</v>
      </c>
      <c r="AU347" s="4">
        <f t="shared" si="113"/>
        <v>69</v>
      </c>
      <c r="AV347" s="4">
        <f t="shared" si="114"/>
        <v>0.51</v>
      </c>
    </row>
    <row r="348" spans="1:48" x14ac:dyDescent="0.15">
      <c r="A348" s="4"/>
      <c r="B348" s="21"/>
      <c r="C348" s="21"/>
      <c r="D348" s="21"/>
      <c r="E348" s="22"/>
      <c r="F348" s="22"/>
      <c r="G348" s="23"/>
      <c r="H348" s="23"/>
      <c r="I348" s="181"/>
      <c r="J348" s="8" t="str">
        <f t="shared" si="106"/>
        <v/>
      </c>
      <c r="K348" s="2" t="str">
        <f t="shared" si="115"/>
        <v/>
      </c>
      <c r="L348" s="2" t="str">
        <f t="shared" si="107"/>
        <v/>
      </c>
      <c r="M348" s="2" t="str">
        <f t="shared" si="116"/>
        <v/>
      </c>
      <c r="N348" s="2" t="str">
        <f t="shared" si="124"/>
        <v/>
      </c>
      <c r="O348" s="2" t="str">
        <f t="shared" si="117"/>
        <v/>
      </c>
      <c r="P348" s="8" t="str">
        <f t="shared" si="118"/>
        <v/>
      </c>
      <c r="Q348" s="8" t="str">
        <f t="shared" si="119"/>
        <v/>
      </c>
      <c r="R348" s="111" t="str">
        <f t="shared" si="120"/>
        <v/>
      </c>
      <c r="S348" s="44" t="str">
        <f t="shared" si="121"/>
        <v/>
      </c>
      <c r="T348" s="37" t="str">
        <f t="shared" si="122"/>
        <v/>
      </c>
      <c r="U348" s="44" t="str">
        <f t="shared" si="123"/>
        <v/>
      </c>
      <c r="V348" s="26"/>
      <c r="W348" s="26"/>
      <c r="X348" s="26"/>
      <c r="Y348" s="26"/>
      <c r="Z348" s="24"/>
      <c r="AA348" s="169">
        <f t="shared" si="108"/>
        <v>0</v>
      </c>
      <c r="AB348" s="4">
        <f t="shared" si="109"/>
        <v>0</v>
      </c>
      <c r="AC348" s="170">
        <f t="shared" si="105"/>
        <v>0</v>
      </c>
      <c r="AD348" s="58"/>
      <c r="AE348" s="58"/>
      <c r="AF348" s="58"/>
      <c r="AG348" s="59">
        <f t="shared" si="110"/>
        <v>9.0359999999999996</v>
      </c>
      <c r="AH348" s="59">
        <f t="shared" si="111"/>
        <v>-184.49199999999999</v>
      </c>
      <c r="AJ348" s="4">
        <f>IF(D348="M",IF(AM348&lt;78,BMILMS!$D$5*AM348^3+BMILMS!$E$5*AM348^2+BMILMS!$F$5*AM348+BMILMS!$G$5,IF(AM348&lt;150,BMILMS!$D$6*AM348^3+BMILMS!$E$6*AM348^2+BMILMS!$F$6*AM348+BMILMS!$G$6,BMILMS!$D$7*AM348^3+BMILMS!$E$7*AM348^2+BMILMS!$F$7*AM348+BMILMS!$G$7)),IF(AM348&lt;69,BMILMS!$D$9*AM348^3+BMILMS!$E$9*AM348^2+BMILMS!$F$9*AM348+BMILMS!$G$9,IF(AM348&lt;150,BMILMS!$D$10*AM348^3+BMILMS!$E$10*AM348^2+BMILMS!$F$10*AM348+BMILMS!$G$10,BMILMS!$D$11*AM348^3+BMILMS!$E$11*AM348^2+BMILMS!$F$11*AM348+BMILMS!$G$11)))</f>
        <v>0.79584630099999998</v>
      </c>
      <c r="AK348" s="4">
        <f>IF(D348="M",(IF(AM348&lt;2.5,BMILMS!$D$21*AM348^3+BMILMS!$E$21*AM348^2+BMILMS!$F$21*AM348+BMILMS!$G$21,IF(AM348&lt;9.5,BMILMS!$D$22*AM348^3+BMILMS!$E$22*AM348^2+BMILMS!$F$22*AM348+BMILMS!$G$22,IF(AM348&lt;26.75,BMILMS!$D$23*AM348^3+BMILMS!$E$23*AM348^2+BMILMS!$F$23*AM348+BMILMS!$G$23,IF(AM348&lt;90,BMILMS!$D$24*AM348^3+BMILMS!$E$24*AM348^2+BMILMS!$F$24*AM348+BMILMS!$G$24,BMILMS!$D$25*AM348^3+BMILMS!$E$25*AM348^2+BMILMS!$F$25*AM348+BMILMS!$G$25))))),(IF(AM348&lt;2.5,BMILMS!$D$27*AM348^3+BMILMS!$E$27*AM348^2+BMILMS!$F$27*AM348+BMILMS!$G$27,IF(AM348&lt;9.5,BMILMS!$D$28*AM348^3+BMILMS!$E$28*AM348^2+BMILMS!$F$28*AM348+BMILMS!$G$28,IF(AM348&lt;26.75,BMILMS!$D$29*AM348^3+BMILMS!$E$29*AM348^2+BMILMS!$F$29*AM348+BMILMS!$G$29,IF(AM348&lt;90,BMILMS!$D$30*AM348^3+BMILMS!$E$30*AM348^2+BMILMS!$F$30*AM348+BMILMS!$G$30,IF(AM348&lt;150,BMILMS!$D$31*AM348^3+BMILMS!$E$31*AM348^2+BMILMS!$F$31*AM348+BMILMS!$G$31,BMILMS!$D$32*AM348^3+BMILMS!$E$32*AM348^2+BMILMS!$F$32*AM348+BMILMS!$G$32)))))))</f>
        <v>12.568967990000001</v>
      </c>
      <c r="AL348" s="4">
        <f>IF(D348="M",(IF(AM348&lt;90,BMILMS!$D$14*AM348^3+BMILMS!$E$14*AM348^2+BMILMS!$F$14*AM348+BMILMS!$G$14,BMILMS!$D$15*AM348^3+BMILMS!$E$15*AM348^2+BMILMS!$F$15*AM348+BMILMS!$G$15)),(IF(AM348&lt;90,BMILMS!$D$17*AM348^3+BMILMS!$E$17*AM348^2+BMILMS!$F$17*AM348+BMILMS!$G$17,BMILMS!$D$18*AM348^3+BMILMS!$E$18*AM348^2+BMILMS!$F$18*AM348+BMILMS!$G$18)))</f>
        <v>8.8969350000000003E-2</v>
      </c>
      <c r="AM348" s="4">
        <f t="shared" si="125"/>
        <v>0</v>
      </c>
      <c r="AO348" s="56">
        <f>IF(D348="M",WeightSDS!P$5*$AM348^7+WeightSDS!Q$5*$AM348^6+WeightSDS!R$5*$AM348^5+WeightSDS!S$5*$AM348^4+WeightSDS!T$5*$AM348^3+WeightSDS!U$5*$AM348^2+WeightSDS!V$5*$AM348+WeightSDS!W$5,IF($AM348&lt;186,WeightSDS!P$8*$AM348^7+WeightSDS!Q$8*$AM348^6+WeightSDS!R$8*$AM348^5+WeightSDS!S$8*$AM348^4+WeightSDS!T$8*$AM348^3+WeightSDS!U$8*$AM348^2+WeightSDS!V$8*$AM348+WeightSDS!W$8,WeightSDS!$U$9+WeightSDS!$V$9*($AM348-WeightSDS!$W$9)))</f>
        <v>0.75407122999999998</v>
      </c>
      <c r="AP348" s="4">
        <f>IF(D348="M",IF($AM348&lt;45,WeightSDS!M$23*$AM348^10+WeightSDS!N$23*$AM348^9+WeightSDS!O$23*$AM348^8+WeightSDS!P$23*$AM348^7+WeightSDS!Q$23*$AM348^6+WeightSDS!R$23*$AM348^5+WeightSDS!S$23*$AM348^4+WeightSDS!T$23*$AM348^3+WeightSDS!U$23*$AM348^2+WeightSDS!V$23*$AM348+WeightSDS!W$23,IF($AM348&lt;153,WeightSDS!M$25*$AM348^10+WeightSDS!N$25*$AM348^9+WeightSDS!O$25*$AM348^8+WeightSDS!P$25*$AM348^7+WeightSDS!Q$25*$AM348^6+WeightSDS!R$25*$AM348^5+WeightSDS!S$25*$AM348^4+WeightSDS!T$25*$AM348^3+WeightSDS!U$25*$AM348^2+WeightSDS!V$25*$AM348+WeightSDS!W$25,WeightSDS!M$27+WeightSDS!N$27/(1+EXP(WeightSDS!O$27+WeightSDS!P$27*$AM348)))),IF($AM348&lt;43.8,WeightSDS!M$29*$AM348^10+WeightSDS!N$29*$AM348^9+WeightSDS!O$29*$AM348^8+WeightSDS!P$29*$AM348^7+WeightSDS!Q$29*$AM348^6+WeightSDS!R$29*$AM348^5+WeightSDS!S$29*$AM348^4+WeightSDS!T$29*$AM348^3+WeightSDS!U$29*$AM348^2+WeightSDS!V$29*$AM348+WeightSDS!W$29-0.010431*(1-$AM348/210),IF($AM348&lt;123,WeightSDS!M$30*$AM348^10+WeightSDS!N$30*$AM348^9+WeightSDS!O$30*$AM348^8+WeightSDS!P$30*$AM348^7+WeightSDS!Q$30*$AM348^6+WeightSDS!R$30*$AM348^5+WeightSDS!S$30*$AM348^4+WeightSDS!T$30*$AM348^3+WeightSDS!U$30*$AM348^2+WeightSDS!V$30*$AM348+WeightSDS!W$30-0.010431*(1-1/$AM348),WeightSDS!M$32+WeightSDS!N$32/(1+EXP(WeightSDS!O$32+WeightSDS!P$32*$AM348))-0.010431*(1-$AM348/210))))</f>
        <v>2.9500001032655536</v>
      </c>
      <c r="AQ348" s="4">
        <f>IF(D348="M",IF($AM348&lt;162,WeightSDS!P$12*$AM348^7+WeightSDS!Q$12*$AM348^6+WeightSDS!R$12*$AM348^5+WeightSDS!S$12*$AM348^4+WeightSDS!T$12*$AM348^3+WeightSDS!U$12*$AM348^2+WeightSDS!V$12*$AM348+WeightSDS!W$12,WeightSDS!P$14*$AM348^7+WeightSDS!Q$14*$AM348^6+WeightSDS!R$14*$AM348^5+WeightSDS!S$14*$AM348^4+WeightSDS!T$14*$AM348^3+WeightSDS!U$14*$AM348^2+WeightSDS!V$14*$AM348+WeightSDS!W$14),IF($AM348&lt;156,WeightSDS!O$17*$AM348^8+WeightSDS!P$17*$AM348^7+WeightSDS!Q$17*$AM348^6+WeightSDS!R$17*$AM348^5+WeightSDS!S$17*$AM348^4+WeightSDS!T$17*$AM348^3+WeightSDS!U$17*$AM348^2+WeightSDS!V$17*$AM348+WeightSDS!W$17,IF($AM348&lt;186,WeightSDS!$U$18+(WeightSDS!$V$18-WeightSDS!$U$18)/24*($AM348-186)+WeightSDS!$W$18*(-$AM348+186)^2-0.005,WeightSDS!$U$18+(WeightSDS!$V$18-WeightSDS!$U$18)/24*($AM348-186)-0.005)))</f>
        <v>0.14604529399999999</v>
      </c>
      <c r="AT348" s="4">
        <f t="shared" si="112"/>
        <v>0.56299999999999994</v>
      </c>
      <c r="AU348" s="4">
        <f t="shared" si="113"/>
        <v>69</v>
      </c>
      <c r="AV348" s="4">
        <f t="shared" si="114"/>
        <v>0.51</v>
      </c>
    </row>
    <row r="349" spans="1:48" x14ac:dyDescent="0.15">
      <c r="A349" s="4"/>
      <c r="B349" s="21"/>
      <c r="C349" s="21"/>
      <c r="D349" s="21"/>
      <c r="E349" s="22"/>
      <c r="F349" s="22"/>
      <c r="G349" s="23"/>
      <c r="H349" s="23"/>
      <c r="I349" s="181"/>
      <c r="J349" s="8" t="str">
        <f t="shared" si="106"/>
        <v/>
      </c>
      <c r="K349" s="2" t="str">
        <f t="shared" si="115"/>
        <v/>
      </c>
      <c r="L349" s="2" t="str">
        <f t="shared" si="107"/>
        <v/>
      </c>
      <c r="M349" s="2" t="str">
        <f t="shared" si="116"/>
        <v/>
      </c>
      <c r="N349" s="2" t="str">
        <f t="shared" si="124"/>
        <v/>
      </c>
      <c r="O349" s="2" t="str">
        <f t="shared" si="117"/>
        <v/>
      </c>
      <c r="P349" s="8" t="str">
        <f t="shared" si="118"/>
        <v/>
      </c>
      <c r="Q349" s="8" t="str">
        <f t="shared" si="119"/>
        <v/>
      </c>
      <c r="R349" s="111" t="str">
        <f t="shared" si="120"/>
        <v/>
      </c>
      <c r="S349" s="44" t="str">
        <f t="shared" si="121"/>
        <v/>
      </c>
      <c r="T349" s="37" t="str">
        <f t="shared" si="122"/>
        <v/>
      </c>
      <c r="U349" s="44" t="str">
        <f t="shared" si="123"/>
        <v/>
      </c>
      <c r="V349" s="26"/>
      <c r="W349" s="26"/>
      <c r="X349" s="26"/>
      <c r="Y349" s="26"/>
      <c r="Z349" s="24"/>
      <c r="AA349" s="169">
        <f t="shared" si="108"/>
        <v>0</v>
      </c>
      <c r="AB349" s="4">
        <f t="shared" si="109"/>
        <v>0</v>
      </c>
      <c r="AC349" s="170">
        <f t="shared" si="105"/>
        <v>0</v>
      </c>
      <c r="AD349" s="58"/>
      <c r="AE349" s="58"/>
      <c r="AF349" s="58"/>
      <c r="AG349" s="59">
        <f t="shared" si="110"/>
        <v>9.0359999999999996</v>
      </c>
      <c r="AH349" s="59">
        <f t="shared" si="111"/>
        <v>-184.49199999999999</v>
      </c>
      <c r="AJ349" s="4">
        <f>IF(D349="M",IF(AM349&lt;78,BMILMS!$D$5*AM349^3+BMILMS!$E$5*AM349^2+BMILMS!$F$5*AM349+BMILMS!$G$5,IF(AM349&lt;150,BMILMS!$D$6*AM349^3+BMILMS!$E$6*AM349^2+BMILMS!$F$6*AM349+BMILMS!$G$6,BMILMS!$D$7*AM349^3+BMILMS!$E$7*AM349^2+BMILMS!$F$7*AM349+BMILMS!$G$7)),IF(AM349&lt;69,BMILMS!$D$9*AM349^3+BMILMS!$E$9*AM349^2+BMILMS!$F$9*AM349+BMILMS!$G$9,IF(AM349&lt;150,BMILMS!$D$10*AM349^3+BMILMS!$E$10*AM349^2+BMILMS!$F$10*AM349+BMILMS!$G$10,BMILMS!$D$11*AM349^3+BMILMS!$E$11*AM349^2+BMILMS!$F$11*AM349+BMILMS!$G$11)))</f>
        <v>0.79584630099999998</v>
      </c>
      <c r="AK349" s="4">
        <f>IF(D349="M",(IF(AM349&lt;2.5,BMILMS!$D$21*AM349^3+BMILMS!$E$21*AM349^2+BMILMS!$F$21*AM349+BMILMS!$G$21,IF(AM349&lt;9.5,BMILMS!$D$22*AM349^3+BMILMS!$E$22*AM349^2+BMILMS!$F$22*AM349+BMILMS!$G$22,IF(AM349&lt;26.75,BMILMS!$D$23*AM349^3+BMILMS!$E$23*AM349^2+BMILMS!$F$23*AM349+BMILMS!$G$23,IF(AM349&lt;90,BMILMS!$D$24*AM349^3+BMILMS!$E$24*AM349^2+BMILMS!$F$24*AM349+BMILMS!$G$24,BMILMS!$D$25*AM349^3+BMILMS!$E$25*AM349^2+BMILMS!$F$25*AM349+BMILMS!$G$25))))),(IF(AM349&lt;2.5,BMILMS!$D$27*AM349^3+BMILMS!$E$27*AM349^2+BMILMS!$F$27*AM349+BMILMS!$G$27,IF(AM349&lt;9.5,BMILMS!$D$28*AM349^3+BMILMS!$E$28*AM349^2+BMILMS!$F$28*AM349+BMILMS!$G$28,IF(AM349&lt;26.75,BMILMS!$D$29*AM349^3+BMILMS!$E$29*AM349^2+BMILMS!$F$29*AM349+BMILMS!$G$29,IF(AM349&lt;90,BMILMS!$D$30*AM349^3+BMILMS!$E$30*AM349^2+BMILMS!$F$30*AM349+BMILMS!$G$30,IF(AM349&lt;150,BMILMS!$D$31*AM349^3+BMILMS!$E$31*AM349^2+BMILMS!$F$31*AM349+BMILMS!$G$31,BMILMS!$D$32*AM349^3+BMILMS!$E$32*AM349^2+BMILMS!$F$32*AM349+BMILMS!$G$32)))))))</f>
        <v>12.568967990000001</v>
      </c>
      <c r="AL349" s="4">
        <f>IF(D349="M",(IF(AM349&lt;90,BMILMS!$D$14*AM349^3+BMILMS!$E$14*AM349^2+BMILMS!$F$14*AM349+BMILMS!$G$14,BMILMS!$D$15*AM349^3+BMILMS!$E$15*AM349^2+BMILMS!$F$15*AM349+BMILMS!$G$15)),(IF(AM349&lt;90,BMILMS!$D$17*AM349^3+BMILMS!$E$17*AM349^2+BMILMS!$F$17*AM349+BMILMS!$G$17,BMILMS!$D$18*AM349^3+BMILMS!$E$18*AM349^2+BMILMS!$F$18*AM349+BMILMS!$G$18)))</f>
        <v>8.8969350000000003E-2</v>
      </c>
      <c r="AM349" s="4">
        <f t="shared" si="125"/>
        <v>0</v>
      </c>
      <c r="AO349" s="56">
        <f>IF(D349="M",WeightSDS!P$5*$AM349^7+WeightSDS!Q$5*$AM349^6+WeightSDS!R$5*$AM349^5+WeightSDS!S$5*$AM349^4+WeightSDS!T$5*$AM349^3+WeightSDS!U$5*$AM349^2+WeightSDS!V$5*$AM349+WeightSDS!W$5,IF($AM349&lt;186,WeightSDS!P$8*$AM349^7+WeightSDS!Q$8*$AM349^6+WeightSDS!R$8*$AM349^5+WeightSDS!S$8*$AM349^4+WeightSDS!T$8*$AM349^3+WeightSDS!U$8*$AM349^2+WeightSDS!V$8*$AM349+WeightSDS!W$8,WeightSDS!$U$9+WeightSDS!$V$9*($AM349-WeightSDS!$W$9)))</f>
        <v>0.75407122999999998</v>
      </c>
      <c r="AP349" s="4">
        <f>IF(D349="M",IF($AM349&lt;45,WeightSDS!M$23*$AM349^10+WeightSDS!N$23*$AM349^9+WeightSDS!O$23*$AM349^8+WeightSDS!P$23*$AM349^7+WeightSDS!Q$23*$AM349^6+WeightSDS!R$23*$AM349^5+WeightSDS!S$23*$AM349^4+WeightSDS!T$23*$AM349^3+WeightSDS!U$23*$AM349^2+WeightSDS!V$23*$AM349+WeightSDS!W$23,IF($AM349&lt;153,WeightSDS!M$25*$AM349^10+WeightSDS!N$25*$AM349^9+WeightSDS!O$25*$AM349^8+WeightSDS!P$25*$AM349^7+WeightSDS!Q$25*$AM349^6+WeightSDS!R$25*$AM349^5+WeightSDS!S$25*$AM349^4+WeightSDS!T$25*$AM349^3+WeightSDS!U$25*$AM349^2+WeightSDS!V$25*$AM349+WeightSDS!W$25,WeightSDS!M$27+WeightSDS!N$27/(1+EXP(WeightSDS!O$27+WeightSDS!P$27*$AM349)))),IF($AM349&lt;43.8,WeightSDS!M$29*$AM349^10+WeightSDS!N$29*$AM349^9+WeightSDS!O$29*$AM349^8+WeightSDS!P$29*$AM349^7+WeightSDS!Q$29*$AM349^6+WeightSDS!R$29*$AM349^5+WeightSDS!S$29*$AM349^4+WeightSDS!T$29*$AM349^3+WeightSDS!U$29*$AM349^2+WeightSDS!V$29*$AM349+WeightSDS!W$29-0.010431*(1-$AM349/210),IF($AM349&lt;123,WeightSDS!M$30*$AM349^10+WeightSDS!N$30*$AM349^9+WeightSDS!O$30*$AM349^8+WeightSDS!P$30*$AM349^7+WeightSDS!Q$30*$AM349^6+WeightSDS!R$30*$AM349^5+WeightSDS!S$30*$AM349^4+WeightSDS!T$30*$AM349^3+WeightSDS!U$30*$AM349^2+WeightSDS!V$30*$AM349+WeightSDS!W$30-0.010431*(1-1/$AM349),WeightSDS!M$32+WeightSDS!N$32/(1+EXP(WeightSDS!O$32+WeightSDS!P$32*$AM349))-0.010431*(1-$AM349/210))))</f>
        <v>2.9500001032655536</v>
      </c>
      <c r="AQ349" s="4">
        <f>IF(D349="M",IF($AM349&lt;162,WeightSDS!P$12*$AM349^7+WeightSDS!Q$12*$AM349^6+WeightSDS!R$12*$AM349^5+WeightSDS!S$12*$AM349^4+WeightSDS!T$12*$AM349^3+WeightSDS!U$12*$AM349^2+WeightSDS!V$12*$AM349+WeightSDS!W$12,WeightSDS!P$14*$AM349^7+WeightSDS!Q$14*$AM349^6+WeightSDS!R$14*$AM349^5+WeightSDS!S$14*$AM349^4+WeightSDS!T$14*$AM349^3+WeightSDS!U$14*$AM349^2+WeightSDS!V$14*$AM349+WeightSDS!W$14),IF($AM349&lt;156,WeightSDS!O$17*$AM349^8+WeightSDS!P$17*$AM349^7+WeightSDS!Q$17*$AM349^6+WeightSDS!R$17*$AM349^5+WeightSDS!S$17*$AM349^4+WeightSDS!T$17*$AM349^3+WeightSDS!U$17*$AM349^2+WeightSDS!V$17*$AM349+WeightSDS!W$17,IF($AM349&lt;186,WeightSDS!$U$18+(WeightSDS!$V$18-WeightSDS!$U$18)/24*($AM349-186)+WeightSDS!$W$18*(-$AM349+186)^2-0.005,WeightSDS!$U$18+(WeightSDS!$V$18-WeightSDS!$U$18)/24*($AM349-186)-0.005)))</f>
        <v>0.14604529399999999</v>
      </c>
      <c r="AT349" s="4">
        <f t="shared" si="112"/>
        <v>0.56299999999999994</v>
      </c>
      <c r="AU349" s="4">
        <f t="shared" si="113"/>
        <v>69</v>
      </c>
      <c r="AV349" s="4">
        <f t="shared" si="114"/>
        <v>0.51</v>
      </c>
    </row>
    <row r="350" spans="1:48" x14ac:dyDescent="0.15">
      <c r="A350" s="4"/>
      <c r="B350" s="21"/>
      <c r="C350" s="21"/>
      <c r="D350" s="21"/>
      <c r="E350" s="22"/>
      <c r="F350" s="22"/>
      <c r="G350" s="23"/>
      <c r="H350" s="23"/>
      <c r="I350" s="181"/>
      <c r="J350" s="8" t="str">
        <f t="shared" si="106"/>
        <v/>
      </c>
      <c r="K350" s="2" t="str">
        <f t="shared" si="115"/>
        <v/>
      </c>
      <c r="L350" s="2" t="str">
        <f t="shared" si="107"/>
        <v/>
      </c>
      <c r="M350" s="2" t="str">
        <f t="shared" si="116"/>
        <v/>
      </c>
      <c r="N350" s="2" t="str">
        <f t="shared" si="124"/>
        <v/>
      </c>
      <c r="O350" s="2" t="str">
        <f t="shared" si="117"/>
        <v/>
      </c>
      <c r="P350" s="8" t="str">
        <f t="shared" si="118"/>
        <v/>
      </c>
      <c r="Q350" s="8" t="str">
        <f t="shared" si="119"/>
        <v/>
      </c>
      <c r="R350" s="111" t="str">
        <f t="shared" si="120"/>
        <v/>
      </c>
      <c r="S350" s="44" t="str">
        <f t="shared" si="121"/>
        <v/>
      </c>
      <c r="T350" s="37" t="str">
        <f t="shared" si="122"/>
        <v/>
      </c>
      <c r="U350" s="44" t="str">
        <f t="shared" si="123"/>
        <v/>
      </c>
      <c r="V350" s="26"/>
      <c r="W350" s="26"/>
      <c r="X350" s="26"/>
      <c r="Y350" s="26"/>
      <c r="Z350" s="24"/>
      <c r="AA350" s="169">
        <f t="shared" si="108"/>
        <v>0</v>
      </c>
      <c r="AB350" s="4">
        <f t="shared" si="109"/>
        <v>0</v>
      </c>
      <c r="AC350" s="170">
        <f t="shared" ref="AC350:AC413" si="126">DATEDIF(E350,F350,"Y")+(F350-(DATE(YEAR(E350)+DATEDIF(E350,F350,"Y"),MONTH(E350),DAY(E350))))/(365+IF(MOD(YEAR((DATE(YEAR(F350)-1,MONTH(E350),DAY(E350)))),4)=0,IF((DATE(YEAR(F350)-1,MONTH(E350),DAY(E350)))&gt;DATE(YEAR((DATE(YEAR(F350)-1,MONTH(E350),DAY(E350)))),2,29),0,1),0)+IF(MOD(YEAR(F350),4)=0,IF(F350&gt;DATE(YEAR(F350),2,29),1,0),0))</f>
        <v>0</v>
      </c>
      <c r="AD350" s="58"/>
      <c r="AE350" s="58"/>
      <c r="AF350" s="58"/>
      <c r="AG350" s="59">
        <f t="shared" si="110"/>
        <v>9.0359999999999996</v>
      </c>
      <c r="AH350" s="59">
        <f t="shared" si="111"/>
        <v>-184.49199999999999</v>
      </c>
      <c r="AJ350" s="4">
        <f>IF(D350="M",IF(AM350&lt;78,BMILMS!$D$5*AM350^3+BMILMS!$E$5*AM350^2+BMILMS!$F$5*AM350+BMILMS!$G$5,IF(AM350&lt;150,BMILMS!$D$6*AM350^3+BMILMS!$E$6*AM350^2+BMILMS!$F$6*AM350+BMILMS!$G$6,BMILMS!$D$7*AM350^3+BMILMS!$E$7*AM350^2+BMILMS!$F$7*AM350+BMILMS!$G$7)),IF(AM350&lt;69,BMILMS!$D$9*AM350^3+BMILMS!$E$9*AM350^2+BMILMS!$F$9*AM350+BMILMS!$G$9,IF(AM350&lt;150,BMILMS!$D$10*AM350^3+BMILMS!$E$10*AM350^2+BMILMS!$F$10*AM350+BMILMS!$G$10,BMILMS!$D$11*AM350^3+BMILMS!$E$11*AM350^2+BMILMS!$F$11*AM350+BMILMS!$G$11)))</f>
        <v>0.79584630099999998</v>
      </c>
      <c r="AK350" s="4">
        <f>IF(D350="M",(IF(AM350&lt;2.5,BMILMS!$D$21*AM350^3+BMILMS!$E$21*AM350^2+BMILMS!$F$21*AM350+BMILMS!$G$21,IF(AM350&lt;9.5,BMILMS!$D$22*AM350^3+BMILMS!$E$22*AM350^2+BMILMS!$F$22*AM350+BMILMS!$G$22,IF(AM350&lt;26.75,BMILMS!$D$23*AM350^3+BMILMS!$E$23*AM350^2+BMILMS!$F$23*AM350+BMILMS!$G$23,IF(AM350&lt;90,BMILMS!$D$24*AM350^3+BMILMS!$E$24*AM350^2+BMILMS!$F$24*AM350+BMILMS!$G$24,BMILMS!$D$25*AM350^3+BMILMS!$E$25*AM350^2+BMILMS!$F$25*AM350+BMILMS!$G$25))))),(IF(AM350&lt;2.5,BMILMS!$D$27*AM350^3+BMILMS!$E$27*AM350^2+BMILMS!$F$27*AM350+BMILMS!$G$27,IF(AM350&lt;9.5,BMILMS!$D$28*AM350^3+BMILMS!$E$28*AM350^2+BMILMS!$F$28*AM350+BMILMS!$G$28,IF(AM350&lt;26.75,BMILMS!$D$29*AM350^3+BMILMS!$E$29*AM350^2+BMILMS!$F$29*AM350+BMILMS!$G$29,IF(AM350&lt;90,BMILMS!$D$30*AM350^3+BMILMS!$E$30*AM350^2+BMILMS!$F$30*AM350+BMILMS!$G$30,IF(AM350&lt;150,BMILMS!$D$31*AM350^3+BMILMS!$E$31*AM350^2+BMILMS!$F$31*AM350+BMILMS!$G$31,BMILMS!$D$32*AM350^3+BMILMS!$E$32*AM350^2+BMILMS!$F$32*AM350+BMILMS!$G$32)))))))</f>
        <v>12.568967990000001</v>
      </c>
      <c r="AL350" s="4">
        <f>IF(D350="M",(IF(AM350&lt;90,BMILMS!$D$14*AM350^3+BMILMS!$E$14*AM350^2+BMILMS!$F$14*AM350+BMILMS!$G$14,BMILMS!$D$15*AM350^3+BMILMS!$E$15*AM350^2+BMILMS!$F$15*AM350+BMILMS!$G$15)),(IF(AM350&lt;90,BMILMS!$D$17*AM350^3+BMILMS!$E$17*AM350^2+BMILMS!$F$17*AM350+BMILMS!$G$17,BMILMS!$D$18*AM350^3+BMILMS!$E$18*AM350^2+BMILMS!$F$18*AM350+BMILMS!$G$18)))</f>
        <v>8.8969350000000003E-2</v>
      </c>
      <c r="AM350" s="4">
        <f t="shared" si="125"/>
        <v>0</v>
      </c>
      <c r="AO350" s="56">
        <f>IF(D350="M",WeightSDS!P$5*$AM350^7+WeightSDS!Q$5*$AM350^6+WeightSDS!R$5*$AM350^5+WeightSDS!S$5*$AM350^4+WeightSDS!T$5*$AM350^3+WeightSDS!U$5*$AM350^2+WeightSDS!V$5*$AM350+WeightSDS!W$5,IF($AM350&lt;186,WeightSDS!P$8*$AM350^7+WeightSDS!Q$8*$AM350^6+WeightSDS!R$8*$AM350^5+WeightSDS!S$8*$AM350^4+WeightSDS!T$8*$AM350^3+WeightSDS!U$8*$AM350^2+WeightSDS!V$8*$AM350+WeightSDS!W$8,WeightSDS!$U$9+WeightSDS!$V$9*($AM350-WeightSDS!$W$9)))</f>
        <v>0.75407122999999998</v>
      </c>
      <c r="AP350" s="4">
        <f>IF(D350="M",IF($AM350&lt;45,WeightSDS!M$23*$AM350^10+WeightSDS!N$23*$AM350^9+WeightSDS!O$23*$AM350^8+WeightSDS!P$23*$AM350^7+WeightSDS!Q$23*$AM350^6+WeightSDS!R$23*$AM350^5+WeightSDS!S$23*$AM350^4+WeightSDS!T$23*$AM350^3+WeightSDS!U$23*$AM350^2+WeightSDS!V$23*$AM350+WeightSDS!W$23,IF($AM350&lt;153,WeightSDS!M$25*$AM350^10+WeightSDS!N$25*$AM350^9+WeightSDS!O$25*$AM350^8+WeightSDS!P$25*$AM350^7+WeightSDS!Q$25*$AM350^6+WeightSDS!R$25*$AM350^5+WeightSDS!S$25*$AM350^4+WeightSDS!T$25*$AM350^3+WeightSDS!U$25*$AM350^2+WeightSDS!V$25*$AM350+WeightSDS!W$25,WeightSDS!M$27+WeightSDS!N$27/(1+EXP(WeightSDS!O$27+WeightSDS!P$27*$AM350)))),IF($AM350&lt;43.8,WeightSDS!M$29*$AM350^10+WeightSDS!N$29*$AM350^9+WeightSDS!O$29*$AM350^8+WeightSDS!P$29*$AM350^7+WeightSDS!Q$29*$AM350^6+WeightSDS!R$29*$AM350^5+WeightSDS!S$29*$AM350^4+WeightSDS!T$29*$AM350^3+WeightSDS!U$29*$AM350^2+WeightSDS!V$29*$AM350+WeightSDS!W$29-0.010431*(1-$AM350/210),IF($AM350&lt;123,WeightSDS!M$30*$AM350^10+WeightSDS!N$30*$AM350^9+WeightSDS!O$30*$AM350^8+WeightSDS!P$30*$AM350^7+WeightSDS!Q$30*$AM350^6+WeightSDS!R$30*$AM350^5+WeightSDS!S$30*$AM350^4+WeightSDS!T$30*$AM350^3+WeightSDS!U$30*$AM350^2+WeightSDS!V$30*$AM350+WeightSDS!W$30-0.010431*(1-1/$AM350),WeightSDS!M$32+WeightSDS!N$32/(1+EXP(WeightSDS!O$32+WeightSDS!P$32*$AM350))-0.010431*(1-$AM350/210))))</f>
        <v>2.9500001032655536</v>
      </c>
      <c r="AQ350" s="4">
        <f>IF(D350="M",IF($AM350&lt;162,WeightSDS!P$12*$AM350^7+WeightSDS!Q$12*$AM350^6+WeightSDS!R$12*$AM350^5+WeightSDS!S$12*$AM350^4+WeightSDS!T$12*$AM350^3+WeightSDS!U$12*$AM350^2+WeightSDS!V$12*$AM350+WeightSDS!W$12,WeightSDS!P$14*$AM350^7+WeightSDS!Q$14*$AM350^6+WeightSDS!R$14*$AM350^5+WeightSDS!S$14*$AM350^4+WeightSDS!T$14*$AM350^3+WeightSDS!U$14*$AM350^2+WeightSDS!V$14*$AM350+WeightSDS!W$14),IF($AM350&lt;156,WeightSDS!O$17*$AM350^8+WeightSDS!P$17*$AM350^7+WeightSDS!Q$17*$AM350^6+WeightSDS!R$17*$AM350^5+WeightSDS!S$17*$AM350^4+WeightSDS!T$17*$AM350^3+WeightSDS!U$17*$AM350^2+WeightSDS!V$17*$AM350+WeightSDS!W$17,IF($AM350&lt;186,WeightSDS!$U$18+(WeightSDS!$V$18-WeightSDS!$U$18)/24*($AM350-186)+WeightSDS!$W$18*(-$AM350+186)^2-0.005,WeightSDS!$U$18+(WeightSDS!$V$18-WeightSDS!$U$18)/24*($AM350-186)-0.005)))</f>
        <v>0.14604529399999999</v>
      </c>
      <c r="AT350" s="4">
        <f t="shared" si="112"/>
        <v>0.56299999999999994</v>
      </c>
      <c r="AU350" s="4">
        <f t="shared" si="113"/>
        <v>69</v>
      </c>
      <c r="AV350" s="4">
        <f t="shared" si="114"/>
        <v>0.51</v>
      </c>
    </row>
    <row r="351" spans="1:48" x14ac:dyDescent="0.15">
      <c r="A351" s="4"/>
      <c r="B351" s="21"/>
      <c r="C351" s="21"/>
      <c r="D351" s="21"/>
      <c r="E351" s="22"/>
      <c r="F351" s="22"/>
      <c r="G351" s="23"/>
      <c r="H351" s="23"/>
      <c r="I351" s="181"/>
      <c r="J351" s="8" t="str">
        <f t="shared" si="106"/>
        <v/>
      </c>
      <c r="K351" s="2" t="str">
        <f t="shared" si="115"/>
        <v/>
      </c>
      <c r="L351" s="2" t="str">
        <f t="shared" si="107"/>
        <v/>
      </c>
      <c r="M351" s="2" t="str">
        <f t="shared" si="116"/>
        <v/>
      </c>
      <c r="N351" s="2" t="str">
        <f t="shared" si="124"/>
        <v/>
      </c>
      <c r="O351" s="2" t="str">
        <f t="shared" si="117"/>
        <v/>
      </c>
      <c r="P351" s="8" t="str">
        <f t="shared" si="118"/>
        <v/>
      </c>
      <c r="Q351" s="8" t="str">
        <f t="shared" si="119"/>
        <v/>
      </c>
      <c r="R351" s="111" t="str">
        <f t="shared" si="120"/>
        <v/>
      </c>
      <c r="S351" s="44" t="str">
        <f t="shared" si="121"/>
        <v/>
      </c>
      <c r="T351" s="37" t="str">
        <f t="shared" si="122"/>
        <v/>
      </c>
      <c r="U351" s="44" t="str">
        <f t="shared" si="123"/>
        <v/>
      </c>
      <c r="V351" s="26"/>
      <c r="W351" s="26"/>
      <c r="X351" s="26"/>
      <c r="Y351" s="26"/>
      <c r="Z351" s="24"/>
      <c r="AA351" s="169">
        <f t="shared" si="108"/>
        <v>0</v>
      </c>
      <c r="AB351" s="4">
        <f t="shared" si="109"/>
        <v>0</v>
      </c>
      <c r="AC351" s="170">
        <f t="shared" si="126"/>
        <v>0</v>
      </c>
      <c r="AD351" s="58"/>
      <c r="AE351" s="58"/>
      <c r="AF351" s="58"/>
      <c r="AG351" s="59">
        <f t="shared" si="110"/>
        <v>9.0359999999999996</v>
      </c>
      <c r="AH351" s="59">
        <f t="shared" si="111"/>
        <v>-184.49199999999999</v>
      </c>
      <c r="AJ351" s="4">
        <f>IF(D351="M",IF(AM351&lt;78,BMILMS!$D$5*AM351^3+BMILMS!$E$5*AM351^2+BMILMS!$F$5*AM351+BMILMS!$G$5,IF(AM351&lt;150,BMILMS!$D$6*AM351^3+BMILMS!$E$6*AM351^2+BMILMS!$F$6*AM351+BMILMS!$G$6,BMILMS!$D$7*AM351^3+BMILMS!$E$7*AM351^2+BMILMS!$F$7*AM351+BMILMS!$G$7)),IF(AM351&lt;69,BMILMS!$D$9*AM351^3+BMILMS!$E$9*AM351^2+BMILMS!$F$9*AM351+BMILMS!$G$9,IF(AM351&lt;150,BMILMS!$D$10*AM351^3+BMILMS!$E$10*AM351^2+BMILMS!$F$10*AM351+BMILMS!$G$10,BMILMS!$D$11*AM351^3+BMILMS!$E$11*AM351^2+BMILMS!$F$11*AM351+BMILMS!$G$11)))</f>
        <v>0.79584630099999998</v>
      </c>
      <c r="AK351" s="4">
        <f>IF(D351="M",(IF(AM351&lt;2.5,BMILMS!$D$21*AM351^3+BMILMS!$E$21*AM351^2+BMILMS!$F$21*AM351+BMILMS!$G$21,IF(AM351&lt;9.5,BMILMS!$D$22*AM351^3+BMILMS!$E$22*AM351^2+BMILMS!$F$22*AM351+BMILMS!$G$22,IF(AM351&lt;26.75,BMILMS!$D$23*AM351^3+BMILMS!$E$23*AM351^2+BMILMS!$F$23*AM351+BMILMS!$G$23,IF(AM351&lt;90,BMILMS!$D$24*AM351^3+BMILMS!$E$24*AM351^2+BMILMS!$F$24*AM351+BMILMS!$G$24,BMILMS!$D$25*AM351^3+BMILMS!$E$25*AM351^2+BMILMS!$F$25*AM351+BMILMS!$G$25))))),(IF(AM351&lt;2.5,BMILMS!$D$27*AM351^3+BMILMS!$E$27*AM351^2+BMILMS!$F$27*AM351+BMILMS!$G$27,IF(AM351&lt;9.5,BMILMS!$D$28*AM351^3+BMILMS!$E$28*AM351^2+BMILMS!$F$28*AM351+BMILMS!$G$28,IF(AM351&lt;26.75,BMILMS!$D$29*AM351^3+BMILMS!$E$29*AM351^2+BMILMS!$F$29*AM351+BMILMS!$G$29,IF(AM351&lt;90,BMILMS!$D$30*AM351^3+BMILMS!$E$30*AM351^2+BMILMS!$F$30*AM351+BMILMS!$G$30,IF(AM351&lt;150,BMILMS!$D$31*AM351^3+BMILMS!$E$31*AM351^2+BMILMS!$F$31*AM351+BMILMS!$G$31,BMILMS!$D$32*AM351^3+BMILMS!$E$32*AM351^2+BMILMS!$F$32*AM351+BMILMS!$G$32)))))))</f>
        <v>12.568967990000001</v>
      </c>
      <c r="AL351" s="4">
        <f>IF(D351="M",(IF(AM351&lt;90,BMILMS!$D$14*AM351^3+BMILMS!$E$14*AM351^2+BMILMS!$F$14*AM351+BMILMS!$G$14,BMILMS!$D$15*AM351^3+BMILMS!$E$15*AM351^2+BMILMS!$F$15*AM351+BMILMS!$G$15)),(IF(AM351&lt;90,BMILMS!$D$17*AM351^3+BMILMS!$E$17*AM351^2+BMILMS!$F$17*AM351+BMILMS!$G$17,BMILMS!$D$18*AM351^3+BMILMS!$E$18*AM351^2+BMILMS!$F$18*AM351+BMILMS!$G$18)))</f>
        <v>8.8969350000000003E-2</v>
      </c>
      <c r="AM351" s="4">
        <f t="shared" si="125"/>
        <v>0</v>
      </c>
      <c r="AO351" s="56">
        <f>IF(D351="M",WeightSDS!P$5*$AM351^7+WeightSDS!Q$5*$AM351^6+WeightSDS!R$5*$AM351^5+WeightSDS!S$5*$AM351^4+WeightSDS!T$5*$AM351^3+WeightSDS!U$5*$AM351^2+WeightSDS!V$5*$AM351+WeightSDS!W$5,IF($AM351&lt;186,WeightSDS!P$8*$AM351^7+WeightSDS!Q$8*$AM351^6+WeightSDS!R$8*$AM351^5+WeightSDS!S$8*$AM351^4+WeightSDS!T$8*$AM351^3+WeightSDS!U$8*$AM351^2+WeightSDS!V$8*$AM351+WeightSDS!W$8,WeightSDS!$U$9+WeightSDS!$V$9*($AM351-WeightSDS!$W$9)))</f>
        <v>0.75407122999999998</v>
      </c>
      <c r="AP351" s="4">
        <f>IF(D351="M",IF($AM351&lt;45,WeightSDS!M$23*$AM351^10+WeightSDS!N$23*$AM351^9+WeightSDS!O$23*$AM351^8+WeightSDS!P$23*$AM351^7+WeightSDS!Q$23*$AM351^6+WeightSDS!R$23*$AM351^5+WeightSDS!S$23*$AM351^4+WeightSDS!T$23*$AM351^3+WeightSDS!U$23*$AM351^2+WeightSDS!V$23*$AM351+WeightSDS!W$23,IF($AM351&lt;153,WeightSDS!M$25*$AM351^10+WeightSDS!N$25*$AM351^9+WeightSDS!O$25*$AM351^8+WeightSDS!P$25*$AM351^7+WeightSDS!Q$25*$AM351^6+WeightSDS!R$25*$AM351^5+WeightSDS!S$25*$AM351^4+WeightSDS!T$25*$AM351^3+WeightSDS!U$25*$AM351^2+WeightSDS!V$25*$AM351+WeightSDS!W$25,WeightSDS!M$27+WeightSDS!N$27/(1+EXP(WeightSDS!O$27+WeightSDS!P$27*$AM351)))),IF($AM351&lt;43.8,WeightSDS!M$29*$AM351^10+WeightSDS!N$29*$AM351^9+WeightSDS!O$29*$AM351^8+WeightSDS!P$29*$AM351^7+WeightSDS!Q$29*$AM351^6+WeightSDS!R$29*$AM351^5+WeightSDS!S$29*$AM351^4+WeightSDS!T$29*$AM351^3+WeightSDS!U$29*$AM351^2+WeightSDS!V$29*$AM351+WeightSDS!W$29-0.010431*(1-$AM351/210),IF($AM351&lt;123,WeightSDS!M$30*$AM351^10+WeightSDS!N$30*$AM351^9+WeightSDS!O$30*$AM351^8+WeightSDS!P$30*$AM351^7+WeightSDS!Q$30*$AM351^6+WeightSDS!R$30*$AM351^5+WeightSDS!S$30*$AM351^4+WeightSDS!T$30*$AM351^3+WeightSDS!U$30*$AM351^2+WeightSDS!V$30*$AM351+WeightSDS!W$30-0.010431*(1-1/$AM351),WeightSDS!M$32+WeightSDS!N$32/(1+EXP(WeightSDS!O$32+WeightSDS!P$32*$AM351))-0.010431*(1-$AM351/210))))</f>
        <v>2.9500001032655536</v>
      </c>
      <c r="AQ351" s="4">
        <f>IF(D351="M",IF($AM351&lt;162,WeightSDS!P$12*$AM351^7+WeightSDS!Q$12*$AM351^6+WeightSDS!R$12*$AM351^5+WeightSDS!S$12*$AM351^4+WeightSDS!T$12*$AM351^3+WeightSDS!U$12*$AM351^2+WeightSDS!V$12*$AM351+WeightSDS!W$12,WeightSDS!P$14*$AM351^7+WeightSDS!Q$14*$AM351^6+WeightSDS!R$14*$AM351^5+WeightSDS!S$14*$AM351^4+WeightSDS!T$14*$AM351^3+WeightSDS!U$14*$AM351^2+WeightSDS!V$14*$AM351+WeightSDS!W$14),IF($AM351&lt;156,WeightSDS!O$17*$AM351^8+WeightSDS!P$17*$AM351^7+WeightSDS!Q$17*$AM351^6+WeightSDS!R$17*$AM351^5+WeightSDS!S$17*$AM351^4+WeightSDS!T$17*$AM351^3+WeightSDS!U$17*$AM351^2+WeightSDS!V$17*$AM351+WeightSDS!W$17,IF($AM351&lt;186,WeightSDS!$U$18+(WeightSDS!$V$18-WeightSDS!$U$18)/24*($AM351-186)+WeightSDS!$W$18*(-$AM351+186)^2-0.005,WeightSDS!$U$18+(WeightSDS!$V$18-WeightSDS!$U$18)/24*($AM351-186)-0.005)))</f>
        <v>0.14604529399999999</v>
      </c>
      <c r="AT351" s="4">
        <f t="shared" si="112"/>
        <v>0.56299999999999994</v>
      </c>
      <c r="AU351" s="4">
        <f t="shared" si="113"/>
        <v>69</v>
      </c>
      <c r="AV351" s="4">
        <f t="shared" si="114"/>
        <v>0.51</v>
      </c>
    </row>
    <row r="352" spans="1:48" x14ac:dyDescent="0.15">
      <c r="A352" s="4"/>
      <c r="B352" s="21"/>
      <c r="C352" s="21"/>
      <c r="D352" s="21"/>
      <c r="E352" s="22"/>
      <c r="F352" s="22"/>
      <c r="G352" s="23"/>
      <c r="H352" s="23"/>
      <c r="I352" s="181"/>
      <c r="J352" s="8" t="str">
        <f t="shared" si="106"/>
        <v/>
      </c>
      <c r="K352" s="2" t="str">
        <f t="shared" si="115"/>
        <v/>
      </c>
      <c r="L352" s="2" t="str">
        <f t="shared" si="107"/>
        <v/>
      </c>
      <c r="M352" s="2" t="str">
        <f t="shared" si="116"/>
        <v/>
      </c>
      <c r="N352" s="2" t="str">
        <f t="shared" si="124"/>
        <v/>
      </c>
      <c r="O352" s="2" t="str">
        <f t="shared" si="117"/>
        <v/>
      </c>
      <c r="P352" s="8" t="str">
        <f t="shared" si="118"/>
        <v/>
      </c>
      <c r="Q352" s="8" t="str">
        <f t="shared" si="119"/>
        <v/>
      </c>
      <c r="R352" s="111" t="str">
        <f t="shared" si="120"/>
        <v/>
      </c>
      <c r="S352" s="44" t="str">
        <f t="shared" si="121"/>
        <v/>
      </c>
      <c r="T352" s="37" t="str">
        <f t="shared" si="122"/>
        <v/>
      </c>
      <c r="U352" s="44" t="str">
        <f t="shared" si="123"/>
        <v/>
      </c>
      <c r="V352" s="26"/>
      <c r="W352" s="26"/>
      <c r="X352" s="26"/>
      <c r="Y352" s="26"/>
      <c r="Z352" s="24"/>
      <c r="AA352" s="169">
        <f t="shared" si="108"/>
        <v>0</v>
      </c>
      <c r="AB352" s="4">
        <f t="shared" si="109"/>
        <v>0</v>
      </c>
      <c r="AC352" s="170">
        <f t="shared" si="126"/>
        <v>0</v>
      </c>
      <c r="AD352" s="58"/>
      <c r="AE352" s="58"/>
      <c r="AF352" s="58"/>
      <c r="AG352" s="59">
        <f t="shared" si="110"/>
        <v>9.0359999999999996</v>
      </c>
      <c r="AH352" s="59">
        <f t="shared" si="111"/>
        <v>-184.49199999999999</v>
      </c>
      <c r="AJ352" s="4">
        <f>IF(D352="M",IF(AM352&lt;78,BMILMS!$D$5*AM352^3+BMILMS!$E$5*AM352^2+BMILMS!$F$5*AM352+BMILMS!$G$5,IF(AM352&lt;150,BMILMS!$D$6*AM352^3+BMILMS!$E$6*AM352^2+BMILMS!$F$6*AM352+BMILMS!$G$6,BMILMS!$D$7*AM352^3+BMILMS!$E$7*AM352^2+BMILMS!$F$7*AM352+BMILMS!$G$7)),IF(AM352&lt;69,BMILMS!$D$9*AM352^3+BMILMS!$E$9*AM352^2+BMILMS!$F$9*AM352+BMILMS!$G$9,IF(AM352&lt;150,BMILMS!$D$10*AM352^3+BMILMS!$E$10*AM352^2+BMILMS!$F$10*AM352+BMILMS!$G$10,BMILMS!$D$11*AM352^3+BMILMS!$E$11*AM352^2+BMILMS!$F$11*AM352+BMILMS!$G$11)))</f>
        <v>0.79584630099999998</v>
      </c>
      <c r="AK352" s="4">
        <f>IF(D352="M",(IF(AM352&lt;2.5,BMILMS!$D$21*AM352^3+BMILMS!$E$21*AM352^2+BMILMS!$F$21*AM352+BMILMS!$G$21,IF(AM352&lt;9.5,BMILMS!$D$22*AM352^3+BMILMS!$E$22*AM352^2+BMILMS!$F$22*AM352+BMILMS!$G$22,IF(AM352&lt;26.75,BMILMS!$D$23*AM352^3+BMILMS!$E$23*AM352^2+BMILMS!$F$23*AM352+BMILMS!$G$23,IF(AM352&lt;90,BMILMS!$D$24*AM352^3+BMILMS!$E$24*AM352^2+BMILMS!$F$24*AM352+BMILMS!$G$24,BMILMS!$D$25*AM352^3+BMILMS!$E$25*AM352^2+BMILMS!$F$25*AM352+BMILMS!$G$25))))),(IF(AM352&lt;2.5,BMILMS!$D$27*AM352^3+BMILMS!$E$27*AM352^2+BMILMS!$F$27*AM352+BMILMS!$G$27,IF(AM352&lt;9.5,BMILMS!$D$28*AM352^3+BMILMS!$E$28*AM352^2+BMILMS!$F$28*AM352+BMILMS!$G$28,IF(AM352&lt;26.75,BMILMS!$D$29*AM352^3+BMILMS!$E$29*AM352^2+BMILMS!$F$29*AM352+BMILMS!$G$29,IF(AM352&lt;90,BMILMS!$D$30*AM352^3+BMILMS!$E$30*AM352^2+BMILMS!$F$30*AM352+BMILMS!$G$30,IF(AM352&lt;150,BMILMS!$D$31*AM352^3+BMILMS!$E$31*AM352^2+BMILMS!$F$31*AM352+BMILMS!$G$31,BMILMS!$D$32*AM352^3+BMILMS!$E$32*AM352^2+BMILMS!$F$32*AM352+BMILMS!$G$32)))))))</f>
        <v>12.568967990000001</v>
      </c>
      <c r="AL352" s="4">
        <f>IF(D352="M",(IF(AM352&lt;90,BMILMS!$D$14*AM352^3+BMILMS!$E$14*AM352^2+BMILMS!$F$14*AM352+BMILMS!$G$14,BMILMS!$D$15*AM352^3+BMILMS!$E$15*AM352^2+BMILMS!$F$15*AM352+BMILMS!$G$15)),(IF(AM352&lt;90,BMILMS!$D$17*AM352^3+BMILMS!$E$17*AM352^2+BMILMS!$F$17*AM352+BMILMS!$G$17,BMILMS!$D$18*AM352^3+BMILMS!$E$18*AM352^2+BMILMS!$F$18*AM352+BMILMS!$G$18)))</f>
        <v>8.8969350000000003E-2</v>
      </c>
      <c r="AM352" s="4">
        <f t="shared" si="125"/>
        <v>0</v>
      </c>
      <c r="AO352" s="56">
        <f>IF(D352="M",WeightSDS!P$5*$AM352^7+WeightSDS!Q$5*$AM352^6+WeightSDS!R$5*$AM352^5+WeightSDS!S$5*$AM352^4+WeightSDS!T$5*$AM352^3+WeightSDS!U$5*$AM352^2+WeightSDS!V$5*$AM352+WeightSDS!W$5,IF($AM352&lt;186,WeightSDS!P$8*$AM352^7+WeightSDS!Q$8*$AM352^6+WeightSDS!R$8*$AM352^5+WeightSDS!S$8*$AM352^4+WeightSDS!T$8*$AM352^3+WeightSDS!U$8*$AM352^2+WeightSDS!V$8*$AM352+WeightSDS!W$8,WeightSDS!$U$9+WeightSDS!$V$9*($AM352-WeightSDS!$W$9)))</f>
        <v>0.75407122999999998</v>
      </c>
      <c r="AP352" s="4">
        <f>IF(D352="M",IF($AM352&lt;45,WeightSDS!M$23*$AM352^10+WeightSDS!N$23*$AM352^9+WeightSDS!O$23*$AM352^8+WeightSDS!P$23*$AM352^7+WeightSDS!Q$23*$AM352^6+WeightSDS!R$23*$AM352^5+WeightSDS!S$23*$AM352^4+WeightSDS!T$23*$AM352^3+WeightSDS!U$23*$AM352^2+WeightSDS!V$23*$AM352+WeightSDS!W$23,IF($AM352&lt;153,WeightSDS!M$25*$AM352^10+WeightSDS!N$25*$AM352^9+WeightSDS!O$25*$AM352^8+WeightSDS!P$25*$AM352^7+WeightSDS!Q$25*$AM352^6+WeightSDS!R$25*$AM352^5+WeightSDS!S$25*$AM352^4+WeightSDS!T$25*$AM352^3+WeightSDS!U$25*$AM352^2+WeightSDS!V$25*$AM352+WeightSDS!W$25,WeightSDS!M$27+WeightSDS!N$27/(1+EXP(WeightSDS!O$27+WeightSDS!P$27*$AM352)))),IF($AM352&lt;43.8,WeightSDS!M$29*$AM352^10+WeightSDS!N$29*$AM352^9+WeightSDS!O$29*$AM352^8+WeightSDS!P$29*$AM352^7+WeightSDS!Q$29*$AM352^6+WeightSDS!R$29*$AM352^5+WeightSDS!S$29*$AM352^4+WeightSDS!T$29*$AM352^3+WeightSDS!U$29*$AM352^2+WeightSDS!V$29*$AM352+WeightSDS!W$29-0.010431*(1-$AM352/210),IF($AM352&lt;123,WeightSDS!M$30*$AM352^10+WeightSDS!N$30*$AM352^9+WeightSDS!O$30*$AM352^8+WeightSDS!P$30*$AM352^7+WeightSDS!Q$30*$AM352^6+WeightSDS!R$30*$AM352^5+WeightSDS!S$30*$AM352^4+WeightSDS!T$30*$AM352^3+WeightSDS!U$30*$AM352^2+WeightSDS!V$30*$AM352+WeightSDS!W$30-0.010431*(1-1/$AM352),WeightSDS!M$32+WeightSDS!N$32/(1+EXP(WeightSDS!O$32+WeightSDS!P$32*$AM352))-0.010431*(1-$AM352/210))))</f>
        <v>2.9500001032655536</v>
      </c>
      <c r="AQ352" s="4">
        <f>IF(D352="M",IF($AM352&lt;162,WeightSDS!P$12*$AM352^7+WeightSDS!Q$12*$AM352^6+WeightSDS!R$12*$AM352^5+WeightSDS!S$12*$AM352^4+WeightSDS!T$12*$AM352^3+WeightSDS!U$12*$AM352^2+WeightSDS!V$12*$AM352+WeightSDS!W$12,WeightSDS!P$14*$AM352^7+WeightSDS!Q$14*$AM352^6+WeightSDS!R$14*$AM352^5+WeightSDS!S$14*$AM352^4+WeightSDS!T$14*$AM352^3+WeightSDS!U$14*$AM352^2+WeightSDS!V$14*$AM352+WeightSDS!W$14),IF($AM352&lt;156,WeightSDS!O$17*$AM352^8+WeightSDS!P$17*$AM352^7+WeightSDS!Q$17*$AM352^6+WeightSDS!R$17*$AM352^5+WeightSDS!S$17*$AM352^4+WeightSDS!T$17*$AM352^3+WeightSDS!U$17*$AM352^2+WeightSDS!V$17*$AM352+WeightSDS!W$17,IF($AM352&lt;186,WeightSDS!$U$18+(WeightSDS!$V$18-WeightSDS!$U$18)/24*($AM352-186)+WeightSDS!$W$18*(-$AM352+186)^2-0.005,WeightSDS!$U$18+(WeightSDS!$V$18-WeightSDS!$U$18)/24*($AM352-186)-0.005)))</f>
        <v>0.14604529399999999</v>
      </c>
      <c r="AT352" s="4">
        <f t="shared" si="112"/>
        <v>0.56299999999999994</v>
      </c>
      <c r="AU352" s="4">
        <f t="shared" si="113"/>
        <v>69</v>
      </c>
      <c r="AV352" s="4">
        <f t="shared" si="114"/>
        <v>0.51</v>
      </c>
    </row>
    <row r="353" spans="1:48" x14ac:dyDescent="0.15">
      <c r="A353" s="4"/>
      <c r="B353" s="21"/>
      <c r="C353" s="21"/>
      <c r="D353" s="21"/>
      <c r="E353" s="22"/>
      <c r="F353" s="22"/>
      <c r="G353" s="23"/>
      <c r="H353" s="23"/>
      <c r="I353" s="181"/>
      <c r="J353" s="8" t="str">
        <f t="shared" si="106"/>
        <v/>
      </c>
      <c r="K353" s="2" t="str">
        <f t="shared" si="115"/>
        <v/>
      </c>
      <c r="L353" s="2" t="str">
        <f t="shared" si="107"/>
        <v/>
      </c>
      <c r="M353" s="2" t="str">
        <f t="shared" si="116"/>
        <v/>
      </c>
      <c r="N353" s="2" t="str">
        <f t="shared" si="124"/>
        <v/>
      </c>
      <c r="O353" s="2" t="str">
        <f t="shared" si="117"/>
        <v/>
      </c>
      <c r="P353" s="8" t="str">
        <f t="shared" si="118"/>
        <v/>
      </c>
      <c r="Q353" s="8" t="str">
        <f t="shared" si="119"/>
        <v/>
      </c>
      <c r="R353" s="111" t="str">
        <f t="shared" si="120"/>
        <v/>
      </c>
      <c r="S353" s="44" t="str">
        <f t="shared" si="121"/>
        <v/>
      </c>
      <c r="T353" s="37" t="str">
        <f t="shared" si="122"/>
        <v/>
      </c>
      <c r="U353" s="44" t="str">
        <f t="shared" si="123"/>
        <v/>
      </c>
      <c r="V353" s="26"/>
      <c r="W353" s="26"/>
      <c r="X353" s="26"/>
      <c r="Y353" s="26"/>
      <c r="Z353" s="24"/>
      <c r="AA353" s="169">
        <f t="shared" si="108"/>
        <v>0</v>
      </c>
      <c r="AB353" s="4">
        <f t="shared" si="109"/>
        <v>0</v>
      </c>
      <c r="AC353" s="170">
        <f t="shared" si="126"/>
        <v>0</v>
      </c>
      <c r="AD353" s="58"/>
      <c r="AE353" s="58"/>
      <c r="AF353" s="58"/>
      <c r="AG353" s="59">
        <f t="shared" si="110"/>
        <v>9.0359999999999996</v>
      </c>
      <c r="AH353" s="59">
        <f t="shared" si="111"/>
        <v>-184.49199999999999</v>
      </c>
      <c r="AJ353" s="4">
        <f>IF(D353="M",IF(AM353&lt;78,BMILMS!$D$5*AM353^3+BMILMS!$E$5*AM353^2+BMILMS!$F$5*AM353+BMILMS!$G$5,IF(AM353&lt;150,BMILMS!$D$6*AM353^3+BMILMS!$E$6*AM353^2+BMILMS!$F$6*AM353+BMILMS!$G$6,BMILMS!$D$7*AM353^3+BMILMS!$E$7*AM353^2+BMILMS!$F$7*AM353+BMILMS!$G$7)),IF(AM353&lt;69,BMILMS!$D$9*AM353^3+BMILMS!$E$9*AM353^2+BMILMS!$F$9*AM353+BMILMS!$G$9,IF(AM353&lt;150,BMILMS!$D$10*AM353^3+BMILMS!$E$10*AM353^2+BMILMS!$F$10*AM353+BMILMS!$G$10,BMILMS!$D$11*AM353^3+BMILMS!$E$11*AM353^2+BMILMS!$F$11*AM353+BMILMS!$G$11)))</f>
        <v>0.79584630099999998</v>
      </c>
      <c r="AK353" s="4">
        <f>IF(D353="M",(IF(AM353&lt;2.5,BMILMS!$D$21*AM353^3+BMILMS!$E$21*AM353^2+BMILMS!$F$21*AM353+BMILMS!$G$21,IF(AM353&lt;9.5,BMILMS!$D$22*AM353^3+BMILMS!$E$22*AM353^2+BMILMS!$F$22*AM353+BMILMS!$G$22,IF(AM353&lt;26.75,BMILMS!$D$23*AM353^3+BMILMS!$E$23*AM353^2+BMILMS!$F$23*AM353+BMILMS!$G$23,IF(AM353&lt;90,BMILMS!$D$24*AM353^3+BMILMS!$E$24*AM353^2+BMILMS!$F$24*AM353+BMILMS!$G$24,BMILMS!$D$25*AM353^3+BMILMS!$E$25*AM353^2+BMILMS!$F$25*AM353+BMILMS!$G$25))))),(IF(AM353&lt;2.5,BMILMS!$D$27*AM353^3+BMILMS!$E$27*AM353^2+BMILMS!$F$27*AM353+BMILMS!$G$27,IF(AM353&lt;9.5,BMILMS!$D$28*AM353^3+BMILMS!$E$28*AM353^2+BMILMS!$F$28*AM353+BMILMS!$G$28,IF(AM353&lt;26.75,BMILMS!$D$29*AM353^3+BMILMS!$E$29*AM353^2+BMILMS!$F$29*AM353+BMILMS!$G$29,IF(AM353&lt;90,BMILMS!$D$30*AM353^3+BMILMS!$E$30*AM353^2+BMILMS!$F$30*AM353+BMILMS!$G$30,IF(AM353&lt;150,BMILMS!$D$31*AM353^3+BMILMS!$E$31*AM353^2+BMILMS!$F$31*AM353+BMILMS!$G$31,BMILMS!$D$32*AM353^3+BMILMS!$E$32*AM353^2+BMILMS!$F$32*AM353+BMILMS!$G$32)))))))</f>
        <v>12.568967990000001</v>
      </c>
      <c r="AL353" s="4">
        <f>IF(D353="M",(IF(AM353&lt;90,BMILMS!$D$14*AM353^3+BMILMS!$E$14*AM353^2+BMILMS!$F$14*AM353+BMILMS!$G$14,BMILMS!$D$15*AM353^3+BMILMS!$E$15*AM353^2+BMILMS!$F$15*AM353+BMILMS!$G$15)),(IF(AM353&lt;90,BMILMS!$D$17*AM353^3+BMILMS!$E$17*AM353^2+BMILMS!$F$17*AM353+BMILMS!$G$17,BMILMS!$D$18*AM353^3+BMILMS!$E$18*AM353^2+BMILMS!$F$18*AM353+BMILMS!$G$18)))</f>
        <v>8.8969350000000003E-2</v>
      </c>
      <c r="AM353" s="4">
        <f t="shared" si="125"/>
        <v>0</v>
      </c>
      <c r="AO353" s="56">
        <f>IF(D353="M",WeightSDS!P$5*$AM353^7+WeightSDS!Q$5*$AM353^6+WeightSDS!R$5*$AM353^5+WeightSDS!S$5*$AM353^4+WeightSDS!T$5*$AM353^3+WeightSDS!U$5*$AM353^2+WeightSDS!V$5*$AM353+WeightSDS!W$5,IF($AM353&lt;186,WeightSDS!P$8*$AM353^7+WeightSDS!Q$8*$AM353^6+WeightSDS!R$8*$AM353^5+WeightSDS!S$8*$AM353^4+WeightSDS!T$8*$AM353^3+WeightSDS!U$8*$AM353^2+WeightSDS!V$8*$AM353+WeightSDS!W$8,WeightSDS!$U$9+WeightSDS!$V$9*($AM353-WeightSDS!$W$9)))</f>
        <v>0.75407122999999998</v>
      </c>
      <c r="AP353" s="4">
        <f>IF(D353="M",IF($AM353&lt;45,WeightSDS!M$23*$AM353^10+WeightSDS!N$23*$AM353^9+WeightSDS!O$23*$AM353^8+WeightSDS!P$23*$AM353^7+WeightSDS!Q$23*$AM353^6+WeightSDS!R$23*$AM353^5+WeightSDS!S$23*$AM353^4+WeightSDS!T$23*$AM353^3+WeightSDS!U$23*$AM353^2+WeightSDS!V$23*$AM353+WeightSDS!W$23,IF($AM353&lt;153,WeightSDS!M$25*$AM353^10+WeightSDS!N$25*$AM353^9+WeightSDS!O$25*$AM353^8+WeightSDS!P$25*$AM353^7+WeightSDS!Q$25*$AM353^6+WeightSDS!R$25*$AM353^5+WeightSDS!S$25*$AM353^4+WeightSDS!T$25*$AM353^3+WeightSDS!U$25*$AM353^2+WeightSDS!V$25*$AM353+WeightSDS!W$25,WeightSDS!M$27+WeightSDS!N$27/(1+EXP(WeightSDS!O$27+WeightSDS!P$27*$AM353)))),IF($AM353&lt;43.8,WeightSDS!M$29*$AM353^10+WeightSDS!N$29*$AM353^9+WeightSDS!O$29*$AM353^8+WeightSDS!P$29*$AM353^7+WeightSDS!Q$29*$AM353^6+WeightSDS!R$29*$AM353^5+WeightSDS!S$29*$AM353^4+WeightSDS!T$29*$AM353^3+WeightSDS!U$29*$AM353^2+WeightSDS!V$29*$AM353+WeightSDS!W$29-0.010431*(1-$AM353/210),IF($AM353&lt;123,WeightSDS!M$30*$AM353^10+WeightSDS!N$30*$AM353^9+WeightSDS!O$30*$AM353^8+WeightSDS!P$30*$AM353^7+WeightSDS!Q$30*$AM353^6+WeightSDS!R$30*$AM353^5+WeightSDS!S$30*$AM353^4+WeightSDS!T$30*$AM353^3+WeightSDS!U$30*$AM353^2+WeightSDS!V$30*$AM353+WeightSDS!W$30-0.010431*(1-1/$AM353),WeightSDS!M$32+WeightSDS!N$32/(1+EXP(WeightSDS!O$32+WeightSDS!P$32*$AM353))-0.010431*(1-$AM353/210))))</f>
        <v>2.9500001032655536</v>
      </c>
      <c r="AQ353" s="4">
        <f>IF(D353="M",IF($AM353&lt;162,WeightSDS!P$12*$AM353^7+WeightSDS!Q$12*$AM353^6+WeightSDS!R$12*$AM353^5+WeightSDS!S$12*$AM353^4+WeightSDS!T$12*$AM353^3+WeightSDS!U$12*$AM353^2+WeightSDS!V$12*$AM353+WeightSDS!W$12,WeightSDS!P$14*$AM353^7+WeightSDS!Q$14*$AM353^6+WeightSDS!R$14*$AM353^5+WeightSDS!S$14*$AM353^4+WeightSDS!T$14*$AM353^3+WeightSDS!U$14*$AM353^2+WeightSDS!V$14*$AM353+WeightSDS!W$14),IF($AM353&lt;156,WeightSDS!O$17*$AM353^8+WeightSDS!P$17*$AM353^7+WeightSDS!Q$17*$AM353^6+WeightSDS!R$17*$AM353^5+WeightSDS!S$17*$AM353^4+WeightSDS!T$17*$AM353^3+WeightSDS!U$17*$AM353^2+WeightSDS!V$17*$AM353+WeightSDS!W$17,IF($AM353&lt;186,WeightSDS!$U$18+(WeightSDS!$V$18-WeightSDS!$U$18)/24*($AM353-186)+WeightSDS!$W$18*(-$AM353+186)^2-0.005,WeightSDS!$U$18+(WeightSDS!$V$18-WeightSDS!$U$18)/24*($AM353-186)-0.005)))</f>
        <v>0.14604529399999999</v>
      </c>
      <c r="AT353" s="4">
        <f t="shared" si="112"/>
        <v>0.56299999999999994</v>
      </c>
      <c r="AU353" s="4">
        <f t="shared" si="113"/>
        <v>69</v>
      </c>
      <c r="AV353" s="4">
        <f t="shared" si="114"/>
        <v>0.51</v>
      </c>
    </row>
    <row r="354" spans="1:48" x14ac:dyDescent="0.15">
      <c r="A354" s="4"/>
      <c r="B354" s="21"/>
      <c r="C354" s="21"/>
      <c r="D354" s="21"/>
      <c r="E354" s="22"/>
      <c r="F354" s="22"/>
      <c r="G354" s="23"/>
      <c r="H354" s="23"/>
      <c r="I354" s="181"/>
      <c r="J354" s="8" t="str">
        <f t="shared" si="106"/>
        <v/>
      </c>
      <c r="K354" s="2" t="str">
        <f t="shared" si="115"/>
        <v/>
      </c>
      <c r="L354" s="2" t="str">
        <f t="shared" si="107"/>
        <v/>
      </c>
      <c r="M354" s="2" t="str">
        <f t="shared" si="116"/>
        <v/>
      </c>
      <c r="N354" s="2" t="str">
        <f t="shared" si="124"/>
        <v/>
      </c>
      <c r="O354" s="2" t="str">
        <f t="shared" si="117"/>
        <v/>
      </c>
      <c r="P354" s="8" t="str">
        <f t="shared" si="118"/>
        <v/>
      </c>
      <c r="Q354" s="8" t="str">
        <f t="shared" si="119"/>
        <v/>
      </c>
      <c r="R354" s="111" t="str">
        <f t="shared" si="120"/>
        <v/>
      </c>
      <c r="S354" s="44" t="str">
        <f t="shared" si="121"/>
        <v/>
      </c>
      <c r="T354" s="37" t="str">
        <f t="shared" si="122"/>
        <v/>
      </c>
      <c r="U354" s="44" t="str">
        <f t="shared" si="123"/>
        <v/>
      </c>
      <c r="V354" s="26"/>
      <c r="W354" s="26"/>
      <c r="X354" s="26"/>
      <c r="Y354" s="26"/>
      <c r="Z354" s="24"/>
      <c r="AA354" s="169">
        <f t="shared" si="108"/>
        <v>0</v>
      </c>
      <c r="AB354" s="4">
        <f t="shared" si="109"/>
        <v>0</v>
      </c>
      <c r="AC354" s="170">
        <f t="shared" si="126"/>
        <v>0</v>
      </c>
      <c r="AD354" s="58"/>
      <c r="AE354" s="58"/>
      <c r="AF354" s="58"/>
      <c r="AG354" s="59">
        <f t="shared" si="110"/>
        <v>9.0359999999999996</v>
      </c>
      <c r="AH354" s="59">
        <f t="shared" si="111"/>
        <v>-184.49199999999999</v>
      </c>
      <c r="AJ354" s="4">
        <f>IF(D354="M",IF(AM354&lt;78,BMILMS!$D$5*AM354^3+BMILMS!$E$5*AM354^2+BMILMS!$F$5*AM354+BMILMS!$G$5,IF(AM354&lt;150,BMILMS!$D$6*AM354^3+BMILMS!$E$6*AM354^2+BMILMS!$F$6*AM354+BMILMS!$G$6,BMILMS!$D$7*AM354^3+BMILMS!$E$7*AM354^2+BMILMS!$F$7*AM354+BMILMS!$G$7)),IF(AM354&lt;69,BMILMS!$D$9*AM354^3+BMILMS!$E$9*AM354^2+BMILMS!$F$9*AM354+BMILMS!$G$9,IF(AM354&lt;150,BMILMS!$D$10*AM354^3+BMILMS!$E$10*AM354^2+BMILMS!$F$10*AM354+BMILMS!$G$10,BMILMS!$D$11*AM354^3+BMILMS!$E$11*AM354^2+BMILMS!$F$11*AM354+BMILMS!$G$11)))</f>
        <v>0.79584630099999998</v>
      </c>
      <c r="AK354" s="4">
        <f>IF(D354="M",(IF(AM354&lt;2.5,BMILMS!$D$21*AM354^3+BMILMS!$E$21*AM354^2+BMILMS!$F$21*AM354+BMILMS!$G$21,IF(AM354&lt;9.5,BMILMS!$D$22*AM354^3+BMILMS!$E$22*AM354^2+BMILMS!$F$22*AM354+BMILMS!$G$22,IF(AM354&lt;26.75,BMILMS!$D$23*AM354^3+BMILMS!$E$23*AM354^2+BMILMS!$F$23*AM354+BMILMS!$G$23,IF(AM354&lt;90,BMILMS!$D$24*AM354^3+BMILMS!$E$24*AM354^2+BMILMS!$F$24*AM354+BMILMS!$G$24,BMILMS!$D$25*AM354^3+BMILMS!$E$25*AM354^2+BMILMS!$F$25*AM354+BMILMS!$G$25))))),(IF(AM354&lt;2.5,BMILMS!$D$27*AM354^3+BMILMS!$E$27*AM354^2+BMILMS!$F$27*AM354+BMILMS!$G$27,IF(AM354&lt;9.5,BMILMS!$D$28*AM354^3+BMILMS!$E$28*AM354^2+BMILMS!$F$28*AM354+BMILMS!$G$28,IF(AM354&lt;26.75,BMILMS!$D$29*AM354^3+BMILMS!$E$29*AM354^2+BMILMS!$F$29*AM354+BMILMS!$G$29,IF(AM354&lt;90,BMILMS!$D$30*AM354^3+BMILMS!$E$30*AM354^2+BMILMS!$F$30*AM354+BMILMS!$G$30,IF(AM354&lt;150,BMILMS!$D$31*AM354^3+BMILMS!$E$31*AM354^2+BMILMS!$F$31*AM354+BMILMS!$G$31,BMILMS!$D$32*AM354^3+BMILMS!$E$32*AM354^2+BMILMS!$F$32*AM354+BMILMS!$G$32)))))))</f>
        <v>12.568967990000001</v>
      </c>
      <c r="AL354" s="4">
        <f>IF(D354="M",(IF(AM354&lt;90,BMILMS!$D$14*AM354^3+BMILMS!$E$14*AM354^2+BMILMS!$F$14*AM354+BMILMS!$G$14,BMILMS!$D$15*AM354^3+BMILMS!$E$15*AM354^2+BMILMS!$F$15*AM354+BMILMS!$G$15)),(IF(AM354&lt;90,BMILMS!$D$17*AM354^3+BMILMS!$E$17*AM354^2+BMILMS!$F$17*AM354+BMILMS!$G$17,BMILMS!$D$18*AM354^3+BMILMS!$E$18*AM354^2+BMILMS!$F$18*AM354+BMILMS!$G$18)))</f>
        <v>8.8969350000000003E-2</v>
      </c>
      <c r="AM354" s="4">
        <f t="shared" si="125"/>
        <v>0</v>
      </c>
      <c r="AO354" s="56">
        <f>IF(D354="M",WeightSDS!P$5*$AM354^7+WeightSDS!Q$5*$AM354^6+WeightSDS!R$5*$AM354^5+WeightSDS!S$5*$AM354^4+WeightSDS!T$5*$AM354^3+WeightSDS!U$5*$AM354^2+WeightSDS!V$5*$AM354+WeightSDS!W$5,IF($AM354&lt;186,WeightSDS!P$8*$AM354^7+WeightSDS!Q$8*$AM354^6+WeightSDS!R$8*$AM354^5+WeightSDS!S$8*$AM354^4+WeightSDS!T$8*$AM354^3+WeightSDS!U$8*$AM354^2+WeightSDS!V$8*$AM354+WeightSDS!W$8,WeightSDS!$U$9+WeightSDS!$V$9*($AM354-WeightSDS!$W$9)))</f>
        <v>0.75407122999999998</v>
      </c>
      <c r="AP354" s="4">
        <f>IF(D354="M",IF($AM354&lt;45,WeightSDS!M$23*$AM354^10+WeightSDS!N$23*$AM354^9+WeightSDS!O$23*$AM354^8+WeightSDS!P$23*$AM354^7+WeightSDS!Q$23*$AM354^6+WeightSDS!R$23*$AM354^5+WeightSDS!S$23*$AM354^4+WeightSDS!T$23*$AM354^3+WeightSDS!U$23*$AM354^2+WeightSDS!V$23*$AM354+WeightSDS!W$23,IF($AM354&lt;153,WeightSDS!M$25*$AM354^10+WeightSDS!N$25*$AM354^9+WeightSDS!O$25*$AM354^8+WeightSDS!P$25*$AM354^7+WeightSDS!Q$25*$AM354^6+WeightSDS!R$25*$AM354^5+WeightSDS!S$25*$AM354^4+WeightSDS!T$25*$AM354^3+WeightSDS!U$25*$AM354^2+WeightSDS!V$25*$AM354+WeightSDS!W$25,WeightSDS!M$27+WeightSDS!N$27/(1+EXP(WeightSDS!O$27+WeightSDS!P$27*$AM354)))),IF($AM354&lt;43.8,WeightSDS!M$29*$AM354^10+WeightSDS!N$29*$AM354^9+WeightSDS!O$29*$AM354^8+WeightSDS!P$29*$AM354^7+WeightSDS!Q$29*$AM354^6+WeightSDS!R$29*$AM354^5+WeightSDS!S$29*$AM354^4+WeightSDS!T$29*$AM354^3+WeightSDS!U$29*$AM354^2+WeightSDS!V$29*$AM354+WeightSDS!W$29-0.010431*(1-$AM354/210),IF($AM354&lt;123,WeightSDS!M$30*$AM354^10+WeightSDS!N$30*$AM354^9+WeightSDS!O$30*$AM354^8+WeightSDS!P$30*$AM354^7+WeightSDS!Q$30*$AM354^6+WeightSDS!R$30*$AM354^5+WeightSDS!S$30*$AM354^4+WeightSDS!T$30*$AM354^3+WeightSDS!U$30*$AM354^2+WeightSDS!V$30*$AM354+WeightSDS!W$30-0.010431*(1-1/$AM354),WeightSDS!M$32+WeightSDS!N$32/(1+EXP(WeightSDS!O$32+WeightSDS!P$32*$AM354))-0.010431*(1-$AM354/210))))</f>
        <v>2.9500001032655536</v>
      </c>
      <c r="AQ354" s="4">
        <f>IF(D354="M",IF($AM354&lt;162,WeightSDS!P$12*$AM354^7+WeightSDS!Q$12*$AM354^6+WeightSDS!R$12*$AM354^5+WeightSDS!S$12*$AM354^4+WeightSDS!T$12*$AM354^3+WeightSDS!U$12*$AM354^2+WeightSDS!V$12*$AM354+WeightSDS!W$12,WeightSDS!P$14*$AM354^7+WeightSDS!Q$14*$AM354^6+WeightSDS!R$14*$AM354^5+WeightSDS!S$14*$AM354^4+WeightSDS!T$14*$AM354^3+WeightSDS!U$14*$AM354^2+WeightSDS!V$14*$AM354+WeightSDS!W$14),IF($AM354&lt;156,WeightSDS!O$17*$AM354^8+WeightSDS!P$17*$AM354^7+WeightSDS!Q$17*$AM354^6+WeightSDS!R$17*$AM354^5+WeightSDS!S$17*$AM354^4+WeightSDS!T$17*$AM354^3+WeightSDS!U$17*$AM354^2+WeightSDS!V$17*$AM354+WeightSDS!W$17,IF($AM354&lt;186,WeightSDS!$U$18+(WeightSDS!$V$18-WeightSDS!$U$18)/24*($AM354-186)+WeightSDS!$W$18*(-$AM354+186)^2-0.005,WeightSDS!$U$18+(WeightSDS!$V$18-WeightSDS!$U$18)/24*($AM354-186)-0.005)))</f>
        <v>0.14604529399999999</v>
      </c>
      <c r="AT354" s="4">
        <f t="shared" si="112"/>
        <v>0.56299999999999994</v>
      </c>
      <c r="AU354" s="4">
        <f t="shared" si="113"/>
        <v>69</v>
      </c>
      <c r="AV354" s="4">
        <f t="shared" si="114"/>
        <v>0.51</v>
      </c>
    </row>
    <row r="355" spans="1:48" x14ac:dyDescent="0.15">
      <c r="A355" s="4"/>
      <c r="B355" s="21"/>
      <c r="C355" s="21"/>
      <c r="D355" s="21"/>
      <c r="E355" s="22"/>
      <c r="F355" s="22"/>
      <c r="G355" s="23"/>
      <c r="H355" s="23"/>
      <c r="I355" s="181"/>
      <c r="J355" s="8" t="str">
        <f t="shared" si="106"/>
        <v/>
      </c>
      <c r="K355" s="2" t="str">
        <f t="shared" si="115"/>
        <v/>
      </c>
      <c r="L355" s="2" t="str">
        <f t="shared" si="107"/>
        <v/>
      </c>
      <c r="M355" s="2" t="str">
        <f t="shared" si="116"/>
        <v/>
      </c>
      <c r="N355" s="2" t="str">
        <f t="shared" si="124"/>
        <v/>
      </c>
      <c r="O355" s="2" t="str">
        <f t="shared" si="117"/>
        <v/>
      </c>
      <c r="P355" s="8" t="str">
        <f t="shared" si="118"/>
        <v/>
      </c>
      <c r="Q355" s="8" t="str">
        <f t="shared" si="119"/>
        <v/>
      </c>
      <c r="R355" s="111" t="str">
        <f t="shared" si="120"/>
        <v/>
      </c>
      <c r="S355" s="44" t="str">
        <f t="shared" si="121"/>
        <v/>
      </c>
      <c r="T355" s="37" t="str">
        <f t="shared" si="122"/>
        <v/>
      </c>
      <c r="U355" s="44" t="str">
        <f t="shared" si="123"/>
        <v/>
      </c>
      <c r="V355" s="26"/>
      <c r="W355" s="26"/>
      <c r="X355" s="26"/>
      <c r="Y355" s="26"/>
      <c r="Z355" s="24"/>
      <c r="AA355" s="169">
        <f t="shared" si="108"/>
        <v>0</v>
      </c>
      <c r="AB355" s="4">
        <f t="shared" si="109"/>
        <v>0</v>
      </c>
      <c r="AC355" s="170">
        <f t="shared" si="126"/>
        <v>0</v>
      </c>
      <c r="AD355" s="58"/>
      <c r="AE355" s="58"/>
      <c r="AF355" s="58"/>
      <c r="AG355" s="59">
        <f t="shared" si="110"/>
        <v>9.0359999999999996</v>
      </c>
      <c r="AH355" s="59">
        <f t="shared" si="111"/>
        <v>-184.49199999999999</v>
      </c>
      <c r="AJ355" s="4">
        <f>IF(D355="M",IF(AM355&lt;78,BMILMS!$D$5*AM355^3+BMILMS!$E$5*AM355^2+BMILMS!$F$5*AM355+BMILMS!$G$5,IF(AM355&lt;150,BMILMS!$D$6*AM355^3+BMILMS!$E$6*AM355^2+BMILMS!$F$6*AM355+BMILMS!$G$6,BMILMS!$D$7*AM355^3+BMILMS!$E$7*AM355^2+BMILMS!$F$7*AM355+BMILMS!$G$7)),IF(AM355&lt;69,BMILMS!$D$9*AM355^3+BMILMS!$E$9*AM355^2+BMILMS!$F$9*AM355+BMILMS!$G$9,IF(AM355&lt;150,BMILMS!$D$10*AM355^3+BMILMS!$E$10*AM355^2+BMILMS!$F$10*AM355+BMILMS!$G$10,BMILMS!$D$11*AM355^3+BMILMS!$E$11*AM355^2+BMILMS!$F$11*AM355+BMILMS!$G$11)))</f>
        <v>0.79584630099999998</v>
      </c>
      <c r="AK355" s="4">
        <f>IF(D355="M",(IF(AM355&lt;2.5,BMILMS!$D$21*AM355^3+BMILMS!$E$21*AM355^2+BMILMS!$F$21*AM355+BMILMS!$G$21,IF(AM355&lt;9.5,BMILMS!$D$22*AM355^3+BMILMS!$E$22*AM355^2+BMILMS!$F$22*AM355+BMILMS!$G$22,IF(AM355&lt;26.75,BMILMS!$D$23*AM355^3+BMILMS!$E$23*AM355^2+BMILMS!$F$23*AM355+BMILMS!$G$23,IF(AM355&lt;90,BMILMS!$D$24*AM355^3+BMILMS!$E$24*AM355^2+BMILMS!$F$24*AM355+BMILMS!$G$24,BMILMS!$D$25*AM355^3+BMILMS!$E$25*AM355^2+BMILMS!$F$25*AM355+BMILMS!$G$25))))),(IF(AM355&lt;2.5,BMILMS!$D$27*AM355^3+BMILMS!$E$27*AM355^2+BMILMS!$F$27*AM355+BMILMS!$G$27,IF(AM355&lt;9.5,BMILMS!$D$28*AM355^3+BMILMS!$E$28*AM355^2+BMILMS!$F$28*AM355+BMILMS!$G$28,IF(AM355&lt;26.75,BMILMS!$D$29*AM355^3+BMILMS!$E$29*AM355^2+BMILMS!$F$29*AM355+BMILMS!$G$29,IF(AM355&lt;90,BMILMS!$D$30*AM355^3+BMILMS!$E$30*AM355^2+BMILMS!$F$30*AM355+BMILMS!$G$30,IF(AM355&lt;150,BMILMS!$D$31*AM355^3+BMILMS!$E$31*AM355^2+BMILMS!$F$31*AM355+BMILMS!$G$31,BMILMS!$D$32*AM355^3+BMILMS!$E$32*AM355^2+BMILMS!$F$32*AM355+BMILMS!$G$32)))))))</f>
        <v>12.568967990000001</v>
      </c>
      <c r="AL355" s="4">
        <f>IF(D355="M",(IF(AM355&lt;90,BMILMS!$D$14*AM355^3+BMILMS!$E$14*AM355^2+BMILMS!$F$14*AM355+BMILMS!$G$14,BMILMS!$D$15*AM355^3+BMILMS!$E$15*AM355^2+BMILMS!$F$15*AM355+BMILMS!$G$15)),(IF(AM355&lt;90,BMILMS!$D$17*AM355^3+BMILMS!$E$17*AM355^2+BMILMS!$F$17*AM355+BMILMS!$G$17,BMILMS!$D$18*AM355^3+BMILMS!$E$18*AM355^2+BMILMS!$F$18*AM355+BMILMS!$G$18)))</f>
        <v>8.8969350000000003E-2</v>
      </c>
      <c r="AM355" s="4">
        <f t="shared" si="125"/>
        <v>0</v>
      </c>
      <c r="AO355" s="56">
        <f>IF(D355="M",WeightSDS!P$5*$AM355^7+WeightSDS!Q$5*$AM355^6+WeightSDS!R$5*$AM355^5+WeightSDS!S$5*$AM355^4+WeightSDS!T$5*$AM355^3+WeightSDS!U$5*$AM355^2+WeightSDS!V$5*$AM355+WeightSDS!W$5,IF($AM355&lt;186,WeightSDS!P$8*$AM355^7+WeightSDS!Q$8*$AM355^6+WeightSDS!R$8*$AM355^5+WeightSDS!S$8*$AM355^4+WeightSDS!T$8*$AM355^3+WeightSDS!U$8*$AM355^2+WeightSDS!V$8*$AM355+WeightSDS!W$8,WeightSDS!$U$9+WeightSDS!$V$9*($AM355-WeightSDS!$W$9)))</f>
        <v>0.75407122999999998</v>
      </c>
      <c r="AP355" s="4">
        <f>IF(D355="M",IF($AM355&lt;45,WeightSDS!M$23*$AM355^10+WeightSDS!N$23*$AM355^9+WeightSDS!O$23*$AM355^8+WeightSDS!P$23*$AM355^7+WeightSDS!Q$23*$AM355^6+WeightSDS!R$23*$AM355^5+WeightSDS!S$23*$AM355^4+WeightSDS!T$23*$AM355^3+WeightSDS!U$23*$AM355^2+WeightSDS!V$23*$AM355+WeightSDS!W$23,IF($AM355&lt;153,WeightSDS!M$25*$AM355^10+WeightSDS!N$25*$AM355^9+WeightSDS!O$25*$AM355^8+WeightSDS!P$25*$AM355^7+WeightSDS!Q$25*$AM355^6+WeightSDS!R$25*$AM355^5+WeightSDS!S$25*$AM355^4+WeightSDS!T$25*$AM355^3+WeightSDS!U$25*$AM355^2+WeightSDS!V$25*$AM355+WeightSDS!W$25,WeightSDS!M$27+WeightSDS!N$27/(1+EXP(WeightSDS!O$27+WeightSDS!P$27*$AM355)))),IF($AM355&lt;43.8,WeightSDS!M$29*$AM355^10+WeightSDS!N$29*$AM355^9+WeightSDS!O$29*$AM355^8+WeightSDS!P$29*$AM355^7+WeightSDS!Q$29*$AM355^6+WeightSDS!R$29*$AM355^5+WeightSDS!S$29*$AM355^4+WeightSDS!T$29*$AM355^3+WeightSDS!U$29*$AM355^2+WeightSDS!V$29*$AM355+WeightSDS!W$29-0.010431*(1-$AM355/210),IF($AM355&lt;123,WeightSDS!M$30*$AM355^10+WeightSDS!N$30*$AM355^9+WeightSDS!O$30*$AM355^8+WeightSDS!P$30*$AM355^7+WeightSDS!Q$30*$AM355^6+WeightSDS!R$30*$AM355^5+WeightSDS!S$30*$AM355^4+WeightSDS!T$30*$AM355^3+WeightSDS!U$30*$AM355^2+WeightSDS!V$30*$AM355+WeightSDS!W$30-0.010431*(1-1/$AM355),WeightSDS!M$32+WeightSDS!N$32/(1+EXP(WeightSDS!O$32+WeightSDS!P$32*$AM355))-0.010431*(1-$AM355/210))))</f>
        <v>2.9500001032655536</v>
      </c>
      <c r="AQ355" s="4">
        <f>IF(D355="M",IF($AM355&lt;162,WeightSDS!P$12*$AM355^7+WeightSDS!Q$12*$AM355^6+WeightSDS!R$12*$AM355^5+WeightSDS!S$12*$AM355^4+WeightSDS!T$12*$AM355^3+WeightSDS!U$12*$AM355^2+WeightSDS!V$12*$AM355+WeightSDS!W$12,WeightSDS!P$14*$AM355^7+WeightSDS!Q$14*$AM355^6+WeightSDS!R$14*$AM355^5+WeightSDS!S$14*$AM355^4+WeightSDS!T$14*$AM355^3+WeightSDS!U$14*$AM355^2+WeightSDS!V$14*$AM355+WeightSDS!W$14),IF($AM355&lt;156,WeightSDS!O$17*$AM355^8+WeightSDS!P$17*$AM355^7+WeightSDS!Q$17*$AM355^6+WeightSDS!R$17*$AM355^5+WeightSDS!S$17*$AM355^4+WeightSDS!T$17*$AM355^3+WeightSDS!U$17*$AM355^2+WeightSDS!V$17*$AM355+WeightSDS!W$17,IF($AM355&lt;186,WeightSDS!$U$18+(WeightSDS!$V$18-WeightSDS!$U$18)/24*($AM355-186)+WeightSDS!$W$18*(-$AM355+186)^2-0.005,WeightSDS!$U$18+(WeightSDS!$V$18-WeightSDS!$U$18)/24*($AM355-186)-0.005)))</f>
        <v>0.14604529399999999</v>
      </c>
      <c r="AT355" s="4">
        <f t="shared" si="112"/>
        <v>0.56299999999999994</v>
      </c>
      <c r="AU355" s="4">
        <f t="shared" si="113"/>
        <v>69</v>
      </c>
      <c r="AV355" s="4">
        <f t="shared" si="114"/>
        <v>0.51</v>
      </c>
    </row>
    <row r="356" spans="1:48" x14ac:dyDescent="0.15">
      <c r="A356" s="4"/>
      <c r="B356" s="21"/>
      <c r="C356" s="21"/>
      <c r="D356" s="21"/>
      <c r="E356" s="22"/>
      <c r="F356" s="22"/>
      <c r="G356" s="23"/>
      <c r="H356" s="23"/>
      <c r="I356" s="181"/>
      <c r="J356" s="8" t="str">
        <f t="shared" si="106"/>
        <v/>
      </c>
      <c r="K356" s="2" t="str">
        <f t="shared" si="115"/>
        <v/>
      </c>
      <c r="L356" s="2" t="str">
        <f t="shared" si="107"/>
        <v/>
      </c>
      <c r="M356" s="2" t="str">
        <f t="shared" si="116"/>
        <v/>
      </c>
      <c r="N356" s="2" t="str">
        <f t="shared" si="124"/>
        <v/>
      </c>
      <c r="O356" s="2" t="str">
        <f t="shared" si="117"/>
        <v/>
      </c>
      <c r="P356" s="8" t="str">
        <f t="shared" si="118"/>
        <v/>
      </c>
      <c r="Q356" s="8" t="str">
        <f t="shared" si="119"/>
        <v/>
      </c>
      <c r="R356" s="111" t="str">
        <f t="shared" si="120"/>
        <v/>
      </c>
      <c r="S356" s="44" t="str">
        <f t="shared" si="121"/>
        <v/>
      </c>
      <c r="T356" s="37" t="str">
        <f t="shared" si="122"/>
        <v/>
      </c>
      <c r="U356" s="44" t="str">
        <f t="shared" si="123"/>
        <v/>
      </c>
      <c r="V356" s="26"/>
      <c r="W356" s="26"/>
      <c r="X356" s="26"/>
      <c r="Y356" s="26"/>
      <c r="Z356" s="24"/>
      <c r="AA356" s="169">
        <f t="shared" si="108"/>
        <v>0</v>
      </c>
      <c r="AB356" s="4">
        <f t="shared" si="109"/>
        <v>0</v>
      </c>
      <c r="AC356" s="170">
        <f t="shared" si="126"/>
        <v>0</v>
      </c>
      <c r="AD356" s="58"/>
      <c r="AE356" s="58"/>
      <c r="AF356" s="58"/>
      <c r="AG356" s="59">
        <f t="shared" si="110"/>
        <v>9.0359999999999996</v>
      </c>
      <c r="AH356" s="59">
        <f t="shared" si="111"/>
        <v>-184.49199999999999</v>
      </c>
      <c r="AJ356" s="4">
        <f>IF(D356="M",IF(AM356&lt;78,BMILMS!$D$5*AM356^3+BMILMS!$E$5*AM356^2+BMILMS!$F$5*AM356+BMILMS!$G$5,IF(AM356&lt;150,BMILMS!$D$6*AM356^3+BMILMS!$E$6*AM356^2+BMILMS!$F$6*AM356+BMILMS!$G$6,BMILMS!$D$7*AM356^3+BMILMS!$E$7*AM356^2+BMILMS!$F$7*AM356+BMILMS!$G$7)),IF(AM356&lt;69,BMILMS!$D$9*AM356^3+BMILMS!$E$9*AM356^2+BMILMS!$F$9*AM356+BMILMS!$G$9,IF(AM356&lt;150,BMILMS!$D$10*AM356^3+BMILMS!$E$10*AM356^2+BMILMS!$F$10*AM356+BMILMS!$G$10,BMILMS!$D$11*AM356^3+BMILMS!$E$11*AM356^2+BMILMS!$F$11*AM356+BMILMS!$G$11)))</f>
        <v>0.79584630099999998</v>
      </c>
      <c r="AK356" s="4">
        <f>IF(D356="M",(IF(AM356&lt;2.5,BMILMS!$D$21*AM356^3+BMILMS!$E$21*AM356^2+BMILMS!$F$21*AM356+BMILMS!$G$21,IF(AM356&lt;9.5,BMILMS!$D$22*AM356^3+BMILMS!$E$22*AM356^2+BMILMS!$F$22*AM356+BMILMS!$G$22,IF(AM356&lt;26.75,BMILMS!$D$23*AM356^3+BMILMS!$E$23*AM356^2+BMILMS!$F$23*AM356+BMILMS!$G$23,IF(AM356&lt;90,BMILMS!$D$24*AM356^3+BMILMS!$E$24*AM356^2+BMILMS!$F$24*AM356+BMILMS!$G$24,BMILMS!$D$25*AM356^3+BMILMS!$E$25*AM356^2+BMILMS!$F$25*AM356+BMILMS!$G$25))))),(IF(AM356&lt;2.5,BMILMS!$D$27*AM356^3+BMILMS!$E$27*AM356^2+BMILMS!$F$27*AM356+BMILMS!$G$27,IF(AM356&lt;9.5,BMILMS!$D$28*AM356^3+BMILMS!$E$28*AM356^2+BMILMS!$F$28*AM356+BMILMS!$G$28,IF(AM356&lt;26.75,BMILMS!$D$29*AM356^3+BMILMS!$E$29*AM356^2+BMILMS!$F$29*AM356+BMILMS!$G$29,IF(AM356&lt;90,BMILMS!$D$30*AM356^3+BMILMS!$E$30*AM356^2+BMILMS!$F$30*AM356+BMILMS!$G$30,IF(AM356&lt;150,BMILMS!$D$31*AM356^3+BMILMS!$E$31*AM356^2+BMILMS!$F$31*AM356+BMILMS!$G$31,BMILMS!$D$32*AM356^3+BMILMS!$E$32*AM356^2+BMILMS!$F$32*AM356+BMILMS!$G$32)))))))</f>
        <v>12.568967990000001</v>
      </c>
      <c r="AL356" s="4">
        <f>IF(D356="M",(IF(AM356&lt;90,BMILMS!$D$14*AM356^3+BMILMS!$E$14*AM356^2+BMILMS!$F$14*AM356+BMILMS!$G$14,BMILMS!$D$15*AM356^3+BMILMS!$E$15*AM356^2+BMILMS!$F$15*AM356+BMILMS!$G$15)),(IF(AM356&lt;90,BMILMS!$D$17*AM356^3+BMILMS!$E$17*AM356^2+BMILMS!$F$17*AM356+BMILMS!$G$17,BMILMS!$D$18*AM356^3+BMILMS!$E$18*AM356^2+BMILMS!$F$18*AM356+BMILMS!$G$18)))</f>
        <v>8.8969350000000003E-2</v>
      </c>
      <c r="AM356" s="4">
        <f t="shared" si="125"/>
        <v>0</v>
      </c>
      <c r="AO356" s="56">
        <f>IF(D356="M",WeightSDS!P$5*$AM356^7+WeightSDS!Q$5*$AM356^6+WeightSDS!R$5*$AM356^5+WeightSDS!S$5*$AM356^4+WeightSDS!T$5*$AM356^3+WeightSDS!U$5*$AM356^2+WeightSDS!V$5*$AM356+WeightSDS!W$5,IF($AM356&lt;186,WeightSDS!P$8*$AM356^7+WeightSDS!Q$8*$AM356^6+WeightSDS!R$8*$AM356^5+WeightSDS!S$8*$AM356^4+WeightSDS!T$8*$AM356^3+WeightSDS!U$8*$AM356^2+WeightSDS!V$8*$AM356+WeightSDS!W$8,WeightSDS!$U$9+WeightSDS!$V$9*($AM356-WeightSDS!$W$9)))</f>
        <v>0.75407122999999998</v>
      </c>
      <c r="AP356" s="4">
        <f>IF(D356="M",IF($AM356&lt;45,WeightSDS!M$23*$AM356^10+WeightSDS!N$23*$AM356^9+WeightSDS!O$23*$AM356^8+WeightSDS!P$23*$AM356^7+WeightSDS!Q$23*$AM356^6+WeightSDS!R$23*$AM356^5+WeightSDS!S$23*$AM356^4+WeightSDS!T$23*$AM356^3+WeightSDS!U$23*$AM356^2+WeightSDS!V$23*$AM356+WeightSDS!W$23,IF($AM356&lt;153,WeightSDS!M$25*$AM356^10+WeightSDS!N$25*$AM356^9+WeightSDS!O$25*$AM356^8+WeightSDS!P$25*$AM356^7+WeightSDS!Q$25*$AM356^6+WeightSDS!R$25*$AM356^5+WeightSDS!S$25*$AM356^4+WeightSDS!T$25*$AM356^3+WeightSDS!U$25*$AM356^2+WeightSDS!V$25*$AM356+WeightSDS!W$25,WeightSDS!M$27+WeightSDS!N$27/(1+EXP(WeightSDS!O$27+WeightSDS!P$27*$AM356)))),IF($AM356&lt;43.8,WeightSDS!M$29*$AM356^10+WeightSDS!N$29*$AM356^9+WeightSDS!O$29*$AM356^8+WeightSDS!P$29*$AM356^7+WeightSDS!Q$29*$AM356^6+WeightSDS!R$29*$AM356^5+WeightSDS!S$29*$AM356^4+WeightSDS!T$29*$AM356^3+WeightSDS!U$29*$AM356^2+WeightSDS!V$29*$AM356+WeightSDS!W$29-0.010431*(1-$AM356/210),IF($AM356&lt;123,WeightSDS!M$30*$AM356^10+WeightSDS!N$30*$AM356^9+WeightSDS!O$30*$AM356^8+WeightSDS!P$30*$AM356^7+WeightSDS!Q$30*$AM356^6+WeightSDS!R$30*$AM356^5+WeightSDS!S$30*$AM356^4+WeightSDS!T$30*$AM356^3+WeightSDS!U$30*$AM356^2+WeightSDS!V$30*$AM356+WeightSDS!W$30-0.010431*(1-1/$AM356),WeightSDS!M$32+WeightSDS!N$32/(1+EXP(WeightSDS!O$32+WeightSDS!P$32*$AM356))-0.010431*(1-$AM356/210))))</f>
        <v>2.9500001032655536</v>
      </c>
      <c r="AQ356" s="4">
        <f>IF(D356="M",IF($AM356&lt;162,WeightSDS!P$12*$AM356^7+WeightSDS!Q$12*$AM356^6+WeightSDS!R$12*$AM356^5+WeightSDS!S$12*$AM356^4+WeightSDS!T$12*$AM356^3+WeightSDS!U$12*$AM356^2+WeightSDS!V$12*$AM356+WeightSDS!W$12,WeightSDS!P$14*$AM356^7+WeightSDS!Q$14*$AM356^6+WeightSDS!R$14*$AM356^5+WeightSDS!S$14*$AM356^4+WeightSDS!T$14*$AM356^3+WeightSDS!U$14*$AM356^2+WeightSDS!V$14*$AM356+WeightSDS!W$14),IF($AM356&lt;156,WeightSDS!O$17*$AM356^8+WeightSDS!P$17*$AM356^7+WeightSDS!Q$17*$AM356^6+WeightSDS!R$17*$AM356^5+WeightSDS!S$17*$AM356^4+WeightSDS!T$17*$AM356^3+WeightSDS!U$17*$AM356^2+WeightSDS!V$17*$AM356+WeightSDS!W$17,IF($AM356&lt;186,WeightSDS!$U$18+(WeightSDS!$V$18-WeightSDS!$U$18)/24*($AM356-186)+WeightSDS!$W$18*(-$AM356+186)^2-0.005,WeightSDS!$U$18+(WeightSDS!$V$18-WeightSDS!$U$18)/24*($AM356-186)-0.005)))</f>
        <v>0.14604529399999999</v>
      </c>
      <c r="AT356" s="4">
        <f t="shared" si="112"/>
        <v>0.56299999999999994</v>
      </c>
      <c r="AU356" s="4">
        <f t="shared" si="113"/>
        <v>69</v>
      </c>
      <c r="AV356" s="4">
        <f t="shared" si="114"/>
        <v>0.51</v>
      </c>
    </row>
    <row r="357" spans="1:48" x14ac:dyDescent="0.15">
      <c r="A357" s="4"/>
      <c r="B357" s="21"/>
      <c r="C357" s="21"/>
      <c r="D357" s="21"/>
      <c r="E357" s="22"/>
      <c r="F357" s="22"/>
      <c r="G357" s="23"/>
      <c r="H357" s="23"/>
      <c r="I357" s="181"/>
      <c r="J357" s="8" t="str">
        <f t="shared" si="106"/>
        <v/>
      </c>
      <c r="K357" s="2" t="str">
        <f t="shared" si="115"/>
        <v/>
      </c>
      <c r="L357" s="2" t="str">
        <f t="shared" si="107"/>
        <v/>
      </c>
      <c r="M357" s="2" t="str">
        <f t="shared" si="116"/>
        <v/>
      </c>
      <c r="N357" s="2" t="str">
        <f t="shared" si="124"/>
        <v/>
      </c>
      <c r="O357" s="2" t="str">
        <f t="shared" si="117"/>
        <v/>
      </c>
      <c r="P357" s="8" t="str">
        <f t="shared" si="118"/>
        <v/>
      </c>
      <c r="Q357" s="8" t="str">
        <f t="shared" si="119"/>
        <v/>
      </c>
      <c r="R357" s="111" t="str">
        <f t="shared" si="120"/>
        <v/>
      </c>
      <c r="S357" s="44" t="str">
        <f t="shared" si="121"/>
        <v/>
      </c>
      <c r="T357" s="37" t="str">
        <f t="shared" si="122"/>
        <v/>
      </c>
      <c r="U357" s="44" t="str">
        <f t="shared" si="123"/>
        <v/>
      </c>
      <c r="V357" s="26"/>
      <c r="W357" s="26"/>
      <c r="X357" s="26"/>
      <c r="Y357" s="26"/>
      <c r="Z357" s="24"/>
      <c r="AA357" s="169">
        <f t="shared" si="108"/>
        <v>0</v>
      </c>
      <c r="AB357" s="4">
        <f t="shared" si="109"/>
        <v>0</v>
      </c>
      <c r="AC357" s="170">
        <f t="shared" si="126"/>
        <v>0</v>
      </c>
      <c r="AD357" s="58"/>
      <c r="AE357" s="58"/>
      <c r="AF357" s="58"/>
      <c r="AG357" s="59">
        <f t="shared" si="110"/>
        <v>9.0359999999999996</v>
      </c>
      <c r="AH357" s="59">
        <f t="shared" si="111"/>
        <v>-184.49199999999999</v>
      </c>
      <c r="AJ357" s="4">
        <f>IF(D357="M",IF(AM357&lt;78,BMILMS!$D$5*AM357^3+BMILMS!$E$5*AM357^2+BMILMS!$F$5*AM357+BMILMS!$G$5,IF(AM357&lt;150,BMILMS!$D$6*AM357^3+BMILMS!$E$6*AM357^2+BMILMS!$F$6*AM357+BMILMS!$G$6,BMILMS!$D$7*AM357^3+BMILMS!$E$7*AM357^2+BMILMS!$F$7*AM357+BMILMS!$G$7)),IF(AM357&lt;69,BMILMS!$D$9*AM357^3+BMILMS!$E$9*AM357^2+BMILMS!$F$9*AM357+BMILMS!$G$9,IF(AM357&lt;150,BMILMS!$D$10*AM357^3+BMILMS!$E$10*AM357^2+BMILMS!$F$10*AM357+BMILMS!$G$10,BMILMS!$D$11*AM357^3+BMILMS!$E$11*AM357^2+BMILMS!$F$11*AM357+BMILMS!$G$11)))</f>
        <v>0.79584630099999998</v>
      </c>
      <c r="AK357" s="4">
        <f>IF(D357="M",(IF(AM357&lt;2.5,BMILMS!$D$21*AM357^3+BMILMS!$E$21*AM357^2+BMILMS!$F$21*AM357+BMILMS!$G$21,IF(AM357&lt;9.5,BMILMS!$D$22*AM357^3+BMILMS!$E$22*AM357^2+BMILMS!$F$22*AM357+BMILMS!$G$22,IF(AM357&lt;26.75,BMILMS!$D$23*AM357^3+BMILMS!$E$23*AM357^2+BMILMS!$F$23*AM357+BMILMS!$G$23,IF(AM357&lt;90,BMILMS!$D$24*AM357^3+BMILMS!$E$24*AM357^2+BMILMS!$F$24*AM357+BMILMS!$G$24,BMILMS!$D$25*AM357^3+BMILMS!$E$25*AM357^2+BMILMS!$F$25*AM357+BMILMS!$G$25))))),(IF(AM357&lt;2.5,BMILMS!$D$27*AM357^3+BMILMS!$E$27*AM357^2+BMILMS!$F$27*AM357+BMILMS!$G$27,IF(AM357&lt;9.5,BMILMS!$D$28*AM357^3+BMILMS!$E$28*AM357^2+BMILMS!$F$28*AM357+BMILMS!$G$28,IF(AM357&lt;26.75,BMILMS!$D$29*AM357^3+BMILMS!$E$29*AM357^2+BMILMS!$F$29*AM357+BMILMS!$G$29,IF(AM357&lt;90,BMILMS!$D$30*AM357^3+BMILMS!$E$30*AM357^2+BMILMS!$F$30*AM357+BMILMS!$G$30,IF(AM357&lt;150,BMILMS!$D$31*AM357^3+BMILMS!$E$31*AM357^2+BMILMS!$F$31*AM357+BMILMS!$G$31,BMILMS!$D$32*AM357^3+BMILMS!$E$32*AM357^2+BMILMS!$F$32*AM357+BMILMS!$G$32)))))))</f>
        <v>12.568967990000001</v>
      </c>
      <c r="AL357" s="4">
        <f>IF(D357="M",(IF(AM357&lt;90,BMILMS!$D$14*AM357^3+BMILMS!$E$14*AM357^2+BMILMS!$F$14*AM357+BMILMS!$G$14,BMILMS!$D$15*AM357^3+BMILMS!$E$15*AM357^2+BMILMS!$F$15*AM357+BMILMS!$G$15)),(IF(AM357&lt;90,BMILMS!$D$17*AM357^3+BMILMS!$E$17*AM357^2+BMILMS!$F$17*AM357+BMILMS!$G$17,BMILMS!$D$18*AM357^3+BMILMS!$E$18*AM357^2+BMILMS!$F$18*AM357+BMILMS!$G$18)))</f>
        <v>8.8969350000000003E-2</v>
      </c>
      <c r="AM357" s="4">
        <f t="shared" si="125"/>
        <v>0</v>
      </c>
      <c r="AO357" s="56">
        <f>IF(D357="M",WeightSDS!P$5*$AM357^7+WeightSDS!Q$5*$AM357^6+WeightSDS!R$5*$AM357^5+WeightSDS!S$5*$AM357^4+WeightSDS!T$5*$AM357^3+WeightSDS!U$5*$AM357^2+WeightSDS!V$5*$AM357+WeightSDS!W$5,IF($AM357&lt;186,WeightSDS!P$8*$AM357^7+WeightSDS!Q$8*$AM357^6+WeightSDS!R$8*$AM357^5+WeightSDS!S$8*$AM357^4+WeightSDS!T$8*$AM357^3+WeightSDS!U$8*$AM357^2+WeightSDS!V$8*$AM357+WeightSDS!W$8,WeightSDS!$U$9+WeightSDS!$V$9*($AM357-WeightSDS!$W$9)))</f>
        <v>0.75407122999999998</v>
      </c>
      <c r="AP357" s="4">
        <f>IF(D357="M",IF($AM357&lt;45,WeightSDS!M$23*$AM357^10+WeightSDS!N$23*$AM357^9+WeightSDS!O$23*$AM357^8+WeightSDS!P$23*$AM357^7+WeightSDS!Q$23*$AM357^6+WeightSDS!R$23*$AM357^5+WeightSDS!S$23*$AM357^4+WeightSDS!T$23*$AM357^3+WeightSDS!U$23*$AM357^2+WeightSDS!V$23*$AM357+WeightSDS!W$23,IF($AM357&lt;153,WeightSDS!M$25*$AM357^10+WeightSDS!N$25*$AM357^9+WeightSDS!O$25*$AM357^8+WeightSDS!P$25*$AM357^7+WeightSDS!Q$25*$AM357^6+WeightSDS!R$25*$AM357^5+WeightSDS!S$25*$AM357^4+WeightSDS!T$25*$AM357^3+WeightSDS!U$25*$AM357^2+WeightSDS!V$25*$AM357+WeightSDS!W$25,WeightSDS!M$27+WeightSDS!N$27/(1+EXP(WeightSDS!O$27+WeightSDS!P$27*$AM357)))),IF($AM357&lt;43.8,WeightSDS!M$29*$AM357^10+WeightSDS!N$29*$AM357^9+WeightSDS!O$29*$AM357^8+WeightSDS!P$29*$AM357^7+WeightSDS!Q$29*$AM357^6+WeightSDS!R$29*$AM357^5+WeightSDS!S$29*$AM357^4+WeightSDS!T$29*$AM357^3+WeightSDS!U$29*$AM357^2+WeightSDS!V$29*$AM357+WeightSDS!W$29-0.010431*(1-$AM357/210),IF($AM357&lt;123,WeightSDS!M$30*$AM357^10+WeightSDS!N$30*$AM357^9+WeightSDS!O$30*$AM357^8+WeightSDS!P$30*$AM357^7+WeightSDS!Q$30*$AM357^6+WeightSDS!R$30*$AM357^5+WeightSDS!S$30*$AM357^4+WeightSDS!T$30*$AM357^3+WeightSDS!U$30*$AM357^2+WeightSDS!V$30*$AM357+WeightSDS!W$30-0.010431*(1-1/$AM357),WeightSDS!M$32+WeightSDS!N$32/(1+EXP(WeightSDS!O$32+WeightSDS!P$32*$AM357))-0.010431*(1-$AM357/210))))</f>
        <v>2.9500001032655536</v>
      </c>
      <c r="AQ357" s="4">
        <f>IF(D357="M",IF($AM357&lt;162,WeightSDS!P$12*$AM357^7+WeightSDS!Q$12*$AM357^6+WeightSDS!R$12*$AM357^5+WeightSDS!S$12*$AM357^4+WeightSDS!T$12*$AM357^3+WeightSDS!U$12*$AM357^2+WeightSDS!V$12*$AM357+WeightSDS!W$12,WeightSDS!P$14*$AM357^7+WeightSDS!Q$14*$AM357^6+WeightSDS!R$14*$AM357^5+WeightSDS!S$14*$AM357^4+WeightSDS!T$14*$AM357^3+WeightSDS!U$14*$AM357^2+WeightSDS!V$14*$AM357+WeightSDS!W$14),IF($AM357&lt;156,WeightSDS!O$17*$AM357^8+WeightSDS!P$17*$AM357^7+WeightSDS!Q$17*$AM357^6+WeightSDS!R$17*$AM357^5+WeightSDS!S$17*$AM357^4+WeightSDS!T$17*$AM357^3+WeightSDS!U$17*$AM357^2+WeightSDS!V$17*$AM357+WeightSDS!W$17,IF($AM357&lt;186,WeightSDS!$U$18+(WeightSDS!$V$18-WeightSDS!$U$18)/24*($AM357-186)+WeightSDS!$W$18*(-$AM357+186)^2-0.005,WeightSDS!$U$18+(WeightSDS!$V$18-WeightSDS!$U$18)/24*($AM357-186)-0.005)))</f>
        <v>0.14604529399999999</v>
      </c>
      <c r="AT357" s="4">
        <f t="shared" si="112"/>
        <v>0.56299999999999994</v>
      </c>
      <c r="AU357" s="4">
        <f t="shared" si="113"/>
        <v>69</v>
      </c>
      <c r="AV357" s="4">
        <f t="shared" si="114"/>
        <v>0.51</v>
      </c>
    </row>
    <row r="358" spans="1:48" x14ac:dyDescent="0.15">
      <c r="A358" s="4"/>
      <c r="B358" s="21"/>
      <c r="C358" s="21"/>
      <c r="D358" s="21"/>
      <c r="E358" s="22"/>
      <c r="F358" s="22"/>
      <c r="G358" s="23"/>
      <c r="H358" s="23"/>
      <c r="I358" s="181"/>
      <c r="J358" s="8" t="str">
        <f t="shared" si="106"/>
        <v/>
      </c>
      <c r="K358" s="2" t="str">
        <f t="shared" si="115"/>
        <v/>
      </c>
      <c r="L358" s="2" t="str">
        <f t="shared" si="107"/>
        <v/>
      </c>
      <c r="M358" s="2" t="str">
        <f t="shared" si="116"/>
        <v/>
      </c>
      <c r="N358" s="2" t="str">
        <f t="shared" si="124"/>
        <v/>
      </c>
      <c r="O358" s="2" t="str">
        <f t="shared" si="117"/>
        <v/>
      </c>
      <c r="P358" s="8" t="str">
        <f t="shared" si="118"/>
        <v/>
      </c>
      <c r="Q358" s="8" t="str">
        <f t="shared" si="119"/>
        <v/>
      </c>
      <c r="R358" s="111" t="str">
        <f t="shared" si="120"/>
        <v/>
      </c>
      <c r="S358" s="44" t="str">
        <f t="shared" si="121"/>
        <v/>
      </c>
      <c r="T358" s="37" t="str">
        <f t="shared" si="122"/>
        <v/>
      </c>
      <c r="U358" s="44" t="str">
        <f t="shared" si="123"/>
        <v/>
      </c>
      <c r="V358" s="26"/>
      <c r="W358" s="26"/>
      <c r="X358" s="26"/>
      <c r="Y358" s="26"/>
      <c r="Z358" s="24"/>
      <c r="AA358" s="169">
        <f t="shared" si="108"/>
        <v>0</v>
      </c>
      <c r="AB358" s="4">
        <f t="shared" si="109"/>
        <v>0</v>
      </c>
      <c r="AC358" s="170">
        <f t="shared" si="126"/>
        <v>0</v>
      </c>
      <c r="AD358" s="58"/>
      <c r="AE358" s="58"/>
      <c r="AF358" s="58"/>
      <c r="AG358" s="59">
        <f t="shared" si="110"/>
        <v>9.0359999999999996</v>
      </c>
      <c r="AH358" s="59">
        <f t="shared" si="111"/>
        <v>-184.49199999999999</v>
      </c>
      <c r="AJ358" s="4">
        <f>IF(D358="M",IF(AM358&lt;78,BMILMS!$D$5*AM358^3+BMILMS!$E$5*AM358^2+BMILMS!$F$5*AM358+BMILMS!$G$5,IF(AM358&lt;150,BMILMS!$D$6*AM358^3+BMILMS!$E$6*AM358^2+BMILMS!$F$6*AM358+BMILMS!$G$6,BMILMS!$D$7*AM358^3+BMILMS!$E$7*AM358^2+BMILMS!$F$7*AM358+BMILMS!$G$7)),IF(AM358&lt;69,BMILMS!$D$9*AM358^3+BMILMS!$E$9*AM358^2+BMILMS!$F$9*AM358+BMILMS!$G$9,IF(AM358&lt;150,BMILMS!$D$10*AM358^3+BMILMS!$E$10*AM358^2+BMILMS!$F$10*AM358+BMILMS!$G$10,BMILMS!$D$11*AM358^3+BMILMS!$E$11*AM358^2+BMILMS!$F$11*AM358+BMILMS!$G$11)))</f>
        <v>0.79584630099999998</v>
      </c>
      <c r="AK358" s="4">
        <f>IF(D358="M",(IF(AM358&lt;2.5,BMILMS!$D$21*AM358^3+BMILMS!$E$21*AM358^2+BMILMS!$F$21*AM358+BMILMS!$G$21,IF(AM358&lt;9.5,BMILMS!$D$22*AM358^3+BMILMS!$E$22*AM358^2+BMILMS!$F$22*AM358+BMILMS!$G$22,IF(AM358&lt;26.75,BMILMS!$D$23*AM358^3+BMILMS!$E$23*AM358^2+BMILMS!$F$23*AM358+BMILMS!$G$23,IF(AM358&lt;90,BMILMS!$D$24*AM358^3+BMILMS!$E$24*AM358^2+BMILMS!$F$24*AM358+BMILMS!$G$24,BMILMS!$D$25*AM358^3+BMILMS!$E$25*AM358^2+BMILMS!$F$25*AM358+BMILMS!$G$25))))),(IF(AM358&lt;2.5,BMILMS!$D$27*AM358^3+BMILMS!$E$27*AM358^2+BMILMS!$F$27*AM358+BMILMS!$G$27,IF(AM358&lt;9.5,BMILMS!$D$28*AM358^3+BMILMS!$E$28*AM358^2+BMILMS!$F$28*AM358+BMILMS!$G$28,IF(AM358&lt;26.75,BMILMS!$D$29*AM358^3+BMILMS!$E$29*AM358^2+BMILMS!$F$29*AM358+BMILMS!$G$29,IF(AM358&lt;90,BMILMS!$D$30*AM358^3+BMILMS!$E$30*AM358^2+BMILMS!$F$30*AM358+BMILMS!$G$30,IF(AM358&lt;150,BMILMS!$D$31*AM358^3+BMILMS!$E$31*AM358^2+BMILMS!$F$31*AM358+BMILMS!$G$31,BMILMS!$D$32*AM358^3+BMILMS!$E$32*AM358^2+BMILMS!$F$32*AM358+BMILMS!$G$32)))))))</f>
        <v>12.568967990000001</v>
      </c>
      <c r="AL358" s="4">
        <f>IF(D358="M",(IF(AM358&lt;90,BMILMS!$D$14*AM358^3+BMILMS!$E$14*AM358^2+BMILMS!$F$14*AM358+BMILMS!$G$14,BMILMS!$D$15*AM358^3+BMILMS!$E$15*AM358^2+BMILMS!$F$15*AM358+BMILMS!$G$15)),(IF(AM358&lt;90,BMILMS!$D$17*AM358^3+BMILMS!$E$17*AM358^2+BMILMS!$F$17*AM358+BMILMS!$G$17,BMILMS!$D$18*AM358^3+BMILMS!$E$18*AM358^2+BMILMS!$F$18*AM358+BMILMS!$G$18)))</f>
        <v>8.8969350000000003E-2</v>
      </c>
      <c r="AM358" s="4">
        <f t="shared" si="125"/>
        <v>0</v>
      </c>
      <c r="AO358" s="56">
        <f>IF(D358="M",WeightSDS!P$5*$AM358^7+WeightSDS!Q$5*$AM358^6+WeightSDS!R$5*$AM358^5+WeightSDS!S$5*$AM358^4+WeightSDS!T$5*$AM358^3+WeightSDS!U$5*$AM358^2+WeightSDS!V$5*$AM358+WeightSDS!W$5,IF($AM358&lt;186,WeightSDS!P$8*$AM358^7+WeightSDS!Q$8*$AM358^6+WeightSDS!R$8*$AM358^5+WeightSDS!S$8*$AM358^4+WeightSDS!T$8*$AM358^3+WeightSDS!U$8*$AM358^2+WeightSDS!V$8*$AM358+WeightSDS!W$8,WeightSDS!$U$9+WeightSDS!$V$9*($AM358-WeightSDS!$W$9)))</f>
        <v>0.75407122999999998</v>
      </c>
      <c r="AP358" s="4">
        <f>IF(D358="M",IF($AM358&lt;45,WeightSDS!M$23*$AM358^10+WeightSDS!N$23*$AM358^9+WeightSDS!O$23*$AM358^8+WeightSDS!P$23*$AM358^7+WeightSDS!Q$23*$AM358^6+WeightSDS!R$23*$AM358^5+WeightSDS!S$23*$AM358^4+WeightSDS!T$23*$AM358^3+WeightSDS!U$23*$AM358^2+WeightSDS!V$23*$AM358+WeightSDS!W$23,IF($AM358&lt;153,WeightSDS!M$25*$AM358^10+WeightSDS!N$25*$AM358^9+WeightSDS!O$25*$AM358^8+WeightSDS!P$25*$AM358^7+WeightSDS!Q$25*$AM358^6+WeightSDS!R$25*$AM358^5+WeightSDS!S$25*$AM358^4+WeightSDS!T$25*$AM358^3+WeightSDS!U$25*$AM358^2+WeightSDS!V$25*$AM358+WeightSDS!W$25,WeightSDS!M$27+WeightSDS!N$27/(1+EXP(WeightSDS!O$27+WeightSDS!P$27*$AM358)))),IF($AM358&lt;43.8,WeightSDS!M$29*$AM358^10+WeightSDS!N$29*$AM358^9+WeightSDS!O$29*$AM358^8+WeightSDS!P$29*$AM358^7+WeightSDS!Q$29*$AM358^6+WeightSDS!R$29*$AM358^5+WeightSDS!S$29*$AM358^4+WeightSDS!T$29*$AM358^3+WeightSDS!U$29*$AM358^2+WeightSDS!V$29*$AM358+WeightSDS!W$29-0.010431*(1-$AM358/210),IF($AM358&lt;123,WeightSDS!M$30*$AM358^10+WeightSDS!N$30*$AM358^9+WeightSDS!O$30*$AM358^8+WeightSDS!P$30*$AM358^7+WeightSDS!Q$30*$AM358^6+WeightSDS!R$30*$AM358^5+WeightSDS!S$30*$AM358^4+WeightSDS!T$30*$AM358^3+WeightSDS!U$30*$AM358^2+WeightSDS!V$30*$AM358+WeightSDS!W$30-0.010431*(1-1/$AM358),WeightSDS!M$32+WeightSDS!N$32/(1+EXP(WeightSDS!O$32+WeightSDS!P$32*$AM358))-0.010431*(1-$AM358/210))))</f>
        <v>2.9500001032655536</v>
      </c>
      <c r="AQ358" s="4">
        <f>IF(D358="M",IF($AM358&lt;162,WeightSDS!P$12*$AM358^7+WeightSDS!Q$12*$AM358^6+WeightSDS!R$12*$AM358^5+WeightSDS!S$12*$AM358^4+WeightSDS!T$12*$AM358^3+WeightSDS!U$12*$AM358^2+WeightSDS!V$12*$AM358+WeightSDS!W$12,WeightSDS!P$14*$AM358^7+WeightSDS!Q$14*$AM358^6+WeightSDS!R$14*$AM358^5+WeightSDS!S$14*$AM358^4+WeightSDS!T$14*$AM358^3+WeightSDS!U$14*$AM358^2+WeightSDS!V$14*$AM358+WeightSDS!W$14),IF($AM358&lt;156,WeightSDS!O$17*$AM358^8+WeightSDS!P$17*$AM358^7+WeightSDS!Q$17*$AM358^6+WeightSDS!R$17*$AM358^5+WeightSDS!S$17*$AM358^4+WeightSDS!T$17*$AM358^3+WeightSDS!U$17*$AM358^2+WeightSDS!V$17*$AM358+WeightSDS!W$17,IF($AM358&lt;186,WeightSDS!$U$18+(WeightSDS!$V$18-WeightSDS!$U$18)/24*($AM358-186)+WeightSDS!$W$18*(-$AM358+186)^2-0.005,WeightSDS!$U$18+(WeightSDS!$V$18-WeightSDS!$U$18)/24*($AM358-186)-0.005)))</f>
        <v>0.14604529399999999</v>
      </c>
      <c r="AT358" s="4">
        <f t="shared" si="112"/>
        <v>0.56299999999999994</v>
      </c>
      <c r="AU358" s="4">
        <f t="shared" si="113"/>
        <v>69</v>
      </c>
      <c r="AV358" s="4">
        <f t="shared" si="114"/>
        <v>0.51</v>
      </c>
    </row>
    <row r="359" spans="1:48" x14ac:dyDescent="0.15">
      <c r="A359" s="4"/>
      <c r="B359" s="21"/>
      <c r="C359" s="21"/>
      <c r="D359" s="21"/>
      <c r="E359" s="22"/>
      <c r="F359" s="22"/>
      <c r="G359" s="23"/>
      <c r="H359" s="23"/>
      <c r="I359" s="181"/>
      <c r="J359" s="8" t="str">
        <f t="shared" si="106"/>
        <v/>
      </c>
      <c r="K359" s="2" t="str">
        <f t="shared" si="115"/>
        <v/>
      </c>
      <c r="L359" s="2" t="str">
        <f t="shared" si="107"/>
        <v/>
      </c>
      <c r="M359" s="2" t="str">
        <f t="shared" si="116"/>
        <v/>
      </c>
      <c r="N359" s="2" t="str">
        <f t="shared" si="124"/>
        <v/>
      </c>
      <c r="O359" s="2" t="str">
        <f t="shared" si="117"/>
        <v/>
      </c>
      <c r="P359" s="8" t="str">
        <f t="shared" si="118"/>
        <v/>
      </c>
      <c r="Q359" s="8" t="str">
        <f t="shared" si="119"/>
        <v/>
      </c>
      <c r="R359" s="111" t="str">
        <f t="shared" si="120"/>
        <v/>
      </c>
      <c r="S359" s="44" t="str">
        <f t="shared" si="121"/>
        <v/>
      </c>
      <c r="T359" s="37" t="str">
        <f t="shared" si="122"/>
        <v/>
      </c>
      <c r="U359" s="44" t="str">
        <f t="shared" si="123"/>
        <v/>
      </c>
      <c r="V359" s="26"/>
      <c r="W359" s="26"/>
      <c r="X359" s="26"/>
      <c r="Y359" s="26"/>
      <c r="Z359" s="24"/>
      <c r="AA359" s="169">
        <f t="shared" si="108"/>
        <v>0</v>
      </c>
      <c r="AB359" s="4">
        <f t="shared" si="109"/>
        <v>0</v>
      </c>
      <c r="AC359" s="170">
        <f t="shared" si="126"/>
        <v>0</v>
      </c>
      <c r="AD359" s="58"/>
      <c r="AE359" s="58"/>
      <c r="AF359" s="58"/>
      <c r="AG359" s="59">
        <f t="shared" si="110"/>
        <v>9.0359999999999996</v>
      </c>
      <c r="AH359" s="59">
        <f t="shared" si="111"/>
        <v>-184.49199999999999</v>
      </c>
      <c r="AJ359" s="4">
        <f>IF(D359="M",IF(AM359&lt;78,BMILMS!$D$5*AM359^3+BMILMS!$E$5*AM359^2+BMILMS!$F$5*AM359+BMILMS!$G$5,IF(AM359&lt;150,BMILMS!$D$6*AM359^3+BMILMS!$E$6*AM359^2+BMILMS!$F$6*AM359+BMILMS!$G$6,BMILMS!$D$7*AM359^3+BMILMS!$E$7*AM359^2+BMILMS!$F$7*AM359+BMILMS!$G$7)),IF(AM359&lt;69,BMILMS!$D$9*AM359^3+BMILMS!$E$9*AM359^2+BMILMS!$F$9*AM359+BMILMS!$G$9,IF(AM359&lt;150,BMILMS!$D$10*AM359^3+BMILMS!$E$10*AM359^2+BMILMS!$F$10*AM359+BMILMS!$G$10,BMILMS!$D$11*AM359^3+BMILMS!$E$11*AM359^2+BMILMS!$F$11*AM359+BMILMS!$G$11)))</f>
        <v>0.79584630099999998</v>
      </c>
      <c r="AK359" s="4">
        <f>IF(D359="M",(IF(AM359&lt;2.5,BMILMS!$D$21*AM359^3+BMILMS!$E$21*AM359^2+BMILMS!$F$21*AM359+BMILMS!$G$21,IF(AM359&lt;9.5,BMILMS!$D$22*AM359^3+BMILMS!$E$22*AM359^2+BMILMS!$F$22*AM359+BMILMS!$G$22,IF(AM359&lt;26.75,BMILMS!$D$23*AM359^3+BMILMS!$E$23*AM359^2+BMILMS!$F$23*AM359+BMILMS!$G$23,IF(AM359&lt;90,BMILMS!$D$24*AM359^3+BMILMS!$E$24*AM359^2+BMILMS!$F$24*AM359+BMILMS!$G$24,BMILMS!$D$25*AM359^3+BMILMS!$E$25*AM359^2+BMILMS!$F$25*AM359+BMILMS!$G$25))))),(IF(AM359&lt;2.5,BMILMS!$D$27*AM359^3+BMILMS!$E$27*AM359^2+BMILMS!$F$27*AM359+BMILMS!$G$27,IF(AM359&lt;9.5,BMILMS!$D$28*AM359^3+BMILMS!$E$28*AM359^2+BMILMS!$F$28*AM359+BMILMS!$G$28,IF(AM359&lt;26.75,BMILMS!$D$29*AM359^3+BMILMS!$E$29*AM359^2+BMILMS!$F$29*AM359+BMILMS!$G$29,IF(AM359&lt;90,BMILMS!$D$30*AM359^3+BMILMS!$E$30*AM359^2+BMILMS!$F$30*AM359+BMILMS!$G$30,IF(AM359&lt;150,BMILMS!$D$31*AM359^3+BMILMS!$E$31*AM359^2+BMILMS!$F$31*AM359+BMILMS!$G$31,BMILMS!$D$32*AM359^3+BMILMS!$E$32*AM359^2+BMILMS!$F$32*AM359+BMILMS!$G$32)))))))</f>
        <v>12.568967990000001</v>
      </c>
      <c r="AL359" s="4">
        <f>IF(D359="M",(IF(AM359&lt;90,BMILMS!$D$14*AM359^3+BMILMS!$E$14*AM359^2+BMILMS!$F$14*AM359+BMILMS!$G$14,BMILMS!$D$15*AM359^3+BMILMS!$E$15*AM359^2+BMILMS!$F$15*AM359+BMILMS!$G$15)),(IF(AM359&lt;90,BMILMS!$D$17*AM359^3+BMILMS!$E$17*AM359^2+BMILMS!$F$17*AM359+BMILMS!$G$17,BMILMS!$D$18*AM359^3+BMILMS!$E$18*AM359^2+BMILMS!$F$18*AM359+BMILMS!$G$18)))</f>
        <v>8.8969350000000003E-2</v>
      </c>
      <c r="AM359" s="4">
        <f t="shared" si="125"/>
        <v>0</v>
      </c>
      <c r="AO359" s="56">
        <f>IF(D359="M",WeightSDS!P$5*$AM359^7+WeightSDS!Q$5*$AM359^6+WeightSDS!R$5*$AM359^5+WeightSDS!S$5*$AM359^4+WeightSDS!T$5*$AM359^3+WeightSDS!U$5*$AM359^2+WeightSDS!V$5*$AM359+WeightSDS!W$5,IF($AM359&lt;186,WeightSDS!P$8*$AM359^7+WeightSDS!Q$8*$AM359^6+WeightSDS!R$8*$AM359^5+WeightSDS!S$8*$AM359^4+WeightSDS!T$8*$AM359^3+WeightSDS!U$8*$AM359^2+WeightSDS!V$8*$AM359+WeightSDS!W$8,WeightSDS!$U$9+WeightSDS!$V$9*($AM359-WeightSDS!$W$9)))</f>
        <v>0.75407122999999998</v>
      </c>
      <c r="AP359" s="4">
        <f>IF(D359="M",IF($AM359&lt;45,WeightSDS!M$23*$AM359^10+WeightSDS!N$23*$AM359^9+WeightSDS!O$23*$AM359^8+WeightSDS!P$23*$AM359^7+WeightSDS!Q$23*$AM359^6+WeightSDS!R$23*$AM359^5+WeightSDS!S$23*$AM359^4+WeightSDS!T$23*$AM359^3+WeightSDS!U$23*$AM359^2+WeightSDS!V$23*$AM359+WeightSDS!W$23,IF($AM359&lt;153,WeightSDS!M$25*$AM359^10+WeightSDS!N$25*$AM359^9+WeightSDS!O$25*$AM359^8+WeightSDS!P$25*$AM359^7+WeightSDS!Q$25*$AM359^6+WeightSDS!R$25*$AM359^5+WeightSDS!S$25*$AM359^4+WeightSDS!T$25*$AM359^3+WeightSDS!U$25*$AM359^2+WeightSDS!V$25*$AM359+WeightSDS!W$25,WeightSDS!M$27+WeightSDS!N$27/(1+EXP(WeightSDS!O$27+WeightSDS!P$27*$AM359)))),IF($AM359&lt;43.8,WeightSDS!M$29*$AM359^10+WeightSDS!N$29*$AM359^9+WeightSDS!O$29*$AM359^8+WeightSDS!P$29*$AM359^7+WeightSDS!Q$29*$AM359^6+WeightSDS!R$29*$AM359^5+WeightSDS!S$29*$AM359^4+WeightSDS!T$29*$AM359^3+WeightSDS!U$29*$AM359^2+WeightSDS!V$29*$AM359+WeightSDS!W$29-0.010431*(1-$AM359/210),IF($AM359&lt;123,WeightSDS!M$30*$AM359^10+WeightSDS!N$30*$AM359^9+WeightSDS!O$30*$AM359^8+WeightSDS!P$30*$AM359^7+WeightSDS!Q$30*$AM359^6+WeightSDS!R$30*$AM359^5+WeightSDS!S$30*$AM359^4+WeightSDS!T$30*$AM359^3+WeightSDS!U$30*$AM359^2+WeightSDS!V$30*$AM359+WeightSDS!W$30-0.010431*(1-1/$AM359),WeightSDS!M$32+WeightSDS!N$32/(1+EXP(WeightSDS!O$32+WeightSDS!P$32*$AM359))-0.010431*(1-$AM359/210))))</f>
        <v>2.9500001032655536</v>
      </c>
      <c r="AQ359" s="4">
        <f>IF(D359="M",IF($AM359&lt;162,WeightSDS!P$12*$AM359^7+WeightSDS!Q$12*$AM359^6+WeightSDS!R$12*$AM359^5+WeightSDS!S$12*$AM359^4+WeightSDS!T$12*$AM359^3+WeightSDS!U$12*$AM359^2+WeightSDS!V$12*$AM359+WeightSDS!W$12,WeightSDS!P$14*$AM359^7+WeightSDS!Q$14*$AM359^6+WeightSDS!R$14*$AM359^5+WeightSDS!S$14*$AM359^4+WeightSDS!T$14*$AM359^3+WeightSDS!U$14*$AM359^2+WeightSDS!V$14*$AM359+WeightSDS!W$14),IF($AM359&lt;156,WeightSDS!O$17*$AM359^8+WeightSDS!P$17*$AM359^7+WeightSDS!Q$17*$AM359^6+WeightSDS!R$17*$AM359^5+WeightSDS!S$17*$AM359^4+WeightSDS!T$17*$AM359^3+WeightSDS!U$17*$AM359^2+WeightSDS!V$17*$AM359+WeightSDS!W$17,IF($AM359&lt;186,WeightSDS!$U$18+(WeightSDS!$V$18-WeightSDS!$U$18)/24*($AM359-186)+WeightSDS!$W$18*(-$AM359+186)^2-0.005,WeightSDS!$U$18+(WeightSDS!$V$18-WeightSDS!$U$18)/24*($AM359-186)-0.005)))</f>
        <v>0.14604529399999999</v>
      </c>
      <c r="AT359" s="4">
        <f t="shared" si="112"/>
        <v>0.56299999999999994</v>
      </c>
      <c r="AU359" s="4">
        <f t="shared" si="113"/>
        <v>69</v>
      </c>
      <c r="AV359" s="4">
        <f t="shared" si="114"/>
        <v>0.51</v>
      </c>
    </row>
    <row r="360" spans="1:48" x14ac:dyDescent="0.15">
      <c r="A360" s="4"/>
      <c r="B360" s="21"/>
      <c r="C360" s="21"/>
      <c r="D360" s="21"/>
      <c r="E360" s="22"/>
      <c r="F360" s="22"/>
      <c r="G360" s="23"/>
      <c r="H360" s="23"/>
      <c r="I360" s="181"/>
      <c r="J360" s="8" t="str">
        <f t="shared" si="106"/>
        <v/>
      </c>
      <c r="K360" s="2" t="str">
        <f t="shared" si="115"/>
        <v/>
      </c>
      <c r="L360" s="2" t="str">
        <f t="shared" si="107"/>
        <v/>
      </c>
      <c r="M360" s="2" t="str">
        <f t="shared" si="116"/>
        <v/>
      </c>
      <c r="N360" s="2" t="str">
        <f t="shared" si="124"/>
        <v/>
      </c>
      <c r="O360" s="2" t="str">
        <f t="shared" si="117"/>
        <v/>
      </c>
      <c r="P360" s="8" t="str">
        <f t="shared" si="118"/>
        <v/>
      </c>
      <c r="Q360" s="8" t="str">
        <f t="shared" si="119"/>
        <v/>
      </c>
      <c r="R360" s="111" t="str">
        <f t="shared" si="120"/>
        <v/>
      </c>
      <c r="S360" s="44" t="str">
        <f t="shared" si="121"/>
        <v/>
      </c>
      <c r="T360" s="37" t="str">
        <f t="shared" si="122"/>
        <v/>
      </c>
      <c r="U360" s="44" t="str">
        <f t="shared" si="123"/>
        <v/>
      </c>
      <c r="V360" s="26"/>
      <c r="W360" s="26"/>
      <c r="X360" s="26"/>
      <c r="Y360" s="26"/>
      <c r="Z360" s="24"/>
      <c r="AA360" s="169">
        <f t="shared" si="108"/>
        <v>0</v>
      </c>
      <c r="AB360" s="4">
        <f t="shared" si="109"/>
        <v>0</v>
      </c>
      <c r="AC360" s="170">
        <f t="shared" si="126"/>
        <v>0</v>
      </c>
      <c r="AD360" s="58"/>
      <c r="AE360" s="58"/>
      <c r="AF360" s="58"/>
      <c r="AG360" s="59">
        <f t="shared" si="110"/>
        <v>9.0359999999999996</v>
      </c>
      <c r="AH360" s="59">
        <f t="shared" si="111"/>
        <v>-184.49199999999999</v>
      </c>
      <c r="AJ360" s="4">
        <f>IF(D360="M",IF(AM360&lt;78,BMILMS!$D$5*AM360^3+BMILMS!$E$5*AM360^2+BMILMS!$F$5*AM360+BMILMS!$G$5,IF(AM360&lt;150,BMILMS!$D$6*AM360^3+BMILMS!$E$6*AM360^2+BMILMS!$F$6*AM360+BMILMS!$G$6,BMILMS!$D$7*AM360^3+BMILMS!$E$7*AM360^2+BMILMS!$F$7*AM360+BMILMS!$G$7)),IF(AM360&lt;69,BMILMS!$D$9*AM360^3+BMILMS!$E$9*AM360^2+BMILMS!$F$9*AM360+BMILMS!$G$9,IF(AM360&lt;150,BMILMS!$D$10*AM360^3+BMILMS!$E$10*AM360^2+BMILMS!$F$10*AM360+BMILMS!$G$10,BMILMS!$D$11*AM360^3+BMILMS!$E$11*AM360^2+BMILMS!$F$11*AM360+BMILMS!$G$11)))</f>
        <v>0.79584630099999998</v>
      </c>
      <c r="AK360" s="4">
        <f>IF(D360="M",(IF(AM360&lt;2.5,BMILMS!$D$21*AM360^3+BMILMS!$E$21*AM360^2+BMILMS!$F$21*AM360+BMILMS!$G$21,IF(AM360&lt;9.5,BMILMS!$D$22*AM360^3+BMILMS!$E$22*AM360^2+BMILMS!$F$22*AM360+BMILMS!$G$22,IF(AM360&lt;26.75,BMILMS!$D$23*AM360^3+BMILMS!$E$23*AM360^2+BMILMS!$F$23*AM360+BMILMS!$G$23,IF(AM360&lt;90,BMILMS!$D$24*AM360^3+BMILMS!$E$24*AM360^2+BMILMS!$F$24*AM360+BMILMS!$G$24,BMILMS!$D$25*AM360^3+BMILMS!$E$25*AM360^2+BMILMS!$F$25*AM360+BMILMS!$G$25))))),(IF(AM360&lt;2.5,BMILMS!$D$27*AM360^3+BMILMS!$E$27*AM360^2+BMILMS!$F$27*AM360+BMILMS!$G$27,IF(AM360&lt;9.5,BMILMS!$D$28*AM360^3+BMILMS!$E$28*AM360^2+BMILMS!$F$28*AM360+BMILMS!$G$28,IF(AM360&lt;26.75,BMILMS!$D$29*AM360^3+BMILMS!$E$29*AM360^2+BMILMS!$F$29*AM360+BMILMS!$G$29,IF(AM360&lt;90,BMILMS!$D$30*AM360^3+BMILMS!$E$30*AM360^2+BMILMS!$F$30*AM360+BMILMS!$G$30,IF(AM360&lt;150,BMILMS!$D$31*AM360^3+BMILMS!$E$31*AM360^2+BMILMS!$F$31*AM360+BMILMS!$G$31,BMILMS!$D$32*AM360^3+BMILMS!$E$32*AM360^2+BMILMS!$F$32*AM360+BMILMS!$G$32)))))))</f>
        <v>12.568967990000001</v>
      </c>
      <c r="AL360" s="4">
        <f>IF(D360="M",(IF(AM360&lt;90,BMILMS!$D$14*AM360^3+BMILMS!$E$14*AM360^2+BMILMS!$F$14*AM360+BMILMS!$G$14,BMILMS!$D$15*AM360^3+BMILMS!$E$15*AM360^2+BMILMS!$F$15*AM360+BMILMS!$G$15)),(IF(AM360&lt;90,BMILMS!$D$17*AM360^3+BMILMS!$E$17*AM360^2+BMILMS!$F$17*AM360+BMILMS!$G$17,BMILMS!$D$18*AM360^3+BMILMS!$E$18*AM360^2+BMILMS!$F$18*AM360+BMILMS!$G$18)))</f>
        <v>8.8969350000000003E-2</v>
      </c>
      <c r="AM360" s="4">
        <f t="shared" si="125"/>
        <v>0</v>
      </c>
      <c r="AO360" s="56">
        <f>IF(D360="M",WeightSDS!P$5*$AM360^7+WeightSDS!Q$5*$AM360^6+WeightSDS!R$5*$AM360^5+WeightSDS!S$5*$AM360^4+WeightSDS!T$5*$AM360^3+WeightSDS!U$5*$AM360^2+WeightSDS!V$5*$AM360+WeightSDS!W$5,IF($AM360&lt;186,WeightSDS!P$8*$AM360^7+WeightSDS!Q$8*$AM360^6+WeightSDS!R$8*$AM360^5+WeightSDS!S$8*$AM360^4+WeightSDS!T$8*$AM360^3+WeightSDS!U$8*$AM360^2+WeightSDS!V$8*$AM360+WeightSDS!W$8,WeightSDS!$U$9+WeightSDS!$V$9*($AM360-WeightSDS!$W$9)))</f>
        <v>0.75407122999999998</v>
      </c>
      <c r="AP360" s="4">
        <f>IF(D360="M",IF($AM360&lt;45,WeightSDS!M$23*$AM360^10+WeightSDS!N$23*$AM360^9+WeightSDS!O$23*$AM360^8+WeightSDS!P$23*$AM360^7+WeightSDS!Q$23*$AM360^6+WeightSDS!R$23*$AM360^5+WeightSDS!S$23*$AM360^4+WeightSDS!T$23*$AM360^3+WeightSDS!U$23*$AM360^2+WeightSDS!V$23*$AM360+WeightSDS!W$23,IF($AM360&lt;153,WeightSDS!M$25*$AM360^10+WeightSDS!N$25*$AM360^9+WeightSDS!O$25*$AM360^8+WeightSDS!P$25*$AM360^7+WeightSDS!Q$25*$AM360^6+WeightSDS!R$25*$AM360^5+WeightSDS!S$25*$AM360^4+WeightSDS!T$25*$AM360^3+WeightSDS!U$25*$AM360^2+WeightSDS!V$25*$AM360+WeightSDS!W$25,WeightSDS!M$27+WeightSDS!N$27/(1+EXP(WeightSDS!O$27+WeightSDS!P$27*$AM360)))),IF($AM360&lt;43.8,WeightSDS!M$29*$AM360^10+WeightSDS!N$29*$AM360^9+WeightSDS!O$29*$AM360^8+WeightSDS!P$29*$AM360^7+WeightSDS!Q$29*$AM360^6+WeightSDS!R$29*$AM360^5+WeightSDS!S$29*$AM360^4+WeightSDS!T$29*$AM360^3+WeightSDS!U$29*$AM360^2+WeightSDS!V$29*$AM360+WeightSDS!W$29-0.010431*(1-$AM360/210),IF($AM360&lt;123,WeightSDS!M$30*$AM360^10+WeightSDS!N$30*$AM360^9+WeightSDS!O$30*$AM360^8+WeightSDS!P$30*$AM360^7+WeightSDS!Q$30*$AM360^6+WeightSDS!R$30*$AM360^5+WeightSDS!S$30*$AM360^4+WeightSDS!T$30*$AM360^3+WeightSDS!U$30*$AM360^2+WeightSDS!V$30*$AM360+WeightSDS!W$30-0.010431*(1-1/$AM360),WeightSDS!M$32+WeightSDS!N$32/(1+EXP(WeightSDS!O$32+WeightSDS!P$32*$AM360))-0.010431*(1-$AM360/210))))</f>
        <v>2.9500001032655536</v>
      </c>
      <c r="AQ360" s="4">
        <f>IF(D360="M",IF($AM360&lt;162,WeightSDS!P$12*$AM360^7+WeightSDS!Q$12*$AM360^6+WeightSDS!R$12*$AM360^5+WeightSDS!S$12*$AM360^4+WeightSDS!T$12*$AM360^3+WeightSDS!U$12*$AM360^2+WeightSDS!V$12*$AM360+WeightSDS!W$12,WeightSDS!P$14*$AM360^7+WeightSDS!Q$14*$AM360^6+WeightSDS!R$14*$AM360^5+WeightSDS!S$14*$AM360^4+WeightSDS!T$14*$AM360^3+WeightSDS!U$14*$AM360^2+WeightSDS!V$14*$AM360+WeightSDS!W$14),IF($AM360&lt;156,WeightSDS!O$17*$AM360^8+WeightSDS!P$17*$AM360^7+WeightSDS!Q$17*$AM360^6+WeightSDS!R$17*$AM360^5+WeightSDS!S$17*$AM360^4+WeightSDS!T$17*$AM360^3+WeightSDS!U$17*$AM360^2+WeightSDS!V$17*$AM360+WeightSDS!W$17,IF($AM360&lt;186,WeightSDS!$U$18+(WeightSDS!$V$18-WeightSDS!$U$18)/24*($AM360-186)+WeightSDS!$W$18*(-$AM360+186)^2-0.005,WeightSDS!$U$18+(WeightSDS!$V$18-WeightSDS!$U$18)/24*($AM360-186)-0.005)))</f>
        <v>0.14604529399999999</v>
      </c>
      <c r="AT360" s="4">
        <f t="shared" si="112"/>
        <v>0.56299999999999994</v>
      </c>
      <c r="AU360" s="4">
        <f t="shared" si="113"/>
        <v>69</v>
      </c>
      <c r="AV360" s="4">
        <f t="shared" si="114"/>
        <v>0.51</v>
      </c>
    </row>
    <row r="361" spans="1:48" x14ac:dyDescent="0.15">
      <c r="A361" s="4"/>
      <c r="B361" s="21"/>
      <c r="C361" s="21"/>
      <c r="D361" s="21"/>
      <c r="E361" s="22"/>
      <c r="F361" s="22"/>
      <c r="G361" s="23"/>
      <c r="H361" s="23"/>
      <c r="I361" s="181"/>
      <c r="J361" s="8" t="str">
        <f t="shared" si="106"/>
        <v/>
      </c>
      <c r="K361" s="2" t="str">
        <f t="shared" si="115"/>
        <v/>
      </c>
      <c r="L361" s="2" t="str">
        <f t="shared" si="107"/>
        <v/>
      </c>
      <c r="M361" s="2" t="str">
        <f t="shared" si="116"/>
        <v/>
      </c>
      <c r="N361" s="2" t="str">
        <f t="shared" si="124"/>
        <v/>
      </c>
      <c r="O361" s="2" t="str">
        <f t="shared" si="117"/>
        <v/>
      </c>
      <c r="P361" s="8" t="str">
        <f t="shared" si="118"/>
        <v/>
      </c>
      <c r="Q361" s="8" t="str">
        <f t="shared" si="119"/>
        <v/>
      </c>
      <c r="R361" s="111" t="str">
        <f t="shared" si="120"/>
        <v/>
      </c>
      <c r="S361" s="44" t="str">
        <f t="shared" si="121"/>
        <v/>
      </c>
      <c r="T361" s="37" t="str">
        <f t="shared" si="122"/>
        <v/>
      </c>
      <c r="U361" s="44" t="str">
        <f t="shared" si="123"/>
        <v/>
      </c>
      <c r="V361" s="26"/>
      <c r="W361" s="26"/>
      <c r="X361" s="26"/>
      <c r="Y361" s="26"/>
      <c r="Z361" s="24"/>
      <c r="AA361" s="169">
        <f t="shared" si="108"/>
        <v>0</v>
      </c>
      <c r="AB361" s="4">
        <f t="shared" si="109"/>
        <v>0</v>
      </c>
      <c r="AC361" s="170">
        <f t="shared" si="126"/>
        <v>0</v>
      </c>
      <c r="AD361" s="58"/>
      <c r="AE361" s="58"/>
      <c r="AF361" s="58"/>
      <c r="AG361" s="59">
        <f t="shared" si="110"/>
        <v>9.0359999999999996</v>
      </c>
      <c r="AH361" s="59">
        <f t="shared" si="111"/>
        <v>-184.49199999999999</v>
      </c>
      <c r="AJ361" s="4">
        <f>IF(D361="M",IF(AM361&lt;78,BMILMS!$D$5*AM361^3+BMILMS!$E$5*AM361^2+BMILMS!$F$5*AM361+BMILMS!$G$5,IF(AM361&lt;150,BMILMS!$D$6*AM361^3+BMILMS!$E$6*AM361^2+BMILMS!$F$6*AM361+BMILMS!$G$6,BMILMS!$D$7*AM361^3+BMILMS!$E$7*AM361^2+BMILMS!$F$7*AM361+BMILMS!$G$7)),IF(AM361&lt;69,BMILMS!$D$9*AM361^3+BMILMS!$E$9*AM361^2+BMILMS!$F$9*AM361+BMILMS!$G$9,IF(AM361&lt;150,BMILMS!$D$10*AM361^3+BMILMS!$E$10*AM361^2+BMILMS!$F$10*AM361+BMILMS!$G$10,BMILMS!$D$11*AM361^3+BMILMS!$E$11*AM361^2+BMILMS!$F$11*AM361+BMILMS!$G$11)))</f>
        <v>0.79584630099999998</v>
      </c>
      <c r="AK361" s="4">
        <f>IF(D361="M",(IF(AM361&lt;2.5,BMILMS!$D$21*AM361^3+BMILMS!$E$21*AM361^2+BMILMS!$F$21*AM361+BMILMS!$G$21,IF(AM361&lt;9.5,BMILMS!$D$22*AM361^3+BMILMS!$E$22*AM361^2+BMILMS!$F$22*AM361+BMILMS!$G$22,IF(AM361&lt;26.75,BMILMS!$D$23*AM361^3+BMILMS!$E$23*AM361^2+BMILMS!$F$23*AM361+BMILMS!$G$23,IF(AM361&lt;90,BMILMS!$D$24*AM361^3+BMILMS!$E$24*AM361^2+BMILMS!$F$24*AM361+BMILMS!$G$24,BMILMS!$D$25*AM361^3+BMILMS!$E$25*AM361^2+BMILMS!$F$25*AM361+BMILMS!$G$25))))),(IF(AM361&lt;2.5,BMILMS!$D$27*AM361^3+BMILMS!$E$27*AM361^2+BMILMS!$F$27*AM361+BMILMS!$G$27,IF(AM361&lt;9.5,BMILMS!$D$28*AM361^3+BMILMS!$E$28*AM361^2+BMILMS!$F$28*AM361+BMILMS!$G$28,IF(AM361&lt;26.75,BMILMS!$D$29*AM361^3+BMILMS!$E$29*AM361^2+BMILMS!$F$29*AM361+BMILMS!$G$29,IF(AM361&lt;90,BMILMS!$D$30*AM361^3+BMILMS!$E$30*AM361^2+BMILMS!$F$30*AM361+BMILMS!$G$30,IF(AM361&lt;150,BMILMS!$D$31*AM361^3+BMILMS!$E$31*AM361^2+BMILMS!$F$31*AM361+BMILMS!$G$31,BMILMS!$D$32*AM361^3+BMILMS!$E$32*AM361^2+BMILMS!$F$32*AM361+BMILMS!$G$32)))))))</f>
        <v>12.568967990000001</v>
      </c>
      <c r="AL361" s="4">
        <f>IF(D361="M",(IF(AM361&lt;90,BMILMS!$D$14*AM361^3+BMILMS!$E$14*AM361^2+BMILMS!$F$14*AM361+BMILMS!$G$14,BMILMS!$D$15*AM361^3+BMILMS!$E$15*AM361^2+BMILMS!$F$15*AM361+BMILMS!$G$15)),(IF(AM361&lt;90,BMILMS!$D$17*AM361^3+BMILMS!$E$17*AM361^2+BMILMS!$F$17*AM361+BMILMS!$G$17,BMILMS!$D$18*AM361^3+BMILMS!$E$18*AM361^2+BMILMS!$F$18*AM361+BMILMS!$G$18)))</f>
        <v>8.8969350000000003E-2</v>
      </c>
      <c r="AM361" s="4">
        <f t="shared" si="125"/>
        <v>0</v>
      </c>
      <c r="AO361" s="56">
        <f>IF(D361="M",WeightSDS!P$5*$AM361^7+WeightSDS!Q$5*$AM361^6+WeightSDS!R$5*$AM361^5+WeightSDS!S$5*$AM361^4+WeightSDS!T$5*$AM361^3+WeightSDS!U$5*$AM361^2+WeightSDS!V$5*$AM361+WeightSDS!W$5,IF($AM361&lt;186,WeightSDS!P$8*$AM361^7+WeightSDS!Q$8*$AM361^6+WeightSDS!R$8*$AM361^5+WeightSDS!S$8*$AM361^4+WeightSDS!T$8*$AM361^3+WeightSDS!U$8*$AM361^2+WeightSDS!V$8*$AM361+WeightSDS!W$8,WeightSDS!$U$9+WeightSDS!$V$9*($AM361-WeightSDS!$W$9)))</f>
        <v>0.75407122999999998</v>
      </c>
      <c r="AP361" s="4">
        <f>IF(D361="M",IF($AM361&lt;45,WeightSDS!M$23*$AM361^10+WeightSDS!N$23*$AM361^9+WeightSDS!O$23*$AM361^8+WeightSDS!P$23*$AM361^7+WeightSDS!Q$23*$AM361^6+WeightSDS!R$23*$AM361^5+WeightSDS!S$23*$AM361^4+WeightSDS!T$23*$AM361^3+WeightSDS!U$23*$AM361^2+WeightSDS!V$23*$AM361+WeightSDS!W$23,IF($AM361&lt;153,WeightSDS!M$25*$AM361^10+WeightSDS!N$25*$AM361^9+WeightSDS!O$25*$AM361^8+WeightSDS!P$25*$AM361^7+WeightSDS!Q$25*$AM361^6+WeightSDS!R$25*$AM361^5+WeightSDS!S$25*$AM361^4+WeightSDS!T$25*$AM361^3+WeightSDS!U$25*$AM361^2+WeightSDS!V$25*$AM361+WeightSDS!W$25,WeightSDS!M$27+WeightSDS!N$27/(1+EXP(WeightSDS!O$27+WeightSDS!P$27*$AM361)))),IF($AM361&lt;43.8,WeightSDS!M$29*$AM361^10+WeightSDS!N$29*$AM361^9+WeightSDS!O$29*$AM361^8+WeightSDS!P$29*$AM361^7+WeightSDS!Q$29*$AM361^6+WeightSDS!R$29*$AM361^5+WeightSDS!S$29*$AM361^4+WeightSDS!T$29*$AM361^3+WeightSDS!U$29*$AM361^2+WeightSDS!V$29*$AM361+WeightSDS!W$29-0.010431*(1-$AM361/210),IF($AM361&lt;123,WeightSDS!M$30*$AM361^10+WeightSDS!N$30*$AM361^9+WeightSDS!O$30*$AM361^8+WeightSDS!P$30*$AM361^7+WeightSDS!Q$30*$AM361^6+WeightSDS!R$30*$AM361^5+WeightSDS!S$30*$AM361^4+WeightSDS!T$30*$AM361^3+WeightSDS!U$30*$AM361^2+WeightSDS!V$30*$AM361+WeightSDS!W$30-0.010431*(1-1/$AM361),WeightSDS!M$32+WeightSDS!N$32/(1+EXP(WeightSDS!O$32+WeightSDS!P$32*$AM361))-0.010431*(1-$AM361/210))))</f>
        <v>2.9500001032655536</v>
      </c>
      <c r="AQ361" s="4">
        <f>IF(D361="M",IF($AM361&lt;162,WeightSDS!P$12*$AM361^7+WeightSDS!Q$12*$AM361^6+WeightSDS!R$12*$AM361^5+WeightSDS!S$12*$AM361^4+WeightSDS!T$12*$AM361^3+WeightSDS!U$12*$AM361^2+WeightSDS!V$12*$AM361+WeightSDS!W$12,WeightSDS!P$14*$AM361^7+WeightSDS!Q$14*$AM361^6+WeightSDS!R$14*$AM361^5+WeightSDS!S$14*$AM361^4+WeightSDS!T$14*$AM361^3+WeightSDS!U$14*$AM361^2+WeightSDS!V$14*$AM361+WeightSDS!W$14),IF($AM361&lt;156,WeightSDS!O$17*$AM361^8+WeightSDS!P$17*$AM361^7+WeightSDS!Q$17*$AM361^6+WeightSDS!R$17*$AM361^5+WeightSDS!S$17*$AM361^4+WeightSDS!T$17*$AM361^3+WeightSDS!U$17*$AM361^2+WeightSDS!V$17*$AM361+WeightSDS!W$17,IF($AM361&lt;186,WeightSDS!$U$18+(WeightSDS!$V$18-WeightSDS!$U$18)/24*($AM361-186)+WeightSDS!$W$18*(-$AM361+186)^2-0.005,WeightSDS!$U$18+(WeightSDS!$V$18-WeightSDS!$U$18)/24*($AM361-186)-0.005)))</f>
        <v>0.14604529399999999</v>
      </c>
      <c r="AT361" s="4">
        <f t="shared" si="112"/>
        <v>0.56299999999999994</v>
      </c>
      <c r="AU361" s="4">
        <f t="shared" si="113"/>
        <v>69</v>
      </c>
      <c r="AV361" s="4">
        <f t="shared" si="114"/>
        <v>0.51</v>
      </c>
    </row>
    <row r="362" spans="1:48" x14ac:dyDescent="0.15">
      <c r="A362" s="4"/>
      <c r="B362" s="21"/>
      <c r="C362" s="21"/>
      <c r="D362" s="21"/>
      <c r="E362" s="22"/>
      <c r="F362" s="22"/>
      <c r="G362" s="23"/>
      <c r="H362" s="23"/>
      <c r="I362" s="181"/>
      <c r="J362" s="8" t="str">
        <f t="shared" si="106"/>
        <v/>
      </c>
      <c r="K362" s="2" t="str">
        <f t="shared" si="115"/>
        <v/>
      </c>
      <c r="L362" s="2" t="str">
        <f t="shared" si="107"/>
        <v/>
      </c>
      <c r="M362" s="2" t="str">
        <f t="shared" si="116"/>
        <v/>
      </c>
      <c r="N362" s="2" t="str">
        <f t="shared" si="124"/>
        <v/>
      </c>
      <c r="O362" s="2" t="str">
        <f t="shared" si="117"/>
        <v/>
      </c>
      <c r="P362" s="8" t="str">
        <f t="shared" si="118"/>
        <v/>
      </c>
      <c r="Q362" s="8" t="str">
        <f t="shared" si="119"/>
        <v/>
      </c>
      <c r="R362" s="111" t="str">
        <f t="shared" si="120"/>
        <v/>
      </c>
      <c r="S362" s="44" t="str">
        <f t="shared" si="121"/>
        <v/>
      </c>
      <c r="T362" s="37" t="str">
        <f t="shared" si="122"/>
        <v/>
      </c>
      <c r="U362" s="44" t="str">
        <f t="shared" si="123"/>
        <v/>
      </c>
      <c r="V362" s="26"/>
      <c r="W362" s="26"/>
      <c r="X362" s="26"/>
      <c r="Y362" s="26"/>
      <c r="Z362" s="24"/>
      <c r="AA362" s="169">
        <f t="shared" si="108"/>
        <v>0</v>
      </c>
      <c r="AB362" s="4">
        <f t="shared" si="109"/>
        <v>0</v>
      </c>
      <c r="AC362" s="170">
        <f t="shared" si="126"/>
        <v>0</v>
      </c>
      <c r="AD362" s="58"/>
      <c r="AE362" s="58"/>
      <c r="AF362" s="58"/>
      <c r="AG362" s="59">
        <f t="shared" si="110"/>
        <v>9.0359999999999996</v>
      </c>
      <c r="AH362" s="59">
        <f t="shared" si="111"/>
        <v>-184.49199999999999</v>
      </c>
      <c r="AJ362" s="4">
        <f>IF(D362="M",IF(AM362&lt;78,BMILMS!$D$5*AM362^3+BMILMS!$E$5*AM362^2+BMILMS!$F$5*AM362+BMILMS!$G$5,IF(AM362&lt;150,BMILMS!$D$6*AM362^3+BMILMS!$E$6*AM362^2+BMILMS!$F$6*AM362+BMILMS!$G$6,BMILMS!$D$7*AM362^3+BMILMS!$E$7*AM362^2+BMILMS!$F$7*AM362+BMILMS!$G$7)),IF(AM362&lt;69,BMILMS!$D$9*AM362^3+BMILMS!$E$9*AM362^2+BMILMS!$F$9*AM362+BMILMS!$G$9,IF(AM362&lt;150,BMILMS!$D$10*AM362^3+BMILMS!$E$10*AM362^2+BMILMS!$F$10*AM362+BMILMS!$G$10,BMILMS!$D$11*AM362^3+BMILMS!$E$11*AM362^2+BMILMS!$F$11*AM362+BMILMS!$G$11)))</f>
        <v>0.79584630099999998</v>
      </c>
      <c r="AK362" s="4">
        <f>IF(D362="M",(IF(AM362&lt;2.5,BMILMS!$D$21*AM362^3+BMILMS!$E$21*AM362^2+BMILMS!$F$21*AM362+BMILMS!$G$21,IF(AM362&lt;9.5,BMILMS!$D$22*AM362^3+BMILMS!$E$22*AM362^2+BMILMS!$F$22*AM362+BMILMS!$G$22,IF(AM362&lt;26.75,BMILMS!$D$23*AM362^3+BMILMS!$E$23*AM362^2+BMILMS!$F$23*AM362+BMILMS!$G$23,IF(AM362&lt;90,BMILMS!$D$24*AM362^3+BMILMS!$E$24*AM362^2+BMILMS!$F$24*AM362+BMILMS!$G$24,BMILMS!$D$25*AM362^3+BMILMS!$E$25*AM362^2+BMILMS!$F$25*AM362+BMILMS!$G$25))))),(IF(AM362&lt;2.5,BMILMS!$D$27*AM362^3+BMILMS!$E$27*AM362^2+BMILMS!$F$27*AM362+BMILMS!$G$27,IF(AM362&lt;9.5,BMILMS!$D$28*AM362^3+BMILMS!$E$28*AM362^2+BMILMS!$F$28*AM362+BMILMS!$G$28,IF(AM362&lt;26.75,BMILMS!$D$29*AM362^3+BMILMS!$E$29*AM362^2+BMILMS!$F$29*AM362+BMILMS!$G$29,IF(AM362&lt;90,BMILMS!$D$30*AM362^3+BMILMS!$E$30*AM362^2+BMILMS!$F$30*AM362+BMILMS!$G$30,IF(AM362&lt;150,BMILMS!$D$31*AM362^3+BMILMS!$E$31*AM362^2+BMILMS!$F$31*AM362+BMILMS!$G$31,BMILMS!$D$32*AM362^3+BMILMS!$E$32*AM362^2+BMILMS!$F$32*AM362+BMILMS!$G$32)))))))</f>
        <v>12.568967990000001</v>
      </c>
      <c r="AL362" s="4">
        <f>IF(D362="M",(IF(AM362&lt;90,BMILMS!$D$14*AM362^3+BMILMS!$E$14*AM362^2+BMILMS!$F$14*AM362+BMILMS!$G$14,BMILMS!$D$15*AM362^3+BMILMS!$E$15*AM362^2+BMILMS!$F$15*AM362+BMILMS!$G$15)),(IF(AM362&lt;90,BMILMS!$D$17*AM362^3+BMILMS!$E$17*AM362^2+BMILMS!$F$17*AM362+BMILMS!$G$17,BMILMS!$D$18*AM362^3+BMILMS!$E$18*AM362^2+BMILMS!$F$18*AM362+BMILMS!$G$18)))</f>
        <v>8.8969350000000003E-2</v>
      </c>
      <c r="AM362" s="4">
        <f t="shared" si="125"/>
        <v>0</v>
      </c>
      <c r="AO362" s="56">
        <f>IF(D362="M",WeightSDS!P$5*$AM362^7+WeightSDS!Q$5*$AM362^6+WeightSDS!R$5*$AM362^5+WeightSDS!S$5*$AM362^4+WeightSDS!T$5*$AM362^3+WeightSDS!U$5*$AM362^2+WeightSDS!V$5*$AM362+WeightSDS!W$5,IF($AM362&lt;186,WeightSDS!P$8*$AM362^7+WeightSDS!Q$8*$AM362^6+WeightSDS!R$8*$AM362^5+WeightSDS!S$8*$AM362^4+WeightSDS!T$8*$AM362^3+WeightSDS!U$8*$AM362^2+WeightSDS!V$8*$AM362+WeightSDS!W$8,WeightSDS!$U$9+WeightSDS!$V$9*($AM362-WeightSDS!$W$9)))</f>
        <v>0.75407122999999998</v>
      </c>
      <c r="AP362" s="4">
        <f>IF(D362="M",IF($AM362&lt;45,WeightSDS!M$23*$AM362^10+WeightSDS!N$23*$AM362^9+WeightSDS!O$23*$AM362^8+WeightSDS!P$23*$AM362^7+WeightSDS!Q$23*$AM362^6+WeightSDS!R$23*$AM362^5+WeightSDS!S$23*$AM362^4+WeightSDS!T$23*$AM362^3+WeightSDS!U$23*$AM362^2+WeightSDS!V$23*$AM362+WeightSDS!W$23,IF($AM362&lt;153,WeightSDS!M$25*$AM362^10+WeightSDS!N$25*$AM362^9+WeightSDS!O$25*$AM362^8+WeightSDS!P$25*$AM362^7+WeightSDS!Q$25*$AM362^6+WeightSDS!R$25*$AM362^5+WeightSDS!S$25*$AM362^4+WeightSDS!T$25*$AM362^3+WeightSDS!U$25*$AM362^2+WeightSDS!V$25*$AM362+WeightSDS!W$25,WeightSDS!M$27+WeightSDS!N$27/(1+EXP(WeightSDS!O$27+WeightSDS!P$27*$AM362)))),IF($AM362&lt;43.8,WeightSDS!M$29*$AM362^10+WeightSDS!N$29*$AM362^9+WeightSDS!O$29*$AM362^8+WeightSDS!P$29*$AM362^7+WeightSDS!Q$29*$AM362^6+WeightSDS!R$29*$AM362^5+WeightSDS!S$29*$AM362^4+WeightSDS!T$29*$AM362^3+WeightSDS!U$29*$AM362^2+WeightSDS!V$29*$AM362+WeightSDS!W$29-0.010431*(1-$AM362/210),IF($AM362&lt;123,WeightSDS!M$30*$AM362^10+WeightSDS!N$30*$AM362^9+WeightSDS!O$30*$AM362^8+WeightSDS!P$30*$AM362^7+WeightSDS!Q$30*$AM362^6+WeightSDS!R$30*$AM362^5+WeightSDS!S$30*$AM362^4+WeightSDS!T$30*$AM362^3+WeightSDS!U$30*$AM362^2+WeightSDS!V$30*$AM362+WeightSDS!W$30-0.010431*(1-1/$AM362),WeightSDS!M$32+WeightSDS!N$32/(1+EXP(WeightSDS!O$32+WeightSDS!P$32*$AM362))-0.010431*(1-$AM362/210))))</f>
        <v>2.9500001032655536</v>
      </c>
      <c r="AQ362" s="4">
        <f>IF(D362="M",IF($AM362&lt;162,WeightSDS!P$12*$AM362^7+WeightSDS!Q$12*$AM362^6+WeightSDS!R$12*$AM362^5+WeightSDS!S$12*$AM362^4+WeightSDS!T$12*$AM362^3+WeightSDS!U$12*$AM362^2+WeightSDS!V$12*$AM362+WeightSDS!W$12,WeightSDS!P$14*$AM362^7+WeightSDS!Q$14*$AM362^6+WeightSDS!R$14*$AM362^5+WeightSDS!S$14*$AM362^4+WeightSDS!T$14*$AM362^3+WeightSDS!U$14*$AM362^2+WeightSDS!V$14*$AM362+WeightSDS!W$14),IF($AM362&lt;156,WeightSDS!O$17*$AM362^8+WeightSDS!P$17*$AM362^7+WeightSDS!Q$17*$AM362^6+WeightSDS!R$17*$AM362^5+WeightSDS!S$17*$AM362^4+WeightSDS!T$17*$AM362^3+WeightSDS!U$17*$AM362^2+WeightSDS!V$17*$AM362+WeightSDS!W$17,IF($AM362&lt;186,WeightSDS!$U$18+(WeightSDS!$V$18-WeightSDS!$U$18)/24*($AM362-186)+WeightSDS!$W$18*(-$AM362+186)^2-0.005,WeightSDS!$U$18+(WeightSDS!$V$18-WeightSDS!$U$18)/24*($AM362-186)-0.005)))</f>
        <v>0.14604529399999999</v>
      </c>
      <c r="AT362" s="4">
        <f t="shared" si="112"/>
        <v>0.56299999999999994</v>
      </c>
      <c r="AU362" s="4">
        <f t="shared" si="113"/>
        <v>69</v>
      </c>
      <c r="AV362" s="4">
        <f t="shared" si="114"/>
        <v>0.51</v>
      </c>
    </row>
    <row r="363" spans="1:48" x14ac:dyDescent="0.15">
      <c r="A363" s="4"/>
      <c r="B363" s="21"/>
      <c r="C363" s="21"/>
      <c r="D363" s="21"/>
      <c r="E363" s="22"/>
      <c r="F363" s="22"/>
      <c r="G363" s="23"/>
      <c r="H363" s="23"/>
      <c r="I363" s="181"/>
      <c r="J363" s="8" t="str">
        <f t="shared" si="106"/>
        <v/>
      </c>
      <c r="K363" s="2" t="str">
        <f t="shared" si="115"/>
        <v/>
      </c>
      <c r="L363" s="2" t="str">
        <f t="shared" si="107"/>
        <v/>
      </c>
      <c r="M363" s="2" t="str">
        <f t="shared" si="116"/>
        <v/>
      </c>
      <c r="N363" s="2" t="str">
        <f t="shared" si="124"/>
        <v/>
      </c>
      <c r="O363" s="2" t="str">
        <f t="shared" si="117"/>
        <v/>
      </c>
      <c r="P363" s="8" t="str">
        <f t="shared" si="118"/>
        <v/>
      </c>
      <c r="Q363" s="8" t="str">
        <f t="shared" si="119"/>
        <v/>
      </c>
      <c r="R363" s="111" t="str">
        <f t="shared" si="120"/>
        <v/>
      </c>
      <c r="S363" s="44" t="str">
        <f t="shared" si="121"/>
        <v/>
      </c>
      <c r="T363" s="37" t="str">
        <f t="shared" si="122"/>
        <v/>
      </c>
      <c r="U363" s="44" t="str">
        <f t="shared" si="123"/>
        <v/>
      </c>
      <c r="V363" s="26"/>
      <c r="W363" s="26"/>
      <c r="X363" s="26"/>
      <c r="Y363" s="26"/>
      <c r="Z363" s="24"/>
      <c r="AA363" s="169">
        <f t="shared" si="108"/>
        <v>0</v>
      </c>
      <c r="AB363" s="4">
        <f t="shared" si="109"/>
        <v>0</v>
      </c>
      <c r="AC363" s="170">
        <f t="shared" si="126"/>
        <v>0</v>
      </c>
      <c r="AD363" s="58"/>
      <c r="AE363" s="58"/>
      <c r="AF363" s="58"/>
      <c r="AG363" s="59">
        <f t="shared" si="110"/>
        <v>9.0359999999999996</v>
      </c>
      <c r="AH363" s="59">
        <f t="shared" si="111"/>
        <v>-184.49199999999999</v>
      </c>
      <c r="AJ363" s="4">
        <f>IF(D363="M",IF(AM363&lt;78,BMILMS!$D$5*AM363^3+BMILMS!$E$5*AM363^2+BMILMS!$F$5*AM363+BMILMS!$G$5,IF(AM363&lt;150,BMILMS!$D$6*AM363^3+BMILMS!$E$6*AM363^2+BMILMS!$F$6*AM363+BMILMS!$G$6,BMILMS!$D$7*AM363^3+BMILMS!$E$7*AM363^2+BMILMS!$F$7*AM363+BMILMS!$G$7)),IF(AM363&lt;69,BMILMS!$D$9*AM363^3+BMILMS!$E$9*AM363^2+BMILMS!$F$9*AM363+BMILMS!$G$9,IF(AM363&lt;150,BMILMS!$D$10*AM363^3+BMILMS!$E$10*AM363^2+BMILMS!$F$10*AM363+BMILMS!$G$10,BMILMS!$D$11*AM363^3+BMILMS!$E$11*AM363^2+BMILMS!$F$11*AM363+BMILMS!$G$11)))</f>
        <v>0.79584630099999998</v>
      </c>
      <c r="AK363" s="4">
        <f>IF(D363="M",(IF(AM363&lt;2.5,BMILMS!$D$21*AM363^3+BMILMS!$E$21*AM363^2+BMILMS!$F$21*AM363+BMILMS!$G$21,IF(AM363&lt;9.5,BMILMS!$D$22*AM363^3+BMILMS!$E$22*AM363^2+BMILMS!$F$22*AM363+BMILMS!$G$22,IF(AM363&lt;26.75,BMILMS!$D$23*AM363^3+BMILMS!$E$23*AM363^2+BMILMS!$F$23*AM363+BMILMS!$G$23,IF(AM363&lt;90,BMILMS!$D$24*AM363^3+BMILMS!$E$24*AM363^2+BMILMS!$F$24*AM363+BMILMS!$G$24,BMILMS!$D$25*AM363^3+BMILMS!$E$25*AM363^2+BMILMS!$F$25*AM363+BMILMS!$G$25))))),(IF(AM363&lt;2.5,BMILMS!$D$27*AM363^3+BMILMS!$E$27*AM363^2+BMILMS!$F$27*AM363+BMILMS!$G$27,IF(AM363&lt;9.5,BMILMS!$D$28*AM363^3+BMILMS!$E$28*AM363^2+BMILMS!$F$28*AM363+BMILMS!$G$28,IF(AM363&lt;26.75,BMILMS!$D$29*AM363^3+BMILMS!$E$29*AM363^2+BMILMS!$F$29*AM363+BMILMS!$G$29,IF(AM363&lt;90,BMILMS!$D$30*AM363^3+BMILMS!$E$30*AM363^2+BMILMS!$F$30*AM363+BMILMS!$G$30,IF(AM363&lt;150,BMILMS!$D$31*AM363^3+BMILMS!$E$31*AM363^2+BMILMS!$F$31*AM363+BMILMS!$G$31,BMILMS!$D$32*AM363^3+BMILMS!$E$32*AM363^2+BMILMS!$F$32*AM363+BMILMS!$G$32)))))))</f>
        <v>12.568967990000001</v>
      </c>
      <c r="AL363" s="4">
        <f>IF(D363="M",(IF(AM363&lt;90,BMILMS!$D$14*AM363^3+BMILMS!$E$14*AM363^2+BMILMS!$F$14*AM363+BMILMS!$G$14,BMILMS!$D$15*AM363^3+BMILMS!$E$15*AM363^2+BMILMS!$F$15*AM363+BMILMS!$G$15)),(IF(AM363&lt;90,BMILMS!$D$17*AM363^3+BMILMS!$E$17*AM363^2+BMILMS!$F$17*AM363+BMILMS!$G$17,BMILMS!$D$18*AM363^3+BMILMS!$E$18*AM363^2+BMILMS!$F$18*AM363+BMILMS!$G$18)))</f>
        <v>8.8969350000000003E-2</v>
      </c>
      <c r="AM363" s="4">
        <f t="shared" si="125"/>
        <v>0</v>
      </c>
      <c r="AO363" s="56">
        <f>IF(D363="M",WeightSDS!P$5*$AM363^7+WeightSDS!Q$5*$AM363^6+WeightSDS!R$5*$AM363^5+WeightSDS!S$5*$AM363^4+WeightSDS!T$5*$AM363^3+WeightSDS!U$5*$AM363^2+WeightSDS!V$5*$AM363+WeightSDS!W$5,IF($AM363&lt;186,WeightSDS!P$8*$AM363^7+WeightSDS!Q$8*$AM363^6+WeightSDS!R$8*$AM363^5+WeightSDS!S$8*$AM363^4+WeightSDS!T$8*$AM363^3+WeightSDS!U$8*$AM363^2+WeightSDS!V$8*$AM363+WeightSDS!W$8,WeightSDS!$U$9+WeightSDS!$V$9*($AM363-WeightSDS!$W$9)))</f>
        <v>0.75407122999999998</v>
      </c>
      <c r="AP363" s="4">
        <f>IF(D363="M",IF($AM363&lt;45,WeightSDS!M$23*$AM363^10+WeightSDS!N$23*$AM363^9+WeightSDS!O$23*$AM363^8+WeightSDS!P$23*$AM363^7+WeightSDS!Q$23*$AM363^6+WeightSDS!R$23*$AM363^5+WeightSDS!S$23*$AM363^4+WeightSDS!T$23*$AM363^3+WeightSDS!U$23*$AM363^2+WeightSDS!V$23*$AM363+WeightSDS!W$23,IF($AM363&lt;153,WeightSDS!M$25*$AM363^10+WeightSDS!N$25*$AM363^9+WeightSDS!O$25*$AM363^8+WeightSDS!P$25*$AM363^7+WeightSDS!Q$25*$AM363^6+WeightSDS!R$25*$AM363^5+WeightSDS!S$25*$AM363^4+WeightSDS!T$25*$AM363^3+WeightSDS!U$25*$AM363^2+WeightSDS!V$25*$AM363+WeightSDS!W$25,WeightSDS!M$27+WeightSDS!N$27/(1+EXP(WeightSDS!O$27+WeightSDS!P$27*$AM363)))),IF($AM363&lt;43.8,WeightSDS!M$29*$AM363^10+WeightSDS!N$29*$AM363^9+WeightSDS!O$29*$AM363^8+WeightSDS!P$29*$AM363^7+WeightSDS!Q$29*$AM363^6+WeightSDS!R$29*$AM363^5+WeightSDS!S$29*$AM363^4+WeightSDS!T$29*$AM363^3+WeightSDS!U$29*$AM363^2+WeightSDS!V$29*$AM363+WeightSDS!W$29-0.010431*(1-$AM363/210),IF($AM363&lt;123,WeightSDS!M$30*$AM363^10+WeightSDS!N$30*$AM363^9+WeightSDS!O$30*$AM363^8+WeightSDS!P$30*$AM363^7+WeightSDS!Q$30*$AM363^6+WeightSDS!R$30*$AM363^5+WeightSDS!S$30*$AM363^4+WeightSDS!T$30*$AM363^3+WeightSDS!U$30*$AM363^2+WeightSDS!V$30*$AM363+WeightSDS!W$30-0.010431*(1-1/$AM363),WeightSDS!M$32+WeightSDS!N$32/(1+EXP(WeightSDS!O$32+WeightSDS!P$32*$AM363))-0.010431*(1-$AM363/210))))</f>
        <v>2.9500001032655536</v>
      </c>
      <c r="AQ363" s="4">
        <f>IF(D363="M",IF($AM363&lt;162,WeightSDS!P$12*$AM363^7+WeightSDS!Q$12*$AM363^6+WeightSDS!R$12*$AM363^5+WeightSDS!S$12*$AM363^4+WeightSDS!T$12*$AM363^3+WeightSDS!U$12*$AM363^2+WeightSDS!V$12*$AM363+WeightSDS!W$12,WeightSDS!P$14*$AM363^7+WeightSDS!Q$14*$AM363^6+WeightSDS!R$14*$AM363^5+WeightSDS!S$14*$AM363^4+WeightSDS!T$14*$AM363^3+WeightSDS!U$14*$AM363^2+WeightSDS!V$14*$AM363+WeightSDS!W$14),IF($AM363&lt;156,WeightSDS!O$17*$AM363^8+WeightSDS!P$17*$AM363^7+WeightSDS!Q$17*$AM363^6+WeightSDS!R$17*$AM363^5+WeightSDS!S$17*$AM363^4+WeightSDS!T$17*$AM363^3+WeightSDS!U$17*$AM363^2+WeightSDS!V$17*$AM363+WeightSDS!W$17,IF($AM363&lt;186,WeightSDS!$U$18+(WeightSDS!$V$18-WeightSDS!$U$18)/24*($AM363-186)+WeightSDS!$W$18*(-$AM363+186)^2-0.005,WeightSDS!$U$18+(WeightSDS!$V$18-WeightSDS!$U$18)/24*($AM363-186)-0.005)))</f>
        <v>0.14604529399999999</v>
      </c>
      <c r="AT363" s="4">
        <f t="shared" si="112"/>
        <v>0.56299999999999994</v>
      </c>
      <c r="AU363" s="4">
        <f t="shared" si="113"/>
        <v>69</v>
      </c>
      <c r="AV363" s="4">
        <f t="shared" si="114"/>
        <v>0.51</v>
      </c>
    </row>
    <row r="364" spans="1:48" x14ac:dyDescent="0.15">
      <c r="A364" s="4"/>
      <c r="B364" s="21"/>
      <c r="C364" s="21"/>
      <c r="D364" s="21"/>
      <c r="E364" s="22"/>
      <c r="F364" s="22"/>
      <c r="G364" s="23"/>
      <c r="H364" s="23"/>
      <c r="I364" s="181"/>
      <c r="J364" s="8" t="str">
        <f t="shared" si="106"/>
        <v/>
      </c>
      <c r="K364" s="2" t="str">
        <f t="shared" si="115"/>
        <v/>
      </c>
      <c r="L364" s="2" t="str">
        <f t="shared" si="107"/>
        <v/>
      </c>
      <c r="M364" s="2" t="str">
        <f t="shared" si="116"/>
        <v/>
      </c>
      <c r="N364" s="2" t="str">
        <f t="shared" si="124"/>
        <v/>
      </c>
      <c r="O364" s="2" t="str">
        <f t="shared" si="117"/>
        <v/>
      </c>
      <c r="P364" s="8" t="str">
        <f t="shared" si="118"/>
        <v/>
      </c>
      <c r="Q364" s="8" t="str">
        <f t="shared" si="119"/>
        <v/>
      </c>
      <c r="R364" s="111" t="str">
        <f t="shared" si="120"/>
        <v/>
      </c>
      <c r="S364" s="44" t="str">
        <f t="shared" si="121"/>
        <v/>
      </c>
      <c r="T364" s="37" t="str">
        <f t="shared" si="122"/>
        <v/>
      </c>
      <c r="U364" s="44" t="str">
        <f t="shared" si="123"/>
        <v/>
      </c>
      <c r="V364" s="26"/>
      <c r="W364" s="26"/>
      <c r="X364" s="26"/>
      <c r="Y364" s="26"/>
      <c r="Z364" s="24"/>
      <c r="AA364" s="169">
        <f t="shared" si="108"/>
        <v>0</v>
      </c>
      <c r="AB364" s="4">
        <f t="shared" si="109"/>
        <v>0</v>
      </c>
      <c r="AC364" s="170">
        <f t="shared" si="126"/>
        <v>0</v>
      </c>
      <c r="AD364" s="58"/>
      <c r="AE364" s="58"/>
      <c r="AF364" s="58"/>
      <c r="AG364" s="59">
        <f t="shared" si="110"/>
        <v>9.0359999999999996</v>
      </c>
      <c r="AH364" s="59">
        <f t="shared" si="111"/>
        <v>-184.49199999999999</v>
      </c>
      <c r="AJ364" s="4">
        <f>IF(D364="M",IF(AM364&lt;78,BMILMS!$D$5*AM364^3+BMILMS!$E$5*AM364^2+BMILMS!$F$5*AM364+BMILMS!$G$5,IF(AM364&lt;150,BMILMS!$D$6*AM364^3+BMILMS!$E$6*AM364^2+BMILMS!$F$6*AM364+BMILMS!$G$6,BMILMS!$D$7*AM364^3+BMILMS!$E$7*AM364^2+BMILMS!$F$7*AM364+BMILMS!$G$7)),IF(AM364&lt;69,BMILMS!$D$9*AM364^3+BMILMS!$E$9*AM364^2+BMILMS!$F$9*AM364+BMILMS!$G$9,IF(AM364&lt;150,BMILMS!$D$10*AM364^3+BMILMS!$E$10*AM364^2+BMILMS!$F$10*AM364+BMILMS!$G$10,BMILMS!$D$11*AM364^3+BMILMS!$E$11*AM364^2+BMILMS!$F$11*AM364+BMILMS!$G$11)))</f>
        <v>0.79584630099999998</v>
      </c>
      <c r="AK364" s="4">
        <f>IF(D364="M",(IF(AM364&lt;2.5,BMILMS!$D$21*AM364^3+BMILMS!$E$21*AM364^2+BMILMS!$F$21*AM364+BMILMS!$G$21,IF(AM364&lt;9.5,BMILMS!$D$22*AM364^3+BMILMS!$E$22*AM364^2+BMILMS!$F$22*AM364+BMILMS!$G$22,IF(AM364&lt;26.75,BMILMS!$D$23*AM364^3+BMILMS!$E$23*AM364^2+BMILMS!$F$23*AM364+BMILMS!$G$23,IF(AM364&lt;90,BMILMS!$D$24*AM364^3+BMILMS!$E$24*AM364^2+BMILMS!$F$24*AM364+BMILMS!$G$24,BMILMS!$D$25*AM364^3+BMILMS!$E$25*AM364^2+BMILMS!$F$25*AM364+BMILMS!$G$25))))),(IF(AM364&lt;2.5,BMILMS!$D$27*AM364^3+BMILMS!$E$27*AM364^2+BMILMS!$F$27*AM364+BMILMS!$G$27,IF(AM364&lt;9.5,BMILMS!$D$28*AM364^3+BMILMS!$E$28*AM364^2+BMILMS!$F$28*AM364+BMILMS!$G$28,IF(AM364&lt;26.75,BMILMS!$D$29*AM364^3+BMILMS!$E$29*AM364^2+BMILMS!$F$29*AM364+BMILMS!$G$29,IF(AM364&lt;90,BMILMS!$D$30*AM364^3+BMILMS!$E$30*AM364^2+BMILMS!$F$30*AM364+BMILMS!$G$30,IF(AM364&lt;150,BMILMS!$D$31*AM364^3+BMILMS!$E$31*AM364^2+BMILMS!$F$31*AM364+BMILMS!$G$31,BMILMS!$D$32*AM364^3+BMILMS!$E$32*AM364^2+BMILMS!$F$32*AM364+BMILMS!$G$32)))))))</f>
        <v>12.568967990000001</v>
      </c>
      <c r="AL364" s="4">
        <f>IF(D364="M",(IF(AM364&lt;90,BMILMS!$D$14*AM364^3+BMILMS!$E$14*AM364^2+BMILMS!$F$14*AM364+BMILMS!$G$14,BMILMS!$D$15*AM364^3+BMILMS!$E$15*AM364^2+BMILMS!$F$15*AM364+BMILMS!$G$15)),(IF(AM364&lt;90,BMILMS!$D$17*AM364^3+BMILMS!$E$17*AM364^2+BMILMS!$F$17*AM364+BMILMS!$G$17,BMILMS!$D$18*AM364^3+BMILMS!$E$18*AM364^2+BMILMS!$F$18*AM364+BMILMS!$G$18)))</f>
        <v>8.8969350000000003E-2</v>
      </c>
      <c r="AM364" s="4">
        <f t="shared" si="125"/>
        <v>0</v>
      </c>
      <c r="AO364" s="56">
        <f>IF(D364="M",WeightSDS!P$5*$AM364^7+WeightSDS!Q$5*$AM364^6+WeightSDS!R$5*$AM364^5+WeightSDS!S$5*$AM364^4+WeightSDS!T$5*$AM364^3+WeightSDS!U$5*$AM364^2+WeightSDS!V$5*$AM364+WeightSDS!W$5,IF($AM364&lt;186,WeightSDS!P$8*$AM364^7+WeightSDS!Q$8*$AM364^6+WeightSDS!R$8*$AM364^5+WeightSDS!S$8*$AM364^4+WeightSDS!T$8*$AM364^3+WeightSDS!U$8*$AM364^2+WeightSDS!V$8*$AM364+WeightSDS!W$8,WeightSDS!$U$9+WeightSDS!$V$9*($AM364-WeightSDS!$W$9)))</f>
        <v>0.75407122999999998</v>
      </c>
      <c r="AP364" s="4">
        <f>IF(D364="M",IF($AM364&lt;45,WeightSDS!M$23*$AM364^10+WeightSDS!N$23*$AM364^9+WeightSDS!O$23*$AM364^8+WeightSDS!P$23*$AM364^7+WeightSDS!Q$23*$AM364^6+WeightSDS!R$23*$AM364^5+WeightSDS!S$23*$AM364^4+WeightSDS!T$23*$AM364^3+WeightSDS!U$23*$AM364^2+WeightSDS!V$23*$AM364+WeightSDS!W$23,IF($AM364&lt;153,WeightSDS!M$25*$AM364^10+WeightSDS!N$25*$AM364^9+WeightSDS!O$25*$AM364^8+WeightSDS!P$25*$AM364^7+WeightSDS!Q$25*$AM364^6+WeightSDS!R$25*$AM364^5+WeightSDS!S$25*$AM364^4+WeightSDS!T$25*$AM364^3+WeightSDS!U$25*$AM364^2+WeightSDS!V$25*$AM364+WeightSDS!W$25,WeightSDS!M$27+WeightSDS!N$27/(1+EXP(WeightSDS!O$27+WeightSDS!P$27*$AM364)))),IF($AM364&lt;43.8,WeightSDS!M$29*$AM364^10+WeightSDS!N$29*$AM364^9+WeightSDS!O$29*$AM364^8+WeightSDS!P$29*$AM364^7+WeightSDS!Q$29*$AM364^6+WeightSDS!R$29*$AM364^5+WeightSDS!S$29*$AM364^4+WeightSDS!T$29*$AM364^3+WeightSDS!U$29*$AM364^2+WeightSDS!V$29*$AM364+WeightSDS!W$29-0.010431*(1-$AM364/210),IF($AM364&lt;123,WeightSDS!M$30*$AM364^10+WeightSDS!N$30*$AM364^9+WeightSDS!O$30*$AM364^8+WeightSDS!P$30*$AM364^7+WeightSDS!Q$30*$AM364^6+WeightSDS!R$30*$AM364^5+WeightSDS!S$30*$AM364^4+WeightSDS!T$30*$AM364^3+WeightSDS!U$30*$AM364^2+WeightSDS!V$30*$AM364+WeightSDS!W$30-0.010431*(1-1/$AM364),WeightSDS!M$32+WeightSDS!N$32/(1+EXP(WeightSDS!O$32+WeightSDS!P$32*$AM364))-0.010431*(1-$AM364/210))))</f>
        <v>2.9500001032655536</v>
      </c>
      <c r="AQ364" s="4">
        <f>IF(D364="M",IF($AM364&lt;162,WeightSDS!P$12*$AM364^7+WeightSDS!Q$12*$AM364^6+WeightSDS!R$12*$AM364^5+WeightSDS!S$12*$AM364^4+WeightSDS!T$12*$AM364^3+WeightSDS!U$12*$AM364^2+WeightSDS!V$12*$AM364+WeightSDS!W$12,WeightSDS!P$14*$AM364^7+WeightSDS!Q$14*$AM364^6+WeightSDS!R$14*$AM364^5+WeightSDS!S$14*$AM364^4+WeightSDS!T$14*$AM364^3+WeightSDS!U$14*$AM364^2+WeightSDS!V$14*$AM364+WeightSDS!W$14),IF($AM364&lt;156,WeightSDS!O$17*$AM364^8+WeightSDS!P$17*$AM364^7+WeightSDS!Q$17*$AM364^6+WeightSDS!R$17*$AM364^5+WeightSDS!S$17*$AM364^4+WeightSDS!T$17*$AM364^3+WeightSDS!U$17*$AM364^2+WeightSDS!V$17*$AM364+WeightSDS!W$17,IF($AM364&lt;186,WeightSDS!$U$18+(WeightSDS!$V$18-WeightSDS!$U$18)/24*($AM364-186)+WeightSDS!$W$18*(-$AM364+186)^2-0.005,WeightSDS!$U$18+(WeightSDS!$V$18-WeightSDS!$U$18)/24*($AM364-186)-0.005)))</f>
        <v>0.14604529399999999</v>
      </c>
      <c r="AT364" s="4">
        <f t="shared" si="112"/>
        <v>0.56299999999999994</v>
      </c>
      <c r="AU364" s="4">
        <f t="shared" si="113"/>
        <v>69</v>
      </c>
      <c r="AV364" s="4">
        <f t="shared" si="114"/>
        <v>0.51</v>
      </c>
    </row>
    <row r="365" spans="1:48" x14ac:dyDescent="0.15">
      <c r="A365" s="4"/>
      <c r="B365" s="21"/>
      <c r="C365" s="21"/>
      <c r="D365" s="21"/>
      <c r="E365" s="22"/>
      <c r="F365" s="22"/>
      <c r="G365" s="23"/>
      <c r="H365" s="23"/>
      <c r="I365" s="181"/>
      <c r="J365" s="8" t="str">
        <f t="shared" si="106"/>
        <v/>
      </c>
      <c r="K365" s="2" t="str">
        <f t="shared" si="115"/>
        <v/>
      </c>
      <c r="L365" s="2" t="str">
        <f t="shared" si="107"/>
        <v/>
      </c>
      <c r="M365" s="2" t="str">
        <f t="shared" si="116"/>
        <v/>
      </c>
      <c r="N365" s="2" t="str">
        <f t="shared" si="124"/>
        <v/>
      </c>
      <c r="O365" s="2" t="str">
        <f t="shared" si="117"/>
        <v/>
      </c>
      <c r="P365" s="8" t="str">
        <f t="shared" si="118"/>
        <v/>
      </c>
      <c r="Q365" s="8" t="str">
        <f t="shared" si="119"/>
        <v/>
      </c>
      <c r="R365" s="111" t="str">
        <f t="shared" si="120"/>
        <v/>
      </c>
      <c r="S365" s="44" t="str">
        <f t="shared" si="121"/>
        <v/>
      </c>
      <c r="T365" s="37" t="str">
        <f t="shared" si="122"/>
        <v/>
      </c>
      <c r="U365" s="44" t="str">
        <f t="shared" si="123"/>
        <v/>
      </c>
      <c r="V365" s="26"/>
      <c r="W365" s="26"/>
      <c r="X365" s="26"/>
      <c r="Y365" s="26"/>
      <c r="Z365" s="24"/>
      <c r="AA365" s="169">
        <f t="shared" si="108"/>
        <v>0</v>
      </c>
      <c r="AB365" s="4">
        <f t="shared" si="109"/>
        <v>0</v>
      </c>
      <c r="AC365" s="170">
        <f t="shared" si="126"/>
        <v>0</v>
      </c>
      <c r="AD365" s="58"/>
      <c r="AE365" s="58"/>
      <c r="AF365" s="58"/>
      <c r="AG365" s="59">
        <f t="shared" si="110"/>
        <v>9.0359999999999996</v>
      </c>
      <c r="AH365" s="59">
        <f t="shared" si="111"/>
        <v>-184.49199999999999</v>
      </c>
      <c r="AJ365" s="4">
        <f>IF(D365="M",IF(AM365&lt;78,BMILMS!$D$5*AM365^3+BMILMS!$E$5*AM365^2+BMILMS!$F$5*AM365+BMILMS!$G$5,IF(AM365&lt;150,BMILMS!$D$6*AM365^3+BMILMS!$E$6*AM365^2+BMILMS!$F$6*AM365+BMILMS!$G$6,BMILMS!$D$7*AM365^3+BMILMS!$E$7*AM365^2+BMILMS!$F$7*AM365+BMILMS!$G$7)),IF(AM365&lt;69,BMILMS!$D$9*AM365^3+BMILMS!$E$9*AM365^2+BMILMS!$F$9*AM365+BMILMS!$G$9,IF(AM365&lt;150,BMILMS!$D$10*AM365^3+BMILMS!$E$10*AM365^2+BMILMS!$F$10*AM365+BMILMS!$G$10,BMILMS!$D$11*AM365^3+BMILMS!$E$11*AM365^2+BMILMS!$F$11*AM365+BMILMS!$G$11)))</f>
        <v>0.79584630099999998</v>
      </c>
      <c r="AK365" s="4">
        <f>IF(D365="M",(IF(AM365&lt;2.5,BMILMS!$D$21*AM365^3+BMILMS!$E$21*AM365^2+BMILMS!$F$21*AM365+BMILMS!$G$21,IF(AM365&lt;9.5,BMILMS!$D$22*AM365^3+BMILMS!$E$22*AM365^2+BMILMS!$F$22*AM365+BMILMS!$G$22,IF(AM365&lt;26.75,BMILMS!$D$23*AM365^3+BMILMS!$E$23*AM365^2+BMILMS!$F$23*AM365+BMILMS!$G$23,IF(AM365&lt;90,BMILMS!$D$24*AM365^3+BMILMS!$E$24*AM365^2+BMILMS!$F$24*AM365+BMILMS!$G$24,BMILMS!$D$25*AM365^3+BMILMS!$E$25*AM365^2+BMILMS!$F$25*AM365+BMILMS!$G$25))))),(IF(AM365&lt;2.5,BMILMS!$D$27*AM365^3+BMILMS!$E$27*AM365^2+BMILMS!$F$27*AM365+BMILMS!$G$27,IF(AM365&lt;9.5,BMILMS!$D$28*AM365^3+BMILMS!$E$28*AM365^2+BMILMS!$F$28*AM365+BMILMS!$G$28,IF(AM365&lt;26.75,BMILMS!$D$29*AM365^3+BMILMS!$E$29*AM365^2+BMILMS!$F$29*AM365+BMILMS!$G$29,IF(AM365&lt;90,BMILMS!$D$30*AM365^3+BMILMS!$E$30*AM365^2+BMILMS!$F$30*AM365+BMILMS!$G$30,IF(AM365&lt;150,BMILMS!$D$31*AM365^3+BMILMS!$E$31*AM365^2+BMILMS!$F$31*AM365+BMILMS!$G$31,BMILMS!$D$32*AM365^3+BMILMS!$E$32*AM365^2+BMILMS!$F$32*AM365+BMILMS!$G$32)))))))</f>
        <v>12.568967990000001</v>
      </c>
      <c r="AL365" s="4">
        <f>IF(D365="M",(IF(AM365&lt;90,BMILMS!$D$14*AM365^3+BMILMS!$E$14*AM365^2+BMILMS!$F$14*AM365+BMILMS!$G$14,BMILMS!$D$15*AM365^3+BMILMS!$E$15*AM365^2+BMILMS!$F$15*AM365+BMILMS!$G$15)),(IF(AM365&lt;90,BMILMS!$D$17*AM365^3+BMILMS!$E$17*AM365^2+BMILMS!$F$17*AM365+BMILMS!$G$17,BMILMS!$D$18*AM365^3+BMILMS!$E$18*AM365^2+BMILMS!$F$18*AM365+BMILMS!$G$18)))</f>
        <v>8.8969350000000003E-2</v>
      </c>
      <c r="AM365" s="4">
        <f t="shared" si="125"/>
        <v>0</v>
      </c>
      <c r="AO365" s="56">
        <f>IF(D365="M",WeightSDS!P$5*$AM365^7+WeightSDS!Q$5*$AM365^6+WeightSDS!R$5*$AM365^5+WeightSDS!S$5*$AM365^4+WeightSDS!T$5*$AM365^3+WeightSDS!U$5*$AM365^2+WeightSDS!V$5*$AM365+WeightSDS!W$5,IF($AM365&lt;186,WeightSDS!P$8*$AM365^7+WeightSDS!Q$8*$AM365^6+WeightSDS!R$8*$AM365^5+WeightSDS!S$8*$AM365^4+WeightSDS!T$8*$AM365^3+WeightSDS!U$8*$AM365^2+WeightSDS!V$8*$AM365+WeightSDS!W$8,WeightSDS!$U$9+WeightSDS!$V$9*($AM365-WeightSDS!$W$9)))</f>
        <v>0.75407122999999998</v>
      </c>
      <c r="AP365" s="4">
        <f>IF(D365="M",IF($AM365&lt;45,WeightSDS!M$23*$AM365^10+WeightSDS!N$23*$AM365^9+WeightSDS!O$23*$AM365^8+WeightSDS!P$23*$AM365^7+WeightSDS!Q$23*$AM365^6+WeightSDS!R$23*$AM365^5+WeightSDS!S$23*$AM365^4+WeightSDS!T$23*$AM365^3+WeightSDS!U$23*$AM365^2+WeightSDS!V$23*$AM365+WeightSDS!W$23,IF($AM365&lt;153,WeightSDS!M$25*$AM365^10+WeightSDS!N$25*$AM365^9+WeightSDS!O$25*$AM365^8+WeightSDS!P$25*$AM365^7+WeightSDS!Q$25*$AM365^6+WeightSDS!R$25*$AM365^5+WeightSDS!S$25*$AM365^4+WeightSDS!T$25*$AM365^3+WeightSDS!U$25*$AM365^2+WeightSDS!V$25*$AM365+WeightSDS!W$25,WeightSDS!M$27+WeightSDS!N$27/(1+EXP(WeightSDS!O$27+WeightSDS!P$27*$AM365)))),IF($AM365&lt;43.8,WeightSDS!M$29*$AM365^10+WeightSDS!N$29*$AM365^9+WeightSDS!O$29*$AM365^8+WeightSDS!P$29*$AM365^7+WeightSDS!Q$29*$AM365^6+WeightSDS!R$29*$AM365^5+WeightSDS!S$29*$AM365^4+WeightSDS!T$29*$AM365^3+WeightSDS!U$29*$AM365^2+WeightSDS!V$29*$AM365+WeightSDS!W$29-0.010431*(1-$AM365/210),IF($AM365&lt;123,WeightSDS!M$30*$AM365^10+WeightSDS!N$30*$AM365^9+WeightSDS!O$30*$AM365^8+WeightSDS!P$30*$AM365^7+WeightSDS!Q$30*$AM365^6+WeightSDS!R$30*$AM365^5+WeightSDS!S$30*$AM365^4+WeightSDS!T$30*$AM365^3+WeightSDS!U$30*$AM365^2+WeightSDS!V$30*$AM365+WeightSDS!W$30-0.010431*(1-1/$AM365),WeightSDS!M$32+WeightSDS!N$32/(1+EXP(WeightSDS!O$32+WeightSDS!P$32*$AM365))-0.010431*(1-$AM365/210))))</f>
        <v>2.9500001032655536</v>
      </c>
      <c r="AQ365" s="4">
        <f>IF(D365="M",IF($AM365&lt;162,WeightSDS!P$12*$AM365^7+WeightSDS!Q$12*$AM365^6+WeightSDS!R$12*$AM365^5+WeightSDS!S$12*$AM365^4+WeightSDS!T$12*$AM365^3+WeightSDS!U$12*$AM365^2+WeightSDS!V$12*$AM365+WeightSDS!W$12,WeightSDS!P$14*$AM365^7+WeightSDS!Q$14*$AM365^6+WeightSDS!R$14*$AM365^5+WeightSDS!S$14*$AM365^4+WeightSDS!T$14*$AM365^3+WeightSDS!U$14*$AM365^2+WeightSDS!V$14*$AM365+WeightSDS!W$14),IF($AM365&lt;156,WeightSDS!O$17*$AM365^8+WeightSDS!P$17*$AM365^7+WeightSDS!Q$17*$AM365^6+WeightSDS!R$17*$AM365^5+WeightSDS!S$17*$AM365^4+WeightSDS!T$17*$AM365^3+WeightSDS!U$17*$AM365^2+WeightSDS!V$17*$AM365+WeightSDS!W$17,IF($AM365&lt;186,WeightSDS!$U$18+(WeightSDS!$V$18-WeightSDS!$U$18)/24*($AM365-186)+WeightSDS!$W$18*(-$AM365+186)^2-0.005,WeightSDS!$U$18+(WeightSDS!$V$18-WeightSDS!$U$18)/24*($AM365-186)-0.005)))</f>
        <v>0.14604529399999999</v>
      </c>
      <c r="AT365" s="4">
        <f t="shared" si="112"/>
        <v>0.56299999999999994</v>
      </c>
      <c r="AU365" s="4">
        <f t="shared" si="113"/>
        <v>69</v>
      </c>
      <c r="AV365" s="4">
        <f t="shared" si="114"/>
        <v>0.51</v>
      </c>
    </row>
    <row r="366" spans="1:48" x14ac:dyDescent="0.15">
      <c r="A366" s="4"/>
      <c r="B366" s="21"/>
      <c r="C366" s="21"/>
      <c r="D366" s="21"/>
      <c r="E366" s="22"/>
      <c r="F366" s="22"/>
      <c r="G366" s="23"/>
      <c r="H366" s="23"/>
      <c r="I366" s="181"/>
      <c r="J366" s="8" t="str">
        <f t="shared" si="106"/>
        <v/>
      </c>
      <c r="K366" s="2" t="str">
        <f t="shared" si="115"/>
        <v/>
      </c>
      <c r="L366" s="2" t="str">
        <f t="shared" si="107"/>
        <v/>
      </c>
      <c r="M366" s="2" t="str">
        <f t="shared" si="116"/>
        <v/>
      </c>
      <c r="N366" s="2" t="str">
        <f t="shared" si="124"/>
        <v/>
      </c>
      <c r="O366" s="2" t="str">
        <f t="shared" si="117"/>
        <v/>
      </c>
      <c r="P366" s="8" t="str">
        <f t="shared" si="118"/>
        <v/>
      </c>
      <c r="Q366" s="8" t="str">
        <f t="shared" si="119"/>
        <v/>
      </c>
      <c r="R366" s="111" t="str">
        <f t="shared" si="120"/>
        <v/>
      </c>
      <c r="S366" s="44" t="str">
        <f t="shared" si="121"/>
        <v/>
      </c>
      <c r="T366" s="37" t="str">
        <f t="shared" si="122"/>
        <v/>
      </c>
      <c r="U366" s="44" t="str">
        <f t="shared" si="123"/>
        <v/>
      </c>
      <c r="V366" s="26"/>
      <c r="W366" s="26"/>
      <c r="X366" s="26"/>
      <c r="Y366" s="26"/>
      <c r="Z366" s="24"/>
      <c r="AA366" s="169">
        <f t="shared" si="108"/>
        <v>0</v>
      </c>
      <c r="AB366" s="4">
        <f t="shared" si="109"/>
        <v>0</v>
      </c>
      <c r="AC366" s="170">
        <f t="shared" si="126"/>
        <v>0</v>
      </c>
      <c r="AD366" s="58"/>
      <c r="AE366" s="58"/>
      <c r="AF366" s="58"/>
      <c r="AG366" s="59">
        <f t="shared" si="110"/>
        <v>9.0359999999999996</v>
      </c>
      <c r="AH366" s="59">
        <f t="shared" si="111"/>
        <v>-184.49199999999999</v>
      </c>
      <c r="AJ366" s="4">
        <f>IF(D366="M",IF(AM366&lt;78,BMILMS!$D$5*AM366^3+BMILMS!$E$5*AM366^2+BMILMS!$F$5*AM366+BMILMS!$G$5,IF(AM366&lt;150,BMILMS!$D$6*AM366^3+BMILMS!$E$6*AM366^2+BMILMS!$F$6*AM366+BMILMS!$G$6,BMILMS!$D$7*AM366^3+BMILMS!$E$7*AM366^2+BMILMS!$F$7*AM366+BMILMS!$G$7)),IF(AM366&lt;69,BMILMS!$D$9*AM366^3+BMILMS!$E$9*AM366^2+BMILMS!$F$9*AM366+BMILMS!$G$9,IF(AM366&lt;150,BMILMS!$D$10*AM366^3+BMILMS!$E$10*AM366^2+BMILMS!$F$10*AM366+BMILMS!$G$10,BMILMS!$D$11*AM366^3+BMILMS!$E$11*AM366^2+BMILMS!$F$11*AM366+BMILMS!$G$11)))</f>
        <v>0.79584630099999998</v>
      </c>
      <c r="AK366" s="4">
        <f>IF(D366="M",(IF(AM366&lt;2.5,BMILMS!$D$21*AM366^3+BMILMS!$E$21*AM366^2+BMILMS!$F$21*AM366+BMILMS!$G$21,IF(AM366&lt;9.5,BMILMS!$D$22*AM366^3+BMILMS!$E$22*AM366^2+BMILMS!$F$22*AM366+BMILMS!$G$22,IF(AM366&lt;26.75,BMILMS!$D$23*AM366^3+BMILMS!$E$23*AM366^2+BMILMS!$F$23*AM366+BMILMS!$G$23,IF(AM366&lt;90,BMILMS!$D$24*AM366^3+BMILMS!$E$24*AM366^2+BMILMS!$F$24*AM366+BMILMS!$G$24,BMILMS!$D$25*AM366^3+BMILMS!$E$25*AM366^2+BMILMS!$F$25*AM366+BMILMS!$G$25))))),(IF(AM366&lt;2.5,BMILMS!$D$27*AM366^3+BMILMS!$E$27*AM366^2+BMILMS!$F$27*AM366+BMILMS!$G$27,IF(AM366&lt;9.5,BMILMS!$D$28*AM366^3+BMILMS!$E$28*AM366^2+BMILMS!$F$28*AM366+BMILMS!$G$28,IF(AM366&lt;26.75,BMILMS!$D$29*AM366^3+BMILMS!$E$29*AM366^2+BMILMS!$F$29*AM366+BMILMS!$G$29,IF(AM366&lt;90,BMILMS!$D$30*AM366^3+BMILMS!$E$30*AM366^2+BMILMS!$F$30*AM366+BMILMS!$G$30,IF(AM366&lt;150,BMILMS!$D$31*AM366^3+BMILMS!$E$31*AM366^2+BMILMS!$F$31*AM366+BMILMS!$G$31,BMILMS!$D$32*AM366^3+BMILMS!$E$32*AM366^2+BMILMS!$F$32*AM366+BMILMS!$G$32)))))))</f>
        <v>12.568967990000001</v>
      </c>
      <c r="AL366" s="4">
        <f>IF(D366="M",(IF(AM366&lt;90,BMILMS!$D$14*AM366^3+BMILMS!$E$14*AM366^2+BMILMS!$F$14*AM366+BMILMS!$G$14,BMILMS!$D$15*AM366^3+BMILMS!$E$15*AM366^2+BMILMS!$F$15*AM366+BMILMS!$G$15)),(IF(AM366&lt;90,BMILMS!$D$17*AM366^3+BMILMS!$E$17*AM366^2+BMILMS!$F$17*AM366+BMILMS!$G$17,BMILMS!$D$18*AM366^3+BMILMS!$E$18*AM366^2+BMILMS!$F$18*AM366+BMILMS!$G$18)))</f>
        <v>8.8969350000000003E-2</v>
      </c>
      <c r="AM366" s="4">
        <f t="shared" si="125"/>
        <v>0</v>
      </c>
      <c r="AO366" s="56">
        <f>IF(D366="M",WeightSDS!P$5*$AM366^7+WeightSDS!Q$5*$AM366^6+WeightSDS!R$5*$AM366^5+WeightSDS!S$5*$AM366^4+WeightSDS!T$5*$AM366^3+WeightSDS!U$5*$AM366^2+WeightSDS!V$5*$AM366+WeightSDS!W$5,IF($AM366&lt;186,WeightSDS!P$8*$AM366^7+WeightSDS!Q$8*$AM366^6+WeightSDS!R$8*$AM366^5+WeightSDS!S$8*$AM366^4+WeightSDS!T$8*$AM366^3+WeightSDS!U$8*$AM366^2+WeightSDS!V$8*$AM366+WeightSDS!W$8,WeightSDS!$U$9+WeightSDS!$V$9*($AM366-WeightSDS!$W$9)))</f>
        <v>0.75407122999999998</v>
      </c>
      <c r="AP366" s="4">
        <f>IF(D366="M",IF($AM366&lt;45,WeightSDS!M$23*$AM366^10+WeightSDS!N$23*$AM366^9+WeightSDS!O$23*$AM366^8+WeightSDS!P$23*$AM366^7+WeightSDS!Q$23*$AM366^6+WeightSDS!R$23*$AM366^5+WeightSDS!S$23*$AM366^4+WeightSDS!T$23*$AM366^3+WeightSDS!U$23*$AM366^2+WeightSDS!V$23*$AM366+WeightSDS!W$23,IF($AM366&lt;153,WeightSDS!M$25*$AM366^10+WeightSDS!N$25*$AM366^9+WeightSDS!O$25*$AM366^8+WeightSDS!P$25*$AM366^7+WeightSDS!Q$25*$AM366^6+WeightSDS!R$25*$AM366^5+WeightSDS!S$25*$AM366^4+WeightSDS!T$25*$AM366^3+WeightSDS!U$25*$AM366^2+WeightSDS!V$25*$AM366+WeightSDS!W$25,WeightSDS!M$27+WeightSDS!N$27/(1+EXP(WeightSDS!O$27+WeightSDS!P$27*$AM366)))),IF($AM366&lt;43.8,WeightSDS!M$29*$AM366^10+WeightSDS!N$29*$AM366^9+WeightSDS!O$29*$AM366^8+WeightSDS!P$29*$AM366^7+WeightSDS!Q$29*$AM366^6+WeightSDS!R$29*$AM366^5+WeightSDS!S$29*$AM366^4+WeightSDS!T$29*$AM366^3+WeightSDS!U$29*$AM366^2+WeightSDS!V$29*$AM366+WeightSDS!W$29-0.010431*(1-$AM366/210),IF($AM366&lt;123,WeightSDS!M$30*$AM366^10+WeightSDS!N$30*$AM366^9+WeightSDS!O$30*$AM366^8+WeightSDS!P$30*$AM366^7+WeightSDS!Q$30*$AM366^6+WeightSDS!R$30*$AM366^5+WeightSDS!S$30*$AM366^4+WeightSDS!T$30*$AM366^3+WeightSDS!U$30*$AM366^2+WeightSDS!V$30*$AM366+WeightSDS!W$30-0.010431*(1-1/$AM366),WeightSDS!M$32+WeightSDS!N$32/(1+EXP(WeightSDS!O$32+WeightSDS!P$32*$AM366))-0.010431*(1-$AM366/210))))</f>
        <v>2.9500001032655536</v>
      </c>
      <c r="AQ366" s="4">
        <f>IF(D366="M",IF($AM366&lt;162,WeightSDS!P$12*$AM366^7+WeightSDS!Q$12*$AM366^6+WeightSDS!R$12*$AM366^5+WeightSDS!S$12*$AM366^4+WeightSDS!T$12*$AM366^3+WeightSDS!U$12*$AM366^2+WeightSDS!V$12*$AM366+WeightSDS!W$12,WeightSDS!P$14*$AM366^7+WeightSDS!Q$14*$AM366^6+WeightSDS!R$14*$AM366^5+WeightSDS!S$14*$AM366^4+WeightSDS!T$14*$AM366^3+WeightSDS!U$14*$AM366^2+WeightSDS!V$14*$AM366+WeightSDS!W$14),IF($AM366&lt;156,WeightSDS!O$17*$AM366^8+WeightSDS!P$17*$AM366^7+WeightSDS!Q$17*$AM366^6+WeightSDS!R$17*$AM366^5+WeightSDS!S$17*$AM366^4+WeightSDS!T$17*$AM366^3+WeightSDS!U$17*$AM366^2+WeightSDS!V$17*$AM366+WeightSDS!W$17,IF($AM366&lt;186,WeightSDS!$U$18+(WeightSDS!$V$18-WeightSDS!$U$18)/24*($AM366-186)+WeightSDS!$W$18*(-$AM366+186)^2-0.005,WeightSDS!$U$18+(WeightSDS!$V$18-WeightSDS!$U$18)/24*($AM366-186)-0.005)))</f>
        <v>0.14604529399999999</v>
      </c>
      <c r="AT366" s="4">
        <f t="shared" si="112"/>
        <v>0.56299999999999994</v>
      </c>
      <c r="AU366" s="4">
        <f t="shared" si="113"/>
        <v>69</v>
      </c>
      <c r="AV366" s="4">
        <f t="shared" si="114"/>
        <v>0.51</v>
      </c>
    </row>
    <row r="367" spans="1:48" x14ac:dyDescent="0.15">
      <c r="A367" s="4"/>
      <c r="B367" s="21"/>
      <c r="C367" s="21"/>
      <c r="D367" s="21"/>
      <c r="E367" s="22"/>
      <c r="F367" s="22"/>
      <c r="G367" s="23"/>
      <c r="H367" s="23"/>
      <c r="I367" s="181"/>
      <c r="J367" s="8" t="str">
        <f t="shared" si="106"/>
        <v/>
      </c>
      <c r="K367" s="2" t="str">
        <f t="shared" si="115"/>
        <v/>
      </c>
      <c r="L367" s="2" t="str">
        <f t="shared" si="107"/>
        <v/>
      </c>
      <c r="M367" s="2" t="str">
        <f t="shared" si="116"/>
        <v/>
      </c>
      <c r="N367" s="2" t="str">
        <f t="shared" si="124"/>
        <v/>
      </c>
      <c r="O367" s="2" t="str">
        <f t="shared" si="117"/>
        <v/>
      </c>
      <c r="P367" s="8" t="str">
        <f t="shared" si="118"/>
        <v/>
      </c>
      <c r="Q367" s="8" t="str">
        <f t="shared" si="119"/>
        <v/>
      </c>
      <c r="R367" s="111" t="str">
        <f t="shared" si="120"/>
        <v/>
      </c>
      <c r="S367" s="44" t="str">
        <f t="shared" si="121"/>
        <v/>
      </c>
      <c r="T367" s="37" t="str">
        <f t="shared" si="122"/>
        <v/>
      </c>
      <c r="U367" s="44" t="str">
        <f t="shared" si="123"/>
        <v/>
      </c>
      <c r="V367" s="26"/>
      <c r="W367" s="26"/>
      <c r="X367" s="26"/>
      <c r="Y367" s="26"/>
      <c r="Z367" s="24"/>
      <c r="AA367" s="169">
        <f t="shared" si="108"/>
        <v>0</v>
      </c>
      <c r="AB367" s="4">
        <f t="shared" si="109"/>
        <v>0</v>
      </c>
      <c r="AC367" s="170">
        <f t="shared" si="126"/>
        <v>0</v>
      </c>
      <c r="AD367" s="58"/>
      <c r="AE367" s="58"/>
      <c r="AF367" s="58"/>
      <c r="AG367" s="59">
        <f t="shared" si="110"/>
        <v>9.0359999999999996</v>
      </c>
      <c r="AH367" s="59">
        <f t="shared" si="111"/>
        <v>-184.49199999999999</v>
      </c>
      <c r="AJ367" s="4">
        <f>IF(D367="M",IF(AM367&lt;78,BMILMS!$D$5*AM367^3+BMILMS!$E$5*AM367^2+BMILMS!$F$5*AM367+BMILMS!$G$5,IF(AM367&lt;150,BMILMS!$D$6*AM367^3+BMILMS!$E$6*AM367^2+BMILMS!$F$6*AM367+BMILMS!$G$6,BMILMS!$D$7*AM367^3+BMILMS!$E$7*AM367^2+BMILMS!$F$7*AM367+BMILMS!$G$7)),IF(AM367&lt;69,BMILMS!$D$9*AM367^3+BMILMS!$E$9*AM367^2+BMILMS!$F$9*AM367+BMILMS!$G$9,IF(AM367&lt;150,BMILMS!$D$10*AM367^3+BMILMS!$E$10*AM367^2+BMILMS!$F$10*AM367+BMILMS!$G$10,BMILMS!$D$11*AM367^3+BMILMS!$E$11*AM367^2+BMILMS!$F$11*AM367+BMILMS!$G$11)))</f>
        <v>0.79584630099999998</v>
      </c>
      <c r="AK367" s="4">
        <f>IF(D367="M",(IF(AM367&lt;2.5,BMILMS!$D$21*AM367^3+BMILMS!$E$21*AM367^2+BMILMS!$F$21*AM367+BMILMS!$G$21,IF(AM367&lt;9.5,BMILMS!$D$22*AM367^3+BMILMS!$E$22*AM367^2+BMILMS!$F$22*AM367+BMILMS!$G$22,IF(AM367&lt;26.75,BMILMS!$D$23*AM367^3+BMILMS!$E$23*AM367^2+BMILMS!$F$23*AM367+BMILMS!$G$23,IF(AM367&lt;90,BMILMS!$D$24*AM367^3+BMILMS!$E$24*AM367^2+BMILMS!$F$24*AM367+BMILMS!$G$24,BMILMS!$D$25*AM367^3+BMILMS!$E$25*AM367^2+BMILMS!$F$25*AM367+BMILMS!$G$25))))),(IF(AM367&lt;2.5,BMILMS!$D$27*AM367^3+BMILMS!$E$27*AM367^2+BMILMS!$F$27*AM367+BMILMS!$G$27,IF(AM367&lt;9.5,BMILMS!$D$28*AM367^3+BMILMS!$E$28*AM367^2+BMILMS!$F$28*AM367+BMILMS!$G$28,IF(AM367&lt;26.75,BMILMS!$D$29*AM367^3+BMILMS!$E$29*AM367^2+BMILMS!$F$29*AM367+BMILMS!$G$29,IF(AM367&lt;90,BMILMS!$D$30*AM367^3+BMILMS!$E$30*AM367^2+BMILMS!$F$30*AM367+BMILMS!$G$30,IF(AM367&lt;150,BMILMS!$D$31*AM367^3+BMILMS!$E$31*AM367^2+BMILMS!$F$31*AM367+BMILMS!$G$31,BMILMS!$D$32*AM367^3+BMILMS!$E$32*AM367^2+BMILMS!$F$32*AM367+BMILMS!$G$32)))))))</f>
        <v>12.568967990000001</v>
      </c>
      <c r="AL367" s="4">
        <f>IF(D367="M",(IF(AM367&lt;90,BMILMS!$D$14*AM367^3+BMILMS!$E$14*AM367^2+BMILMS!$F$14*AM367+BMILMS!$G$14,BMILMS!$D$15*AM367^3+BMILMS!$E$15*AM367^2+BMILMS!$F$15*AM367+BMILMS!$G$15)),(IF(AM367&lt;90,BMILMS!$D$17*AM367^3+BMILMS!$E$17*AM367^2+BMILMS!$F$17*AM367+BMILMS!$G$17,BMILMS!$D$18*AM367^3+BMILMS!$E$18*AM367^2+BMILMS!$F$18*AM367+BMILMS!$G$18)))</f>
        <v>8.8969350000000003E-2</v>
      </c>
      <c r="AM367" s="4">
        <f t="shared" si="125"/>
        <v>0</v>
      </c>
      <c r="AO367" s="56">
        <f>IF(D367="M",WeightSDS!P$5*$AM367^7+WeightSDS!Q$5*$AM367^6+WeightSDS!R$5*$AM367^5+WeightSDS!S$5*$AM367^4+WeightSDS!T$5*$AM367^3+WeightSDS!U$5*$AM367^2+WeightSDS!V$5*$AM367+WeightSDS!W$5,IF($AM367&lt;186,WeightSDS!P$8*$AM367^7+WeightSDS!Q$8*$AM367^6+WeightSDS!R$8*$AM367^5+WeightSDS!S$8*$AM367^4+WeightSDS!T$8*$AM367^3+WeightSDS!U$8*$AM367^2+WeightSDS!V$8*$AM367+WeightSDS!W$8,WeightSDS!$U$9+WeightSDS!$V$9*($AM367-WeightSDS!$W$9)))</f>
        <v>0.75407122999999998</v>
      </c>
      <c r="AP367" s="4">
        <f>IF(D367="M",IF($AM367&lt;45,WeightSDS!M$23*$AM367^10+WeightSDS!N$23*$AM367^9+WeightSDS!O$23*$AM367^8+WeightSDS!P$23*$AM367^7+WeightSDS!Q$23*$AM367^6+WeightSDS!R$23*$AM367^5+WeightSDS!S$23*$AM367^4+WeightSDS!T$23*$AM367^3+WeightSDS!U$23*$AM367^2+WeightSDS!V$23*$AM367+WeightSDS!W$23,IF($AM367&lt;153,WeightSDS!M$25*$AM367^10+WeightSDS!N$25*$AM367^9+WeightSDS!O$25*$AM367^8+WeightSDS!P$25*$AM367^7+WeightSDS!Q$25*$AM367^6+WeightSDS!R$25*$AM367^5+WeightSDS!S$25*$AM367^4+WeightSDS!T$25*$AM367^3+WeightSDS!U$25*$AM367^2+WeightSDS!V$25*$AM367+WeightSDS!W$25,WeightSDS!M$27+WeightSDS!N$27/(1+EXP(WeightSDS!O$27+WeightSDS!P$27*$AM367)))),IF($AM367&lt;43.8,WeightSDS!M$29*$AM367^10+WeightSDS!N$29*$AM367^9+WeightSDS!O$29*$AM367^8+WeightSDS!P$29*$AM367^7+WeightSDS!Q$29*$AM367^6+WeightSDS!R$29*$AM367^5+WeightSDS!S$29*$AM367^4+WeightSDS!T$29*$AM367^3+WeightSDS!U$29*$AM367^2+WeightSDS!V$29*$AM367+WeightSDS!W$29-0.010431*(1-$AM367/210),IF($AM367&lt;123,WeightSDS!M$30*$AM367^10+WeightSDS!N$30*$AM367^9+WeightSDS!O$30*$AM367^8+WeightSDS!P$30*$AM367^7+WeightSDS!Q$30*$AM367^6+WeightSDS!R$30*$AM367^5+WeightSDS!S$30*$AM367^4+WeightSDS!T$30*$AM367^3+WeightSDS!U$30*$AM367^2+WeightSDS!V$30*$AM367+WeightSDS!W$30-0.010431*(1-1/$AM367),WeightSDS!M$32+WeightSDS!N$32/(1+EXP(WeightSDS!O$32+WeightSDS!P$32*$AM367))-0.010431*(1-$AM367/210))))</f>
        <v>2.9500001032655536</v>
      </c>
      <c r="AQ367" s="4">
        <f>IF(D367="M",IF($AM367&lt;162,WeightSDS!P$12*$AM367^7+WeightSDS!Q$12*$AM367^6+WeightSDS!R$12*$AM367^5+WeightSDS!S$12*$AM367^4+WeightSDS!T$12*$AM367^3+WeightSDS!U$12*$AM367^2+WeightSDS!V$12*$AM367+WeightSDS!W$12,WeightSDS!P$14*$AM367^7+WeightSDS!Q$14*$AM367^6+WeightSDS!R$14*$AM367^5+WeightSDS!S$14*$AM367^4+WeightSDS!T$14*$AM367^3+WeightSDS!U$14*$AM367^2+WeightSDS!V$14*$AM367+WeightSDS!W$14),IF($AM367&lt;156,WeightSDS!O$17*$AM367^8+WeightSDS!P$17*$AM367^7+WeightSDS!Q$17*$AM367^6+WeightSDS!R$17*$AM367^5+WeightSDS!S$17*$AM367^4+WeightSDS!T$17*$AM367^3+WeightSDS!U$17*$AM367^2+WeightSDS!V$17*$AM367+WeightSDS!W$17,IF($AM367&lt;186,WeightSDS!$U$18+(WeightSDS!$V$18-WeightSDS!$U$18)/24*($AM367-186)+WeightSDS!$W$18*(-$AM367+186)^2-0.005,WeightSDS!$U$18+(WeightSDS!$V$18-WeightSDS!$U$18)/24*($AM367-186)-0.005)))</f>
        <v>0.14604529399999999</v>
      </c>
      <c r="AT367" s="4">
        <f t="shared" si="112"/>
        <v>0.56299999999999994</v>
      </c>
      <c r="AU367" s="4">
        <f t="shared" si="113"/>
        <v>69</v>
      </c>
      <c r="AV367" s="4">
        <f t="shared" si="114"/>
        <v>0.51</v>
      </c>
    </row>
    <row r="368" spans="1:48" x14ac:dyDescent="0.15">
      <c r="A368" s="4"/>
      <c r="B368" s="21"/>
      <c r="C368" s="21"/>
      <c r="D368" s="21"/>
      <c r="E368" s="22"/>
      <c r="F368" s="22"/>
      <c r="G368" s="23"/>
      <c r="H368" s="23"/>
      <c r="I368" s="181"/>
      <c r="J368" s="8" t="str">
        <f t="shared" si="106"/>
        <v/>
      </c>
      <c r="K368" s="2" t="str">
        <f t="shared" si="115"/>
        <v/>
      </c>
      <c r="L368" s="2" t="str">
        <f t="shared" si="107"/>
        <v/>
      </c>
      <c r="M368" s="2" t="str">
        <f t="shared" si="116"/>
        <v/>
      </c>
      <c r="N368" s="2" t="str">
        <f t="shared" si="124"/>
        <v/>
      </c>
      <c r="O368" s="2" t="str">
        <f t="shared" si="117"/>
        <v/>
      </c>
      <c r="P368" s="8" t="str">
        <f t="shared" si="118"/>
        <v/>
      </c>
      <c r="Q368" s="8" t="str">
        <f t="shared" si="119"/>
        <v/>
      </c>
      <c r="R368" s="111" t="str">
        <f t="shared" si="120"/>
        <v/>
      </c>
      <c r="S368" s="44" t="str">
        <f t="shared" si="121"/>
        <v/>
      </c>
      <c r="T368" s="37" t="str">
        <f t="shared" si="122"/>
        <v/>
      </c>
      <c r="U368" s="44" t="str">
        <f t="shared" si="123"/>
        <v/>
      </c>
      <c r="V368" s="26"/>
      <c r="W368" s="26"/>
      <c r="X368" s="26"/>
      <c r="Y368" s="26"/>
      <c r="Z368" s="24"/>
      <c r="AA368" s="169">
        <f t="shared" si="108"/>
        <v>0</v>
      </c>
      <c r="AB368" s="4">
        <f t="shared" si="109"/>
        <v>0</v>
      </c>
      <c r="AC368" s="170">
        <f t="shared" si="126"/>
        <v>0</v>
      </c>
      <c r="AD368" s="58"/>
      <c r="AE368" s="58"/>
      <c r="AF368" s="58"/>
      <c r="AG368" s="59">
        <f t="shared" si="110"/>
        <v>9.0359999999999996</v>
      </c>
      <c r="AH368" s="59">
        <f t="shared" si="111"/>
        <v>-184.49199999999999</v>
      </c>
      <c r="AJ368" s="4">
        <f>IF(D368="M",IF(AM368&lt;78,BMILMS!$D$5*AM368^3+BMILMS!$E$5*AM368^2+BMILMS!$F$5*AM368+BMILMS!$G$5,IF(AM368&lt;150,BMILMS!$D$6*AM368^3+BMILMS!$E$6*AM368^2+BMILMS!$F$6*AM368+BMILMS!$G$6,BMILMS!$D$7*AM368^3+BMILMS!$E$7*AM368^2+BMILMS!$F$7*AM368+BMILMS!$G$7)),IF(AM368&lt;69,BMILMS!$D$9*AM368^3+BMILMS!$E$9*AM368^2+BMILMS!$F$9*AM368+BMILMS!$G$9,IF(AM368&lt;150,BMILMS!$D$10*AM368^3+BMILMS!$E$10*AM368^2+BMILMS!$F$10*AM368+BMILMS!$G$10,BMILMS!$D$11*AM368^3+BMILMS!$E$11*AM368^2+BMILMS!$F$11*AM368+BMILMS!$G$11)))</f>
        <v>0.79584630099999998</v>
      </c>
      <c r="AK368" s="4">
        <f>IF(D368="M",(IF(AM368&lt;2.5,BMILMS!$D$21*AM368^3+BMILMS!$E$21*AM368^2+BMILMS!$F$21*AM368+BMILMS!$G$21,IF(AM368&lt;9.5,BMILMS!$D$22*AM368^3+BMILMS!$E$22*AM368^2+BMILMS!$F$22*AM368+BMILMS!$G$22,IF(AM368&lt;26.75,BMILMS!$D$23*AM368^3+BMILMS!$E$23*AM368^2+BMILMS!$F$23*AM368+BMILMS!$G$23,IF(AM368&lt;90,BMILMS!$D$24*AM368^3+BMILMS!$E$24*AM368^2+BMILMS!$F$24*AM368+BMILMS!$G$24,BMILMS!$D$25*AM368^3+BMILMS!$E$25*AM368^2+BMILMS!$F$25*AM368+BMILMS!$G$25))))),(IF(AM368&lt;2.5,BMILMS!$D$27*AM368^3+BMILMS!$E$27*AM368^2+BMILMS!$F$27*AM368+BMILMS!$G$27,IF(AM368&lt;9.5,BMILMS!$D$28*AM368^3+BMILMS!$E$28*AM368^2+BMILMS!$F$28*AM368+BMILMS!$G$28,IF(AM368&lt;26.75,BMILMS!$D$29*AM368^3+BMILMS!$E$29*AM368^2+BMILMS!$F$29*AM368+BMILMS!$G$29,IF(AM368&lt;90,BMILMS!$D$30*AM368^3+BMILMS!$E$30*AM368^2+BMILMS!$F$30*AM368+BMILMS!$G$30,IF(AM368&lt;150,BMILMS!$D$31*AM368^3+BMILMS!$E$31*AM368^2+BMILMS!$F$31*AM368+BMILMS!$G$31,BMILMS!$D$32*AM368^3+BMILMS!$E$32*AM368^2+BMILMS!$F$32*AM368+BMILMS!$G$32)))))))</f>
        <v>12.568967990000001</v>
      </c>
      <c r="AL368" s="4">
        <f>IF(D368="M",(IF(AM368&lt;90,BMILMS!$D$14*AM368^3+BMILMS!$E$14*AM368^2+BMILMS!$F$14*AM368+BMILMS!$G$14,BMILMS!$D$15*AM368^3+BMILMS!$E$15*AM368^2+BMILMS!$F$15*AM368+BMILMS!$G$15)),(IF(AM368&lt;90,BMILMS!$D$17*AM368^3+BMILMS!$E$17*AM368^2+BMILMS!$F$17*AM368+BMILMS!$G$17,BMILMS!$D$18*AM368^3+BMILMS!$E$18*AM368^2+BMILMS!$F$18*AM368+BMILMS!$G$18)))</f>
        <v>8.8969350000000003E-2</v>
      </c>
      <c r="AM368" s="4">
        <f t="shared" si="125"/>
        <v>0</v>
      </c>
      <c r="AO368" s="56">
        <f>IF(D368="M",WeightSDS!P$5*$AM368^7+WeightSDS!Q$5*$AM368^6+WeightSDS!R$5*$AM368^5+WeightSDS!S$5*$AM368^4+WeightSDS!T$5*$AM368^3+WeightSDS!U$5*$AM368^2+WeightSDS!V$5*$AM368+WeightSDS!W$5,IF($AM368&lt;186,WeightSDS!P$8*$AM368^7+WeightSDS!Q$8*$AM368^6+WeightSDS!R$8*$AM368^5+WeightSDS!S$8*$AM368^4+WeightSDS!T$8*$AM368^3+WeightSDS!U$8*$AM368^2+WeightSDS!V$8*$AM368+WeightSDS!W$8,WeightSDS!$U$9+WeightSDS!$V$9*($AM368-WeightSDS!$W$9)))</f>
        <v>0.75407122999999998</v>
      </c>
      <c r="AP368" s="4">
        <f>IF(D368="M",IF($AM368&lt;45,WeightSDS!M$23*$AM368^10+WeightSDS!N$23*$AM368^9+WeightSDS!O$23*$AM368^8+WeightSDS!P$23*$AM368^7+WeightSDS!Q$23*$AM368^6+WeightSDS!R$23*$AM368^5+WeightSDS!S$23*$AM368^4+WeightSDS!T$23*$AM368^3+WeightSDS!U$23*$AM368^2+WeightSDS!V$23*$AM368+WeightSDS!W$23,IF($AM368&lt;153,WeightSDS!M$25*$AM368^10+WeightSDS!N$25*$AM368^9+WeightSDS!O$25*$AM368^8+WeightSDS!P$25*$AM368^7+WeightSDS!Q$25*$AM368^6+WeightSDS!R$25*$AM368^5+WeightSDS!S$25*$AM368^4+WeightSDS!T$25*$AM368^3+WeightSDS!U$25*$AM368^2+WeightSDS!V$25*$AM368+WeightSDS!W$25,WeightSDS!M$27+WeightSDS!N$27/(1+EXP(WeightSDS!O$27+WeightSDS!P$27*$AM368)))),IF($AM368&lt;43.8,WeightSDS!M$29*$AM368^10+WeightSDS!N$29*$AM368^9+WeightSDS!O$29*$AM368^8+WeightSDS!P$29*$AM368^7+WeightSDS!Q$29*$AM368^6+WeightSDS!R$29*$AM368^5+WeightSDS!S$29*$AM368^4+WeightSDS!T$29*$AM368^3+WeightSDS!U$29*$AM368^2+WeightSDS!V$29*$AM368+WeightSDS!W$29-0.010431*(1-$AM368/210),IF($AM368&lt;123,WeightSDS!M$30*$AM368^10+WeightSDS!N$30*$AM368^9+WeightSDS!O$30*$AM368^8+WeightSDS!P$30*$AM368^7+WeightSDS!Q$30*$AM368^6+WeightSDS!R$30*$AM368^5+WeightSDS!S$30*$AM368^4+WeightSDS!T$30*$AM368^3+WeightSDS!U$30*$AM368^2+WeightSDS!V$30*$AM368+WeightSDS!W$30-0.010431*(1-1/$AM368),WeightSDS!M$32+WeightSDS!N$32/(1+EXP(WeightSDS!O$32+WeightSDS!P$32*$AM368))-0.010431*(1-$AM368/210))))</f>
        <v>2.9500001032655536</v>
      </c>
      <c r="AQ368" s="4">
        <f>IF(D368="M",IF($AM368&lt;162,WeightSDS!P$12*$AM368^7+WeightSDS!Q$12*$AM368^6+WeightSDS!R$12*$AM368^5+WeightSDS!S$12*$AM368^4+WeightSDS!T$12*$AM368^3+WeightSDS!U$12*$AM368^2+WeightSDS!V$12*$AM368+WeightSDS!W$12,WeightSDS!P$14*$AM368^7+WeightSDS!Q$14*$AM368^6+WeightSDS!R$14*$AM368^5+WeightSDS!S$14*$AM368^4+WeightSDS!T$14*$AM368^3+WeightSDS!U$14*$AM368^2+WeightSDS!V$14*$AM368+WeightSDS!W$14),IF($AM368&lt;156,WeightSDS!O$17*$AM368^8+WeightSDS!P$17*$AM368^7+WeightSDS!Q$17*$AM368^6+WeightSDS!R$17*$AM368^5+WeightSDS!S$17*$AM368^4+WeightSDS!T$17*$AM368^3+WeightSDS!U$17*$AM368^2+WeightSDS!V$17*$AM368+WeightSDS!W$17,IF($AM368&lt;186,WeightSDS!$U$18+(WeightSDS!$V$18-WeightSDS!$U$18)/24*($AM368-186)+WeightSDS!$W$18*(-$AM368+186)^2-0.005,WeightSDS!$U$18+(WeightSDS!$V$18-WeightSDS!$U$18)/24*($AM368-186)-0.005)))</f>
        <v>0.14604529399999999</v>
      </c>
      <c r="AT368" s="4">
        <f t="shared" si="112"/>
        <v>0.56299999999999994</v>
      </c>
      <c r="AU368" s="4">
        <f t="shared" si="113"/>
        <v>69</v>
      </c>
      <c r="AV368" s="4">
        <f t="shared" si="114"/>
        <v>0.51</v>
      </c>
    </row>
    <row r="369" spans="1:48" x14ac:dyDescent="0.15">
      <c r="A369" s="4"/>
      <c r="B369" s="21"/>
      <c r="C369" s="21"/>
      <c r="D369" s="21"/>
      <c r="E369" s="22"/>
      <c r="F369" s="22"/>
      <c r="G369" s="23"/>
      <c r="H369" s="23"/>
      <c r="I369" s="181"/>
      <c r="J369" s="8" t="str">
        <f t="shared" si="106"/>
        <v/>
      </c>
      <c r="K369" s="2" t="str">
        <f t="shared" si="115"/>
        <v/>
      </c>
      <c r="L369" s="2" t="str">
        <f t="shared" si="107"/>
        <v/>
      </c>
      <c r="M369" s="2" t="str">
        <f t="shared" si="116"/>
        <v/>
      </c>
      <c r="N369" s="2" t="str">
        <f t="shared" si="124"/>
        <v/>
      </c>
      <c r="O369" s="2" t="str">
        <f t="shared" si="117"/>
        <v/>
      </c>
      <c r="P369" s="8" t="str">
        <f t="shared" si="118"/>
        <v/>
      </c>
      <c r="Q369" s="8" t="str">
        <f t="shared" si="119"/>
        <v/>
      </c>
      <c r="R369" s="111" t="str">
        <f t="shared" si="120"/>
        <v/>
      </c>
      <c r="S369" s="44" t="str">
        <f t="shared" si="121"/>
        <v/>
      </c>
      <c r="T369" s="37" t="str">
        <f t="shared" si="122"/>
        <v/>
      </c>
      <c r="U369" s="44" t="str">
        <f t="shared" si="123"/>
        <v/>
      </c>
      <c r="V369" s="26"/>
      <c r="W369" s="26"/>
      <c r="X369" s="26"/>
      <c r="Y369" s="26"/>
      <c r="Z369" s="24"/>
      <c r="AA369" s="169">
        <f t="shared" si="108"/>
        <v>0</v>
      </c>
      <c r="AB369" s="4">
        <f t="shared" si="109"/>
        <v>0</v>
      </c>
      <c r="AC369" s="170">
        <f t="shared" si="126"/>
        <v>0</v>
      </c>
      <c r="AD369" s="58"/>
      <c r="AE369" s="58"/>
      <c r="AF369" s="58"/>
      <c r="AG369" s="59">
        <f t="shared" si="110"/>
        <v>9.0359999999999996</v>
      </c>
      <c r="AH369" s="59">
        <f t="shared" si="111"/>
        <v>-184.49199999999999</v>
      </c>
      <c r="AJ369" s="4">
        <f>IF(D369="M",IF(AM369&lt;78,BMILMS!$D$5*AM369^3+BMILMS!$E$5*AM369^2+BMILMS!$F$5*AM369+BMILMS!$G$5,IF(AM369&lt;150,BMILMS!$D$6*AM369^3+BMILMS!$E$6*AM369^2+BMILMS!$F$6*AM369+BMILMS!$G$6,BMILMS!$D$7*AM369^3+BMILMS!$E$7*AM369^2+BMILMS!$F$7*AM369+BMILMS!$G$7)),IF(AM369&lt;69,BMILMS!$D$9*AM369^3+BMILMS!$E$9*AM369^2+BMILMS!$F$9*AM369+BMILMS!$G$9,IF(AM369&lt;150,BMILMS!$D$10*AM369^3+BMILMS!$E$10*AM369^2+BMILMS!$F$10*AM369+BMILMS!$G$10,BMILMS!$D$11*AM369^3+BMILMS!$E$11*AM369^2+BMILMS!$F$11*AM369+BMILMS!$G$11)))</f>
        <v>0.79584630099999998</v>
      </c>
      <c r="AK369" s="4">
        <f>IF(D369="M",(IF(AM369&lt;2.5,BMILMS!$D$21*AM369^3+BMILMS!$E$21*AM369^2+BMILMS!$F$21*AM369+BMILMS!$G$21,IF(AM369&lt;9.5,BMILMS!$D$22*AM369^3+BMILMS!$E$22*AM369^2+BMILMS!$F$22*AM369+BMILMS!$G$22,IF(AM369&lt;26.75,BMILMS!$D$23*AM369^3+BMILMS!$E$23*AM369^2+BMILMS!$F$23*AM369+BMILMS!$G$23,IF(AM369&lt;90,BMILMS!$D$24*AM369^3+BMILMS!$E$24*AM369^2+BMILMS!$F$24*AM369+BMILMS!$G$24,BMILMS!$D$25*AM369^3+BMILMS!$E$25*AM369^2+BMILMS!$F$25*AM369+BMILMS!$G$25))))),(IF(AM369&lt;2.5,BMILMS!$D$27*AM369^3+BMILMS!$E$27*AM369^2+BMILMS!$F$27*AM369+BMILMS!$G$27,IF(AM369&lt;9.5,BMILMS!$D$28*AM369^3+BMILMS!$E$28*AM369^2+BMILMS!$F$28*AM369+BMILMS!$G$28,IF(AM369&lt;26.75,BMILMS!$D$29*AM369^3+BMILMS!$E$29*AM369^2+BMILMS!$F$29*AM369+BMILMS!$G$29,IF(AM369&lt;90,BMILMS!$D$30*AM369^3+BMILMS!$E$30*AM369^2+BMILMS!$F$30*AM369+BMILMS!$G$30,IF(AM369&lt;150,BMILMS!$D$31*AM369^3+BMILMS!$E$31*AM369^2+BMILMS!$F$31*AM369+BMILMS!$G$31,BMILMS!$D$32*AM369^3+BMILMS!$E$32*AM369^2+BMILMS!$F$32*AM369+BMILMS!$G$32)))))))</f>
        <v>12.568967990000001</v>
      </c>
      <c r="AL369" s="4">
        <f>IF(D369="M",(IF(AM369&lt;90,BMILMS!$D$14*AM369^3+BMILMS!$E$14*AM369^2+BMILMS!$F$14*AM369+BMILMS!$G$14,BMILMS!$D$15*AM369^3+BMILMS!$E$15*AM369^2+BMILMS!$F$15*AM369+BMILMS!$G$15)),(IF(AM369&lt;90,BMILMS!$D$17*AM369^3+BMILMS!$E$17*AM369^2+BMILMS!$F$17*AM369+BMILMS!$G$17,BMILMS!$D$18*AM369^3+BMILMS!$E$18*AM369^2+BMILMS!$F$18*AM369+BMILMS!$G$18)))</f>
        <v>8.8969350000000003E-2</v>
      </c>
      <c r="AM369" s="4">
        <f t="shared" si="125"/>
        <v>0</v>
      </c>
      <c r="AO369" s="56">
        <f>IF(D369="M",WeightSDS!P$5*$AM369^7+WeightSDS!Q$5*$AM369^6+WeightSDS!R$5*$AM369^5+WeightSDS!S$5*$AM369^4+WeightSDS!T$5*$AM369^3+WeightSDS!U$5*$AM369^2+WeightSDS!V$5*$AM369+WeightSDS!W$5,IF($AM369&lt;186,WeightSDS!P$8*$AM369^7+WeightSDS!Q$8*$AM369^6+WeightSDS!R$8*$AM369^5+WeightSDS!S$8*$AM369^4+WeightSDS!T$8*$AM369^3+WeightSDS!U$8*$AM369^2+WeightSDS!V$8*$AM369+WeightSDS!W$8,WeightSDS!$U$9+WeightSDS!$V$9*($AM369-WeightSDS!$W$9)))</f>
        <v>0.75407122999999998</v>
      </c>
      <c r="AP369" s="4">
        <f>IF(D369="M",IF($AM369&lt;45,WeightSDS!M$23*$AM369^10+WeightSDS!N$23*$AM369^9+WeightSDS!O$23*$AM369^8+WeightSDS!P$23*$AM369^7+WeightSDS!Q$23*$AM369^6+WeightSDS!R$23*$AM369^5+WeightSDS!S$23*$AM369^4+WeightSDS!T$23*$AM369^3+WeightSDS!U$23*$AM369^2+WeightSDS!V$23*$AM369+WeightSDS!W$23,IF($AM369&lt;153,WeightSDS!M$25*$AM369^10+WeightSDS!N$25*$AM369^9+WeightSDS!O$25*$AM369^8+WeightSDS!P$25*$AM369^7+WeightSDS!Q$25*$AM369^6+WeightSDS!R$25*$AM369^5+WeightSDS!S$25*$AM369^4+WeightSDS!T$25*$AM369^3+WeightSDS!U$25*$AM369^2+WeightSDS!V$25*$AM369+WeightSDS!W$25,WeightSDS!M$27+WeightSDS!N$27/(1+EXP(WeightSDS!O$27+WeightSDS!P$27*$AM369)))),IF($AM369&lt;43.8,WeightSDS!M$29*$AM369^10+WeightSDS!N$29*$AM369^9+WeightSDS!O$29*$AM369^8+WeightSDS!P$29*$AM369^7+WeightSDS!Q$29*$AM369^6+WeightSDS!R$29*$AM369^5+WeightSDS!S$29*$AM369^4+WeightSDS!T$29*$AM369^3+WeightSDS!U$29*$AM369^2+WeightSDS!V$29*$AM369+WeightSDS!W$29-0.010431*(1-$AM369/210),IF($AM369&lt;123,WeightSDS!M$30*$AM369^10+WeightSDS!N$30*$AM369^9+WeightSDS!O$30*$AM369^8+WeightSDS!P$30*$AM369^7+WeightSDS!Q$30*$AM369^6+WeightSDS!R$30*$AM369^5+WeightSDS!S$30*$AM369^4+WeightSDS!T$30*$AM369^3+WeightSDS!U$30*$AM369^2+WeightSDS!V$30*$AM369+WeightSDS!W$30-0.010431*(1-1/$AM369),WeightSDS!M$32+WeightSDS!N$32/(1+EXP(WeightSDS!O$32+WeightSDS!P$32*$AM369))-0.010431*(1-$AM369/210))))</f>
        <v>2.9500001032655536</v>
      </c>
      <c r="AQ369" s="4">
        <f>IF(D369="M",IF($AM369&lt;162,WeightSDS!P$12*$AM369^7+WeightSDS!Q$12*$AM369^6+WeightSDS!R$12*$AM369^5+WeightSDS!S$12*$AM369^4+WeightSDS!T$12*$AM369^3+WeightSDS!U$12*$AM369^2+WeightSDS!V$12*$AM369+WeightSDS!W$12,WeightSDS!P$14*$AM369^7+WeightSDS!Q$14*$AM369^6+WeightSDS!R$14*$AM369^5+WeightSDS!S$14*$AM369^4+WeightSDS!T$14*$AM369^3+WeightSDS!U$14*$AM369^2+WeightSDS!V$14*$AM369+WeightSDS!W$14),IF($AM369&lt;156,WeightSDS!O$17*$AM369^8+WeightSDS!P$17*$AM369^7+WeightSDS!Q$17*$AM369^6+WeightSDS!R$17*$AM369^5+WeightSDS!S$17*$AM369^4+WeightSDS!T$17*$AM369^3+WeightSDS!U$17*$AM369^2+WeightSDS!V$17*$AM369+WeightSDS!W$17,IF($AM369&lt;186,WeightSDS!$U$18+(WeightSDS!$V$18-WeightSDS!$U$18)/24*($AM369-186)+WeightSDS!$W$18*(-$AM369+186)^2-0.005,WeightSDS!$U$18+(WeightSDS!$V$18-WeightSDS!$U$18)/24*($AM369-186)-0.005)))</f>
        <v>0.14604529399999999</v>
      </c>
      <c r="AT369" s="4">
        <f t="shared" si="112"/>
        <v>0.56299999999999994</v>
      </c>
      <c r="AU369" s="4">
        <f t="shared" si="113"/>
        <v>69</v>
      </c>
      <c r="AV369" s="4">
        <f t="shared" si="114"/>
        <v>0.51</v>
      </c>
    </row>
    <row r="370" spans="1:48" x14ac:dyDescent="0.15">
      <c r="A370" s="4"/>
      <c r="B370" s="21"/>
      <c r="C370" s="21"/>
      <c r="D370" s="21"/>
      <c r="E370" s="22"/>
      <c r="F370" s="22"/>
      <c r="G370" s="23"/>
      <c r="H370" s="23"/>
      <c r="I370" s="181"/>
      <c r="J370" s="8" t="str">
        <f t="shared" si="106"/>
        <v/>
      </c>
      <c r="K370" s="2" t="str">
        <f t="shared" si="115"/>
        <v/>
      </c>
      <c r="L370" s="2" t="str">
        <f t="shared" si="107"/>
        <v/>
      </c>
      <c r="M370" s="2" t="str">
        <f t="shared" si="116"/>
        <v/>
      </c>
      <c r="N370" s="2" t="str">
        <f t="shared" si="124"/>
        <v/>
      </c>
      <c r="O370" s="2" t="str">
        <f t="shared" si="117"/>
        <v/>
      </c>
      <c r="P370" s="8" t="str">
        <f t="shared" si="118"/>
        <v/>
      </c>
      <c r="Q370" s="8" t="str">
        <f t="shared" si="119"/>
        <v/>
      </c>
      <c r="R370" s="111" t="str">
        <f t="shared" si="120"/>
        <v/>
      </c>
      <c r="S370" s="44" t="str">
        <f t="shared" si="121"/>
        <v/>
      </c>
      <c r="T370" s="37" t="str">
        <f t="shared" si="122"/>
        <v/>
      </c>
      <c r="U370" s="44" t="str">
        <f t="shared" si="123"/>
        <v/>
      </c>
      <c r="V370" s="26"/>
      <c r="W370" s="26"/>
      <c r="X370" s="26"/>
      <c r="Y370" s="26"/>
      <c r="Z370" s="24"/>
      <c r="AA370" s="169">
        <f t="shared" si="108"/>
        <v>0</v>
      </c>
      <c r="AB370" s="4">
        <f t="shared" si="109"/>
        <v>0</v>
      </c>
      <c r="AC370" s="170">
        <f t="shared" si="126"/>
        <v>0</v>
      </c>
      <c r="AD370" s="58"/>
      <c r="AE370" s="58"/>
      <c r="AF370" s="58"/>
      <c r="AG370" s="59">
        <f t="shared" si="110"/>
        <v>9.0359999999999996</v>
      </c>
      <c r="AH370" s="59">
        <f t="shared" si="111"/>
        <v>-184.49199999999999</v>
      </c>
      <c r="AJ370" s="4">
        <f>IF(D370="M",IF(AM370&lt;78,BMILMS!$D$5*AM370^3+BMILMS!$E$5*AM370^2+BMILMS!$F$5*AM370+BMILMS!$G$5,IF(AM370&lt;150,BMILMS!$D$6*AM370^3+BMILMS!$E$6*AM370^2+BMILMS!$F$6*AM370+BMILMS!$G$6,BMILMS!$D$7*AM370^3+BMILMS!$E$7*AM370^2+BMILMS!$F$7*AM370+BMILMS!$G$7)),IF(AM370&lt;69,BMILMS!$D$9*AM370^3+BMILMS!$E$9*AM370^2+BMILMS!$F$9*AM370+BMILMS!$G$9,IF(AM370&lt;150,BMILMS!$D$10*AM370^3+BMILMS!$E$10*AM370^2+BMILMS!$F$10*AM370+BMILMS!$G$10,BMILMS!$D$11*AM370^3+BMILMS!$E$11*AM370^2+BMILMS!$F$11*AM370+BMILMS!$G$11)))</f>
        <v>0.79584630099999998</v>
      </c>
      <c r="AK370" s="4">
        <f>IF(D370="M",(IF(AM370&lt;2.5,BMILMS!$D$21*AM370^3+BMILMS!$E$21*AM370^2+BMILMS!$F$21*AM370+BMILMS!$G$21,IF(AM370&lt;9.5,BMILMS!$D$22*AM370^3+BMILMS!$E$22*AM370^2+BMILMS!$F$22*AM370+BMILMS!$G$22,IF(AM370&lt;26.75,BMILMS!$D$23*AM370^3+BMILMS!$E$23*AM370^2+BMILMS!$F$23*AM370+BMILMS!$G$23,IF(AM370&lt;90,BMILMS!$D$24*AM370^3+BMILMS!$E$24*AM370^2+BMILMS!$F$24*AM370+BMILMS!$G$24,BMILMS!$D$25*AM370^3+BMILMS!$E$25*AM370^2+BMILMS!$F$25*AM370+BMILMS!$G$25))))),(IF(AM370&lt;2.5,BMILMS!$D$27*AM370^3+BMILMS!$E$27*AM370^2+BMILMS!$F$27*AM370+BMILMS!$G$27,IF(AM370&lt;9.5,BMILMS!$D$28*AM370^3+BMILMS!$E$28*AM370^2+BMILMS!$F$28*AM370+BMILMS!$G$28,IF(AM370&lt;26.75,BMILMS!$D$29*AM370^3+BMILMS!$E$29*AM370^2+BMILMS!$F$29*AM370+BMILMS!$G$29,IF(AM370&lt;90,BMILMS!$D$30*AM370^3+BMILMS!$E$30*AM370^2+BMILMS!$F$30*AM370+BMILMS!$G$30,IF(AM370&lt;150,BMILMS!$D$31*AM370^3+BMILMS!$E$31*AM370^2+BMILMS!$F$31*AM370+BMILMS!$G$31,BMILMS!$D$32*AM370^3+BMILMS!$E$32*AM370^2+BMILMS!$F$32*AM370+BMILMS!$G$32)))))))</f>
        <v>12.568967990000001</v>
      </c>
      <c r="AL370" s="4">
        <f>IF(D370="M",(IF(AM370&lt;90,BMILMS!$D$14*AM370^3+BMILMS!$E$14*AM370^2+BMILMS!$F$14*AM370+BMILMS!$G$14,BMILMS!$D$15*AM370^3+BMILMS!$E$15*AM370^2+BMILMS!$F$15*AM370+BMILMS!$G$15)),(IF(AM370&lt;90,BMILMS!$D$17*AM370^3+BMILMS!$E$17*AM370^2+BMILMS!$F$17*AM370+BMILMS!$G$17,BMILMS!$D$18*AM370^3+BMILMS!$E$18*AM370^2+BMILMS!$F$18*AM370+BMILMS!$G$18)))</f>
        <v>8.8969350000000003E-2</v>
      </c>
      <c r="AM370" s="4">
        <f t="shared" si="125"/>
        <v>0</v>
      </c>
      <c r="AO370" s="56">
        <f>IF(D370="M",WeightSDS!P$5*$AM370^7+WeightSDS!Q$5*$AM370^6+WeightSDS!R$5*$AM370^5+WeightSDS!S$5*$AM370^4+WeightSDS!T$5*$AM370^3+WeightSDS!U$5*$AM370^2+WeightSDS!V$5*$AM370+WeightSDS!W$5,IF($AM370&lt;186,WeightSDS!P$8*$AM370^7+WeightSDS!Q$8*$AM370^6+WeightSDS!R$8*$AM370^5+WeightSDS!S$8*$AM370^4+WeightSDS!T$8*$AM370^3+WeightSDS!U$8*$AM370^2+WeightSDS!V$8*$AM370+WeightSDS!W$8,WeightSDS!$U$9+WeightSDS!$V$9*($AM370-WeightSDS!$W$9)))</f>
        <v>0.75407122999999998</v>
      </c>
      <c r="AP370" s="4">
        <f>IF(D370="M",IF($AM370&lt;45,WeightSDS!M$23*$AM370^10+WeightSDS!N$23*$AM370^9+WeightSDS!O$23*$AM370^8+WeightSDS!P$23*$AM370^7+WeightSDS!Q$23*$AM370^6+WeightSDS!R$23*$AM370^5+WeightSDS!S$23*$AM370^4+WeightSDS!T$23*$AM370^3+WeightSDS!U$23*$AM370^2+WeightSDS!V$23*$AM370+WeightSDS!W$23,IF($AM370&lt;153,WeightSDS!M$25*$AM370^10+WeightSDS!N$25*$AM370^9+WeightSDS!O$25*$AM370^8+WeightSDS!P$25*$AM370^7+WeightSDS!Q$25*$AM370^6+WeightSDS!R$25*$AM370^5+WeightSDS!S$25*$AM370^4+WeightSDS!T$25*$AM370^3+WeightSDS!U$25*$AM370^2+WeightSDS!V$25*$AM370+WeightSDS!W$25,WeightSDS!M$27+WeightSDS!N$27/(1+EXP(WeightSDS!O$27+WeightSDS!P$27*$AM370)))),IF($AM370&lt;43.8,WeightSDS!M$29*$AM370^10+WeightSDS!N$29*$AM370^9+WeightSDS!O$29*$AM370^8+WeightSDS!P$29*$AM370^7+WeightSDS!Q$29*$AM370^6+WeightSDS!R$29*$AM370^5+WeightSDS!S$29*$AM370^4+WeightSDS!T$29*$AM370^3+WeightSDS!U$29*$AM370^2+WeightSDS!V$29*$AM370+WeightSDS!W$29-0.010431*(1-$AM370/210),IF($AM370&lt;123,WeightSDS!M$30*$AM370^10+WeightSDS!N$30*$AM370^9+WeightSDS!O$30*$AM370^8+WeightSDS!P$30*$AM370^7+WeightSDS!Q$30*$AM370^6+WeightSDS!R$30*$AM370^5+WeightSDS!S$30*$AM370^4+WeightSDS!T$30*$AM370^3+WeightSDS!U$30*$AM370^2+WeightSDS!V$30*$AM370+WeightSDS!W$30-0.010431*(1-1/$AM370),WeightSDS!M$32+WeightSDS!N$32/(1+EXP(WeightSDS!O$32+WeightSDS!P$32*$AM370))-0.010431*(1-$AM370/210))))</f>
        <v>2.9500001032655536</v>
      </c>
      <c r="AQ370" s="4">
        <f>IF(D370="M",IF($AM370&lt;162,WeightSDS!P$12*$AM370^7+WeightSDS!Q$12*$AM370^6+WeightSDS!R$12*$AM370^5+WeightSDS!S$12*$AM370^4+WeightSDS!T$12*$AM370^3+WeightSDS!U$12*$AM370^2+WeightSDS!V$12*$AM370+WeightSDS!W$12,WeightSDS!P$14*$AM370^7+WeightSDS!Q$14*$AM370^6+WeightSDS!R$14*$AM370^5+WeightSDS!S$14*$AM370^4+WeightSDS!T$14*$AM370^3+WeightSDS!U$14*$AM370^2+WeightSDS!V$14*$AM370+WeightSDS!W$14),IF($AM370&lt;156,WeightSDS!O$17*$AM370^8+WeightSDS!P$17*$AM370^7+WeightSDS!Q$17*$AM370^6+WeightSDS!R$17*$AM370^5+WeightSDS!S$17*$AM370^4+WeightSDS!T$17*$AM370^3+WeightSDS!U$17*$AM370^2+WeightSDS!V$17*$AM370+WeightSDS!W$17,IF($AM370&lt;186,WeightSDS!$U$18+(WeightSDS!$V$18-WeightSDS!$U$18)/24*($AM370-186)+WeightSDS!$W$18*(-$AM370+186)^2-0.005,WeightSDS!$U$18+(WeightSDS!$V$18-WeightSDS!$U$18)/24*($AM370-186)-0.005)))</f>
        <v>0.14604529399999999</v>
      </c>
      <c r="AT370" s="4">
        <f t="shared" si="112"/>
        <v>0.56299999999999994</v>
      </c>
      <c r="AU370" s="4">
        <f t="shared" si="113"/>
        <v>69</v>
      </c>
      <c r="AV370" s="4">
        <f t="shared" si="114"/>
        <v>0.51</v>
      </c>
    </row>
    <row r="371" spans="1:48" x14ac:dyDescent="0.15">
      <c r="A371" s="4"/>
      <c r="B371" s="21"/>
      <c r="C371" s="21"/>
      <c r="D371" s="21"/>
      <c r="E371" s="22"/>
      <c r="F371" s="22"/>
      <c r="G371" s="23"/>
      <c r="H371" s="23"/>
      <c r="I371" s="181"/>
      <c r="J371" s="8" t="str">
        <f t="shared" si="106"/>
        <v/>
      </c>
      <c r="K371" s="2" t="str">
        <f t="shared" si="115"/>
        <v/>
      </c>
      <c r="L371" s="2" t="str">
        <f t="shared" si="107"/>
        <v/>
      </c>
      <c r="M371" s="2" t="str">
        <f t="shared" si="116"/>
        <v/>
      </c>
      <c r="N371" s="2" t="str">
        <f t="shared" si="124"/>
        <v/>
      </c>
      <c r="O371" s="2" t="str">
        <f t="shared" si="117"/>
        <v/>
      </c>
      <c r="P371" s="8" t="str">
        <f t="shared" si="118"/>
        <v/>
      </c>
      <c r="Q371" s="8" t="str">
        <f t="shared" si="119"/>
        <v/>
      </c>
      <c r="R371" s="111" t="str">
        <f t="shared" si="120"/>
        <v/>
      </c>
      <c r="S371" s="44" t="str">
        <f t="shared" si="121"/>
        <v/>
      </c>
      <c r="T371" s="37" t="str">
        <f t="shared" si="122"/>
        <v/>
      </c>
      <c r="U371" s="44" t="str">
        <f t="shared" si="123"/>
        <v/>
      </c>
      <c r="V371" s="26"/>
      <c r="W371" s="26"/>
      <c r="X371" s="26"/>
      <c r="Y371" s="26"/>
      <c r="Z371" s="24"/>
      <c r="AA371" s="169">
        <f t="shared" si="108"/>
        <v>0</v>
      </c>
      <c r="AB371" s="4">
        <f t="shared" si="109"/>
        <v>0</v>
      </c>
      <c r="AC371" s="170">
        <f t="shared" si="126"/>
        <v>0</v>
      </c>
      <c r="AD371" s="58"/>
      <c r="AE371" s="58"/>
      <c r="AF371" s="58"/>
      <c r="AG371" s="59">
        <f t="shared" si="110"/>
        <v>9.0359999999999996</v>
      </c>
      <c r="AH371" s="59">
        <f t="shared" si="111"/>
        <v>-184.49199999999999</v>
      </c>
      <c r="AJ371" s="4">
        <f>IF(D371="M",IF(AM371&lt;78,BMILMS!$D$5*AM371^3+BMILMS!$E$5*AM371^2+BMILMS!$F$5*AM371+BMILMS!$G$5,IF(AM371&lt;150,BMILMS!$D$6*AM371^3+BMILMS!$E$6*AM371^2+BMILMS!$F$6*AM371+BMILMS!$G$6,BMILMS!$D$7*AM371^3+BMILMS!$E$7*AM371^2+BMILMS!$F$7*AM371+BMILMS!$G$7)),IF(AM371&lt;69,BMILMS!$D$9*AM371^3+BMILMS!$E$9*AM371^2+BMILMS!$F$9*AM371+BMILMS!$G$9,IF(AM371&lt;150,BMILMS!$D$10*AM371^3+BMILMS!$E$10*AM371^2+BMILMS!$F$10*AM371+BMILMS!$G$10,BMILMS!$D$11*AM371^3+BMILMS!$E$11*AM371^2+BMILMS!$F$11*AM371+BMILMS!$G$11)))</f>
        <v>0.79584630099999998</v>
      </c>
      <c r="AK371" s="4">
        <f>IF(D371="M",(IF(AM371&lt;2.5,BMILMS!$D$21*AM371^3+BMILMS!$E$21*AM371^2+BMILMS!$F$21*AM371+BMILMS!$G$21,IF(AM371&lt;9.5,BMILMS!$D$22*AM371^3+BMILMS!$E$22*AM371^2+BMILMS!$F$22*AM371+BMILMS!$G$22,IF(AM371&lt;26.75,BMILMS!$D$23*AM371^3+BMILMS!$E$23*AM371^2+BMILMS!$F$23*AM371+BMILMS!$G$23,IF(AM371&lt;90,BMILMS!$D$24*AM371^3+BMILMS!$E$24*AM371^2+BMILMS!$F$24*AM371+BMILMS!$G$24,BMILMS!$D$25*AM371^3+BMILMS!$E$25*AM371^2+BMILMS!$F$25*AM371+BMILMS!$G$25))))),(IF(AM371&lt;2.5,BMILMS!$D$27*AM371^3+BMILMS!$E$27*AM371^2+BMILMS!$F$27*AM371+BMILMS!$G$27,IF(AM371&lt;9.5,BMILMS!$D$28*AM371^3+BMILMS!$E$28*AM371^2+BMILMS!$F$28*AM371+BMILMS!$G$28,IF(AM371&lt;26.75,BMILMS!$D$29*AM371^3+BMILMS!$E$29*AM371^2+BMILMS!$F$29*AM371+BMILMS!$G$29,IF(AM371&lt;90,BMILMS!$D$30*AM371^3+BMILMS!$E$30*AM371^2+BMILMS!$F$30*AM371+BMILMS!$G$30,IF(AM371&lt;150,BMILMS!$D$31*AM371^3+BMILMS!$E$31*AM371^2+BMILMS!$F$31*AM371+BMILMS!$G$31,BMILMS!$D$32*AM371^3+BMILMS!$E$32*AM371^2+BMILMS!$F$32*AM371+BMILMS!$G$32)))))))</f>
        <v>12.568967990000001</v>
      </c>
      <c r="AL371" s="4">
        <f>IF(D371="M",(IF(AM371&lt;90,BMILMS!$D$14*AM371^3+BMILMS!$E$14*AM371^2+BMILMS!$F$14*AM371+BMILMS!$G$14,BMILMS!$D$15*AM371^3+BMILMS!$E$15*AM371^2+BMILMS!$F$15*AM371+BMILMS!$G$15)),(IF(AM371&lt;90,BMILMS!$D$17*AM371^3+BMILMS!$E$17*AM371^2+BMILMS!$F$17*AM371+BMILMS!$G$17,BMILMS!$D$18*AM371^3+BMILMS!$E$18*AM371^2+BMILMS!$F$18*AM371+BMILMS!$G$18)))</f>
        <v>8.8969350000000003E-2</v>
      </c>
      <c r="AM371" s="4">
        <f t="shared" si="125"/>
        <v>0</v>
      </c>
      <c r="AO371" s="56">
        <f>IF(D371="M",WeightSDS!P$5*$AM371^7+WeightSDS!Q$5*$AM371^6+WeightSDS!R$5*$AM371^5+WeightSDS!S$5*$AM371^4+WeightSDS!T$5*$AM371^3+WeightSDS!U$5*$AM371^2+WeightSDS!V$5*$AM371+WeightSDS!W$5,IF($AM371&lt;186,WeightSDS!P$8*$AM371^7+WeightSDS!Q$8*$AM371^6+WeightSDS!R$8*$AM371^5+WeightSDS!S$8*$AM371^4+WeightSDS!T$8*$AM371^3+WeightSDS!U$8*$AM371^2+WeightSDS!V$8*$AM371+WeightSDS!W$8,WeightSDS!$U$9+WeightSDS!$V$9*($AM371-WeightSDS!$W$9)))</f>
        <v>0.75407122999999998</v>
      </c>
      <c r="AP371" s="4">
        <f>IF(D371="M",IF($AM371&lt;45,WeightSDS!M$23*$AM371^10+WeightSDS!N$23*$AM371^9+WeightSDS!O$23*$AM371^8+WeightSDS!P$23*$AM371^7+WeightSDS!Q$23*$AM371^6+WeightSDS!R$23*$AM371^5+WeightSDS!S$23*$AM371^4+WeightSDS!T$23*$AM371^3+WeightSDS!U$23*$AM371^2+WeightSDS!V$23*$AM371+WeightSDS!W$23,IF($AM371&lt;153,WeightSDS!M$25*$AM371^10+WeightSDS!N$25*$AM371^9+WeightSDS!O$25*$AM371^8+WeightSDS!P$25*$AM371^7+WeightSDS!Q$25*$AM371^6+WeightSDS!R$25*$AM371^5+WeightSDS!S$25*$AM371^4+WeightSDS!T$25*$AM371^3+WeightSDS!U$25*$AM371^2+WeightSDS!V$25*$AM371+WeightSDS!W$25,WeightSDS!M$27+WeightSDS!N$27/(1+EXP(WeightSDS!O$27+WeightSDS!P$27*$AM371)))),IF($AM371&lt;43.8,WeightSDS!M$29*$AM371^10+WeightSDS!N$29*$AM371^9+WeightSDS!O$29*$AM371^8+WeightSDS!P$29*$AM371^7+WeightSDS!Q$29*$AM371^6+WeightSDS!R$29*$AM371^5+WeightSDS!S$29*$AM371^4+WeightSDS!T$29*$AM371^3+WeightSDS!U$29*$AM371^2+WeightSDS!V$29*$AM371+WeightSDS!W$29-0.010431*(1-$AM371/210),IF($AM371&lt;123,WeightSDS!M$30*$AM371^10+WeightSDS!N$30*$AM371^9+WeightSDS!O$30*$AM371^8+WeightSDS!P$30*$AM371^7+WeightSDS!Q$30*$AM371^6+WeightSDS!R$30*$AM371^5+WeightSDS!S$30*$AM371^4+WeightSDS!T$30*$AM371^3+WeightSDS!U$30*$AM371^2+WeightSDS!V$30*$AM371+WeightSDS!W$30-0.010431*(1-1/$AM371),WeightSDS!M$32+WeightSDS!N$32/(1+EXP(WeightSDS!O$32+WeightSDS!P$32*$AM371))-0.010431*(1-$AM371/210))))</f>
        <v>2.9500001032655536</v>
      </c>
      <c r="AQ371" s="4">
        <f>IF(D371="M",IF($AM371&lt;162,WeightSDS!P$12*$AM371^7+WeightSDS!Q$12*$AM371^6+WeightSDS!R$12*$AM371^5+WeightSDS!S$12*$AM371^4+WeightSDS!T$12*$AM371^3+WeightSDS!U$12*$AM371^2+WeightSDS!V$12*$AM371+WeightSDS!W$12,WeightSDS!P$14*$AM371^7+WeightSDS!Q$14*$AM371^6+WeightSDS!R$14*$AM371^5+WeightSDS!S$14*$AM371^4+WeightSDS!T$14*$AM371^3+WeightSDS!U$14*$AM371^2+WeightSDS!V$14*$AM371+WeightSDS!W$14),IF($AM371&lt;156,WeightSDS!O$17*$AM371^8+WeightSDS!P$17*$AM371^7+WeightSDS!Q$17*$AM371^6+WeightSDS!R$17*$AM371^5+WeightSDS!S$17*$AM371^4+WeightSDS!T$17*$AM371^3+WeightSDS!U$17*$AM371^2+WeightSDS!V$17*$AM371+WeightSDS!W$17,IF($AM371&lt;186,WeightSDS!$U$18+(WeightSDS!$V$18-WeightSDS!$U$18)/24*($AM371-186)+WeightSDS!$W$18*(-$AM371+186)^2-0.005,WeightSDS!$U$18+(WeightSDS!$V$18-WeightSDS!$U$18)/24*($AM371-186)-0.005)))</f>
        <v>0.14604529399999999</v>
      </c>
      <c r="AT371" s="4">
        <f t="shared" si="112"/>
        <v>0.56299999999999994</v>
      </c>
      <c r="AU371" s="4">
        <f t="shared" si="113"/>
        <v>69</v>
      </c>
      <c r="AV371" s="4">
        <f t="shared" si="114"/>
        <v>0.51</v>
      </c>
    </row>
    <row r="372" spans="1:48" x14ac:dyDescent="0.15">
      <c r="A372" s="4"/>
      <c r="B372" s="21"/>
      <c r="C372" s="21"/>
      <c r="D372" s="21"/>
      <c r="E372" s="22"/>
      <c r="F372" s="22"/>
      <c r="G372" s="23"/>
      <c r="H372" s="23"/>
      <c r="I372" s="181"/>
      <c r="J372" s="8" t="str">
        <f t="shared" si="106"/>
        <v/>
      </c>
      <c r="K372" s="2" t="str">
        <f t="shared" si="115"/>
        <v/>
      </c>
      <c r="L372" s="2" t="str">
        <f t="shared" si="107"/>
        <v/>
      </c>
      <c r="M372" s="2" t="str">
        <f t="shared" si="116"/>
        <v/>
      </c>
      <c r="N372" s="2" t="str">
        <f t="shared" si="124"/>
        <v/>
      </c>
      <c r="O372" s="2" t="str">
        <f t="shared" si="117"/>
        <v/>
      </c>
      <c r="P372" s="8" t="str">
        <f t="shared" si="118"/>
        <v/>
      </c>
      <c r="Q372" s="8" t="str">
        <f t="shared" si="119"/>
        <v/>
      </c>
      <c r="R372" s="111" t="str">
        <f t="shared" si="120"/>
        <v/>
      </c>
      <c r="S372" s="44" t="str">
        <f t="shared" si="121"/>
        <v/>
      </c>
      <c r="T372" s="37" t="str">
        <f t="shared" si="122"/>
        <v/>
      </c>
      <c r="U372" s="44" t="str">
        <f t="shared" si="123"/>
        <v/>
      </c>
      <c r="V372" s="26"/>
      <c r="W372" s="26"/>
      <c r="X372" s="26"/>
      <c r="Y372" s="26"/>
      <c r="Z372" s="24"/>
      <c r="AA372" s="169">
        <f t="shared" si="108"/>
        <v>0</v>
      </c>
      <c r="AB372" s="4">
        <f t="shared" si="109"/>
        <v>0</v>
      </c>
      <c r="AC372" s="170">
        <f t="shared" si="126"/>
        <v>0</v>
      </c>
      <c r="AD372" s="58"/>
      <c r="AE372" s="58"/>
      <c r="AF372" s="58"/>
      <c r="AG372" s="59">
        <f t="shared" si="110"/>
        <v>9.0359999999999996</v>
      </c>
      <c r="AH372" s="59">
        <f t="shared" si="111"/>
        <v>-184.49199999999999</v>
      </c>
      <c r="AJ372" s="4">
        <f>IF(D372="M",IF(AM372&lt;78,BMILMS!$D$5*AM372^3+BMILMS!$E$5*AM372^2+BMILMS!$F$5*AM372+BMILMS!$G$5,IF(AM372&lt;150,BMILMS!$D$6*AM372^3+BMILMS!$E$6*AM372^2+BMILMS!$F$6*AM372+BMILMS!$G$6,BMILMS!$D$7*AM372^3+BMILMS!$E$7*AM372^2+BMILMS!$F$7*AM372+BMILMS!$G$7)),IF(AM372&lt;69,BMILMS!$D$9*AM372^3+BMILMS!$E$9*AM372^2+BMILMS!$F$9*AM372+BMILMS!$G$9,IF(AM372&lt;150,BMILMS!$D$10*AM372^3+BMILMS!$E$10*AM372^2+BMILMS!$F$10*AM372+BMILMS!$G$10,BMILMS!$D$11*AM372^3+BMILMS!$E$11*AM372^2+BMILMS!$F$11*AM372+BMILMS!$G$11)))</f>
        <v>0.79584630099999998</v>
      </c>
      <c r="AK372" s="4">
        <f>IF(D372="M",(IF(AM372&lt;2.5,BMILMS!$D$21*AM372^3+BMILMS!$E$21*AM372^2+BMILMS!$F$21*AM372+BMILMS!$G$21,IF(AM372&lt;9.5,BMILMS!$D$22*AM372^3+BMILMS!$E$22*AM372^2+BMILMS!$F$22*AM372+BMILMS!$G$22,IF(AM372&lt;26.75,BMILMS!$D$23*AM372^3+BMILMS!$E$23*AM372^2+BMILMS!$F$23*AM372+BMILMS!$G$23,IF(AM372&lt;90,BMILMS!$D$24*AM372^3+BMILMS!$E$24*AM372^2+BMILMS!$F$24*AM372+BMILMS!$G$24,BMILMS!$D$25*AM372^3+BMILMS!$E$25*AM372^2+BMILMS!$F$25*AM372+BMILMS!$G$25))))),(IF(AM372&lt;2.5,BMILMS!$D$27*AM372^3+BMILMS!$E$27*AM372^2+BMILMS!$F$27*AM372+BMILMS!$G$27,IF(AM372&lt;9.5,BMILMS!$D$28*AM372^3+BMILMS!$E$28*AM372^2+BMILMS!$F$28*AM372+BMILMS!$G$28,IF(AM372&lt;26.75,BMILMS!$D$29*AM372^3+BMILMS!$E$29*AM372^2+BMILMS!$F$29*AM372+BMILMS!$G$29,IF(AM372&lt;90,BMILMS!$D$30*AM372^3+BMILMS!$E$30*AM372^2+BMILMS!$F$30*AM372+BMILMS!$G$30,IF(AM372&lt;150,BMILMS!$D$31*AM372^3+BMILMS!$E$31*AM372^2+BMILMS!$F$31*AM372+BMILMS!$G$31,BMILMS!$D$32*AM372^3+BMILMS!$E$32*AM372^2+BMILMS!$F$32*AM372+BMILMS!$G$32)))))))</f>
        <v>12.568967990000001</v>
      </c>
      <c r="AL372" s="4">
        <f>IF(D372="M",(IF(AM372&lt;90,BMILMS!$D$14*AM372^3+BMILMS!$E$14*AM372^2+BMILMS!$F$14*AM372+BMILMS!$G$14,BMILMS!$D$15*AM372^3+BMILMS!$E$15*AM372^2+BMILMS!$F$15*AM372+BMILMS!$G$15)),(IF(AM372&lt;90,BMILMS!$D$17*AM372^3+BMILMS!$E$17*AM372^2+BMILMS!$F$17*AM372+BMILMS!$G$17,BMILMS!$D$18*AM372^3+BMILMS!$E$18*AM372^2+BMILMS!$F$18*AM372+BMILMS!$G$18)))</f>
        <v>8.8969350000000003E-2</v>
      </c>
      <c r="AM372" s="4">
        <f t="shared" si="125"/>
        <v>0</v>
      </c>
      <c r="AO372" s="56">
        <f>IF(D372="M",WeightSDS!P$5*$AM372^7+WeightSDS!Q$5*$AM372^6+WeightSDS!R$5*$AM372^5+WeightSDS!S$5*$AM372^4+WeightSDS!T$5*$AM372^3+WeightSDS!U$5*$AM372^2+WeightSDS!V$5*$AM372+WeightSDS!W$5,IF($AM372&lt;186,WeightSDS!P$8*$AM372^7+WeightSDS!Q$8*$AM372^6+WeightSDS!R$8*$AM372^5+WeightSDS!S$8*$AM372^4+WeightSDS!T$8*$AM372^3+WeightSDS!U$8*$AM372^2+WeightSDS!V$8*$AM372+WeightSDS!W$8,WeightSDS!$U$9+WeightSDS!$V$9*($AM372-WeightSDS!$W$9)))</f>
        <v>0.75407122999999998</v>
      </c>
      <c r="AP372" s="4">
        <f>IF(D372="M",IF($AM372&lt;45,WeightSDS!M$23*$AM372^10+WeightSDS!N$23*$AM372^9+WeightSDS!O$23*$AM372^8+WeightSDS!P$23*$AM372^7+WeightSDS!Q$23*$AM372^6+WeightSDS!R$23*$AM372^5+WeightSDS!S$23*$AM372^4+WeightSDS!T$23*$AM372^3+WeightSDS!U$23*$AM372^2+WeightSDS!V$23*$AM372+WeightSDS!W$23,IF($AM372&lt;153,WeightSDS!M$25*$AM372^10+WeightSDS!N$25*$AM372^9+WeightSDS!O$25*$AM372^8+WeightSDS!P$25*$AM372^7+WeightSDS!Q$25*$AM372^6+WeightSDS!R$25*$AM372^5+WeightSDS!S$25*$AM372^4+WeightSDS!T$25*$AM372^3+WeightSDS!U$25*$AM372^2+WeightSDS!V$25*$AM372+WeightSDS!W$25,WeightSDS!M$27+WeightSDS!N$27/(1+EXP(WeightSDS!O$27+WeightSDS!P$27*$AM372)))),IF($AM372&lt;43.8,WeightSDS!M$29*$AM372^10+WeightSDS!N$29*$AM372^9+WeightSDS!O$29*$AM372^8+WeightSDS!P$29*$AM372^7+WeightSDS!Q$29*$AM372^6+WeightSDS!R$29*$AM372^5+WeightSDS!S$29*$AM372^4+WeightSDS!T$29*$AM372^3+WeightSDS!U$29*$AM372^2+WeightSDS!V$29*$AM372+WeightSDS!W$29-0.010431*(1-$AM372/210),IF($AM372&lt;123,WeightSDS!M$30*$AM372^10+WeightSDS!N$30*$AM372^9+WeightSDS!O$30*$AM372^8+WeightSDS!P$30*$AM372^7+WeightSDS!Q$30*$AM372^6+WeightSDS!R$30*$AM372^5+WeightSDS!S$30*$AM372^4+WeightSDS!T$30*$AM372^3+WeightSDS!U$30*$AM372^2+WeightSDS!V$30*$AM372+WeightSDS!W$30-0.010431*(1-1/$AM372),WeightSDS!M$32+WeightSDS!N$32/(1+EXP(WeightSDS!O$32+WeightSDS!P$32*$AM372))-0.010431*(1-$AM372/210))))</f>
        <v>2.9500001032655536</v>
      </c>
      <c r="AQ372" s="4">
        <f>IF(D372="M",IF($AM372&lt;162,WeightSDS!P$12*$AM372^7+WeightSDS!Q$12*$AM372^6+WeightSDS!R$12*$AM372^5+WeightSDS!S$12*$AM372^4+WeightSDS!T$12*$AM372^3+WeightSDS!U$12*$AM372^2+WeightSDS!V$12*$AM372+WeightSDS!W$12,WeightSDS!P$14*$AM372^7+WeightSDS!Q$14*$AM372^6+WeightSDS!R$14*$AM372^5+WeightSDS!S$14*$AM372^4+WeightSDS!T$14*$AM372^3+WeightSDS!U$14*$AM372^2+WeightSDS!V$14*$AM372+WeightSDS!W$14),IF($AM372&lt;156,WeightSDS!O$17*$AM372^8+WeightSDS!P$17*$AM372^7+WeightSDS!Q$17*$AM372^6+WeightSDS!R$17*$AM372^5+WeightSDS!S$17*$AM372^4+WeightSDS!T$17*$AM372^3+WeightSDS!U$17*$AM372^2+WeightSDS!V$17*$AM372+WeightSDS!W$17,IF($AM372&lt;186,WeightSDS!$U$18+(WeightSDS!$V$18-WeightSDS!$U$18)/24*($AM372-186)+WeightSDS!$W$18*(-$AM372+186)^2-0.005,WeightSDS!$U$18+(WeightSDS!$V$18-WeightSDS!$U$18)/24*($AM372-186)-0.005)))</f>
        <v>0.14604529399999999</v>
      </c>
      <c r="AT372" s="4">
        <f t="shared" si="112"/>
        <v>0.56299999999999994</v>
      </c>
      <c r="AU372" s="4">
        <f t="shared" si="113"/>
        <v>69</v>
      </c>
      <c r="AV372" s="4">
        <f t="shared" si="114"/>
        <v>0.51</v>
      </c>
    </row>
    <row r="373" spans="1:48" x14ac:dyDescent="0.15">
      <c r="A373" s="4"/>
      <c r="B373" s="21"/>
      <c r="C373" s="21"/>
      <c r="D373" s="21"/>
      <c r="E373" s="22"/>
      <c r="F373" s="22"/>
      <c r="G373" s="23"/>
      <c r="H373" s="23"/>
      <c r="I373" s="181"/>
      <c r="J373" s="8" t="str">
        <f t="shared" si="106"/>
        <v/>
      </c>
      <c r="K373" s="2" t="str">
        <f t="shared" si="115"/>
        <v/>
      </c>
      <c r="L373" s="2" t="str">
        <f t="shared" si="107"/>
        <v/>
      </c>
      <c r="M373" s="2" t="str">
        <f t="shared" si="116"/>
        <v/>
      </c>
      <c r="N373" s="2" t="str">
        <f t="shared" si="124"/>
        <v/>
      </c>
      <c r="O373" s="2" t="str">
        <f t="shared" si="117"/>
        <v/>
      </c>
      <c r="P373" s="8" t="str">
        <f t="shared" si="118"/>
        <v/>
      </c>
      <c r="Q373" s="8" t="str">
        <f t="shared" si="119"/>
        <v/>
      </c>
      <c r="R373" s="111" t="str">
        <f t="shared" si="120"/>
        <v/>
      </c>
      <c r="S373" s="44" t="str">
        <f t="shared" si="121"/>
        <v/>
      </c>
      <c r="T373" s="37" t="str">
        <f t="shared" si="122"/>
        <v/>
      </c>
      <c r="U373" s="44" t="str">
        <f t="shared" si="123"/>
        <v/>
      </c>
      <c r="V373" s="26"/>
      <c r="W373" s="26"/>
      <c r="X373" s="26"/>
      <c r="Y373" s="26"/>
      <c r="Z373" s="24"/>
      <c r="AA373" s="169">
        <f t="shared" si="108"/>
        <v>0</v>
      </c>
      <c r="AB373" s="4">
        <f t="shared" si="109"/>
        <v>0</v>
      </c>
      <c r="AC373" s="170">
        <f t="shared" si="126"/>
        <v>0</v>
      </c>
      <c r="AD373" s="58"/>
      <c r="AE373" s="58"/>
      <c r="AF373" s="58"/>
      <c r="AG373" s="59">
        <f t="shared" si="110"/>
        <v>9.0359999999999996</v>
      </c>
      <c r="AH373" s="59">
        <f t="shared" si="111"/>
        <v>-184.49199999999999</v>
      </c>
      <c r="AJ373" s="4">
        <f>IF(D373="M",IF(AM373&lt;78,BMILMS!$D$5*AM373^3+BMILMS!$E$5*AM373^2+BMILMS!$F$5*AM373+BMILMS!$G$5,IF(AM373&lt;150,BMILMS!$D$6*AM373^3+BMILMS!$E$6*AM373^2+BMILMS!$F$6*AM373+BMILMS!$G$6,BMILMS!$D$7*AM373^3+BMILMS!$E$7*AM373^2+BMILMS!$F$7*AM373+BMILMS!$G$7)),IF(AM373&lt;69,BMILMS!$D$9*AM373^3+BMILMS!$E$9*AM373^2+BMILMS!$F$9*AM373+BMILMS!$G$9,IF(AM373&lt;150,BMILMS!$D$10*AM373^3+BMILMS!$E$10*AM373^2+BMILMS!$F$10*AM373+BMILMS!$G$10,BMILMS!$D$11*AM373^3+BMILMS!$E$11*AM373^2+BMILMS!$F$11*AM373+BMILMS!$G$11)))</f>
        <v>0.79584630099999998</v>
      </c>
      <c r="AK373" s="4">
        <f>IF(D373="M",(IF(AM373&lt;2.5,BMILMS!$D$21*AM373^3+BMILMS!$E$21*AM373^2+BMILMS!$F$21*AM373+BMILMS!$G$21,IF(AM373&lt;9.5,BMILMS!$D$22*AM373^3+BMILMS!$E$22*AM373^2+BMILMS!$F$22*AM373+BMILMS!$G$22,IF(AM373&lt;26.75,BMILMS!$D$23*AM373^3+BMILMS!$E$23*AM373^2+BMILMS!$F$23*AM373+BMILMS!$G$23,IF(AM373&lt;90,BMILMS!$D$24*AM373^3+BMILMS!$E$24*AM373^2+BMILMS!$F$24*AM373+BMILMS!$G$24,BMILMS!$D$25*AM373^3+BMILMS!$E$25*AM373^2+BMILMS!$F$25*AM373+BMILMS!$G$25))))),(IF(AM373&lt;2.5,BMILMS!$D$27*AM373^3+BMILMS!$E$27*AM373^2+BMILMS!$F$27*AM373+BMILMS!$G$27,IF(AM373&lt;9.5,BMILMS!$D$28*AM373^3+BMILMS!$E$28*AM373^2+BMILMS!$F$28*AM373+BMILMS!$G$28,IF(AM373&lt;26.75,BMILMS!$D$29*AM373^3+BMILMS!$E$29*AM373^2+BMILMS!$F$29*AM373+BMILMS!$G$29,IF(AM373&lt;90,BMILMS!$D$30*AM373^3+BMILMS!$E$30*AM373^2+BMILMS!$F$30*AM373+BMILMS!$G$30,IF(AM373&lt;150,BMILMS!$D$31*AM373^3+BMILMS!$E$31*AM373^2+BMILMS!$F$31*AM373+BMILMS!$G$31,BMILMS!$D$32*AM373^3+BMILMS!$E$32*AM373^2+BMILMS!$F$32*AM373+BMILMS!$G$32)))))))</f>
        <v>12.568967990000001</v>
      </c>
      <c r="AL373" s="4">
        <f>IF(D373="M",(IF(AM373&lt;90,BMILMS!$D$14*AM373^3+BMILMS!$E$14*AM373^2+BMILMS!$F$14*AM373+BMILMS!$G$14,BMILMS!$D$15*AM373^3+BMILMS!$E$15*AM373^2+BMILMS!$F$15*AM373+BMILMS!$G$15)),(IF(AM373&lt;90,BMILMS!$D$17*AM373^3+BMILMS!$E$17*AM373^2+BMILMS!$F$17*AM373+BMILMS!$G$17,BMILMS!$D$18*AM373^3+BMILMS!$E$18*AM373^2+BMILMS!$F$18*AM373+BMILMS!$G$18)))</f>
        <v>8.8969350000000003E-2</v>
      </c>
      <c r="AM373" s="4">
        <f t="shared" si="125"/>
        <v>0</v>
      </c>
      <c r="AO373" s="56">
        <f>IF(D373="M",WeightSDS!P$5*$AM373^7+WeightSDS!Q$5*$AM373^6+WeightSDS!R$5*$AM373^5+WeightSDS!S$5*$AM373^4+WeightSDS!T$5*$AM373^3+WeightSDS!U$5*$AM373^2+WeightSDS!V$5*$AM373+WeightSDS!W$5,IF($AM373&lt;186,WeightSDS!P$8*$AM373^7+WeightSDS!Q$8*$AM373^6+WeightSDS!R$8*$AM373^5+WeightSDS!S$8*$AM373^4+WeightSDS!T$8*$AM373^3+WeightSDS!U$8*$AM373^2+WeightSDS!V$8*$AM373+WeightSDS!W$8,WeightSDS!$U$9+WeightSDS!$V$9*($AM373-WeightSDS!$W$9)))</f>
        <v>0.75407122999999998</v>
      </c>
      <c r="AP373" s="4">
        <f>IF(D373="M",IF($AM373&lt;45,WeightSDS!M$23*$AM373^10+WeightSDS!N$23*$AM373^9+WeightSDS!O$23*$AM373^8+WeightSDS!P$23*$AM373^7+WeightSDS!Q$23*$AM373^6+WeightSDS!R$23*$AM373^5+WeightSDS!S$23*$AM373^4+WeightSDS!T$23*$AM373^3+WeightSDS!U$23*$AM373^2+WeightSDS!V$23*$AM373+WeightSDS!W$23,IF($AM373&lt;153,WeightSDS!M$25*$AM373^10+WeightSDS!N$25*$AM373^9+WeightSDS!O$25*$AM373^8+WeightSDS!P$25*$AM373^7+WeightSDS!Q$25*$AM373^6+WeightSDS!R$25*$AM373^5+WeightSDS!S$25*$AM373^4+WeightSDS!T$25*$AM373^3+WeightSDS!U$25*$AM373^2+WeightSDS!V$25*$AM373+WeightSDS!W$25,WeightSDS!M$27+WeightSDS!N$27/(1+EXP(WeightSDS!O$27+WeightSDS!P$27*$AM373)))),IF($AM373&lt;43.8,WeightSDS!M$29*$AM373^10+WeightSDS!N$29*$AM373^9+WeightSDS!O$29*$AM373^8+WeightSDS!P$29*$AM373^7+WeightSDS!Q$29*$AM373^6+WeightSDS!R$29*$AM373^5+WeightSDS!S$29*$AM373^4+WeightSDS!T$29*$AM373^3+WeightSDS!U$29*$AM373^2+WeightSDS!V$29*$AM373+WeightSDS!W$29-0.010431*(1-$AM373/210),IF($AM373&lt;123,WeightSDS!M$30*$AM373^10+WeightSDS!N$30*$AM373^9+WeightSDS!O$30*$AM373^8+WeightSDS!P$30*$AM373^7+WeightSDS!Q$30*$AM373^6+WeightSDS!R$30*$AM373^5+WeightSDS!S$30*$AM373^4+WeightSDS!T$30*$AM373^3+WeightSDS!U$30*$AM373^2+WeightSDS!V$30*$AM373+WeightSDS!W$30-0.010431*(1-1/$AM373),WeightSDS!M$32+WeightSDS!N$32/(1+EXP(WeightSDS!O$32+WeightSDS!P$32*$AM373))-0.010431*(1-$AM373/210))))</f>
        <v>2.9500001032655536</v>
      </c>
      <c r="AQ373" s="4">
        <f>IF(D373="M",IF($AM373&lt;162,WeightSDS!P$12*$AM373^7+WeightSDS!Q$12*$AM373^6+WeightSDS!R$12*$AM373^5+WeightSDS!S$12*$AM373^4+WeightSDS!T$12*$AM373^3+WeightSDS!U$12*$AM373^2+WeightSDS!V$12*$AM373+WeightSDS!W$12,WeightSDS!P$14*$AM373^7+WeightSDS!Q$14*$AM373^6+WeightSDS!R$14*$AM373^5+WeightSDS!S$14*$AM373^4+WeightSDS!T$14*$AM373^3+WeightSDS!U$14*$AM373^2+WeightSDS!V$14*$AM373+WeightSDS!W$14),IF($AM373&lt;156,WeightSDS!O$17*$AM373^8+WeightSDS!P$17*$AM373^7+WeightSDS!Q$17*$AM373^6+WeightSDS!R$17*$AM373^5+WeightSDS!S$17*$AM373^4+WeightSDS!T$17*$AM373^3+WeightSDS!U$17*$AM373^2+WeightSDS!V$17*$AM373+WeightSDS!W$17,IF($AM373&lt;186,WeightSDS!$U$18+(WeightSDS!$V$18-WeightSDS!$U$18)/24*($AM373-186)+WeightSDS!$W$18*(-$AM373+186)^2-0.005,WeightSDS!$U$18+(WeightSDS!$V$18-WeightSDS!$U$18)/24*($AM373-186)-0.005)))</f>
        <v>0.14604529399999999</v>
      </c>
      <c r="AT373" s="4">
        <f t="shared" si="112"/>
        <v>0.56299999999999994</v>
      </c>
      <c r="AU373" s="4">
        <f t="shared" si="113"/>
        <v>69</v>
      </c>
      <c r="AV373" s="4">
        <f t="shared" si="114"/>
        <v>0.51</v>
      </c>
    </row>
    <row r="374" spans="1:48" x14ac:dyDescent="0.15">
      <c r="A374" s="4"/>
      <c r="B374" s="21"/>
      <c r="C374" s="21"/>
      <c r="D374" s="21"/>
      <c r="E374" s="22"/>
      <c r="F374" s="22"/>
      <c r="G374" s="23"/>
      <c r="H374" s="23"/>
      <c r="I374" s="181"/>
      <c r="J374" s="8" t="str">
        <f t="shared" si="106"/>
        <v/>
      </c>
      <c r="K374" s="2" t="str">
        <f t="shared" si="115"/>
        <v/>
      </c>
      <c r="L374" s="2" t="str">
        <f t="shared" si="107"/>
        <v/>
      </c>
      <c r="M374" s="2" t="str">
        <f t="shared" si="116"/>
        <v/>
      </c>
      <c r="N374" s="2" t="str">
        <f t="shared" si="124"/>
        <v/>
      </c>
      <c r="O374" s="2" t="str">
        <f t="shared" si="117"/>
        <v/>
      </c>
      <c r="P374" s="8" t="str">
        <f t="shared" si="118"/>
        <v/>
      </c>
      <c r="Q374" s="8" t="str">
        <f t="shared" si="119"/>
        <v/>
      </c>
      <c r="R374" s="111" t="str">
        <f t="shared" si="120"/>
        <v/>
      </c>
      <c r="S374" s="44" t="str">
        <f t="shared" si="121"/>
        <v/>
      </c>
      <c r="T374" s="37" t="str">
        <f t="shared" si="122"/>
        <v/>
      </c>
      <c r="U374" s="44" t="str">
        <f t="shared" si="123"/>
        <v/>
      </c>
      <c r="V374" s="26"/>
      <c r="W374" s="26"/>
      <c r="X374" s="26"/>
      <c r="Y374" s="26"/>
      <c r="Z374" s="24"/>
      <c r="AA374" s="169">
        <f t="shared" si="108"/>
        <v>0</v>
      </c>
      <c r="AB374" s="4">
        <f t="shared" si="109"/>
        <v>0</v>
      </c>
      <c r="AC374" s="170">
        <f t="shared" si="126"/>
        <v>0</v>
      </c>
      <c r="AD374" s="58"/>
      <c r="AE374" s="58"/>
      <c r="AF374" s="58"/>
      <c r="AG374" s="59">
        <f t="shared" si="110"/>
        <v>9.0359999999999996</v>
      </c>
      <c r="AH374" s="59">
        <f t="shared" si="111"/>
        <v>-184.49199999999999</v>
      </c>
      <c r="AJ374" s="4">
        <f>IF(D374="M",IF(AM374&lt;78,BMILMS!$D$5*AM374^3+BMILMS!$E$5*AM374^2+BMILMS!$F$5*AM374+BMILMS!$G$5,IF(AM374&lt;150,BMILMS!$D$6*AM374^3+BMILMS!$E$6*AM374^2+BMILMS!$F$6*AM374+BMILMS!$G$6,BMILMS!$D$7*AM374^3+BMILMS!$E$7*AM374^2+BMILMS!$F$7*AM374+BMILMS!$G$7)),IF(AM374&lt;69,BMILMS!$D$9*AM374^3+BMILMS!$E$9*AM374^2+BMILMS!$F$9*AM374+BMILMS!$G$9,IF(AM374&lt;150,BMILMS!$D$10*AM374^3+BMILMS!$E$10*AM374^2+BMILMS!$F$10*AM374+BMILMS!$G$10,BMILMS!$D$11*AM374^3+BMILMS!$E$11*AM374^2+BMILMS!$F$11*AM374+BMILMS!$G$11)))</f>
        <v>0.79584630099999998</v>
      </c>
      <c r="AK374" s="4">
        <f>IF(D374="M",(IF(AM374&lt;2.5,BMILMS!$D$21*AM374^3+BMILMS!$E$21*AM374^2+BMILMS!$F$21*AM374+BMILMS!$G$21,IF(AM374&lt;9.5,BMILMS!$D$22*AM374^3+BMILMS!$E$22*AM374^2+BMILMS!$F$22*AM374+BMILMS!$G$22,IF(AM374&lt;26.75,BMILMS!$D$23*AM374^3+BMILMS!$E$23*AM374^2+BMILMS!$F$23*AM374+BMILMS!$G$23,IF(AM374&lt;90,BMILMS!$D$24*AM374^3+BMILMS!$E$24*AM374^2+BMILMS!$F$24*AM374+BMILMS!$G$24,BMILMS!$D$25*AM374^3+BMILMS!$E$25*AM374^2+BMILMS!$F$25*AM374+BMILMS!$G$25))))),(IF(AM374&lt;2.5,BMILMS!$D$27*AM374^3+BMILMS!$E$27*AM374^2+BMILMS!$F$27*AM374+BMILMS!$G$27,IF(AM374&lt;9.5,BMILMS!$D$28*AM374^3+BMILMS!$E$28*AM374^2+BMILMS!$F$28*AM374+BMILMS!$G$28,IF(AM374&lt;26.75,BMILMS!$D$29*AM374^3+BMILMS!$E$29*AM374^2+BMILMS!$F$29*AM374+BMILMS!$G$29,IF(AM374&lt;90,BMILMS!$D$30*AM374^3+BMILMS!$E$30*AM374^2+BMILMS!$F$30*AM374+BMILMS!$G$30,IF(AM374&lt;150,BMILMS!$D$31*AM374^3+BMILMS!$E$31*AM374^2+BMILMS!$F$31*AM374+BMILMS!$G$31,BMILMS!$D$32*AM374^3+BMILMS!$E$32*AM374^2+BMILMS!$F$32*AM374+BMILMS!$G$32)))))))</f>
        <v>12.568967990000001</v>
      </c>
      <c r="AL374" s="4">
        <f>IF(D374="M",(IF(AM374&lt;90,BMILMS!$D$14*AM374^3+BMILMS!$E$14*AM374^2+BMILMS!$F$14*AM374+BMILMS!$G$14,BMILMS!$D$15*AM374^3+BMILMS!$E$15*AM374^2+BMILMS!$F$15*AM374+BMILMS!$G$15)),(IF(AM374&lt;90,BMILMS!$D$17*AM374^3+BMILMS!$E$17*AM374^2+BMILMS!$F$17*AM374+BMILMS!$G$17,BMILMS!$D$18*AM374^3+BMILMS!$E$18*AM374^2+BMILMS!$F$18*AM374+BMILMS!$G$18)))</f>
        <v>8.8969350000000003E-2</v>
      </c>
      <c r="AM374" s="4">
        <f t="shared" si="125"/>
        <v>0</v>
      </c>
      <c r="AO374" s="56">
        <f>IF(D374="M",WeightSDS!P$5*$AM374^7+WeightSDS!Q$5*$AM374^6+WeightSDS!R$5*$AM374^5+WeightSDS!S$5*$AM374^4+WeightSDS!T$5*$AM374^3+WeightSDS!U$5*$AM374^2+WeightSDS!V$5*$AM374+WeightSDS!W$5,IF($AM374&lt;186,WeightSDS!P$8*$AM374^7+WeightSDS!Q$8*$AM374^6+WeightSDS!R$8*$AM374^5+WeightSDS!S$8*$AM374^4+WeightSDS!T$8*$AM374^3+WeightSDS!U$8*$AM374^2+WeightSDS!V$8*$AM374+WeightSDS!W$8,WeightSDS!$U$9+WeightSDS!$V$9*($AM374-WeightSDS!$W$9)))</f>
        <v>0.75407122999999998</v>
      </c>
      <c r="AP374" s="4">
        <f>IF(D374="M",IF($AM374&lt;45,WeightSDS!M$23*$AM374^10+WeightSDS!N$23*$AM374^9+WeightSDS!O$23*$AM374^8+WeightSDS!P$23*$AM374^7+WeightSDS!Q$23*$AM374^6+WeightSDS!R$23*$AM374^5+WeightSDS!S$23*$AM374^4+WeightSDS!T$23*$AM374^3+WeightSDS!U$23*$AM374^2+WeightSDS!V$23*$AM374+WeightSDS!W$23,IF($AM374&lt;153,WeightSDS!M$25*$AM374^10+WeightSDS!N$25*$AM374^9+WeightSDS!O$25*$AM374^8+WeightSDS!P$25*$AM374^7+WeightSDS!Q$25*$AM374^6+WeightSDS!R$25*$AM374^5+WeightSDS!S$25*$AM374^4+WeightSDS!T$25*$AM374^3+WeightSDS!U$25*$AM374^2+WeightSDS!V$25*$AM374+WeightSDS!W$25,WeightSDS!M$27+WeightSDS!N$27/(1+EXP(WeightSDS!O$27+WeightSDS!P$27*$AM374)))),IF($AM374&lt;43.8,WeightSDS!M$29*$AM374^10+WeightSDS!N$29*$AM374^9+WeightSDS!O$29*$AM374^8+WeightSDS!P$29*$AM374^7+WeightSDS!Q$29*$AM374^6+WeightSDS!R$29*$AM374^5+WeightSDS!S$29*$AM374^4+WeightSDS!T$29*$AM374^3+WeightSDS!U$29*$AM374^2+WeightSDS!V$29*$AM374+WeightSDS!W$29-0.010431*(1-$AM374/210),IF($AM374&lt;123,WeightSDS!M$30*$AM374^10+WeightSDS!N$30*$AM374^9+WeightSDS!O$30*$AM374^8+WeightSDS!P$30*$AM374^7+WeightSDS!Q$30*$AM374^6+WeightSDS!R$30*$AM374^5+WeightSDS!S$30*$AM374^4+WeightSDS!T$30*$AM374^3+WeightSDS!U$30*$AM374^2+WeightSDS!V$30*$AM374+WeightSDS!W$30-0.010431*(1-1/$AM374),WeightSDS!M$32+WeightSDS!N$32/(1+EXP(WeightSDS!O$32+WeightSDS!P$32*$AM374))-0.010431*(1-$AM374/210))))</f>
        <v>2.9500001032655536</v>
      </c>
      <c r="AQ374" s="4">
        <f>IF(D374="M",IF($AM374&lt;162,WeightSDS!P$12*$AM374^7+WeightSDS!Q$12*$AM374^6+WeightSDS!R$12*$AM374^5+WeightSDS!S$12*$AM374^4+WeightSDS!T$12*$AM374^3+WeightSDS!U$12*$AM374^2+WeightSDS!V$12*$AM374+WeightSDS!W$12,WeightSDS!P$14*$AM374^7+WeightSDS!Q$14*$AM374^6+WeightSDS!R$14*$AM374^5+WeightSDS!S$14*$AM374^4+WeightSDS!T$14*$AM374^3+WeightSDS!U$14*$AM374^2+WeightSDS!V$14*$AM374+WeightSDS!W$14),IF($AM374&lt;156,WeightSDS!O$17*$AM374^8+WeightSDS!P$17*$AM374^7+WeightSDS!Q$17*$AM374^6+WeightSDS!R$17*$AM374^5+WeightSDS!S$17*$AM374^4+WeightSDS!T$17*$AM374^3+WeightSDS!U$17*$AM374^2+WeightSDS!V$17*$AM374+WeightSDS!W$17,IF($AM374&lt;186,WeightSDS!$U$18+(WeightSDS!$V$18-WeightSDS!$U$18)/24*($AM374-186)+WeightSDS!$W$18*(-$AM374+186)^2-0.005,WeightSDS!$U$18+(WeightSDS!$V$18-WeightSDS!$U$18)/24*($AM374-186)-0.005)))</f>
        <v>0.14604529399999999</v>
      </c>
      <c r="AT374" s="4">
        <f t="shared" si="112"/>
        <v>0.56299999999999994</v>
      </c>
      <c r="AU374" s="4">
        <f t="shared" si="113"/>
        <v>69</v>
      </c>
      <c r="AV374" s="4">
        <f t="shared" si="114"/>
        <v>0.51</v>
      </c>
    </row>
    <row r="375" spans="1:48" x14ac:dyDescent="0.15">
      <c r="A375" s="4"/>
      <c r="B375" s="21"/>
      <c r="C375" s="21"/>
      <c r="D375" s="21"/>
      <c r="E375" s="22"/>
      <c r="F375" s="22"/>
      <c r="G375" s="23"/>
      <c r="H375" s="23"/>
      <c r="I375" s="181"/>
      <c r="J375" s="8" t="str">
        <f t="shared" si="106"/>
        <v/>
      </c>
      <c r="K375" s="2" t="str">
        <f t="shared" si="115"/>
        <v/>
      </c>
      <c r="L375" s="2" t="str">
        <f t="shared" si="107"/>
        <v/>
      </c>
      <c r="M375" s="2" t="str">
        <f t="shared" si="116"/>
        <v/>
      </c>
      <c r="N375" s="2" t="str">
        <f t="shared" si="124"/>
        <v/>
      </c>
      <c r="O375" s="2" t="str">
        <f t="shared" si="117"/>
        <v/>
      </c>
      <c r="P375" s="8" t="str">
        <f t="shared" si="118"/>
        <v/>
      </c>
      <c r="Q375" s="8" t="str">
        <f t="shared" si="119"/>
        <v/>
      </c>
      <c r="R375" s="111" t="str">
        <f t="shared" si="120"/>
        <v/>
      </c>
      <c r="S375" s="44" t="str">
        <f t="shared" si="121"/>
        <v/>
      </c>
      <c r="T375" s="37" t="str">
        <f t="shared" si="122"/>
        <v/>
      </c>
      <c r="U375" s="44" t="str">
        <f t="shared" si="123"/>
        <v/>
      </c>
      <c r="V375" s="26"/>
      <c r="W375" s="26"/>
      <c r="X375" s="26"/>
      <c r="Y375" s="26"/>
      <c r="Z375" s="24"/>
      <c r="AA375" s="169">
        <f t="shared" si="108"/>
        <v>0</v>
      </c>
      <c r="AB375" s="4">
        <f t="shared" si="109"/>
        <v>0</v>
      </c>
      <c r="AC375" s="170">
        <f t="shared" si="126"/>
        <v>0</v>
      </c>
      <c r="AD375" s="58"/>
      <c r="AE375" s="58"/>
      <c r="AF375" s="58"/>
      <c r="AG375" s="59">
        <f t="shared" si="110"/>
        <v>9.0359999999999996</v>
      </c>
      <c r="AH375" s="59">
        <f t="shared" si="111"/>
        <v>-184.49199999999999</v>
      </c>
      <c r="AJ375" s="4">
        <f>IF(D375="M",IF(AM375&lt;78,BMILMS!$D$5*AM375^3+BMILMS!$E$5*AM375^2+BMILMS!$F$5*AM375+BMILMS!$G$5,IF(AM375&lt;150,BMILMS!$D$6*AM375^3+BMILMS!$E$6*AM375^2+BMILMS!$F$6*AM375+BMILMS!$G$6,BMILMS!$D$7*AM375^3+BMILMS!$E$7*AM375^2+BMILMS!$F$7*AM375+BMILMS!$G$7)),IF(AM375&lt;69,BMILMS!$D$9*AM375^3+BMILMS!$E$9*AM375^2+BMILMS!$F$9*AM375+BMILMS!$G$9,IF(AM375&lt;150,BMILMS!$D$10*AM375^3+BMILMS!$E$10*AM375^2+BMILMS!$F$10*AM375+BMILMS!$G$10,BMILMS!$D$11*AM375^3+BMILMS!$E$11*AM375^2+BMILMS!$F$11*AM375+BMILMS!$G$11)))</f>
        <v>0.79584630099999998</v>
      </c>
      <c r="AK375" s="4">
        <f>IF(D375="M",(IF(AM375&lt;2.5,BMILMS!$D$21*AM375^3+BMILMS!$E$21*AM375^2+BMILMS!$F$21*AM375+BMILMS!$G$21,IF(AM375&lt;9.5,BMILMS!$D$22*AM375^3+BMILMS!$E$22*AM375^2+BMILMS!$F$22*AM375+BMILMS!$G$22,IF(AM375&lt;26.75,BMILMS!$D$23*AM375^3+BMILMS!$E$23*AM375^2+BMILMS!$F$23*AM375+BMILMS!$G$23,IF(AM375&lt;90,BMILMS!$D$24*AM375^3+BMILMS!$E$24*AM375^2+BMILMS!$F$24*AM375+BMILMS!$G$24,BMILMS!$D$25*AM375^3+BMILMS!$E$25*AM375^2+BMILMS!$F$25*AM375+BMILMS!$G$25))))),(IF(AM375&lt;2.5,BMILMS!$D$27*AM375^3+BMILMS!$E$27*AM375^2+BMILMS!$F$27*AM375+BMILMS!$G$27,IF(AM375&lt;9.5,BMILMS!$D$28*AM375^3+BMILMS!$E$28*AM375^2+BMILMS!$F$28*AM375+BMILMS!$G$28,IF(AM375&lt;26.75,BMILMS!$D$29*AM375^3+BMILMS!$E$29*AM375^2+BMILMS!$F$29*AM375+BMILMS!$G$29,IF(AM375&lt;90,BMILMS!$D$30*AM375^3+BMILMS!$E$30*AM375^2+BMILMS!$F$30*AM375+BMILMS!$G$30,IF(AM375&lt;150,BMILMS!$D$31*AM375^3+BMILMS!$E$31*AM375^2+BMILMS!$F$31*AM375+BMILMS!$G$31,BMILMS!$D$32*AM375^3+BMILMS!$E$32*AM375^2+BMILMS!$F$32*AM375+BMILMS!$G$32)))))))</f>
        <v>12.568967990000001</v>
      </c>
      <c r="AL375" s="4">
        <f>IF(D375="M",(IF(AM375&lt;90,BMILMS!$D$14*AM375^3+BMILMS!$E$14*AM375^2+BMILMS!$F$14*AM375+BMILMS!$G$14,BMILMS!$D$15*AM375^3+BMILMS!$E$15*AM375^2+BMILMS!$F$15*AM375+BMILMS!$G$15)),(IF(AM375&lt;90,BMILMS!$D$17*AM375^3+BMILMS!$E$17*AM375^2+BMILMS!$F$17*AM375+BMILMS!$G$17,BMILMS!$D$18*AM375^3+BMILMS!$E$18*AM375^2+BMILMS!$F$18*AM375+BMILMS!$G$18)))</f>
        <v>8.8969350000000003E-2</v>
      </c>
      <c r="AM375" s="4">
        <f t="shared" si="125"/>
        <v>0</v>
      </c>
      <c r="AO375" s="56">
        <f>IF(D375="M",WeightSDS!P$5*$AM375^7+WeightSDS!Q$5*$AM375^6+WeightSDS!R$5*$AM375^5+WeightSDS!S$5*$AM375^4+WeightSDS!T$5*$AM375^3+WeightSDS!U$5*$AM375^2+WeightSDS!V$5*$AM375+WeightSDS!W$5,IF($AM375&lt;186,WeightSDS!P$8*$AM375^7+WeightSDS!Q$8*$AM375^6+WeightSDS!R$8*$AM375^5+WeightSDS!S$8*$AM375^4+WeightSDS!T$8*$AM375^3+WeightSDS!U$8*$AM375^2+WeightSDS!V$8*$AM375+WeightSDS!W$8,WeightSDS!$U$9+WeightSDS!$V$9*($AM375-WeightSDS!$W$9)))</f>
        <v>0.75407122999999998</v>
      </c>
      <c r="AP375" s="4">
        <f>IF(D375="M",IF($AM375&lt;45,WeightSDS!M$23*$AM375^10+WeightSDS!N$23*$AM375^9+WeightSDS!O$23*$AM375^8+WeightSDS!P$23*$AM375^7+WeightSDS!Q$23*$AM375^6+WeightSDS!R$23*$AM375^5+WeightSDS!S$23*$AM375^4+WeightSDS!T$23*$AM375^3+WeightSDS!U$23*$AM375^2+WeightSDS!V$23*$AM375+WeightSDS!W$23,IF($AM375&lt;153,WeightSDS!M$25*$AM375^10+WeightSDS!N$25*$AM375^9+WeightSDS!O$25*$AM375^8+WeightSDS!P$25*$AM375^7+WeightSDS!Q$25*$AM375^6+WeightSDS!R$25*$AM375^5+WeightSDS!S$25*$AM375^4+WeightSDS!T$25*$AM375^3+WeightSDS!U$25*$AM375^2+WeightSDS!V$25*$AM375+WeightSDS!W$25,WeightSDS!M$27+WeightSDS!N$27/(1+EXP(WeightSDS!O$27+WeightSDS!P$27*$AM375)))),IF($AM375&lt;43.8,WeightSDS!M$29*$AM375^10+WeightSDS!N$29*$AM375^9+WeightSDS!O$29*$AM375^8+WeightSDS!P$29*$AM375^7+WeightSDS!Q$29*$AM375^6+WeightSDS!R$29*$AM375^5+WeightSDS!S$29*$AM375^4+WeightSDS!T$29*$AM375^3+WeightSDS!U$29*$AM375^2+WeightSDS!V$29*$AM375+WeightSDS!W$29-0.010431*(1-$AM375/210),IF($AM375&lt;123,WeightSDS!M$30*$AM375^10+WeightSDS!N$30*$AM375^9+WeightSDS!O$30*$AM375^8+WeightSDS!P$30*$AM375^7+WeightSDS!Q$30*$AM375^6+WeightSDS!R$30*$AM375^5+WeightSDS!S$30*$AM375^4+WeightSDS!T$30*$AM375^3+WeightSDS!U$30*$AM375^2+WeightSDS!V$30*$AM375+WeightSDS!W$30-0.010431*(1-1/$AM375),WeightSDS!M$32+WeightSDS!N$32/(1+EXP(WeightSDS!O$32+WeightSDS!P$32*$AM375))-0.010431*(1-$AM375/210))))</f>
        <v>2.9500001032655536</v>
      </c>
      <c r="AQ375" s="4">
        <f>IF(D375="M",IF($AM375&lt;162,WeightSDS!P$12*$AM375^7+WeightSDS!Q$12*$AM375^6+WeightSDS!R$12*$AM375^5+WeightSDS!S$12*$AM375^4+WeightSDS!T$12*$AM375^3+WeightSDS!U$12*$AM375^2+WeightSDS!V$12*$AM375+WeightSDS!W$12,WeightSDS!P$14*$AM375^7+WeightSDS!Q$14*$AM375^6+WeightSDS!R$14*$AM375^5+WeightSDS!S$14*$AM375^4+WeightSDS!T$14*$AM375^3+WeightSDS!U$14*$AM375^2+WeightSDS!V$14*$AM375+WeightSDS!W$14),IF($AM375&lt;156,WeightSDS!O$17*$AM375^8+WeightSDS!P$17*$AM375^7+WeightSDS!Q$17*$AM375^6+WeightSDS!R$17*$AM375^5+WeightSDS!S$17*$AM375^4+WeightSDS!T$17*$AM375^3+WeightSDS!U$17*$AM375^2+WeightSDS!V$17*$AM375+WeightSDS!W$17,IF($AM375&lt;186,WeightSDS!$U$18+(WeightSDS!$V$18-WeightSDS!$U$18)/24*($AM375-186)+WeightSDS!$W$18*(-$AM375+186)^2-0.005,WeightSDS!$U$18+(WeightSDS!$V$18-WeightSDS!$U$18)/24*($AM375-186)-0.005)))</f>
        <v>0.14604529399999999</v>
      </c>
      <c r="AT375" s="4">
        <f t="shared" si="112"/>
        <v>0.56299999999999994</v>
      </c>
      <c r="AU375" s="4">
        <f t="shared" si="113"/>
        <v>69</v>
      </c>
      <c r="AV375" s="4">
        <f t="shared" si="114"/>
        <v>0.51</v>
      </c>
    </row>
    <row r="376" spans="1:48" x14ac:dyDescent="0.15">
      <c r="A376" s="4"/>
      <c r="B376" s="21"/>
      <c r="C376" s="21"/>
      <c r="D376" s="21"/>
      <c r="E376" s="22"/>
      <c r="F376" s="22"/>
      <c r="G376" s="23"/>
      <c r="H376" s="23"/>
      <c r="I376" s="181"/>
      <c r="J376" s="8" t="str">
        <f t="shared" si="106"/>
        <v/>
      </c>
      <c r="K376" s="2" t="str">
        <f t="shared" si="115"/>
        <v/>
      </c>
      <c r="L376" s="2" t="str">
        <f t="shared" si="107"/>
        <v/>
      </c>
      <c r="M376" s="2" t="str">
        <f t="shared" si="116"/>
        <v/>
      </c>
      <c r="N376" s="2" t="str">
        <f t="shared" si="124"/>
        <v/>
      </c>
      <c r="O376" s="2" t="str">
        <f t="shared" si="117"/>
        <v/>
      </c>
      <c r="P376" s="8" t="str">
        <f t="shared" si="118"/>
        <v/>
      </c>
      <c r="Q376" s="8" t="str">
        <f t="shared" si="119"/>
        <v/>
      </c>
      <c r="R376" s="111" t="str">
        <f t="shared" si="120"/>
        <v/>
      </c>
      <c r="S376" s="44" t="str">
        <f t="shared" si="121"/>
        <v/>
      </c>
      <c r="T376" s="37" t="str">
        <f t="shared" si="122"/>
        <v/>
      </c>
      <c r="U376" s="44" t="str">
        <f t="shared" si="123"/>
        <v/>
      </c>
      <c r="V376" s="26"/>
      <c r="W376" s="26"/>
      <c r="X376" s="26"/>
      <c r="Y376" s="26"/>
      <c r="Z376" s="24"/>
      <c r="AA376" s="169">
        <f t="shared" si="108"/>
        <v>0</v>
      </c>
      <c r="AB376" s="4">
        <f t="shared" si="109"/>
        <v>0</v>
      </c>
      <c r="AC376" s="170">
        <f t="shared" si="126"/>
        <v>0</v>
      </c>
      <c r="AD376" s="58"/>
      <c r="AE376" s="58"/>
      <c r="AF376" s="58"/>
      <c r="AG376" s="59">
        <f t="shared" si="110"/>
        <v>9.0359999999999996</v>
      </c>
      <c r="AH376" s="59">
        <f t="shared" si="111"/>
        <v>-184.49199999999999</v>
      </c>
      <c r="AJ376" s="4">
        <f>IF(D376="M",IF(AM376&lt;78,BMILMS!$D$5*AM376^3+BMILMS!$E$5*AM376^2+BMILMS!$F$5*AM376+BMILMS!$G$5,IF(AM376&lt;150,BMILMS!$D$6*AM376^3+BMILMS!$E$6*AM376^2+BMILMS!$F$6*AM376+BMILMS!$G$6,BMILMS!$D$7*AM376^3+BMILMS!$E$7*AM376^2+BMILMS!$F$7*AM376+BMILMS!$G$7)),IF(AM376&lt;69,BMILMS!$D$9*AM376^3+BMILMS!$E$9*AM376^2+BMILMS!$F$9*AM376+BMILMS!$G$9,IF(AM376&lt;150,BMILMS!$D$10*AM376^3+BMILMS!$E$10*AM376^2+BMILMS!$F$10*AM376+BMILMS!$G$10,BMILMS!$D$11*AM376^3+BMILMS!$E$11*AM376^2+BMILMS!$F$11*AM376+BMILMS!$G$11)))</f>
        <v>0.79584630099999998</v>
      </c>
      <c r="AK376" s="4">
        <f>IF(D376="M",(IF(AM376&lt;2.5,BMILMS!$D$21*AM376^3+BMILMS!$E$21*AM376^2+BMILMS!$F$21*AM376+BMILMS!$G$21,IF(AM376&lt;9.5,BMILMS!$D$22*AM376^3+BMILMS!$E$22*AM376^2+BMILMS!$F$22*AM376+BMILMS!$G$22,IF(AM376&lt;26.75,BMILMS!$D$23*AM376^3+BMILMS!$E$23*AM376^2+BMILMS!$F$23*AM376+BMILMS!$G$23,IF(AM376&lt;90,BMILMS!$D$24*AM376^3+BMILMS!$E$24*AM376^2+BMILMS!$F$24*AM376+BMILMS!$G$24,BMILMS!$D$25*AM376^3+BMILMS!$E$25*AM376^2+BMILMS!$F$25*AM376+BMILMS!$G$25))))),(IF(AM376&lt;2.5,BMILMS!$D$27*AM376^3+BMILMS!$E$27*AM376^2+BMILMS!$F$27*AM376+BMILMS!$G$27,IF(AM376&lt;9.5,BMILMS!$D$28*AM376^3+BMILMS!$E$28*AM376^2+BMILMS!$F$28*AM376+BMILMS!$G$28,IF(AM376&lt;26.75,BMILMS!$D$29*AM376^3+BMILMS!$E$29*AM376^2+BMILMS!$F$29*AM376+BMILMS!$G$29,IF(AM376&lt;90,BMILMS!$D$30*AM376^3+BMILMS!$E$30*AM376^2+BMILMS!$F$30*AM376+BMILMS!$G$30,IF(AM376&lt;150,BMILMS!$D$31*AM376^3+BMILMS!$E$31*AM376^2+BMILMS!$F$31*AM376+BMILMS!$G$31,BMILMS!$D$32*AM376^3+BMILMS!$E$32*AM376^2+BMILMS!$F$32*AM376+BMILMS!$G$32)))))))</f>
        <v>12.568967990000001</v>
      </c>
      <c r="AL376" s="4">
        <f>IF(D376="M",(IF(AM376&lt;90,BMILMS!$D$14*AM376^3+BMILMS!$E$14*AM376^2+BMILMS!$F$14*AM376+BMILMS!$G$14,BMILMS!$D$15*AM376^3+BMILMS!$E$15*AM376^2+BMILMS!$F$15*AM376+BMILMS!$G$15)),(IF(AM376&lt;90,BMILMS!$D$17*AM376^3+BMILMS!$E$17*AM376^2+BMILMS!$F$17*AM376+BMILMS!$G$17,BMILMS!$D$18*AM376^3+BMILMS!$E$18*AM376^2+BMILMS!$F$18*AM376+BMILMS!$G$18)))</f>
        <v>8.8969350000000003E-2</v>
      </c>
      <c r="AM376" s="4">
        <f t="shared" si="125"/>
        <v>0</v>
      </c>
      <c r="AO376" s="56">
        <f>IF(D376="M",WeightSDS!P$5*$AM376^7+WeightSDS!Q$5*$AM376^6+WeightSDS!R$5*$AM376^5+WeightSDS!S$5*$AM376^4+WeightSDS!T$5*$AM376^3+WeightSDS!U$5*$AM376^2+WeightSDS!V$5*$AM376+WeightSDS!W$5,IF($AM376&lt;186,WeightSDS!P$8*$AM376^7+WeightSDS!Q$8*$AM376^6+WeightSDS!R$8*$AM376^5+WeightSDS!S$8*$AM376^4+WeightSDS!T$8*$AM376^3+WeightSDS!U$8*$AM376^2+WeightSDS!V$8*$AM376+WeightSDS!W$8,WeightSDS!$U$9+WeightSDS!$V$9*($AM376-WeightSDS!$W$9)))</f>
        <v>0.75407122999999998</v>
      </c>
      <c r="AP376" s="4">
        <f>IF(D376="M",IF($AM376&lt;45,WeightSDS!M$23*$AM376^10+WeightSDS!N$23*$AM376^9+WeightSDS!O$23*$AM376^8+WeightSDS!P$23*$AM376^7+WeightSDS!Q$23*$AM376^6+WeightSDS!R$23*$AM376^5+WeightSDS!S$23*$AM376^4+WeightSDS!T$23*$AM376^3+WeightSDS!U$23*$AM376^2+WeightSDS!V$23*$AM376+WeightSDS!W$23,IF($AM376&lt;153,WeightSDS!M$25*$AM376^10+WeightSDS!N$25*$AM376^9+WeightSDS!O$25*$AM376^8+WeightSDS!P$25*$AM376^7+WeightSDS!Q$25*$AM376^6+WeightSDS!R$25*$AM376^5+WeightSDS!S$25*$AM376^4+WeightSDS!T$25*$AM376^3+WeightSDS!U$25*$AM376^2+WeightSDS!V$25*$AM376+WeightSDS!W$25,WeightSDS!M$27+WeightSDS!N$27/(1+EXP(WeightSDS!O$27+WeightSDS!P$27*$AM376)))),IF($AM376&lt;43.8,WeightSDS!M$29*$AM376^10+WeightSDS!N$29*$AM376^9+WeightSDS!O$29*$AM376^8+WeightSDS!P$29*$AM376^7+WeightSDS!Q$29*$AM376^6+WeightSDS!R$29*$AM376^5+WeightSDS!S$29*$AM376^4+WeightSDS!T$29*$AM376^3+WeightSDS!U$29*$AM376^2+WeightSDS!V$29*$AM376+WeightSDS!W$29-0.010431*(1-$AM376/210),IF($AM376&lt;123,WeightSDS!M$30*$AM376^10+WeightSDS!N$30*$AM376^9+WeightSDS!O$30*$AM376^8+WeightSDS!P$30*$AM376^7+WeightSDS!Q$30*$AM376^6+WeightSDS!R$30*$AM376^5+WeightSDS!S$30*$AM376^4+WeightSDS!T$30*$AM376^3+WeightSDS!U$30*$AM376^2+WeightSDS!V$30*$AM376+WeightSDS!W$30-0.010431*(1-1/$AM376),WeightSDS!M$32+WeightSDS!N$32/(1+EXP(WeightSDS!O$32+WeightSDS!P$32*$AM376))-0.010431*(1-$AM376/210))))</f>
        <v>2.9500001032655536</v>
      </c>
      <c r="AQ376" s="4">
        <f>IF(D376="M",IF($AM376&lt;162,WeightSDS!P$12*$AM376^7+WeightSDS!Q$12*$AM376^6+WeightSDS!R$12*$AM376^5+WeightSDS!S$12*$AM376^4+WeightSDS!T$12*$AM376^3+WeightSDS!U$12*$AM376^2+WeightSDS!V$12*$AM376+WeightSDS!W$12,WeightSDS!P$14*$AM376^7+WeightSDS!Q$14*$AM376^6+WeightSDS!R$14*$AM376^5+WeightSDS!S$14*$AM376^4+WeightSDS!T$14*$AM376^3+WeightSDS!U$14*$AM376^2+WeightSDS!V$14*$AM376+WeightSDS!W$14),IF($AM376&lt;156,WeightSDS!O$17*$AM376^8+WeightSDS!P$17*$AM376^7+WeightSDS!Q$17*$AM376^6+WeightSDS!R$17*$AM376^5+WeightSDS!S$17*$AM376^4+WeightSDS!T$17*$AM376^3+WeightSDS!U$17*$AM376^2+WeightSDS!V$17*$AM376+WeightSDS!W$17,IF($AM376&lt;186,WeightSDS!$U$18+(WeightSDS!$V$18-WeightSDS!$U$18)/24*($AM376-186)+WeightSDS!$W$18*(-$AM376+186)^2-0.005,WeightSDS!$U$18+(WeightSDS!$V$18-WeightSDS!$U$18)/24*($AM376-186)-0.005)))</f>
        <v>0.14604529399999999</v>
      </c>
      <c r="AT376" s="4">
        <f t="shared" si="112"/>
        <v>0.56299999999999994</v>
      </c>
      <c r="AU376" s="4">
        <f t="shared" si="113"/>
        <v>69</v>
      </c>
      <c r="AV376" s="4">
        <f t="shared" si="114"/>
        <v>0.51</v>
      </c>
    </row>
    <row r="377" spans="1:48" x14ac:dyDescent="0.15">
      <c r="A377" s="4"/>
      <c r="B377" s="21"/>
      <c r="C377" s="21"/>
      <c r="D377" s="21"/>
      <c r="E377" s="22"/>
      <c r="F377" s="22"/>
      <c r="G377" s="23"/>
      <c r="H377" s="23"/>
      <c r="I377" s="181"/>
      <c r="J377" s="8" t="str">
        <f t="shared" si="106"/>
        <v/>
      </c>
      <c r="K377" s="2" t="str">
        <f t="shared" si="115"/>
        <v/>
      </c>
      <c r="L377" s="2" t="str">
        <f t="shared" si="107"/>
        <v/>
      </c>
      <c r="M377" s="2" t="str">
        <f t="shared" si="116"/>
        <v/>
      </c>
      <c r="N377" s="2" t="str">
        <f t="shared" si="124"/>
        <v/>
      </c>
      <c r="O377" s="2" t="str">
        <f t="shared" si="117"/>
        <v/>
      </c>
      <c r="P377" s="8" t="str">
        <f t="shared" si="118"/>
        <v/>
      </c>
      <c r="Q377" s="8" t="str">
        <f t="shared" si="119"/>
        <v/>
      </c>
      <c r="R377" s="111" t="str">
        <f t="shared" si="120"/>
        <v/>
      </c>
      <c r="S377" s="44" t="str">
        <f t="shared" si="121"/>
        <v/>
      </c>
      <c r="T377" s="37" t="str">
        <f t="shared" si="122"/>
        <v/>
      </c>
      <c r="U377" s="44" t="str">
        <f t="shared" si="123"/>
        <v/>
      </c>
      <c r="V377" s="26"/>
      <c r="W377" s="26"/>
      <c r="X377" s="26"/>
      <c r="Y377" s="26"/>
      <c r="Z377" s="24"/>
      <c r="AA377" s="169">
        <f t="shared" si="108"/>
        <v>0</v>
      </c>
      <c r="AB377" s="4">
        <f t="shared" si="109"/>
        <v>0</v>
      </c>
      <c r="AC377" s="170">
        <f t="shared" si="126"/>
        <v>0</v>
      </c>
      <c r="AD377" s="58"/>
      <c r="AE377" s="58"/>
      <c r="AF377" s="58"/>
      <c r="AG377" s="59">
        <f t="shared" si="110"/>
        <v>9.0359999999999996</v>
      </c>
      <c r="AH377" s="59">
        <f t="shared" si="111"/>
        <v>-184.49199999999999</v>
      </c>
      <c r="AJ377" s="4">
        <f>IF(D377="M",IF(AM377&lt;78,BMILMS!$D$5*AM377^3+BMILMS!$E$5*AM377^2+BMILMS!$F$5*AM377+BMILMS!$G$5,IF(AM377&lt;150,BMILMS!$D$6*AM377^3+BMILMS!$E$6*AM377^2+BMILMS!$F$6*AM377+BMILMS!$G$6,BMILMS!$D$7*AM377^3+BMILMS!$E$7*AM377^2+BMILMS!$F$7*AM377+BMILMS!$G$7)),IF(AM377&lt;69,BMILMS!$D$9*AM377^3+BMILMS!$E$9*AM377^2+BMILMS!$F$9*AM377+BMILMS!$G$9,IF(AM377&lt;150,BMILMS!$D$10*AM377^3+BMILMS!$E$10*AM377^2+BMILMS!$F$10*AM377+BMILMS!$G$10,BMILMS!$D$11*AM377^3+BMILMS!$E$11*AM377^2+BMILMS!$F$11*AM377+BMILMS!$G$11)))</f>
        <v>0.79584630099999998</v>
      </c>
      <c r="AK377" s="4">
        <f>IF(D377="M",(IF(AM377&lt;2.5,BMILMS!$D$21*AM377^3+BMILMS!$E$21*AM377^2+BMILMS!$F$21*AM377+BMILMS!$G$21,IF(AM377&lt;9.5,BMILMS!$D$22*AM377^3+BMILMS!$E$22*AM377^2+BMILMS!$F$22*AM377+BMILMS!$G$22,IF(AM377&lt;26.75,BMILMS!$D$23*AM377^3+BMILMS!$E$23*AM377^2+BMILMS!$F$23*AM377+BMILMS!$G$23,IF(AM377&lt;90,BMILMS!$D$24*AM377^3+BMILMS!$E$24*AM377^2+BMILMS!$F$24*AM377+BMILMS!$G$24,BMILMS!$D$25*AM377^3+BMILMS!$E$25*AM377^2+BMILMS!$F$25*AM377+BMILMS!$G$25))))),(IF(AM377&lt;2.5,BMILMS!$D$27*AM377^3+BMILMS!$E$27*AM377^2+BMILMS!$F$27*AM377+BMILMS!$G$27,IF(AM377&lt;9.5,BMILMS!$D$28*AM377^3+BMILMS!$E$28*AM377^2+BMILMS!$F$28*AM377+BMILMS!$G$28,IF(AM377&lt;26.75,BMILMS!$D$29*AM377^3+BMILMS!$E$29*AM377^2+BMILMS!$F$29*AM377+BMILMS!$G$29,IF(AM377&lt;90,BMILMS!$D$30*AM377^3+BMILMS!$E$30*AM377^2+BMILMS!$F$30*AM377+BMILMS!$G$30,IF(AM377&lt;150,BMILMS!$D$31*AM377^3+BMILMS!$E$31*AM377^2+BMILMS!$F$31*AM377+BMILMS!$G$31,BMILMS!$D$32*AM377^3+BMILMS!$E$32*AM377^2+BMILMS!$F$32*AM377+BMILMS!$G$32)))))))</f>
        <v>12.568967990000001</v>
      </c>
      <c r="AL377" s="4">
        <f>IF(D377="M",(IF(AM377&lt;90,BMILMS!$D$14*AM377^3+BMILMS!$E$14*AM377^2+BMILMS!$F$14*AM377+BMILMS!$G$14,BMILMS!$D$15*AM377^3+BMILMS!$E$15*AM377^2+BMILMS!$F$15*AM377+BMILMS!$G$15)),(IF(AM377&lt;90,BMILMS!$D$17*AM377^3+BMILMS!$E$17*AM377^2+BMILMS!$F$17*AM377+BMILMS!$G$17,BMILMS!$D$18*AM377^3+BMILMS!$E$18*AM377^2+BMILMS!$F$18*AM377+BMILMS!$G$18)))</f>
        <v>8.8969350000000003E-2</v>
      </c>
      <c r="AM377" s="4">
        <f t="shared" si="125"/>
        <v>0</v>
      </c>
      <c r="AO377" s="56">
        <f>IF(D377="M",WeightSDS!P$5*$AM377^7+WeightSDS!Q$5*$AM377^6+WeightSDS!R$5*$AM377^5+WeightSDS!S$5*$AM377^4+WeightSDS!T$5*$AM377^3+WeightSDS!U$5*$AM377^2+WeightSDS!V$5*$AM377+WeightSDS!W$5,IF($AM377&lt;186,WeightSDS!P$8*$AM377^7+WeightSDS!Q$8*$AM377^6+WeightSDS!R$8*$AM377^5+WeightSDS!S$8*$AM377^4+WeightSDS!T$8*$AM377^3+WeightSDS!U$8*$AM377^2+WeightSDS!V$8*$AM377+WeightSDS!W$8,WeightSDS!$U$9+WeightSDS!$V$9*($AM377-WeightSDS!$W$9)))</f>
        <v>0.75407122999999998</v>
      </c>
      <c r="AP377" s="4">
        <f>IF(D377="M",IF($AM377&lt;45,WeightSDS!M$23*$AM377^10+WeightSDS!N$23*$AM377^9+WeightSDS!O$23*$AM377^8+WeightSDS!P$23*$AM377^7+WeightSDS!Q$23*$AM377^6+WeightSDS!R$23*$AM377^5+WeightSDS!S$23*$AM377^4+WeightSDS!T$23*$AM377^3+WeightSDS!U$23*$AM377^2+WeightSDS!V$23*$AM377+WeightSDS!W$23,IF($AM377&lt;153,WeightSDS!M$25*$AM377^10+WeightSDS!N$25*$AM377^9+WeightSDS!O$25*$AM377^8+WeightSDS!P$25*$AM377^7+WeightSDS!Q$25*$AM377^6+WeightSDS!R$25*$AM377^5+WeightSDS!S$25*$AM377^4+WeightSDS!T$25*$AM377^3+WeightSDS!U$25*$AM377^2+WeightSDS!V$25*$AM377+WeightSDS!W$25,WeightSDS!M$27+WeightSDS!N$27/(1+EXP(WeightSDS!O$27+WeightSDS!P$27*$AM377)))),IF($AM377&lt;43.8,WeightSDS!M$29*$AM377^10+WeightSDS!N$29*$AM377^9+WeightSDS!O$29*$AM377^8+WeightSDS!P$29*$AM377^7+WeightSDS!Q$29*$AM377^6+WeightSDS!R$29*$AM377^5+WeightSDS!S$29*$AM377^4+WeightSDS!T$29*$AM377^3+WeightSDS!U$29*$AM377^2+WeightSDS!V$29*$AM377+WeightSDS!W$29-0.010431*(1-$AM377/210),IF($AM377&lt;123,WeightSDS!M$30*$AM377^10+WeightSDS!N$30*$AM377^9+WeightSDS!O$30*$AM377^8+WeightSDS!P$30*$AM377^7+WeightSDS!Q$30*$AM377^6+WeightSDS!R$30*$AM377^5+WeightSDS!S$30*$AM377^4+WeightSDS!T$30*$AM377^3+WeightSDS!U$30*$AM377^2+WeightSDS!V$30*$AM377+WeightSDS!W$30-0.010431*(1-1/$AM377),WeightSDS!M$32+WeightSDS!N$32/(1+EXP(WeightSDS!O$32+WeightSDS!P$32*$AM377))-0.010431*(1-$AM377/210))))</f>
        <v>2.9500001032655536</v>
      </c>
      <c r="AQ377" s="4">
        <f>IF(D377="M",IF($AM377&lt;162,WeightSDS!P$12*$AM377^7+WeightSDS!Q$12*$AM377^6+WeightSDS!R$12*$AM377^5+WeightSDS!S$12*$AM377^4+WeightSDS!T$12*$AM377^3+WeightSDS!U$12*$AM377^2+WeightSDS!V$12*$AM377+WeightSDS!W$12,WeightSDS!P$14*$AM377^7+WeightSDS!Q$14*$AM377^6+WeightSDS!R$14*$AM377^5+WeightSDS!S$14*$AM377^4+WeightSDS!T$14*$AM377^3+WeightSDS!U$14*$AM377^2+WeightSDS!V$14*$AM377+WeightSDS!W$14),IF($AM377&lt;156,WeightSDS!O$17*$AM377^8+WeightSDS!P$17*$AM377^7+WeightSDS!Q$17*$AM377^6+WeightSDS!R$17*$AM377^5+WeightSDS!S$17*$AM377^4+WeightSDS!T$17*$AM377^3+WeightSDS!U$17*$AM377^2+WeightSDS!V$17*$AM377+WeightSDS!W$17,IF($AM377&lt;186,WeightSDS!$U$18+(WeightSDS!$V$18-WeightSDS!$U$18)/24*($AM377-186)+WeightSDS!$W$18*(-$AM377+186)^2-0.005,WeightSDS!$U$18+(WeightSDS!$V$18-WeightSDS!$U$18)/24*($AM377-186)-0.005)))</f>
        <v>0.14604529399999999</v>
      </c>
      <c r="AT377" s="4">
        <f t="shared" si="112"/>
        <v>0.56299999999999994</v>
      </c>
      <c r="AU377" s="4">
        <f t="shared" si="113"/>
        <v>69</v>
      </c>
      <c r="AV377" s="4">
        <f t="shared" si="114"/>
        <v>0.51</v>
      </c>
    </row>
    <row r="378" spans="1:48" x14ac:dyDescent="0.15">
      <c r="A378" s="4"/>
      <c r="B378" s="21"/>
      <c r="C378" s="21"/>
      <c r="D378" s="21"/>
      <c r="E378" s="22"/>
      <c r="F378" s="22"/>
      <c r="G378" s="23"/>
      <c r="H378" s="23"/>
      <c r="I378" s="181"/>
      <c r="J378" s="8" t="str">
        <f t="shared" si="106"/>
        <v/>
      </c>
      <c r="K378" s="2" t="str">
        <f t="shared" si="115"/>
        <v/>
      </c>
      <c r="L378" s="2" t="str">
        <f t="shared" si="107"/>
        <v/>
      </c>
      <c r="M378" s="2" t="str">
        <f t="shared" si="116"/>
        <v/>
      </c>
      <c r="N378" s="2" t="str">
        <f t="shared" si="124"/>
        <v/>
      </c>
      <c r="O378" s="2" t="str">
        <f t="shared" si="117"/>
        <v/>
      </c>
      <c r="P378" s="8" t="str">
        <f t="shared" si="118"/>
        <v/>
      </c>
      <c r="Q378" s="8" t="str">
        <f t="shared" si="119"/>
        <v/>
      </c>
      <c r="R378" s="111" t="str">
        <f t="shared" si="120"/>
        <v/>
      </c>
      <c r="S378" s="44" t="str">
        <f t="shared" si="121"/>
        <v/>
      </c>
      <c r="T378" s="37" t="str">
        <f t="shared" si="122"/>
        <v/>
      </c>
      <c r="U378" s="44" t="str">
        <f t="shared" si="123"/>
        <v/>
      </c>
      <c r="V378" s="26"/>
      <c r="W378" s="26"/>
      <c r="X378" s="26"/>
      <c r="Y378" s="26"/>
      <c r="Z378" s="24"/>
      <c r="AA378" s="169">
        <f t="shared" si="108"/>
        <v>0</v>
      </c>
      <c r="AB378" s="4">
        <f t="shared" si="109"/>
        <v>0</v>
      </c>
      <c r="AC378" s="170">
        <f t="shared" si="126"/>
        <v>0</v>
      </c>
      <c r="AD378" s="58"/>
      <c r="AE378" s="58"/>
      <c r="AF378" s="58"/>
      <c r="AG378" s="59">
        <f t="shared" si="110"/>
        <v>9.0359999999999996</v>
      </c>
      <c r="AH378" s="59">
        <f t="shared" si="111"/>
        <v>-184.49199999999999</v>
      </c>
      <c r="AJ378" s="4">
        <f>IF(D378="M",IF(AM378&lt;78,BMILMS!$D$5*AM378^3+BMILMS!$E$5*AM378^2+BMILMS!$F$5*AM378+BMILMS!$G$5,IF(AM378&lt;150,BMILMS!$D$6*AM378^3+BMILMS!$E$6*AM378^2+BMILMS!$F$6*AM378+BMILMS!$G$6,BMILMS!$D$7*AM378^3+BMILMS!$E$7*AM378^2+BMILMS!$F$7*AM378+BMILMS!$G$7)),IF(AM378&lt;69,BMILMS!$D$9*AM378^3+BMILMS!$E$9*AM378^2+BMILMS!$F$9*AM378+BMILMS!$G$9,IF(AM378&lt;150,BMILMS!$D$10*AM378^3+BMILMS!$E$10*AM378^2+BMILMS!$F$10*AM378+BMILMS!$G$10,BMILMS!$D$11*AM378^3+BMILMS!$E$11*AM378^2+BMILMS!$F$11*AM378+BMILMS!$G$11)))</f>
        <v>0.79584630099999998</v>
      </c>
      <c r="AK378" s="4">
        <f>IF(D378="M",(IF(AM378&lt;2.5,BMILMS!$D$21*AM378^3+BMILMS!$E$21*AM378^2+BMILMS!$F$21*AM378+BMILMS!$G$21,IF(AM378&lt;9.5,BMILMS!$D$22*AM378^3+BMILMS!$E$22*AM378^2+BMILMS!$F$22*AM378+BMILMS!$G$22,IF(AM378&lt;26.75,BMILMS!$D$23*AM378^3+BMILMS!$E$23*AM378^2+BMILMS!$F$23*AM378+BMILMS!$G$23,IF(AM378&lt;90,BMILMS!$D$24*AM378^3+BMILMS!$E$24*AM378^2+BMILMS!$F$24*AM378+BMILMS!$G$24,BMILMS!$D$25*AM378^3+BMILMS!$E$25*AM378^2+BMILMS!$F$25*AM378+BMILMS!$G$25))))),(IF(AM378&lt;2.5,BMILMS!$D$27*AM378^3+BMILMS!$E$27*AM378^2+BMILMS!$F$27*AM378+BMILMS!$G$27,IF(AM378&lt;9.5,BMILMS!$D$28*AM378^3+BMILMS!$E$28*AM378^2+BMILMS!$F$28*AM378+BMILMS!$G$28,IF(AM378&lt;26.75,BMILMS!$D$29*AM378^3+BMILMS!$E$29*AM378^2+BMILMS!$F$29*AM378+BMILMS!$G$29,IF(AM378&lt;90,BMILMS!$D$30*AM378^3+BMILMS!$E$30*AM378^2+BMILMS!$F$30*AM378+BMILMS!$G$30,IF(AM378&lt;150,BMILMS!$D$31*AM378^3+BMILMS!$E$31*AM378^2+BMILMS!$F$31*AM378+BMILMS!$G$31,BMILMS!$D$32*AM378^3+BMILMS!$E$32*AM378^2+BMILMS!$F$32*AM378+BMILMS!$G$32)))))))</f>
        <v>12.568967990000001</v>
      </c>
      <c r="AL378" s="4">
        <f>IF(D378="M",(IF(AM378&lt;90,BMILMS!$D$14*AM378^3+BMILMS!$E$14*AM378^2+BMILMS!$F$14*AM378+BMILMS!$G$14,BMILMS!$D$15*AM378^3+BMILMS!$E$15*AM378^2+BMILMS!$F$15*AM378+BMILMS!$G$15)),(IF(AM378&lt;90,BMILMS!$D$17*AM378^3+BMILMS!$E$17*AM378^2+BMILMS!$F$17*AM378+BMILMS!$G$17,BMILMS!$D$18*AM378^3+BMILMS!$E$18*AM378^2+BMILMS!$F$18*AM378+BMILMS!$G$18)))</f>
        <v>8.8969350000000003E-2</v>
      </c>
      <c r="AM378" s="4">
        <f t="shared" si="125"/>
        <v>0</v>
      </c>
      <c r="AO378" s="56">
        <f>IF(D378="M",WeightSDS!P$5*$AM378^7+WeightSDS!Q$5*$AM378^6+WeightSDS!R$5*$AM378^5+WeightSDS!S$5*$AM378^4+WeightSDS!T$5*$AM378^3+WeightSDS!U$5*$AM378^2+WeightSDS!V$5*$AM378+WeightSDS!W$5,IF($AM378&lt;186,WeightSDS!P$8*$AM378^7+WeightSDS!Q$8*$AM378^6+WeightSDS!R$8*$AM378^5+WeightSDS!S$8*$AM378^4+WeightSDS!T$8*$AM378^3+WeightSDS!U$8*$AM378^2+WeightSDS!V$8*$AM378+WeightSDS!W$8,WeightSDS!$U$9+WeightSDS!$V$9*($AM378-WeightSDS!$W$9)))</f>
        <v>0.75407122999999998</v>
      </c>
      <c r="AP378" s="4">
        <f>IF(D378="M",IF($AM378&lt;45,WeightSDS!M$23*$AM378^10+WeightSDS!N$23*$AM378^9+WeightSDS!O$23*$AM378^8+WeightSDS!P$23*$AM378^7+WeightSDS!Q$23*$AM378^6+WeightSDS!R$23*$AM378^5+WeightSDS!S$23*$AM378^4+WeightSDS!T$23*$AM378^3+WeightSDS!U$23*$AM378^2+WeightSDS!V$23*$AM378+WeightSDS!W$23,IF($AM378&lt;153,WeightSDS!M$25*$AM378^10+WeightSDS!N$25*$AM378^9+WeightSDS!O$25*$AM378^8+WeightSDS!P$25*$AM378^7+WeightSDS!Q$25*$AM378^6+WeightSDS!R$25*$AM378^5+WeightSDS!S$25*$AM378^4+WeightSDS!T$25*$AM378^3+WeightSDS!U$25*$AM378^2+WeightSDS!V$25*$AM378+WeightSDS!W$25,WeightSDS!M$27+WeightSDS!N$27/(1+EXP(WeightSDS!O$27+WeightSDS!P$27*$AM378)))),IF($AM378&lt;43.8,WeightSDS!M$29*$AM378^10+WeightSDS!N$29*$AM378^9+WeightSDS!O$29*$AM378^8+WeightSDS!P$29*$AM378^7+WeightSDS!Q$29*$AM378^6+WeightSDS!R$29*$AM378^5+WeightSDS!S$29*$AM378^4+WeightSDS!T$29*$AM378^3+WeightSDS!U$29*$AM378^2+WeightSDS!V$29*$AM378+WeightSDS!W$29-0.010431*(1-$AM378/210),IF($AM378&lt;123,WeightSDS!M$30*$AM378^10+WeightSDS!N$30*$AM378^9+WeightSDS!O$30*$AM378^8+WeightSDS!P$30*$AM378^7+WeightSDS!Q$30*$AM378^6+WeightSDS!R$30*$AM378^5+WeightSDS!S$30*$AM378^4+WeightSDS!T$30*$AM378^3+WeightSDS!U$30*$AM378^2+WeightSDS!V$30*$AM378+WeightSDS!W$30-0.010431*(1-1/$AM378),WeightSDS!M$32+WeightSDS!N$32/(1+EXP(WeightSDS!O$32+WeightSDS!P$32*$AM378))-0.010431*(1-$AM378/210))))</f>
        <v>2.9500001032655536</v>
      </c>
      <c r="AQ378" s="4">
        <f>IF(D378="M",IF($AM378&lt;162,WeightSDS!P$12*$AM378^7+WeightSDS!Q$12*$AM378^6+WeightSDS!R$12*$AM378^5+WeightSDS!S$12*$AM378^4+WeightSDS!T$12*$AM378^3+WeightSDS!U$12*$AM378^2+WeightSDS!V$12*$AM378+WeightSDS!W$12,WeightSDS!P$14*$AM378^7+WeightSDS!Q$14*$AM378^6+WeightSDS!R$14*$AM378^5+WeightSDS!S$14*$AM378^4+WeightSDS!T$14*$AM378^3+WeightSDS!U$14*$AM378^2+WeightSDS!V$14*$AM378+WeightSDS!W$14),IF($AM378&lt;156,WeightSDS!O$17*$AM378^8+WeightSDS!P$17*$AM378^7+WeightSDS!Q$17*$AM378^6+WeightSDS!R$17*$AM378^5+WeightSDS!S$17*$AM378^4+WeightSDS!T$17*$AM378^3+WeightSDS!U$17*$AM378^2+WeightSDS!V$17*$AM378+WeightSDS!W$17,IF($AM378&lt;186,WeightSDS!$U$18+(WeightSDS!$V$18-WeightSDS!$U$18)/24*($AM378-186)+WeightSDS!$W$18*(-$AM378+186)^2-0.005,WeightSDS!$U$18+(WeightSDS!$V$18-WeightSDS!$U$18)/24*($AM378-186)-0.005)))</f>
        <v>0.14604529399999999</v>
      </c>
      <c r="AT378" s="4">
        <f t="shared" si="112"/>
        <v>0.56299999999999994</v>
      </c>
      <c r="AU378" s="4">
        <f t="shared" si="113"/>
        <v>69</v>
      </c>
      <c r="AV378" s="4">
        <f t="shared" si="114"/>
        <v>0.51</v>
      </c>
    </row>
    <row r="379" spans="1:48" x14ac:dyDescent="0.15">
      <c r="A379" s="4"/>
      <c r="B379" s="21"/>
      <c r="C379" s="21"/>
      <c r="D379" s="21"/>
      <c r="E379" s="22"/>
      <c r="F379" s="22"/>
      <c r="G379" s="23"/>
      <c r="H379" s="23"/>
      <c r="I379" s="181"/>
      <c r="J379" s="8" t="str">
        <f t="shared" si="106"/>
        <v/>
      </c>
      <c r="K379" s="2" t="str">
        <f t="shared" si="115"/>
        <v/>
      </c>
      <c r="L379" s="2" t="str">
        <f t="shared" si="107"/>
        <v/>
      </c>
      <c r="M379" s="2" t="str">
        <f t="shared" si="116"/>
        <v/>
      </c>
      <c r="N379" s="2" t="str">
        <f t="shared" si="124"/>
        <v/>
      </c>
      <c r="O379" s="2" t="str">
        <f t="shared" si="117"/>
        <v/>
      </c>
      <c r="P379" s="8" t="str">
        <f t="shared" si="118"/>
        <v/>
      </c>
      <c r="Q379" s="8" t="str">
        <f t="shared" si="119"/>
        <v/>
      </c>
      <c r="R379" s="111" t="str">
        <f t="shared" si="120"/>
        <v/>
      </c>
      <c r="S379" s="44" t="str">
        <f t="shared" si="121"/>
        <v/>
      </c>
      <c r="T379" s="37" t="str">
        <f t="shared" si="122"/>
        <v/>
      </c>
      <c r="U379" s="44" t="str">
        <f t="shared" si="123"/>
        <v/>
      </c>
      <c r="V379" s="26"/>
      <c r="W379" s="26"/>
      <c r="X379" s="26"/>
      <c r="Y379" s="26"/>
      <c r="Z379" s="24"/>
      <c r="AA379" s="169">
        <f t="shared" si="108"/>
        <v>0</v>
      </c>
      <c r="AB379" s="4">
        <f t="shared" si="109"/>
        <v>0</v>
      </c>
      <c r="AC379" s="170">
        <f t="shared" si="126"/>
        <v>0</v>
      </c>
      <c r="AD379" s="58"/>
      <c r="AE379" s="58"/>
      <c r="AF379" s="58"/>
      <c r="AG379" s="59">
        <f t="shared" si="110"/>
        <v>9.0359999999999996</v>
      </c>
      <c r="AH379" s="59">
        <f t="shared" si="111"/>
        <v>-184.49199999999999</v>
      </c>
      <c r="AJ379" s="4">
        <f>IF(D379="M",IF(AM379&lt;78,BMILMS!$D$5*AM379^3+BMILMS!$E$5*AM379^2+BMILMS!$F$5*AM379+BMILMS!$G$5,IF(AM379&lt;150,BMILMS!$D$6*AM379^3+BMILMS!$E$6*AM379^2+BMILMS!$F$6*AM379+BMILMS!$G$6,BMILMS!$D$7*AM379^3+BMILMS!$E$7*AM379^2+BMILMS!$F$7*AM379+BMILMS!$G$7)),IF(AM379&lt;69,BMILMS!$D$9*AM379^3+BMILMS!$E$9*AM379^2+BMILMS!$F$9*AM379+BMILMS!$G$9,IF(AM379&lt;150,BMILMS!$D$10*AM379^3+BMILMS!$E$10*AM379^2+BMILMS!$F$10*AM379+BMILMS!$G$10,BMILMS!$D$11*AM379^3+BMILMS!$E$11*AM379^2+BMILMS!$F$11*AM379+BMILMS!$G$11)))</f>
        <v>0.79584630099999998</v>
      </c>
      <c r="AK379" s="4">
        <f>IF(D379="M",(IF(AM379&lt;2.5,BMILMS!$D$21*AM379^3+BMILMS!$E$21*AM379^2+BMILMS!$F$21*AM379+BMILMS!$G$21,IF(AM379&lt;9.5,BMILMS!$D$22*AM379^3+BMILMS!$E$22*AM379^2+BMILMS!$F$22*AM379+BMILMS!$G$22,IF(AM379&lt;26.75,BMILMS!$D$23*AM379^3+BMILMS!$E$23*AM379^2+BMILMS!$F$23*AM379+BMILMS!$G$23,IF(AM379&lt;90,BMILMS!$D$24*AM379^3+BMILMS!$E$24*AM379^2+BMILMS!$F$24*AM379+BMILMS!$G$24,BMILMS!$D$25*AM379^3+BMILMS!$E$25*AM379^2+BMILMS!$F$25*AM379+BMILMS!$G$25))))),(IF(AM379&lt;2.5,BMILMS!$D$27*AM379^3+BMILMS!$E$27*AM379^2+BMILMS!$F$27*AM379+BMILMS!$G$27,IF(AM379&lt;9.5,BMILMS!$D$28*AM379^3+BMILMS!$E$28*AM379^2+BMILMS!$F$28*AM379+BMILMS!$G$28,IF(AM379&lt;26.75,BMILMS!$D$29*AM379^3+BMILMS!$E$29*AM379^2+BMILMS!$F$29*AM379+BMILMS!$G$29,IF(AM379&lt;90,BMILMS!$D$30*AM379^3+BMILMS!$E$30*AM379^2+BMILMS!$F$30*AM379+BMILMS!$G$30,IF(AM379&lt;150,BMILMS!$D$31*AM379^3+BMILMS!$E$31*AM379^2+BMILMS!$F$31*AM379+BMILMS!$G$31,BMILMS!$D$32*AM379^3+BMILMS!$E$32*AM379^2+BMILMS!$F$32*AM379+BMILMS!$G$32)))))))</f>
        <v>12.568967990000001</v>
      </c>
      <c r="AL379" s="4">
        <f>IF(D379="M",(IF(AM379&lt;90,BMILMS!$D$14*AM379^3+BMILMS!$E$14*AM379^2+BMILMS!$F$14*AM379+BMILMS!$G$14,BMILMS!$D$15*AM379^3+BMILMS!$E$15*AM379^2+BMILMS!$F$15*AM379+BMILMS!$G$15)),(IF(AM379&lt;90,BMILMS!$D$17*AM379^3+BMILMS!$E$17*AM379^2+BMILMS!$F$17*AM379+BMILMS!$G$17,BMILMS!$D$18*AM379^3+BMILMS!$E$18*AM379^2+BMILMS!$F$18*AM379+BMILMS!$G$18)))</f>
        <v>8.8969350000000003E-2</v>
      </c>
      <c r="AM379" s="4">
        <f t="shared" si="125"/>
        <v>0</v>
      </c>
      <c r="AO379" s="56">
        <f>IF(D379="M",WeightSDS!P$5*$AM379^7+WeightSDS!Q$5*$AM379^6+WeightSDS!R$5*$AM379^5+WeightSDS!S$5*$AM379^4+WeightSDS!T$5*$AM379^3+WeightSDS!U$5*$AM379^2+WeightSDS!V$5*$AM379+WeightSDS!W$5,IF($AM379&lt;186,WeightSDS!P$8*$AM379^7+WeightSDS!Q$8*$AM379^6+WeightSDS!R$8*$AM379^5+WeightSDS!S$8*$AM379^4+WeightSDS!T$8*$AM379^3+WeightSDS!U$8*$AM379^2+WeightSDS!V$8*$AM379+WeightSDS!W$8,WeightSDS!$U$9+WeightSDS!$V$9*($AM379-WeightSDS!$W$9)))</f>
        <v>0.75407122999999998</v>
      </c>
      <c r="AP379" s="4">
        <f>IF(D379="M",IF($AM379&lt;45,WeightSDS!M$23*$AM379^10+WeightSDS!N$23*$AM379^9+WeightSDS!O$23*$AM379^8+WeightSDS!P$23*$AM379^7+WeightSDS!Q$23*$AM379^6+WeightSDS!R$23*$AM379^5+WeightSDS!S$23*$AM379^4+WeightSDS!T$23*$AM379^3+WeightSDS!U$23*$AM379^2+WeightSDS!V$23*$AM379+WeightSDS!W$23,IF($AM379&lt;153,WeightSDS!M$25*$AM379^10+WeightSDS!N$25*$AM379^9+WeightSDS!O$25*$AM379^8+WeightSDS!P$25*$AM379^7+WeightSDS!Q$25*$AM379^6+WeightSDS!R$25*$AM379^5+WeightSDS!S$25*$AM379^4+WeightSDS!T$25*$AM379^3+WeightSDS!U$25*$AM379^2+WeightSDS!V$25*$AM379+WeightSDS!W$25,WeightSDS!M$27+WeightSDS!N$27/(1+EXP(WeightSDS!O$27+WeightSDS!P$27*$AM379)))),IF($AM379&lt;43.8,WeightSDS!M$29*$AM379^10+WeightSDS!N$29*$AM379^9+WeightSDS!O$29*$AM379^8+WeightSDS!P$29*$AM379^7+WeightSDS!Q$29*$AM379^6+WeightSDS!R$29*$AM379^5+WeightSDS!S$29*$AM379^4+WeightSDS!T$29*$AM379^3+WeightSDS!U$29*$AM379^2+WeightSDS!V$29*$AM379+WeightSDS!W$29-0.010431*(1-$AM379/210),IF($AM379&lt;123,WeightSDS!M$30*$AM379^10+WeightSDS!N$30*$AM379^9+WeightSDS!O$30*$AM379^8+WeightSDS!P$30*$AM379^7+WeightSDS!Q$30*$AM379^6+WeightSDS!R$30*$AM379^5+WeightSDS!S$30*$AM379^4+WeightSDS!T$30*$AM379^3+WeightSDS!U$30*$AM379^2+WeightSDS!V$30*$AM379+WeightSDS!W$30-0.010431*(1-1/$AM379),WeightSDS!M$32+WeightSDS!N$32/(1+EXP(WeightSDS!O$32+WeightSDS!P$32*$AM379))-0.010431*(1-$AM379/210))))</f>
        <v>2.9500001032655536</v>
      </c>
      <c r="AQ379" s="4">
        <f>IF(D379="M",IF($AM379&lt;162,WeightSDS!P$12*$AM379^7+WeightSDS!Q$12*$AM379^6+WeightSDS!R$12*$AM379^5+WeightSDS!S$12*$AM379^4+WeightSDS!T$12*$AM379^3+WeightSDS!U$12*$AM379^2+WeightSDS!V$12*$AM379+WeightSDS!W$12,WeightSDS!P$14*$AM379^7+WeightSDS!Q$14*$AM379^6+WeightSDS!R$14*$AM379^5+WeightSDS!S$14*$AM379^4+WeightSDS!T$14*$AM379^3+WeightSDS!U$14*$AM379^2+WeightSDS!V$14*$AM379+WeightSDS!W$14),IF($AM379&lt;156,WeightSDS!O$17*$AM379^8+WeightSDS!P$17*$AM379^7+WeightSDS!Q$17*$AM379^6+WeightSDS!R$17*$AM379^5+WeightSDS!S$17*$AM379^4+WeightSDS!T$17*$AM379^3+WeightSDS!U$17*$AM379^2+WeightSDS!V$17*$AM379+WeightSDS!W$17,IF($AM379&lt;186,WeightSDS!$U$18+(WeightSDS!$V$18-WeightSDS!$U$18)/24*($AM379-186)+WeightSDS!$W$18*(-$AM379+186)^2-0.005,WeightSDS!$U$18+(WeightSDS!$V$18-WeightSDS!$U$18)/24*($AM379-186)-0.005)))</f>
        <v>0.14604529399999999</v>
      </c>
      <c r="AT379" s="4">
        <f t="shared" si="112"/>
        <v>0.56299999999999994</v>
      </c>
      <c r="AU379" s="4">
        <f t="shared" si="113"/>
        <v>69</v>
      </c>
      <c r="AV379" s="4">
        <f t="shared" si="114"/>
        <v>0.51</v>
      </c>
    </row>
    <row r="380" spans="1:48" x14ac:dyDescent="0.15">
      <c r="A380" s="4"/>
      <c r="B380" s="21"/>
      <c r="C380" s="21"/>
      <c r="D380" s="21"/>
      <c r="E380" s="22"/>
      <c r="F380" s="22"/>
      <c r="G380" s="23"/>
      <c r="H380" s="23"/>
      <c r="I380" s="181"/>
      <c r="J380" s="8" t="str">
        <f t="shared" si="106"/>
        <v/>
      </c>
      <c r="K380" s="2" t="str">
        <f t="shared" si="115"/>
        <v/>
      </c>
      <c r="L380" s="2" t="str">
        <f t="shared" si="107"/>
        <v/>
      </c>
      <c r="M380" s="2" t="str">
        <f t="shared" si="116"/>
        <v/>
      </c>
      <c r="N380" s="2" t="str">
        <f t="shared" si="124"/>
        <v/>
      </c>
      <c r="O380" s="2" t="str">
        <f t="shared" si="117"/>
        <v/>
      </c>
      <c r="P380" s="8" t="str">
        <f t="shared" si="118"/>
        <v/>
      </c>
      <c r="Q380" s="8" t="str">
        <f t="shared" si="119"/>
        <v/>
      </c>
      <c r="R380" s="111" t="str">
        <f t="shared" si="120"/>
        <v/>
      </c>
      <c r="S380" s="44" t="str">
        <f t="shared" si="121"/>
        <v/>
      </c>
      <c r="T380" s="37" t="str">
        <f t="shared" si="122"/>
        <v/>
      </c>
      <c r="U380" s="44" t="str">
        <f t="shared" si="123"/>
        <v/>
      </c>
      <c r="V380" s="26"/>
      <c r="W380" s="26"/>
      <c r="X380" s="26"/>
      <c r="Y380" s="26"/>
      <c r="Z380" s="24"/>
      <c r="AA380" s="169">
        <f t="shared" si="108"/>
        <v>0</v>
      </c>
      <c r="AB380" s="4">
        <f t="shared" si="109"/>
        <v>0</v>
      </c>
      <c r="AC380" s="170">
        <f t="shared" si="126"/>
        <v>0</v>
      </c>
      <c r="AD380" s="58"/>
      <c r="AE380" s="58"/>
      <c r="AF380" s="58"/>
      <c r="AG380" s="59">
        <f t="shared" si="110"/>
        <v>9.0359999999999996</v>
      </c>
      <c r="AH380" s="59">
        <f t="shared" si="111"/>
        <v>-184.49199999999999</v>
      </c>
      <c r="AJ380" s="4">
        <f>IF(D380="M",IF(AM380&lt;78,BMILMS!$D$5*AM380^3+BMILMS!$E$5*AM380^2+BMILMS!$F$5*AM380+BMILMS!$G$5,IF(AM380&lt;150,BMILMS!$D$6*AM380^3+BMILMS!$E$6*AM380^2+BMILMS!$F$6*AM380+BMILMS!$G$6,BMILMS!$D$7*AM380^3+BMILMS!$E$7*AM380^2+BMILMS!$F$7*AM380+BMILMS!$G$7)),IF(AM380&lt;69,BMILMS!$D$9*AM380^3+BMILMS!$E$9*AM380^2+BMILMS!$F$9*AM380+BMILMS!$G$9,IF(AM380&lt;150,BMILMS!$D$10*AM380^3+BMILMS!$E$10*AM380^2+BMILMS!$F$10*AM380+BMILMS!$G$10,BMILMS!$D$11*AM380^3+BMILMS!$E$11*AM380^2+BMILMS!$F$11*AM380+BMILMS!$G$11)))</f>
        <v>0.79584630099999998</v>
      </c>
      <c r="AK380" s="4">
        <f>IF(D380="M",(IF(AM380&lt;2.5,BMILMS!$D$21*AM380^3+BMILMS!$E$21*AM380^2+BMILMS!$F$21*AM380+BMILMS!$G$21,IF(AM380&lt;9.5,BMILMS!$D$22*AM380^3+BMILMS!$E$22*AM380^2+BMILMS!$F$22*AM380+BMILMS!$G$22,IF(AM380&lt;26.75,BMILMS!$D$23*AM380^3+BMILMS!$E$23*AM380^2+BMILMS!$F$23*AM380+BMILMS!$G$23,IF(AM380&lt;90,BMILMS!$D$24*AM380^3+BMILMS!$E$24*AM380^2+BMILMS!$F$24*AM380+BMILMS!$G$24,BMILMS!$D$25*AM380^3+BMILMS!$E$25*AM380^2+BMILMS!$F$25*AM380+BMILMS!$G$25))))),(IF(AM380&lt;2.5,BMILMS!$D$27*AM380^3+BMILMS!$E$27*AM380^2+BMILMS!$F$27*AM380+BMILMS!$G$27,IF(AM380&lt;9.5,BMILMS!$D$28*AM380^3+BMILMS!$E$28*AM380^2+BMILMS!$F$28*AM380+BMILMS!$G$28,IF(AM380&lt;26.75,BMILMS!$D$29*AM380^3+BMILMS!$E$29*AM380^2+BMILMS!$F$29*AM380+BMILMS!$G$29,IF(AM380&lt;90,BMILMS!$D$30*AM380^3+BMILMS!$E$30*AM380^2+BMILMS!$F$30*AM380+BMILMS!$G$30,IF(AM380&lt;150,BMILMS!$D$31*AM380^3+BMILMS!$E$31*AM380^2+BMILMS!$F$31*AM380+BMILMS!$G$31,BMILMS!$D$32*AM380^3+BMILMS!$E$32*AM380^2+BMILMS!$F$32*AM380+BMILMS!$G$32)))))))</f>
        <v>12.568967990000001</v>
      </c>
      <c r="AL380" s="4">
        <f>IF(D380="M",(IF(AM380&lt;90,BMILMS!$D$14*AM380^3+BMILMS!$E$14*AM380^2+BMILMS!$F$14*AM380+BMILMS!$G$14,BMILMS!$D$15*AM380^3+BMILMS!$E$15*AM380^2+BMILMS!$F$15*AM380+BMILMS!$G$15)),(IF(AM380&lt;90,BMILMS!$D$17*AM380^3+BMILMS!$E$17*AM380^2+BMILMS!$F$17*AM380+BMILMS!$G$17,BMILMS!$D$18*AM380^3+BMILMS!$E$18*AM380^2+BMILMS!$F$18*AM380+BMILMS!$G$18)))</f>
        <v>8.8969350000000003E-2</v>
      </c>
      <c r="AM380" s="4">
        <f t="shared" si="125"/>
        <v>0</v>
      </c>
      <c r="AO380" s="56">
        <f>IF(D380="M",WeightSDS!P$5*$AM380^7+WeightSDS!Q$5*$AM380^6+WeightSDS!R$5*$AM380^5+WeightSDS!S$5*$AM380^4+WeightSDS!T$5*$AM380^3+WeightSDS!U$5*$AM380^2+WeightSDS!V$5*$AM380+WeightSDS!W$5,IF($AM380&lt;186,WeightSDS!P$8*$AM380^7+WeightSDS!Q$8*$AM380^6+WeightSDS!R$8*$AM380^5+WeightSDS!S$8*$AM380^4+WeightSDS!T$8*$AM380^3+WeightSDS!U$8*$AM380^2+WeightSDS!V$8*$AM380+WeightSDS!W$8,WeightSDS!$U$9+WeightSDS!$V$9*($AM380-WeightSDS!$W$9)))</f>
        <v>0.75407122999999998</v>
      </c>
      <c r="AP380" s="4">
        <f>IF(D380="M",IF($AM380&lt;45,WeightSDS!M$23*$AM380^10+WeightSDS!N$23*$AM380^9+WeightSDS!O$23*$AM380^8+WeightSDS!P$23*$AM380^7+WeightSDS!Q$23*$AM380^6+WeightSDS!R$23*$AM380^5+WeightSDS!S$23*$AM380^4+WeightSDS!T$23*$AM380^3+WeightSDS!U$23*$AM380^2+WeightSDS!V$23*$AM380+WeightSDS!W$23,IF($AM380&lt;153,WeightSDS!M$25*$AM380^10+WeightSDS!N$25*$AM380^9+WeightSDS!O$25*$AM380^8+WeightSDS!P$25*$AM380^7+WeightSDS!Q$25*$AM380^6+WeightSDS!R$25*$AM380^5+WeightSDS!S$25*$AM380^4+WeightSDS!T$25*$AM380^3+WeightSDS!U$25*$AM380^2+WeightSDS!V$25*$AM380+WeightSDS!W$25,WeightSDS!M$27+WeightSDS!N$27/(1+EXP(WeightSDS!O$27+WeightSDS!P$27*$AM380)))),IF($AM380&lt;43.8,WeightSDS!M$29*$AM380^10+WeightSDS!N$29*$AM380^9+WeightSDS!O$29*$AM380^8+WeightSDS!P$29*$AM380^7+WeightSDS!Q$29*$AM380^6+WeightSDS!R$29*$AM380^5+WeightSDS!S$29*$AM380^4+WeightSDS!T$29*$AM380^3+WeightSDS!U$29*$AM380^2+WeightSDS!V$29*$AM380+WeightSDS!W$29-0.010431*(1-$AM380/210),IF($AM380&lt;123,WeightSDS!M$30*$AM380^10+WeightSDS!N$30*$AM380^9+WeightSDS!O$30*$AM380^8+WeightSDS!P$30*$AM380^7+WeightSDS!Q$30*$AM380^6+WeightSDS!R$30*$AM380^5+WeightSDS!S$30*$AM380^4+WeightSDS!T$30*$AM380^3+WeightSDS!U$30*$AM380^2+WeightSDS!V$30*$AM380+WeightSDS!W$30-0.010431*(1-1/$AM380),WeightSDS!M$32+WeightSDS!N$32/(1+EXP(WeightSDS!O$32+WeightSDS!P$32*$AM380))-0.010431*(1-$AM380/210))))</f>
        <v>2.9500001032655536</v>
      </c>
      <c r="AQ380" s="4">
        <f>IF(D380="M",IF($AM380&lt;162,WeightSDS!P$12*$AM380^7+WeightSDS!Q$12*$AM380^6+WeightSDS!R$12*$AM380^5+WeightSDS!S$12*$AM380^4+WeightSDS!T$12*$AM380^3+WeightSDS!U$12*$AM380^2+WeightSDS!V$12*$AM380+WeightSDS!W$12,WeightSDS!P$14*$AM380^7+WeightSDS!Q$14*$AM380^6+WeightSDS!R$14*$AM380^5+WeightSDS!S$14*$AM380^4+WeightSDS!T$14*$AM380^3+WeightSDS!U$14*$AM380^2+WeightSDS!V$14*$AM380+WeightSDS!W$14),IF($AM380&lt;156,WeightSDS!O$17*$AM380^8+WeightSDS!P$17*$AM380^7+WeightSDS!Q$17*$AM380^6+WeightSDS!R$17*$AM380^5+WeightSDS!S$17*$AM380^4+WeightSDS!T$17*$AM380^3+WeightSDS!U$17*$AM380^2+WeightSDS!V$17*$AM380+WeightSDS!W$17,IF($AM380&lt;186,WeightSDS!$U$18+(WeightSDS!$V$18-WeightSDS!$U$18)/24*($AM380-186)+WeightSDS!$W$18*(-$AM380+186)^2-0.005,WeightSDS!$U$18+(WeightSDS!$V$18-WeightSDS!$U$18)/24*($AM380-186)-0.005)))</f>
        <v>0.14604529399999999</v>
      </c>
      <c r="AT380" s="4">
        <f t="shared" si="112"/>
        <v>0.56299999999999994</v>
      </c>
      <c r="AU380" s="4">
        <f t="shared" si="113"/>
        <v>69</v>
      </c>
      <c r="AV380" s="4">
        <f t="shared" si="114"/>
        <v>0.51</v>
      </c>
    </row>
    <row r="381" spans="1:48" x14ac:dyDescent="0.15">
      <c r="A381" s="4"/>
      <c r="B381" s="21"/>
      <c r="C381" s="21"/>
      <c r="D381" s="21"/>
      <c r="E381" s="22"/>
      <c r="F381" s="22"/>
      <c r="G381" s="23"/>
      <c r="H381" s="23"/>
      <c r="I381" s="181"/>
      <c r="J381" s="8" t="str">
        <f t="shared" si="106"/>
        <v/>
      </c>
      <c r="K381" s="2" t="str">
        <f t="shared" si="115"/>
        <v/>
      </c>
      <c r="L381" s="2" t="str">
        <f t="shared" si="107"/>
        <v/>
      </c>
      <c r="M381" s="2" t="str">
        <f t="shared" si="116"/>
        <v/>
      </c>
      <c r="N381" s="2" t="str">
        <f t="shared" si="124"/>
        <v/>
      </c>
      <c r="O381" s="2" t="str">
        <f t="shared" si="117"/>
        <v/>
      </c>
      <c r="P381" s="8" t="str">
        <f t="shared" si="118"/>
        <v/>
      </c>
      <c r="Q381" s="8" t="str">
        <f t="shared" si="119"/>
        <v/>
      </c>
      <c r="R381" s="111" t="str">
        <f t="shared" si="120"/>
        <v/>
      </c>
      <c r="S381" s="44" t="str">
        <f t="shared" si="121"/>
        <v/>
      </c>
      <c r="T381" s="37" t="str">
        <f t="shared" si="122"/>
        <v/>
      </c>
      <c r="U381" s="44" t="str">
        <f t="shared" si="123"/>
        <v/>
      </c>
      <c r="V381" s="26"/>
      <c r="W381" s="26"/>
      <c r="X381" s="26"/>
      <c r="Y381" s="26"/>
      <c r="Z381" s="24"/>
      <c r="AA381" s="169">
        <f t="shared" si="108"/>
        <v>0</v>
      </c>
      <c r="AB381" s="4">
        <f t="shared" si="109"/>
        <v>0</v>
      </c>
      <c r="AC381" s="170">
        <f t="shared" si="126"/>
        <v>0</v>
      </c>
      <c r="AD381" s="58"/>
      <c r="AE381" s="58"/>
      <c r="AF381" s="58"/>
      <c r="AG381" s="59">
        <f t="shared" si="110"/>
        <v>9.0359999999999996</v>
      </c>
      <c r="AH381" s="59">
        <f t="shared" si="111"/>
        <v>-184.49199999999999</v>
      </c>
      <c r="AJ381" s="4">
        <f>IF(D381="M",IF(AM381&lt;78,BMILMS!$D$5*AM381^3+BMILMS!$E$5*AM381^2+BMILMS!$F$5*AM381+BMILMS!$G$5,IF(AM381&lt;150,BMILMS!$D$6*AM381^3+BMILMS!$E$6*AM381^2+BMILMS!$F$6*AM381+BMILMS!$G$6,BMILMS!$D$7*AM381^3+BMILMS!$E$7*AM381^2+BMILMS!$F$7*AM381+BMILMS!$G$7)),IF(AM381&lt;69,BMILMS!$D$9*AM381^3+BMILMS!$E$9*AM381^2+BMILMS!$F$9*AM381+BMILMS!$G$9,IF(AM381&lt;150,BMILMS!$D$10*AM381^3+BMILMS!$E$10*AM381^2+BMILMS!$F$10*AM381+BMILMS!$G$10,BMILMS!$D$11*AM381^3+BMILMS!$E$11*AM381^2+BMILMS!$F$11*AM381+BMILMS!$G$11)))</f>
        <v>0.79584630099999998</v>
      </c>
      <c r="AK381" s="4">
        <f>IF(D381="M",(IF(AM381&lt;2.5,BMILMS!$D$21*AM381^3+BMILMS!$E$21*AM381^2+BMILMS!$F$21*AM381+BMILMS!$G$21,IF(AM381&lt;9.5,BMILMS!$D$22*AM381^3+BMILMS!$E$22*AM381^2+BMILMS!$F$22*AM381+BMILMS!$G$22,IF(AM381&lt;26.75,BMILMS!$D$23*AM381^3+BMILMS!$E$23*AM381^2+BMILMS!$F$23*AM381+BMILMS!$G$23,IF(AM381&lt;90,BMILMS!$D$24*AM381^3+BMILMS!$E$24*AM381^2+BMILMS!$F$24*AM381+BMILMS!$G$24,BMILMS!$D$25*AM381^3+BMILMS!$E$25*AM381^2+BMILMS!$F$25*AM381+BMILMS!$G$25))))),(IF(AM381&lt;2.5,BMILMS!$D$27*AM381^3+BMILMS!$E$27*AM381^2+BMILMS!$F$27*AM381+BMILMS!$G$27,IF(AM381&lt;9.5,BMILMS!$D$28*AM381^3+BMILMS!$E$28*AM381^2+BMILMS!$F$28*AM381+BMILMS!$G$28,IF(AM381&lt;26.75,BMILMS!$D$29*AM381^3+BMILMS!$E$29*AM381^2+BMILMS!$F$29*AM381+BMILMS!$G$29,IF(AM381&lt;90,BMILMS!$D$30*AM381^3+BMILMS!$E$30*AM381^2+BMILMS!$F$30*AM381+BMILMS!$G$30,IF(AM381&lt;150,BMILMS!$D$31*AM381^3+BMILMS!$E$31*AM381^2+BMILMS!$F$31*AM381+BMILMS!$G$31,BMILMS!$D$32*AM381^3+BMILMS!$E$32*AM381^2+BMILMS!$F$32*AM381+BMILMS!$G$32)))))))</f>
        <v>12.568967990000001</v>
      </c>
      <c r="AL381" s="4">
        <f>IF(D381="M",(IF(AM381&lt;90,BMILMS!$D$14*AM381^3+BMILMS!$E$14*AM381^2+BMILMS!$F$14*AM381+BMILMS!$G$14,BMILMS!$D$15*AM381^3+BMILMS!$E$15*AM381^2+BMILMS!$F$15*AM381+BMILMS!$G$15)),(IF(AM381&lt;90,BMILMS!$D$17*AM381^3+BMILMS!$E$17*AM381^2+BMILMS!$F$17*AM381+BMILMS!$G$17,BMILMS!$D$18*AM381^3+BMILMS!$E$18*AM381^2+BMILMS!$F$18*AM381+BMILMS!$G$18)))</f>
        <v>8.8969350000000003E-2</v>
      </c>
      <c r="AM381" s="4">
        <f t="shared" si="125"/>
        <v>0</v>
      </c>
      <c r="AO381" s="56">
        <f>IF(D381="M",WeightSDS!P$5*$AM381^7+WeightSDS!Q$5*$AM381^6+WeightSDS!R$5*$AM381^5+WeightSDS!S$5*$AM381^4+WeightSDS!T$5*$AM381^3+WeightSDS!U$5*$AM381^2+WeightSDS!V$5*$AM381+WeightSDS!W$5,IF($AM381&lt;186,WeightSDS!P$8*$AM381^7+WeightSDS!Q$8*$AM381^6+WeightSDS!R$8*$AM381^5+WeightSDS!S$8*$AM381^4+WeightSDS!T$8*$AM381^3+WeightSDS!U$8*$AM381^2+WeightSDS!V$8*$AM381+WeightSDS!W$8,WeightSDS!$U$9+WeightSDS!$V$9*($AM381-WeightSDS!$W$9)))</f>
        <v>0.75407122999999998</v>
      </c>
      <c r="AP381" s="4">
        <f>IF(D381="M",IF($AM381&lt;45,WeightSDS!M$23*$AM381^10+WeightSDS!N$23*$AM381^9+WeightSDS!O$23*$AM381^8+WeightSDS!P$23*$AM381^7+WeightSDS!Q$23*$AM381^6+WeightSDS!R$23*$AM381^5+WeightSDS!S$23*$AM381^4+WeightSDS!T$23*$AM381^3+WeightSDS!U$23*$AM381^2+WeightSDS!V$23*$AM381+WeightSDS!W$23,IF($AM381&lt;153,WeightSDS!M$25*$AM381^10+WeightSDS!N$25*$AM381^9+WeightSDS!O$25*$AM381^8+WeightSDS!P$25*$AM381^7+WeightSDS!Q$25*$AM381^6+WeightSDS!R$25*$AM381^5+WeightSDS!S$25*$AM381^4+WeightSDS!T$25*$AM381^3+WeightSDS!U$25*$AM381^2+WeightSDS!V$25*$AM381+WeightSDS!W$25,WeightSDS!M$27+WeightSDS!N$27/(1+EXP(WeightSDS!O$27+WeightSDS!P$27*$AM381)))),IF($AM381&lt;43.8,WeightSDS!M$29*$AM381^10+WeightSDS!N$29*$AM381^9+WeightSDS!O$29*$AM381^8+WeightSDS!P$29*$AM381^7+WeightSDS!Q$29*$AM381^6+WeightSDS!R$29*$AM381^5+WeightSDS!S$29*$AM381^4+WeightSDS!T$29*$AM381^3+WeightSDS!U$29*$AM381^2+WeightSDS!V$29*$AM381+WeightSDS!W$29-0.010431*(1-$AM381/210),IF($AM381&lt;123,WeightSDS!M$30*$AM381^10+WeightSDS!N$30*$AM381^9+WeightSDS!O$30*$AM381^8+WeightSDS!P$30*$AM381^7+WeightSDS!Q$30*$AM381^6+WeightSDS!R$30*$AM381^5+WeightSDS!S$30*$AM381^4+WeightSDS!T$30*$AM381^3+WeightSDS!U$30*$AM381^2+WeightSDS!V$30*$AM381+WeightSDS!W$30-0.010431*(1-1/$AM381),WeightSDS!M$32+WeightSDS!N$32/(1+EXP(WeightSDS!O$32+WeightSDS!P$32*$AM381))-0.010431*(1-$AM381/210))))</f>
        <v>2.9500001032655536</v>
      </c>
      <c r="AQ381" s="4">
        <f>IF(D381="M",IF($AM381&lt;162,WeightSDS!P$12*$AM381^7+WeightSDS!Q$12*$AM381^6+WeightSDS!R$12*$AM381^5+WeightSDS!S$12*$AM381^4+WeightSDS!T$12*$AM381^3+WeightSDS!U$12*$AM381^2+WeightSDS!V$12*$AM381+WeightSDS!W$12,WeightSDS!P$14*$AM381^7+WeightSDS!Q$14*$AM381^6+WeightSDS!R$14*$AM381^5+WeightSDS!S$14*$AM381^4+WeightSDS!T$14*$AM381^3+WeightSDS!U$14*$AM381^2+WeightSDS!V$14*$AM381+WeightSDS!W$14),IF($AM381&lt;156,WeightSDS!O$17*$AM381^8+WeightSDS!P$17*$AM381^7+WeightSDS!Q$17*$AM381^6+WeightSDS!R$17*$AM381^5+WeightSDS!S$17*$AM381^4+WeightSDS!T$17*$AM381^3+WeightSDS!U$17*$AM381^2+WeightSDS!V$17*$AM381+WeightSDS!W$17,IF($AM381&lt;186,WeightSDS!$U$18+(WeightSDS!$V$18-WeightSDS!$U$18)/24*($AM381-186)+WeightSDS!$W$18*(-$AM381+186)^2-0.005,WeightSDS!$U$18+(WeightSDS!$V$18-WeightSDS!$U$18)/24*($AM381-186)-0.005)))</f>
        <v>0.14604529399999999</v>
      </c>
      <c r="AT381" s="4">
        <f t="shared" si="112"/>
        <v>0.56299999999999994</v>
      </c>
      <c r="AU381" s="4">
        <f t="shared" si="113"/>
        <v>69</v>
      </c>
      <c r="AV381" s="4">
        <f t="shared" si="114"/>
        <v>0.51</v>
      </c>
    </row>
    <row r="382" spans="1:48" x14ac:dyDescent="0.15">
      <c r="A382" s="4"/>
      <c r="B382" s="21"/>
      <c r="C382" s="21"/>
      <c r="D382" s="21"/>
      <c r="E382" s="22"/>
      <c r="F382" s="22"/>
      <c r="G382" s="23"/>
      <c r="H382" s="23"/>
      <c r="I382" s="181"/>
      <c r="J382" s="8" t="str">
        <f t="shared" si="106"/>
        <v/>
      </c>
      <c r="K382" s="2" t="str">
        <f t="shared" si="115"/>
        <v/>
      </c>
      <c r="L382" s="2" t="str">
        <f t="shared" si="107"/>
        <v/>
      </c>
      <c r="M382" s="2" t="str">
        <f t="shared" si="116"/>
        <v/>
      </c>
      <c r="N382" s="2" t="str">
        <f t="shared" si="124"/>
        <v/>
      </c>
      <c r="O382" s="2" t="str">
        <f t="shared" si="117"/>
        <v/>
      </c>
      <c r="P382" s="8" t="str">
        <f t="shared" si="118"/>
        <v/>
      </c>
      <c r="Q382" s="8" t="str">
        <f t="shared" si="119"/>
        <v/>
      </c>
      <c r="R382" s="111" t="str">
        <f t="shared" si="120"/>
        <v/>
      </c>
      <c r="S382" s="44" t="str">
        <f t="shared" si="121"/>
        <v/>
      </c>
      <c r="T382" s="37" t="str">
        <f t="shared" si="122"/>
        <v/>
      </c>
      <c r="U382" s="44" t="str">
        <f t="shared" si="123"/>
        <v/>
      </c>
      <c r="V382" s="26"/>
      <c r="W382" s="26"/>
      <c r="X382" s="26"/>
      <c r="Y382" s="26"/>
      <c r="Z382" s="24"/>
      <c r="AA382" s="169">
        <f t="shared" si="108"/>
        <v>0</v>
      </c>
      <c r="AB382" s="4">
        <f t="shared" si="109"/>
        <v>0</v>
      </c>
      <c r="AC382" s="170">
        <f t="shared" si="126"/>
        <v>0</v>
      </c>
      <c r="AD382" s="58"/>
      <c r="AE382" s="58"/>
      <c r="AF382" s="58"/>
      <c r="AG382" s="59">
        <f t="shared" si="110"/>
        <v>9.0359999999999996</v>
      </c>
      <c r="AH382" s="59">
        <f t="shared" si="111"/>
        <v>-184.49199999999999</v>
      </c>
      <c r="AJ382" s="4">
        <f>IF(D382="M",IF(AM382&lt;78,BMILMS!$D$5*AM382^3+BMILMS!$E$5*AM382^2+BMILMS!$F$5*AM382+BMILMS!$G$5,IF(AM382&lt;150,BMILMS!$D$6*AM382^3+BMILMS!$E$6*AM382^2+BMILMS!$F$6*AM382+BMILMS!$G$6,BMILMS!$D$7*AM382^3+BMILMS!$E$7*AM382^2+BMILMS!$F$7*AM382+BMILMS!$G$7)),IF(AM382&lt;69,BMILMS!$D$9*AM382^3+BMILMS!$E$9*AM382^2+BMILMS!$F$9*AM382+BMILMS!$G$9,IF(AM382&lt;150,BMILMS!$D$10*AM382^3+BMILMS!$E$10*AM382^2+BMILMS!$F$10*AM382+BMILMS!$G$10,BMILMS!$D$11*AM382^3+BMILMS!$E$11*AM382^2+BMILMS!$F$11*AM382+BMILMS!$G$11)))</f>
        <v>0.79584630099999998</v>
      </c>
      <c r="AK382" s="4">
        <f>IF(D382="M",(IF(AM382&lt;2.5,BMILMS!$D$21*AM382^3+BMILMS!$E$21*AM382^2+BMILMS!$F$21*AM382+BMILMS!$G$21,IF(AM382&lt;9.5,BMILMS!$D$22*AM382^3+BMILMS!$E$22*AM382^2+BMILMS!$F$22*AM382+BMILMS!$G$22,IF(AM382&lt;26.75,BMILMS!$D$23*AM382^3+BMILMS!$E$23*AM382^2+BMILMS!$F$23*AM382+BMILMS!$G$23,IF(AM382&lt;90,BMILMS!$D$24*AM382^3+BMILMS!$E$24*AM382^2+BMILMS!$F$24*AM382+BMILMS!$G$24,BMILMS!$D$25*AM382^3+BMILMS!$E$25*AM382^2+BMILMS!$F$25*AM382+BMILMS!$G$25))))),(IF(AM382&lt;2.5,BMILMS!$D$27*AM382^3+BMILMS!$E$27*AM382^2+BMILMS!$F$27*AM382+BMILMS!$G$27,IF(AM382&lt;9.5,BMILMS!$D$28*AM382^3+BMILMS!$E$28*AM382^2+BMILMS!$F$28*AM382+BMILMS!$G$28,IF(AM382&lt;26.75,BMILMS!$D$29*AM382^3+BMILMS!$E$29*AM382^2+BMILMS!$F$29*AM382+BMILMS!$G$29,IF(AM382&lt;90,BMILMS!$D$30*AM382^3+BMILMS!$E$30*AM382^2+BMILMS!$F$30*AM382+BMILMS!$G$30,IF(AM382&lt;150,BMILMS!$D$31*AM382^3+BMILMS!$E$31*AM382^2+BMILMS!$F$31*AM382+BMILMS!$G$31,BMILMS!$D$32*AM382^3+BMILMS!$E$32*AM382^2+BMILMS!$F$32*AM382+BMILMS!$G$32)))))))</f>
        <v>12.568967990000001</v>
      </c>
      <c r="AL382" s="4">
        <f>IF(D382="M",(IF(AM382&lt;90,BMILMS!$D$14*AM382^3+BMILMS!$E$14*AM382^2+BMILMS!$F$14*AM382+BMILMS!$G$14,BMILMS!$D$15*AM382^3+BMILMS!$E$15*AM382^2+BMILMS!$F$15*AM382+BMILMS!$G$15)),(IF(AM382&lt;90,BMILMS!$D$17*AM382^3+BMILMS!$E$17*AM382^2+BMILMS!$F$17*AM382+BMILMS!$G$17,BMILMS!$D$18*AM382^3+BMILMS!$E$18*AM382^2+BMILMS!$F$18*AM382+BMILMS!$G$18)))</f>
        <v>8.8969350000000003E-2</v>
      </c>
      <c r="AM382" s="4">
        <f t="shared" si="125"/>
        <v>0</v>
      </c>
      <c r="AO382" s="56">
        <f>IF(D382="M",WeightSDS!P$5*$AM382^7+WeightSDS!Q$5*$AM382^6+WeightSDS!R$5*$AM382^5+WeightSDS!S$5*$AM382^4+WeightSDS!T$5*$AM382^3+WeightSDS!U$5*$AM382^2+WeightSDS!V$5*$AM382+WeightSDS!W$5,IF($AM382&lt;186,WeightSDS!P$8*$AM382^7+WeightSDS!Q$8*$AM382^6+WeightSDS!R$8*$AM382^5+WeightSDS!S$8*$AM382^4+WeightSDS!T$8*$AM382^3+WeightSDS!U$8*$AM382^2+WeightSDS!V$8*$AM382+WeightSDS!W$8,WeightSDS!$U$9+WeightSDS!$V$9*($AM382-WeightSDS!$W$9)))</f>
        <v>0.75407122999999998</v>
      </c>
      <c r="AP382" s="4">
        <f>IF(D382="M",IF($AM382&lt;45,WeightSDS!M$23*$AM382^10+WeightSDS!N$23*$AM382^9+WeightSDS!O$23*$AM382^8+WeightSDS!P$23*$AM382^7+WeightSDS!Q$23*$AM382^6+WeightSDS!R$23*$AM382^5+WeightSDS!S$23*$AM382^4+WeightSDS!T$23*$AM382^3+WeightSDS!U$23*$AM382^2+WeightSDS!V$23*$AM382+WeightSDS!W$23,IF($AM382&lt;153,WeightSDS!M$25*$AM382^10+WeightSDS!N$25*$AM382^9+WeightSDS!O$25*$AM382^8+WeightSDS!P$25*$AM382^7+WeightSDS!Q$25*$AM382^6+WeightSDS!R$25*$AM382^5+WeightSDS!S$25*$AM382^4+WeightSDS!T$25*$AM382^3+WeightSDS!U$25*$AM382^2+WeightSDS!V$25*$AM382+WeightSDS!W$25,WeightSDS!M$27+WeightSDS!N$27/(1+EXP(WeightSDS!O$27+WeightSDS!P$27*$AM382)))),IF($AM382&lt;43.8,WeightSDS!M$29*$AM382^10+WeightSDS!N$29*$AM382^9+WeightSDS!O$29*$AM382^8+WeightSDS!P$29*$AM382^7+WeightSDS!Q$29*$AM382^6+WeightSDS!R$29*$AM382^5+WeightSDS!S$29*$AM382^4+WeightSDS!T$29*$AM382^3+WeightSDS!U$29*$AM382^2+WeightSDS!V$29*$AM382+WeightSDS!W$29-0.010431*(1-$AM382/210),IF($AM382&lt;123,WeightSDS!M$30*$AM382^10+WeightSDS!N$30*$AM382^9+WeightSDS!O$30*$AM382^8+WeightSDS!P$30*$AM382^7+WeightSDS!Q$30*$AM382^6+WeightSDS!R$30*$AM382^5+WeightSDS!S$30*$AM382^4+WeightSDS!T$30*$AM382^3+WeightSDS!U$30*$AM382^2+WeightSDS!V$30*$AM382+WeightSDS!W$30-0.010431*(1-1/$AM382),WeightSDS!M$32+WeightSDS!N$32/(1+EXP(WeightSDS!O$32+WeightSDS!P$32*$AM382))-0.010431*(1-$AM382/210))))</f>
        <v>2.9500001032655536</v>
      </c>
      <c r="AQ382" s="4">
        <f>IF(D382="M",IF($AM382&lt;162,WeightSDS!P$12*$AM382^7+WeightSDS!Q$12*$AM382^6+WeightSDS!R$12*$AM382^5+WeightSDS!S$12*$AM382^4+WeightSDS!T$12*$AM382^3+WeightSDS!U$12*$AM382^2+WeightSDS!V$12*$AM382+WeightSDS!W$12,WeightSDS!P$14*$AM382^7+WeightSDS!Q$14*$AM382^6+WeightSDS!R$14*$AM382^5+WeightSDS!S$14*$AM382^4+WeightSDS!T$14*$AM382^3+WeightSDS!U$14*$AM382^2+WeightSDS!V$14*$AM382+WeightSDS!W$14),IF($AM382&lt;156,WeightSDS!O$17*$AM382^8+WeightSDS!P$17*$AM382^7+WeightSDS!Q$17*$AM382^6+WeightSDS!R$17*$AM382^5+WeightSDS!S$17*$AM382^4+WeightSDS!T$17*$AM382^3+WeightSDS!U$17*$AM382^2+WeightSDS!V$17*$AM382+WeightSDS!W$17,IF($AM382&lt;186,WeightSDS!$U$18+(WeightSDS!$V$18-WeightSDS!$U$18)/24*($AM382-186)+WeightSDS!$W$18*(-$AM382+186)^2-0.005,WeightSDS!$U$18+(WeightSDS!$V$18-WeightSDS!$U$18)/24*($AM382-186)-0.005)))</f>
        <v>0.14604529399999999</v>
      </c>
      <c r="AT382" s="4">
        <f t="shared" si="112"/>
        <v>0.56299999999999994</v>
      </c>
      <c r="AU382" s="4">
        <f t="shared" si="113"/>
        <v>69</v>
      </c>
      <c r="AV382" s="4">
        <f t="shared" si="114"/>
        <v>0.51</v>
      </c>
    </row>
    <row r="383" spans="1:48" x14ac:dyDescent="0.15">
      <c r="A383" s="4"/>
      <c r="B383" s="21"/>
      <c r="C383" s="21"/>
      <c r="D383" s="21"/>
      <c r="E383" s="22"/>
      <c r="F383" s="22"/>
      <c r="G383" s="23"/>
      <c r="H383" s="23"/>
      <c r="I383" s="181"/>
      <c r="J383" s="8" t="str">
        <f t="shared" si="106"/>
        <v/>
      </c>
      <c r="K383" s="2" t="str">
        <f t="shared" si="115"/>
        <v/>
      </c>
      <c r="L383" s="2" t="str">
        <f t="shared" si="107"/>
        <v/>
      </c>
      <c r="M383" s="2" t="str">
        <f t="shared" si="116"/>
        <v/>
      </c>
      <c r="N383" s="2" t="str">
        <f t="shared" si="124"/>
        <v/>
      </c>
      <c r="O383" s="2" t="str">
        <f t="shared" si="117"/>
        <v/>
      </c>
      <c r="P383" s="8" t="str">
        <f t="shared" si="118"/>
        <v/>
      </c>
      <c r="Q383" s="8" t="str">
        <f t="shared" si="119"/>
        <v/>
      </c>
      <c r="R383" s="111" t="str">
        <f t="shared" si="120"/>
        <v/>
      </c>
      <c r="S383" s="44" t="str">
        <f t="shared" si="121"/>
        <v/>
      </c>
      <c r="T383" s="37" t="str">
        <f t="shared" si="122"/>
        <v/>
      </c>
      <c r="U383" s="44" t="str">
        <f t="shared" si="123"/>
        <v/>
      </c>
      <c r="V383" s="26"/>
      <c r="W383" s="26"/>
      <c r="X383" s="26"/>
      <c r="Y383" s="26"/>
      <c r="Z383" s="24"/>
      <c r="AA383" s="169">
        <f t="shared" si="108"/>
        <v>0</v>
      </c>
      <c r="AB383" s="4">
        <f t="shared" si="109"/>
        <v>0</v>
      </c>
      <c r="AC383" s="170">
        <f t="shared" si="126"/>
        <v>0</v>
      </c>
      <c r="AD383" s="58"/>
      <c r="AE383" s="58"/>
      <c r="AF383" s="58"/>
      <c r="AG383" s="59">
        <f t="shared" si="110"/>
        <v>9.0359999999999996</v>
      </c>
      <c r="AH383" s="59">
        <f t="shared" si="111"/>
        <v>-184.49199999999999</v>
      </c>
      <c r="AJ383" s="4">
        <f>IF(D383="M",IF(AM383&lt;78,BMILMS!$D$5*AM383^3+BMILMS!$E$5*AM383^2+BMILMS!$F$5*AM383+BMILMS!$G$5,IF(AM383&lt;150,BMILMS!$D$6*AM383^3+BMILMS!$E$6*AM383^2+BMILMS!$F$6*AM383+BMILMS!$G$6,BMILMS!$D$7*AM383^3+BMILMS!$E$7*AM383^2+BMILMS!$F$7*AM383+BMILMS!$G$7)),IF(AM383&lt;69,BMILMS!$D$9*AM383^3+BMILMS!$E$9*AM383^2+BMILMS!$F$9*AM383+BMILMS!$G$9,IF(AM383&lt;150,BMILMS!$D$10*AM383^3+BMILMS!$E$10*AM383^2+BMILMS!$F$10*AM383+BMILMS!$G$10,BMILMS!$D$11*AM383^3+BMILMS!$E$11*AM383^2+BMILMS!$F$11*AM383+BMILMS!$G$11)))</f>
        <v>0.79584630099999998</v>
      </c>
      <c r="AK383" s="4">
        <f>IF(D383="M",(IF(AM383&lt;2.5,BMILMS!$D$21*AM383^3+BMILMS!$E$21*AM383^2+BMILMS!$F$21*AM383+BMILMS!$G$21,IF(AM383&lt;9.5,BMILMS!$D$22*AM383^3+BMILMS!$E$22*AM383^2+BMILMS!$F$22*AM383+BMILMS!$G$22,IF(AM383&lt;26.75,BMILMS!$D$23*AM383^3+BMILMS!$E$23*AM383^2+BMILMS!$F$23*AM383+BMILMS!$G$23,IF(AM383&lt;90,BMILMS!$D$24*AM383^3+BMILMS!$E$24*AM383^2+BMILMS!$F$24*AM383+BMILMS!$G$24,BMILMS!$D$25*AM383^3+BMILMS!$E$25*AM383^2+BMILMS!$F$25*AM383+BMILMS!$G$25))))),(IF(AM383&lt;2.5,BMILMS!$D$27*AM383^3+BMILMS!$E$27*AM383^2+BMILMS!$F$27*AM383+BMILMS!$G$27,IF(AM383&lt;9.5,BMILMS!$D$28*AM383^3+BMILMS!$E$28*AM383^2+BMILMS!$F$28*AM383+BMILMS!$G$28,IF(AM383&lt;26.75,BMILMS!$D$29*AM383^3+BMILMS!$E$29*AM383^2+BMILMS!$F$29*AM383+BMILMS!$G$29,IF(AM383&lt;90,BMILMS!$D$30*AM383^3+BMILMS!$E$30*AM383^2+BMILMS!$F$30*AM383+BMILMS!$G$30,IF(AM383&lt;150,BMILMS!$D$31*AM383^3+BMILMS!$E$31*AM383^2+BMILMS!$F$31*AM383+BMILMS!$G$31,BMILMS!$D$32*AM383^3+BMILMS!$E$32*AM383^2+BMILMS!$F$32*AM383+BMILMS!$G$32)))))))</f>
        <v>12.568967990000001</v>
      </c>
      <c r="AL383" s="4">
        <f>IF(D383="M",(IF(AM383&lt;90,BMILMS!$D$14*AM383^3+BMILMS!$E$14*AM383^2+BMILMS!$F$14*AM383+BMILMS!$G$14,BMILMS!$D$15*AM383^3+BMILMS!$E$15*AM383^2+BMILMS!$F$15*AM383+BMILMS!$G$15)),(IF(AM383&lt;90,BMILMS!$D$17*AM383^3+BMILMS!$E$17*AM383^2+BMILMS!$F$17*AM383+BMILMS!$G$17,BMILMS!$D$18*AM383^3+BMILMS!$E$18*AM383^2+BMILMS!$F$18*AM383+BMILMS!$G$18)))</f>
        <v>8.8969350000000003E-2</v>
      </c>
      <c r="AM383" s="4">
        <f t="shared" si="125"/>
        <v>0</v>
      </c>
      <c r="AO383" s="56">
        <f>IF(D383="M",WeightSDS!P$5*$AM383^7+WeightSDS!Q$5*$AM383^6+WeightSDS!R$5*$AM383^5+WeightSDS!S$5*$AM383^4+WeightSDS!T$5*$AM383^3+WeightSDS!U$5*$AM383^2+WeightSDS!V$5*$AM383+WeightSDS!W$5,IF($AM383&lt;186,WeightSDS!P$8*$AM383^7+WeightSDS!Q$8*$AM383^6+WeightSDS!R$8*$AM383^5+WeightSDS!S$8*$AM383^4+WeightSDS!T$8*$AM383^3+WeightSDS!U$8*$AM383^2+WeightSDS!V$8*$AM383+WeightSDS!W$8,WeightSDS!$U$9+WeightSDS!$V$9*($AM383-WeightSDS!$W$9)))</f>
        <v>0.75407122999999998</v>
      </c>
      <c r="AP383" s="4">
        <f>IF(D383="M",IF($AM383&lt;45,WeightSDS!M$23*$AM383^10+WeightSDS!N$23*$AM383^9+WeightSDS!O$23*$AM383^8+WeightSDS!P$23*$AM383^7+WeightSDS!Q$23*$AM383^6+WeightSDS!R$23*$AM383^5+WeightSDS!S$23*$AM383^4+WeightSDS!T$23*$AM383^3+WeightSDS!U$23*$AM383^2+WeightSDS!V$23*$AM383+WeightSDS!W$23,IF($AM383&lt;153,WeightSDS!M$25*$AM383^10+WeightSDS!N$25*$AM383^9+WeightSDS!O$25*$AM383^8+WeightSDS!P$25*$AM383^7+WeightSDS!Q$25*$AM383^6+WeightSDS!R$25*$AM383^5+WeightSDS!S$25*$AM383^4+WeightSDS!T$25*$AM383^3+WeightSDS!U$25*$AM383^2+WeightSDS!V$25*$AM383+WeightSDS!W$25,WeightSDS!M$27+WeightSDS!N$27/(1+EXP(WeightSDS!O$27+WeightSDS!P$27*$AM383)))),IF($AM383&lt;43.8,WeightSDS!M$29*$AM383^10+WeightSDS!N$29*$AM383^9+WeightSDS!O$29*$AM383^8+WeightSDS!P$29*$AM383^7+WeightSDS!Q$29*$AM383^6+WeightSDS!R$29*$AM383^5+WeightSDS!S$29*$AM383^4+WeightSDS!T$29*$AM383^3+WeightSDS!U$29*$AM383^2+WeightSDS!V$29*$AM383+WeightSDS!W$29-0.010431*(1-$AM383/210),IF($AM383&lt;123,WeightSDS!M$30*$AM383^10+WeightSDS!N$30*$AM383^9+WeightSDS!O$30*$AM383^8+WeightSDS!P$30*$AM383^7+WeightSDS!Q$30*$AM383^6+WeightSDS!R$30*$AM383^5+WeightSDS!S$30*$AM383^4+WeightSDS!T$30*$AM383^3+WeightSDS!U$30*$AM383^2+WeightSDS!V$30*$AM383+WeightSDS!W$30-0.010431*(1-1/$AM383),WeightSDS!M$32+WeightSDS!N$32/(1+EXP(WeightSDS!O$32+WeightSDS!P$32*$AM383))-0.010431*(1-$AM383/210))))</f>
        <v>2.9500001032655536</v>
      </c>
      <c r="AQ383" s="4">
        <f>IF(D383="M",IF($AM383&lt;162,WeightSDS!P$12*$AM383^7+WeightSDS!Q$12*$AM383^6+WeightSDS!R$12*$AM383^5+WeightSDS!S$12*$AM383^4+WeightSDS!T$12*$AM383^3+WeightSDS!U$12*$AM383^2+WeightSDS!V$12*$AM383+WeightSDS!W$12,WeightSDS!P$14*$AM383^7+WeightSDS!Q$14*$AM383^6+WeightSDS!R$14*$AM383^5+WeightSDS!S$14*$AM383^4+WeightSDS!T$14*$AM383^3+WeightSDS!U$14*$AM383^2+WeightSDS!V$14*$AM383+WeightSDS!W$14),IF($AM383&lt;156,WeightSDS!O$17*$AM383^8+WeightSDS!P$17*$AM383^7+WeightSDS!Q$17*$AM383^6+WeightSDS!R$17*$AM383^5+WeightSDS!S$17*$AM383^4+WeightSDS!T$17*$AM383^3+WeightSDS!U$17*$AM383^2+WeightSDS!V$17*$AM383+WeightSDS!W$17,IF($AM383&lt;186,WeightSDS!$U$18+(WeightSDS!$V$18-WeightSDS!$U$18)/24*($AM383-186)+WeightSDS!$W$18*(-$AM383+186)^2-0.005,WeightSDS!$U$18+(WeightSDS!$V$18-WeightSDS!$U$18)/24*($AM383-186)-0.005)))</f>
        <v>0.14604529399999999</v>
      </c>
      <c r="AT383" s="4">
        <f t="shared" si="112"/>
        <v>0.56299999999999994</v>
      </c>
      <c r="AU383" s="4">
        <f t="shared" si="113"/>
        <v>69</v>
      </c>
      <c r="AV383" s="4">
        <f t="shared" si="114"/>
        <v>0.51</v>
      </c>
    </row>
    <row r="384" spans="1:48" x14ac:dyDescent="0.15">
      <c r="A384" s="4"/>
      <c r="B384" s="21"/>
      <c r="C384" s="21"/>
      <c r="D384" s="21"/>
      <c r="E384" s="22"/>
      <c r="F384" s="22"/>
      <c r="G384" s="23"/>
      <c r="H384" s="23"/>
      <c r="I384" s="181"/>
      <c r="J384" s="8" t="str">
        <f t="shared" si="106"/>
        <v/>
      </c>
      <c r="K384" s="2" t="str">
        <f t="shared" si="115"/>
        <v/>
      </c>
      <c r="L384" s="2" t="str">
        <f t="shared" si="107"/>
        <v/>
      </c>
      <c r="M384" s="2" t="str">
        <f t="shared" si="116"/>
        <v/>
      </c>
      <c r="N384" s="2" t="str">
        <f t="shared" si="124"/>
        <v/>
      </c>
      <c r="O384" s="2" t="str">
        <f t="shared" si="117"/>
        <v/>
      </c>
      <c r="P384" s="8" t="str">
        <f t="shared" si="118"/>
        <v/>
      </c>
      <c r="Q384" s="8" t="str">
        <f t="shared" si="119"/>
        <v/>
      </c>
      <c r="R384" s="111" t="str">
        <f t="shared" si="120"/>
        <v/>
      </c>
      <c r="S384" s="44" t="str">
        <f t="shared" si="121"/>
        <v/>
      </c>
      <c r="T384" s="37" t="str">
        <f t="shared" si="122"/>
        <v/>
      </c>
      <c r="U384" s="44" t="str">
        <f t="shared" si="123"/>
        <v/>
      </c>
      <c r="V384" s="26"/>
      <c r="W384" s="26"/>
      <c r="X384" s="26"/>
      <c r="Y384" s="26"/>
      <c r="Z384" s="24"/>
      <c r="AA384" s="169">
        <f t="shared" si="108"/>
        <v>0</v>
      </c>
      <c r="AB384" s="4">
        <f t="shared" si="109"/>
        <v>0</v>
      </c>
      <c r="AC384" s="170">
        <f t="shared" si="126"/>
        <v>0</v>
      </c>
      <c r="AD384" s="58"/>
      <c r="AE384" s="58"/>
      <c r="AF384" s="58"/>
      <c r="AG384" s="59">
        <f t="shared" si="110"/>
        <v>9.0359999999999996</v>
      </c>
      <c r="AH384" s="59">
        <f t="shared" si="111"/>
        <v>-184.49199999999999</v>
      </c>
      <c r="AJ384" s="4">
        <f>IF(D384="M",IF(AM384&lt;78,BMILMS!$D$5*AM384^3+BMILMS!$E$5*AM384^2+BMILMS!$F$5*AM384+BMILMS!$G$5,IF(AM384&lt;150,BMILMS!$D$6*AM384^3+BMILMS!$E$6*AM384^2+BMILMS!$F$6*AM384+BMILMS!$G$6,BMILMS!$D$7*AM384^3+BMILMS!$E$7*AM384^2+BMILMS!$F$7*AM384+BMILMS!$G$7)),IF(AM384&lt;69,BMILMS!$D$9*AM384^3+BMILMS!$E$9*AM384^2+BMILMS!$F$9*AM384+BMILMS!$G$9,IF(AM384&lt;150,BMILMS!$D$10*AM384^3+BMILMS!$E$10*AM384^2+BMILMS!$F$10*AM384+BMILMS!$G$10,BMILMS!$D$11*AM384^3+BMILMS!$E$11*AM384^2+BMILMS!$F$11*AM384+BMILMS!$G$11)))</f>
        <v>0.79584630099999998</v>
      </c>
      <c r="AK384" s="4">
        <f>IF(D384="M",(IF(AM384&lt;2.5,BMILMS!$D$21*AM384^3+BMILMS!$E$21*AM384^2+BMILMS!$F$21*AM384+BMILMS!$G$21,IF(AM384&lt;9.5,BMILMS!$D$22*AM384^3+BMILMS!$E$22*AM384^2+BMILMS!$F$22*AM384+BMILMS!$G$22,IF(AM384&lt;26.75,BMILMS!$D$23*AM384^3+BMILMS!$E$23*AM384^2+BMILMS!$F$23*AM384+BMILMS!$G$23,IF(AM384&lt;90,BMILMS!$D$24*AM384^3+BMILMS!$E$24*AM384^2+BMILMS!$F$24*AM384+BMILMS!$G$24,BMILMS!$D$25*AM384^3+BMILMS!$E$25*AM384^2+BMILMS!$F$25*AM384+BMILMS!$G$25))))),(IF(AM384&lt;2.5,BMILMS!$D$27*AM384^3+BMILMS!$E$27*AM384^2+BMILMS!$F$27*AM384+BMILMS!$G$27,IF(AM384&lt;9.5,BMILMS!$D$28*AM384^3+BMILMS!$E$28*AM384^2+BMILMS!$F$28*AM384+BMILMS!$G$28,IF(AM384&lt;26.75,BMILMS!$D$29*AM384^3+BMILMS!$E$29*AM384^2+BMILMS!$F$29*AM384+BMILMS!$G$29,IF(AM384&lt;90,BMILMS!$D$30*AM384^3+BMILMS!$E$30*AM384^2+BMILMS!$F$30*AM384+BMILMS!$G$30,IF(AM384&lt;150,BMILMS!$D$31*AM384^3+BMILMS!$E$31*AM384^2+BMILMS!$F$31*AM384+BMILMS!$G$31,BMILMS!$D$32*AM384^3+BMILMS!$E$32*AM384^2+BMILMS!$F$32*AM384+BMILMS!$G$32)))))))</f>
        <v>12.568967990000001</v>
      </c>
      <c r="AL384" s="4">
        <f>IF(D384="M",(IF(AM384&lt;90,BMILMS!$D$14*AM384^3+BMILMS!$E$14*AM384^2+BMILMS!$F$14*AM384+BMILMS!$G$14,BMILMS!$D$15*AM384^3+BMILMS!$E$15*AM384^2+BMILMS!$F$15*AM384+BMILMS!$G$15)),(IF(AM384&lt;90,BMILMS!$D$17*AM384^3+BMILMS!$E$17*AM384^2+BMILMS!$F$17*AM384+BMILMS!$G$17,BMILMS!$D$18*AM384^3+BMILMS!$E$18*AM384^2+BMILMS!$F$18*AM384+BMILMS!$G$18)))</f>
        <v>8.8969350000000003E-2</v>
      </c>
      <c r="AM384" s="4">
        <f t="shared" si="125"/>
        <v>0</v>
      </c>
      <c r="AO384" s="56">
        <f>IF(D384="M",WeightSDS!P$5*$AM384^7+WeightSDS!Q$5*$AM384^6+WeightSDS!R$5*$AM384^5+WeightSDS!S$5*$AM384^4+WeightSDS!T$5*$AM384^3+WeightSDS!U$5*$AM384^2+WeightSDS!V$5*$AM384+WeightSDS!W$5,IF($AM384&lt;186,WeightSDS!P$8*$AM384^7+WeightSDS!Q$8*$AM384^6+WeightSDS!R$8*$AM384^5+WeightSDS!S$8*$AM384^4+WeightSDS!T$8*$AM384^3+WeightSDS!U$8*$AM384^2+WeightSDS!V$8*$AM384+WeightSDS!W$8,WeightSDS!$U$9+WeightSDS!$V$9*($AM384-WeightSDS!$W$9)))</f>
        <v>0.75407122999999998</v>
      </c>
      <c r="AP384" s="4">
        <f>IF(D384="M",IF($AM384&lt;45,WeightSDS!M$23*$AM384^10+WeightSDS!N$23*$AM384^9+WeightSDS!O$23*$AM384^8+WeightSDS!P$23*$AM384^7+WeightSDS!Q$23*$AM384^6+WeightSDS!R$23*$AM384^5+WeightSDS!S$23*$AM384^4+WeightSDS!T$23*$AM384^3+WeightSDS!U$23*$AM384^2+WeightSDS!V$23*$AM384+WeightSDS!W$23,IF($AM384&lt;153,WeightSDS!M$25*$AM384^10+WeightSDS!N$25*$AM384^9+WeightSDS!O$25*$AM384^8+WeightSDS!P$25*$AM384^7+WeightSDS!Q$25*$AM384^6+WeightSDS!R$25*$AM384^5+WeightSDS!S$25*$AM384^4+WeightSDS!T$25*$AM384^3+WeightSDS!U$25*$AM384^2+WeightSDS!V$25*$AM384+WeightSDS!W$25,WeightSDS!M$27+WeightSDS!N$27/(1+EXP(WeightSDS!O$27+WeightSDS!P$27*$AM384)))),IF($AM384&lt;43.8,WeightSDS!M$29*$AM384^10+WeightSDS!N$29*$AM384^9+WeightSDS!O$29*$AM384^8+WeightSDS!P$29*$AM384^7+WeightSDS!Q$29*$AM384^6+WeightSDS!R$29*$AM384^5+WeightSDS!S$29*$AM384^4+WeightSDS!T$29*$AM384^3+WeightSDS!U$29*$AM384^2+WeightSDS!V$29*$AM384+WeightSDS!W$29-0.010431*(1-$AM384/210),IF($AM384&lt;123,WeightSDS!M$30*$AM384^10+WeightSDS!N$30*$AM384^9+WeightSDS!O$30*$AM384^8+WeightSDS!P$30*$AM384^7+WeightSDS!Q$30*$AM384^6+WeightSDS!R$30*$AM384^5+WeightSDS!S$30*$AM384^4+WeightSDS!T$30*$AM384^3+WeightSDS!U$30*$AM384^2+WeightSDS!V$30*$AM384+WeightSDS!W$30-0.010431*(1-1/$AM384),WeightSDS!M$32+WeightSDS!N$32/(1+EXP(WeightSDS!O$32+WeightSDS!P$32*$AM384))-0.010431*(1-$AM384/210))))</f>
        <v>2.9500001032655536</v>
      </c>
      <c r="AQ384" s="4">
        <f>IF(D384="M",IF($AM384&lt;162,WeightSDS!P$12*$AM384^7+WeightSDS!Q$12*$AM384^6+WeightSDS!R$12*$AM384^5+WeightSDS!S$12*$AM384^4+WeightSDS!T$12*$AM384^3+WeightSDS!U$12*$AM384^2+WeightSDS!V$12*$AM384+WeightSDS!W$12,WeightSDS!P$14*$AM384^7+WeightSDS!Q$14*$AM384^6+WeightSDS!R$14*$AM384^5+WeightSDS!S$14*$AM384^4+WeightSDS!T$14*$AM384^3+WeightSDS!U$14*$AM384^2+WeightSDS!V$14*$AM384+WeightSDS!W$14),IF($AM384&lt;156,WeightSDS!O$17*$AM384^8+WeightSDS!P$17*$AM384^7+WeightSDS!Q$17*$AM384^6+WeightSDS!R$17*$AM384^5+WeightSDS!S$17*$AM384^4+WeightSDS!T$17*$AM384^3+WeightSDS!U$17*$AM384^2+WeightSDS!V$17*$AM384+WeightSDS!W$17,IF($AM384&lt;186,WeightSDS!$U$18+(WeightSDS!$V$18-WeightSDS!$U$18)/24*($AM384-186)+WeightSDS!$W$18*(-$AM384+186)^2-0.005,WeightSDS!$U$18+(WeightSDS!$V$18-WeightSDS!$U$18)/24*($AM384-186)-0.005)))</f>
        <v>0.14604529399999999</v>
      </c>
      <c r="AT384" s="4">
        <f t="shared" si="112"/>
        <v>0.56299999999999994</v>
      </c>
      <c r="AU384" s="4">
        <f t="shared" si="113"/>
        <v>69</v>
      </c>
      <c r="AV384" s="4">
        <f t="shared" si="114"/>
        <v>0.51</v>
      </c>
    </row>
    <row r="385" spans="1:48" x14ac:dyDescent="0.15">
      <c r="A385" s="4"/>
      <c r="B385" s="21"/>
      <c r="C385" s="21"/>
      <c r="D385" s="21"/>
      <c r="E385" s="22"/>
      <c r="F385" s="22"/>
      <c r="G385" s="23"/>
      <c r="H385" s="23"/>
      <c r="I385" s="181"/>
      <c r="J385" s="8" t="str">
        <f t="shared" si="106"/>
        <v/>
      </c>
      <c r="K385" s="2" t="str">
        <f t="shared" si="115"/>
        <v/>
      </c>
      <c r="L385" s="2" t="str">
        <f t="shared" si="107"/>
        <v/>
      </c>
      <c r="M385" s="2" t="str">
        <f t="shared" si="116"/>
        <v/>
      </c>
      <c r="N385" s="2" t="str">
        <f t="shared" si="124"/>
        <v/>
      </c>
      <c r="O385" s="2" t="str">
        <f t="shared" si="117"/>
        <v/>
      </c>
      <c r="P385" s="8" t="str">
        <f t="shared" si="118"/>
        <v/>
      </c>
      <c r="Q385" s="8" t="str">
        <f t="shared" si="119"/>
        <v/>
      </c>
      <c r="R385" s="111" t="str">
        <f t="shared" si="120"/>
        <v/>
      </c>
      <c r="S385" s="44" t="str">
        <f t="shared" si="121"/>
        <v/>
      </c>
      <c r="T385" s="37" t="str">
        <f t="shared" si="122"/>
        <v/>
      </c>
      <c r="U385" s="44" t="str">
        <f t="shared" si="123"/>
        <v/>
      </c>
      <c r="V385" s="26"/>
      <c r="W385" s="26"/>
      <c r="X385" s="26"/>
      <c r="Y385" s="26"/>
      <c r="Z385" s="24"/>
      <c r="AA385" s="169">
        <f t="shared" si="108"/>
        <v>0</v>
      </c>
      <c r="AB385" s="4">
        <f t="shared" si="109"/>
        <v>0</v>
      </c>
      <c r="AC385" s="170">
        <f t="shared" si="126"/>
        <v>0</v>
      </c>
      <c r="AD385" s="58"/>
      <c r="AE385" s="58"/>
      <c r="AF385" s="58"/>
      <c r="AG385" s="59">
        <f t="shared" si="110"/>
        <v>9.0359999999999996</v>
      </c>
      <c r="AH385" s="59">
        <f t="shared" si="111"/>
        <v>-184.49199999999999</v>
      </c>
      <c r="AJ385" s="4">
        <f>IF(D385="M",IF(AM385&lt;78,BMILMS!$D$5*AM385^3+BMILMS!$E$5*AM385^2+BMILMS!$F$5*AM385+BMILMS!$G$5,IF(AM385&lt;150,BMILMS!$D$6*AM385^3+BMILMS!$E$6*AM385^2+BMILMS!$F$6*AM385+BMILMS!$G$6,BMILMS!$D$7*AM385^3+BMILMS!$E$7*AM385^2+BMILMS!$F$7*AM385+BMILMS!$G$7)),IF(AM385&lt;69,BMILMS!$D$9*AM385^3+BMILMS!$E$9*AM385^2+BMILMS!$F$9*AM385+BMILMS!$G$9,IF(AM385&lt;150,BMILMS!$D$10*AM385^3+BMILMS!$E$10*AM385^2+BMILMS!$F$10*AM385+BMILMS!$G$10,BMILMS!$D$11*AM385^3+BMILMS!$E$11*AM385^2+BMILMS!$F$11*AM385+BMILMS!$G$11)))</f>
        <v>0.79584630099999998</v>
      </c>
      <c r="AK385" s="4">
        <f>IF(D385="M",(IF(AM385&lt;2.5,BMILMS!$D$21*AM385^3+BMILMS!$E$21*AM385^2+BMILMS!$F$21*AM385+BMILMS!$G$21,IF(AM385&lt;9.5,BMILMS!$D$22*AM385^3+BMILMS!$E$22*AM385^2+BMILMS!$F$22*AM385+BMILMS!$G$22,IF(AM385&lt;26.75,BMILMS!$D$23*AM385^3+BMILMS!$E$23*AM385^2+BMILMS!$F$23*AM385+BMILMS!$G$23,IF(AM385&lt;90,BMILMS!$D$24*AM385^3+BMILMS!$E$24*AM385^2+BMILMS!$F$24*AM385+BMILMS!$G$24,BMILMS!$D$25*AM385^3+BMILMS!$E$25*AM385^2+BMILMS!$F$25*AM385+BMILMS!$G$25))))),(IF(AM385&lt;2.5,BMILMS!$D$27*AM385^3+BMILMS!$E$27*AM385^2+BMILMS!$F$27*AM385+BMILMS!$G$27,IF(AM385&lt;9.5,BMILMS!$D$28*AM385^3+BMILMS!$E$28*AM385^2+BMILMS!$F$28*AM385+BMILMS!$G$28,IF(AM385&lt;26.75,BMILMS!$D$29*AM385^3+BMILMS!$E$29*AM385^2+BMILMS!$F$29*AM385+BMILMS!$G$29,IF(AM385&lt;90,BMILMS!$D$30*AM385^3+BMILMS!$E$30*AM385^2+BMILMS!$F$30*AM385+BMILMS!$G$30,IF(AM385&lt;150,BMILMS!$D$31*AM385^3+BMILMS!$E$31*AM385^2+BMILMS!$F$31*AM385+BMILMS!$G$31,BMILMS!$D$32*AM385^3+BMILMS!$E$32*AM385^2+BMILMS!$F$32*AM385+BMILMS!$G$32)))))))</f>
        <v>12.568967990000001</v>
      </c>
      <c r="AL385" s="4">
        <f>IF(D385="M",(IF(AM385&lt;90,BMILMS!$D$14*AM385^3+BMILMS!$E$14*AM385^2+BMILMS!$F$14*AM385+BMILMS!$G$14,BMILMS!$D$15*AM385^3+BMILMS!$E$15*AM385^2+BMILMS!$F$15*AM385+BMILMS!$G$15)),(IF(AM385&lt;90,BMILMS!$D$17*AM385^3+BMILMS!$E$17*AM385^2+BMILMS!$F$17*AM385+BMILMS!$G$17,BMILMS!$D$18*AM385^3+BMILMS!$E$18*AM385^2+BMILMS!$F$18*AM385+BMILMS!$G$18)))</f>
        <v>8.8969350000000003E-2</v>
      </c>
      <c r="AM385" s="4">
        <f t="shared" si="125"/>
        <v>0</v>
      </c>
      <c r="AO385" s="56">
        <f>IF(D385="M",WeightSDS!P$5*$AM385^7+WeightSDS!Q$5*$AM385^6+WeightSDS!R$5*$AM385^5+WeightSDS!S$5*$AM385^4+WeightSDS!T$5*$AM385^3+WeightSDS!U$5*$AM385^2+WeightSDS!V$5*$AM385+WeightSDS!W$5,IF($AM385&lt;186,WeightSDS!P$8*$AM385^7+WeightSDS!Q$8*$AM385^6+WeightSDS!R$8*$AM385^5+WeightSDS!S$8*$AM385^4+WeightSDS!T$8*$AM385^3+WeightSDS!U$8*$AM385^2+WeightSDS!V$8*$AM385+WeightSDS!W$8,WeightSDS!$U$9+WeightSDS!$V$9*($AM385-WeightSDS!$W$9)))</f>
        <v>0.75407122999999998</v>
      </c>
      <c r="AP385" s="4">
        <f>IF(D385="M",IF($AM385&lt;45,WeightSDS!M$23*$AM385^10+WeightSDS!N$23*$AM385^9+WeightSDS!O$23*$AM385^8+WeightSDS!P$23*$AM385^7+WeightSDS!Q$23*$AM385^6+WeightSDS!R$23*$AM385^5+WeightSDS!S$23*$AM385^4+WeightSDS!T$23*$AM385^3+WeightSDS!U$23*$AM385^2+WeightSDS!V$23*$AM385+WeightSDS!W$23,IF($AM385&lt;153,WeightSDS!M$25*$AM385^10+WeightSDS!N$25*$AM385^9+WeightSDS!O$25*$AM385^8+WeightSDS!P$25*$AM385^7+WeightSDS!Q$25*$AM385^6+WeightSDS!R$25*$AM385^5+WeightSDS!S$25*$AM385^4+WeightSDS!T$25*$AM385^3+WeightSDS!U$25*$AM385^2+WeightSDS!V$25*$AM385+WeightSDS!W$25,WeightSDS!M$27+WeightSDS!N$27/(1+EXP(WeightSDS!O$27+WeightSDS!P$27*$AM385)))),IF($AM385&lt;43.8,WeightSDS!M$29*$AM385^10+WeightSDS!N$29*$AM385^9+WeightSDS!O$29*$AM385^8+WeightSDS!P$29*$AM385^7+WeightSDS!Q$29*$AM385^6+WeightSDS!R$29*$AM385^5+WeightSDS!S$29*$AM385^4+WeightSDS!T$29*$AM385^3+WeightSDS!U$29*$AM385^2+WeightSDS!V$29*$AM385+WeightSDS!W$29-0.010431*(1-$AM385/210),IF($AM385&lt;123,WeightSDS!M$30*$AM385^10+WeightSDS!N$30*$AM385^9+WeightSDS!O$30*$AM385^8+WeightSDS!P$30*$AM385^7+WeightSDS!Q$30*$AM385^6+WeightSDS!R$30*$AM385^5+WeightSDS!S$30*$AM385^4+WeightSDS!T$30*$AM385^3+WeightSDS!U$30*$AM385^2+WeightSDS!V$30*$AM385+WeightSDS!W$30-0.010431*(1-1/$AM385),WeightSDS!M$32+WeightSDS!N$32/(1+EXP(WeightSDS!O$32+WeightSDS!P$32*$AM385))-0.010431*(1-$AM385/210))))</f>
        <v>2.9500001032655536</v>
      </c>
      <c r="AQ385" s="4">
        <f>IF(D385="M",IF($AM385&lt;162,WeightSDS!P$12*$AM385^7+WeightSDS!Q$12*$AM385^6+WeightSDS!R$12*$AM385^5+WeightSDS!S$12*$AM385^4+WeightSDS!T$12*$AM385^3+WeightSDS!U$12*$AM385^2+WeightSDS!V$12*$AM385+WeightSDS!W$12,WeightSDS!P$14*$AM385^7+WeightSDS!Q$14*$AM385^6+WeightSDS!R$14*$AM385^5+WeightSDS!S$14*$AM385^4+WeightSDS!T$14*$AM385^3+WeightSDS!U$14*$AM385^2+WeightSDS!V$14*$AM385+WeightSDS!W$14),IF($AM385&lt;156,WeightSDS!O$17*$AM385^8+WeightSDS!P$17*$AM385^7+WeightSDS!Q$17*$AM385^6+WeightSDS!R$17*$AM385^5+WeightSDS!S$17*$AM385^4+WeightSDS!T$17*$AM385^3+WeightSDS!U$17*$AM385^2+WeightSDS!V$17*$AM385+WeightSDS!W$17,IF($AM385&lt;186,WeightSDS!$U$18+(WeightSDS!$V$18-WeightSDS!$U$18)/24*($AM385-186)+WeightSDS!$W$18*(-$AM385+186)^2-0.005,WeightSDS!$U$18+(WeightSDS!$V$18-WeightSDS!$U$18)/24*($AM385-186)-0.005)))</f>
        <v>0.14604529399999999</v>
      </c>
      <c r="AT385" s="4">
        <f t="shared" si="112"/>
        <v>0.56299999999999994</v>
      </c>
      <c r="AU385" s="4">
        <f t="shared" si="113"/>
        <v>69</v>
      </c>
      <c r="AV385" s="4">
        <f t="shared" si="114"/>
        <v>0.51</v>
      </c>
    </row>
    <row r="386" spans="1:48" x14ac:dyDescent="0.15">
      <c r="A386" s="4"/>
      <c r="B386" s="21"/>
      <c r="C386" s="21"/>
      <c r="D386" s="21"/>
      <c r="E386" s="22"/>
      <c r="F386" s="22"/>
      <c r="G386" s="23"/>
      <c r="H386" s="23"/>
      <c r="I386" s="181"/>
      <c r="J386" s="8" t="str">
        <f t="shared" si="106"/>
        <v/>
      </c>
      <c r="K386" s="2" t="str">
        <f t="shared" si="115"/>
        <v/>
      </c>
      <c r="L386" s="2" t="str">
        <f t="shared" si="107"/>
        <v/>
      </c>
      <c r="M386" s="2" t="str">
        <f t="shared" si="116"/>
        <v/>
      </c>
      <c r="N386" s="2" t="str">
        <f t="shared" si="124"/>
        <v/>
      </c>
      <c r="O386" s="2" t="str">
        <f t="shared" si="117"/>
        <v/>
      </c>
      <c r="P386" s="8" t="str">
        <f t="shared" si="118"/>
        <v/>
      </c>
      <c r="Q386" s="8" t="str">
        <f t="shared" si="119"/>
        <v/>
      </c>
      <c r="R386" s="111" t="str">
        <f t="shared" si="120"/>
        <v/>
      </c>
      <c r="S386" s="44" t="str">
        <f t="shared" si="121"/>
        <v/>
      </c>
      <c r="T386" s="37" t="str">
        <f t="shared" si="122"/>
        <v/>
      </c>
      <c r="U386" s="44" t="str">
        <f t="shared" si="123"/>
        <v/>
      </c>
      <c r="V386" s="26"/>
      <c r="W386" s="26"/>
      <c r="X386" s="26"/>
      <c r="Y386" s="26"/>
      <c r="Z386" s="24"/>
      <c r="AA386" s="169">
        <f t="shared" si="108"/>
        <v>0</v>
      </c>
      <c r="AB386" s="4">
        <f t="shared" si="109"/>
        <v>0</v>
      </c>
      <c r="AC386" s="170">
        <f t="shared" si="126"/>
        <v>0</v>
      </c>
      <c r="AD386" s="58"/>
      <c r="AE386" s="58"/>
      <c r="AF386" s="58"/>
      <c r="AG386" s="59">
        <f t="shared" si="110"/>
        <v>9.0359999999999996</v>
      </c>
      <c r="AH386" s="59">
        <f t="shared" si="111"/>
        <v>-184.49199999999999</v>
      </c>
      <c r="AJ386" s="4">
        <f>IF(D386="M",IF(AM386&lt;78,BMILMS!$D$5*AM386^3+BMILMS!$E$5*AM386^2+BMILMS!$F$5*AM386+BMILMS!$G$5,IF(AM386&lt;150,BMILMS!$D$6*AM386^3+BMILMS!$E$6*AM386^2+BMILMS!$F$6*AM386+BMILMS!$G$6,BMILMS!$D$7*AM386^3+BMILMS!$E$7*AM386^2+BMILMS!$F$7*AM386+BMILMS!$G$7)),IF(AM386&lt;69,BMILMS!$D$9*AM386^3+BMILMS!$E$9*AM386^2+BMILMS!$F$9*AM386+BMILMS!$G$9,IF(AM386&lt;150,BMILMS!$D$10*AM386^3+BMILMS!$E$10*AM386^2+BMILMS!$F$10*AM386+BMILMS!$G$10,BMILMS!$D$11*AM386^3+BMILMS!$E$11*AM386^2+BMILMS!$F$11*AM386+BMILMS!$G$11)))</f>
        <v>0.79584630099999998</v>
      </c>
      <c r="AK386" s="4">
        <f>IF(D386="M",(IF(AM386&lt;2.5,BMILMS!$D$21*AM386^3+BMILMS!$E$21*AM386^2+BMILMS!$F$21*AM386+BMILMS!$G$21,IF(AM386&lt;9.5,BMILMS!$D$22*AM386^3+BMILMS!$E$22*AM386^2+BMILMS!$F$22*AM386+BMILMS!$G$22,IF(AM386&lt;26.75,BMILMS!$D$23*AM386^3+BMILMS!$E$23*AM386^2+BMILMS!$F$23*AM386+BMILMS!$G$23,IF(AM386&lt;90,BMILMS!$D$24*AM386^3+BMILMS!$E$24*AM386^2+BMILMS!$F$24*AM386+BMILMS!$G$24,BMILMS!$D$25*AM386^3+BMILMS!$E$25*AM386^2+BMILMS!$F$25*AM386+BMILMS!$G$25))))),(IF(AM386&lt;2.5,BMILMS!$D$27*AM386^3+BMILMS!$E$27*AM386^2+BMILMS!$F$27*AM386+BMILMS!$G$27,IF(AM386&lt;9.5,BMILMS!$D$28*AM386^3+BMILMS!$E$28*AM386^2+BMILMS!$F$28*AM386+BMILMS!$G$28,IF(AM386&lt;26.75,BMILMS!$D$29*AM386^3+BMILMS!$E$29*AM386^2+BMILMS!$F$29*AM386+BMILMS!$G$29,IF(AM386&lt;90,BMILMS!$D$30*AM386^3+BMILMS!$E$30*AM386^2+BMILMS!$F$30*AM386+BMILMS!$G$30,IF(AM386&lt;150,BMILMS!$D$31*AM386^3+BMILMS!$E$31*AM386^2+BMILMS!$F$31*AM386+BMILMS!$G$31,BMILMS!$D$32*AM386^3+BMILMS!$E$32*AM386^2+BMILMS!$F$32*AM386+BMILMS!$G$32)))))))</f>
        <v>12.568967990000001</v>
      </c>
      <c r="AL386" s="4">
        <f>IF(D386="M",(IF(AM386&lt;90,BMILMS!$D$14*AM386^3+BMILMS!$E$14*AM386^2+BMILMS!$F$14*AM386+BMILMS!$G$14,BMILMS!$D$15*AM386^3+BMILMS!$E$15*AM386^2+BMILMS!$F$15*AM386+BMILMS!$G$15)),(IF(AM386&lt;90,BMILMS!$D$17*AM386^3+BMILMS!$E$17*AM386^2+BMILMS!$F$17*AM386+BMILMS!$G$17,BMILMS!$D$18*AM386^3+BMILMS!$E$18*AM386^2+BMILMS!$F$18*AM386+BMILMS!$G$18)))</f>
        <v>8.8969350000000003E-2</v>
      </c>
      <c r="AM386" s="4">
        <f t="shared" si="125"/>
        <v>0</v>
      </c>
      <c r="AO386" s="56">
        <f>IF(D386="M",WeightSDS!P$5*$AM386^7+WeightSDS!Q$5*$AM386^6+WeightSDS!R$5*$AM386^5+WeightSDS!S$5*$AM386^4+WeightSDS!T$5*$AM386^3+WeightSDS!U$5*$AM386^2+WeightSDS!V$5*$AM386+WeightSDS!W$5,IF($AM386&lt;186,WeightSDS!P$8*$AM386^7+WeightSDS!Q$8*$AM386^6+WeightSDS!R$8*$AM386^5+WeightSDS!S$8*$AM386^4+WeightSDS!T$8*$AM386^3+WeightSDS!U$8*$AM386^2+WeightSDS!V$8*$AM386+WeightSDS!W$8,WeightSDS!$U$9+WeightSDS!$V$9*($AM386-WeightSDS!$W$9)))</f>
        <v>0.75407122999999998</v>
      </c>
      <c r="AP386" s="4">
        <f>IF(D386="M",IF($AM386&lt;45,WeightSDS!M$23*$AM386^10+WeightSDS!N$23*$AM386^9+WeightSDS!O$23*$AM386^8+WeightSDS!P$23*$AM386^7+WeightSDS!Q$23*$AM386^6+WeightSDS!R$23*$AM386^5+WeightSDS!S$23*$AM386^4+WeightSDS!T$23*$AM386^3+WeightSDS!U$23*$AM386^2+WeightSDS!V$23*$AM386+WeightSDS!W$23,IF($AM386&lt;153,WeightSDS!M$25*$AM386^10+WeightSDS!N$25*$AM386^9+WeightSDS!O$25*$AM386^8+WeightSDS!P$25*$AM386^7+WeightSDS!Q$25*$AM386^6+WeightSDS!R$25*$AM386^5+WeightSDS!S$25*$AM386^4+WeightSDS!T$25*$AM386^3+WeightSDS!U$25*$AM386^2+WeightSDS!V$25*$AM386+WeightSDS!W$25,WeightSDS!M$27+WeightSDS!N$27/(1+EXP(WeightSDS!O$27+WeightSDS!P$27*$AM386)))),IF($AM386&lt;43.8,WeightSDS!M$29*$AM386^10+WeightSDS!N$29*$AM386^9+WeightSDS!O$29*$AM386^8+WeightSDS!P$29*$AM386^7+WeightSDS!Q$29*$AM386^6+WeightSDS!R$29*$AM386^5+WeightSDS!S$29*$AM386^4+WeightSDS!T$29*$AM386^3+WeightSDS!U$29*$AM386^2+WeightSDS!V$29*$AM386+WeightSDS!W$29-0.010431*(1-$AM386/210),IF($AM386&lt;123,WeightSDS!M$30*$AM386^10+WeightSDS!N$30*$AM386^9+WeightSDS!O$30*$AM386^8+WeightSDS!P$30*$AM386^7+WeightSDS!Q$30*$AM386^6+WeightSDS!R$30*$AM386^5+WeightSDS!S$30*$AM386^4+WeightSDS!T$30*$AM386^3+WeightSDS!U$30*$AM386^2+WeightSDS!V$30*$AM386+WeightSDS!W$30-0.010431*(1-1/$AM386),WeightSDS!M$32+WeightSDS!N$32/(1+EXP(WeightSDS!O$32+WeightSDS!P$32*$AM386))-0.010431*(1-$AM386/210))))</f>
        <v>2.9500001032655536</v>
      </c>
      <c r="AQ386" s="4">
        <f>IF(D386="M",IF($AM386&lt;162,WeightSDS!P$12*$AM386^7+WeightSDS!Q$12*$AM386^6+WeightSDS!R$12*$AM386^5+WeightSDS!S$12*$AM386^4+WeightSDS!T$12*$AM386^3+WeightSDS!U$12*$AM386^2+WeightSDS!V$12*$AM386+WeightSDS!W$12,WeightSDS!P$14*$AM386^7+WeightSDS!Q$14*$AM386^6+WeightSDS!R$14*$AM386^5+WeightSDS!S$14*$AM386^4+WeightSDS!T$14*$AM386^3+WeightSDS!U$14*$AM386^2+WeightSDS!V$14*$AM386+WeightSDS!W$14),IF($AM386&lt;156,WeightSDS!O$17*$AM386^8+WeightSDS!P$17*$AM386^7+WeightSDS!Q$17*$AM386^6+WeightSDS!R$17*$AM386^5+WeightSDS!S$17*$AM386^4+WeightSDS!T$17*$AM386^3+WeightSDS!U$17*$AM386^2+WeightSDS!V$17*$AM386+WeightSDS!W$17,IF($AM386&lt;186,WeightSDS!$U$18+(WeightSDS!$V$18-WeightSDS!$U$18)/24*($AM386-186)+WeightSDS!$W$18*(-$AM386+186)^2-0.005,WeightSDS!$U$18+(WeightSDS!$V$18-WeightSDS!$U$18)/24*($AM386-186)-0.005)))</f>
        <v>0.14604529399999999</v>
      </c>
      <c r="AT386" s="4">
        <f t="shared" si="112"/>
        <v>0.56299999999999994</v>
      </c>
      <c r="AU386" s="4">
        <f t="shared" si="113"/>
        <v>69</v>
      </c>
      <c r="AV386" s="4">
        <f t="shared" si="114"/>
        <v>0.51</v>
      </c>
    </row>
    <row r="387" spans="1:48" x14ac:dyDescent="0.15">
      <c r="A387" s="4"/>
      <c r="B387" s="21"/>
      <c r="C387" s="21"/>
      <c r="D387" s="21"/>
      <c r="E387" s="22"/>
      <c r="F387" s="22"/>
      <c r="G387" s="23"/>
      <c r="H387" s="23"/>
      <c r="I387" s="181"/>
      <c r="J387" s="8" t="str">
        <f t="shared" ref="J387:J450" si="127">IF(COUNTA(D387,E387,F387,G387)=4,IF(AA387+AB387/12&gt;17.583,"       *",(G387-(INDEX(IF(D387="F",Hfemalemean,Hmalemean),AB387+1,AA387+1)))/(INDEX(IF(D387="F",Hfemalesd,Hmalesd),AB387+1,AA387+1))),"")</f>
        <v/>
      </c>
      <c r="K387" s="2" t="str">
        <f t="shared" si="115"/>
        <v/>
      </c>
      <c r="L387" s="2" t="str">
        <f t="shared" ref="L387:L450" si="128">IF(COUNTA(D387,E387,F387,G387,H387)&lt;5,"",IF(T387&lt;6,"       *",IF(AA387+AB387/12&gt;=17.583,"       *",(H387-G387*INDEX(IF(D387="F",muratafemale,muratamale),AA387-4,1)-INDEX(IF(D387="F",muratafemale,muratamale),AA387-4,2))/(G387*INDEX(IF(D387="F",muratafemale,muratamale),AA387-4,1)+INDEX(IF(D387="F",muratafemale,muratamale),AA387-4,2))*100)))</f>
        <v/>
      </c>
      <c r="M387" s="2" t="str">
        <f t="shared" si="116"/>
        <v/>
      </c>
      <c r="N387" s="2" t="str">
        <f t="shared" si="124"/>
        <v/>
      </c>
      <c r="O387" s="2" t="str">
        <f t="shared" si="117"/>
        <v/>
      </c>
      <c r="P387" s="8" t="str">
        <f t="shared" si="118"/>
        <v/>
      </c>
      <c r="Q387" s="8" t="str">
        <f t="shared" si="119"/>
        <v/>
      </c>
      <c r="R387" s="111" t="str">
        <f t="shared" si="120"/>
        <v/>
      </c>
      <c r="S387" s="44" t="str">
        <f t="shared" si="121"/>
        <v/>
      </c>
      <c r="T387" s="37" t="str">
        <f t="shared" si="122"/>
        <v/>
      </c>
      <c r="U387" s="44" t="str">
        <f t="shared" si="123"/>
        <v/>
      </c>
      <c r="V387" s="26"/>
      <c r="W387" s="26"/>
      <c r="X387" s="26"/>
      <c r="Y387" s="26"/>
      <c r="Z387" s="24"/>
      <c r="AA387" s="169">
        <f t="shared" ref="AA387:AA450" si="129">DATEDIF(E387,F387,"Y")</f>
        <v>0</v>
      </c>
      <c r="AB387" s="4">
        <f t="shared" ref="AB387:AB450" si="130">DATEDIF(E387,F387,"YM")</f>
        <v>0</v>
      </c>
      <c r="AC387" s="170">
        <f t="shared" si="126"/>
        <v>0</v>
      </c>
      <c r="AD387" s="58"/>
      <c r="AE387" s="58"/>
      <c r="AF387" s="58"/>
      <c r="AG387" s="59">
        <f t="shared" ref="AG387:AG450" si="131">IF(D387="M",2.06*10^-3*G387^2-0.1166*G387+6.5273,2.49*10^-3*G387^2-0.1858*G387+9.036)</f>
        <v>9.0359999999999996</v>
      </c>
      <c r="AH387" s="59">
        <f t="shared" ref="AH387:AH450" si="132">((G387/100)^3*INDEX(itoOI,IF(D387="M",0,3)+IF(G387&lt;140,1,IF(G387&lt;=149,2,3)),1)+(G387/100)^2*INDEX(itoOI,IF(D387="M",0,3)+IF(G387&lt;140,1,IF(G387&lt;=149,2,3)),2)+(G387/100)*INDEX(itoOI,IF(D387="M",0,3)+IF(G387&lt;140,1,IF(G387&lt;=149,2,3)),3)+INDEX(itoOI,IF(D387="M",0,3)+IF(G387&lt;140,1,IF(G387&lt;=149,2,3)),4))</f>
        <v>-184.49199999999999</v>
      </c>
      <c r="AJ387" s="4">
        <f>IF(D387="M",IF(AM387&lt;78,BMILMS!$D$5*AM387^3+BMILMS!$E$5*AM387^2+BMILMS!$F$5*AM387+BMILMS!$G$5,IF(AM387&lt;150,BMILMS!$D$6*AM387^3+BMILMS!$E$6*AM387^2+BMILMS!$F$6*AM387+BMILMS!$G$6,BMILMS!$D$7*AM387^3+BMILMS!$E$7*AM387^2+BMILMS!$F$7*AM387+BMILMS!$G$7)),IF(AM387&lt;69,BMILMS!$D$9*AM387^3+BMILMS!$E$9*AM387^2+BMILMS!$F$9*AM387+BMILMS!$G$9,IF(AM387&lt;150,BMILMS!$D$10*AM387^3+BMILMS!$E$10*AM387^2+BMILMS!$F$10*AM387+BMILMS!$G$10,BMILMS!$D$11*AM387^3+BMILMS!$E$11*AM387^2+BMILMS!$F$11*AM387+BMILMS!$G$11)))</f>
        <v>0.79584630099999998</v>
      </c>
      <c r="AK387" s="4">
        <f>IF(D387="M",(IF(AM387&lt;2.5,BMILMS!$D$21*AM387^3+BMILMS!$E$21*AM387^2+BMILMS!$F$21*AM387+BMILMS!$G$21,IF(AM387&lt;9.5,BMILMS!$D$22*AM387^3+BMILMS!$E$22*AM387^2+BMILMS!$F$22*AM387+BMILMS!$G$22,IF(AM387&lt;26.75,BMILMS!$D$23*AM387^3+BMILMS!$E$23*AM387^2+BMILMS!$F$23*AM387+BMILMS!$G$23,IF(AM387&lt;90,BMILMS!$D$24*AM387^3+BMILMS!$E$24*AM387^2+BMILMS!$F$24*AM387+BMILMS!$G$24,BMILMS!$D$25*AM387^3+BMILMS!$E$25*AM387^2+BMILMS!$F$25*AM387+BMILMS!$G$25))))),(IF(AM387&lt;2.5,BMILMS!$D$27*AM387^3+BMILMS!$E$27*AM387^2+BMILMS!$F$27*AM387+BMILMS!$G$27,IF(AM387&lt;9.5,BMILMS!$D$28*AM387^3+BMILMS!$E$28*AM387^2+BMILMS!$F$28*AM387+BMILMS!$G$28,IF(AM387&lt;26.75,BMILMS!$D$29*AM387^3+BMILMS!$E$29*AM387^2+BMILMS!$F$29*AM387+BMILMS!$G$29,IF(AM387&lt;90,BMILMS!$D$30*AM387^3+BMILMS!$E$30*AM387^2+BMILMS!$F$30*AM387+BMILMS!$G$30,IF(AM387&lt;150,BMILMS!$D$31*AM387^3+BMILMS!$E$31*AM387^2+BMILMS!$F$31*AM387+BMILMS!$G$31,BMILMS!$D$32*AM387^3+BMILMS!$E$32*AM387^2+BMILMS!$F$32*AM387+BMILMS!$G$32)))))))</f>
        <v>12.568967990000001</v>
      </c>
      <c r="AL387" s="4">
        <f>IF(D387="M",(IF(AM387&lt;90,BMILMS!$D$14*AM387^3+BMILMS!$E$14*AM387^2+BMILMS!$F$14*AM387+BMILMS!$G$14,BMILMS!$D$15*AM387^3+BMILMS!$E$15*AM387^2+BMILMS!$F$15*AM387+BMILMS!$G$15)),(IF(AM387&lt;90,BMILMS!$D$17*AM387^3+BMILMS!$E$17*AM387^2+BMILMS!$F$17*AM387+BMILMS!$G$17,BMILMS!$D$18*AM387^3+BMILMS!$E$18*AM387^2+BMILMS!$F$18*AM387+BMILMS!$G$18)))</f>
        <v>8.8969350000000003E-2</v>
      </c>
      <c r="AM387" s="4">
        <f t="shared" si="125"/>
        <v>0</v>
      </c>
      <c r="AO387" s="56">
        <f>IF(D387="M",WeightSDS!P$5*$AM387^7+WeightSDS!Q$5*$AM387^6+WeightSDS!R$5*$AM387^5+WeightSDS!S$5*$AM387^4+WeightSDS!T$5*$AM387^3+WeightSDS!U$5*$AM387^2+WeightSDS!V$5*$AM387+WeightSDS!W$5,IF($AM387&lt;186,WeightSDS!P$8*$AM387^7+WeightSDS!Q$8*$AM387^6+WeightSDS!R$8*$AM387^5+WeightSDS!S$8*$AM387^4+WeightSDS!T$8*$AM387^3+WeightSDS!U$8*$AM387^2+WeightSDS!V$8*$AM387+WeightSDS!W$8,WeightSDS!$U$9+WeightSDS!$V$9*($AM387-WeightSDS!$W$9)))</f>
        <v>0.75407122999999998</v>
      </c>
      <c r="AP387" s="4">
        <f>IF(D387="M",IF($AM387&lt;45,WeightSDS!M$23*$AM387^10+WeightSDS!N$23*$AM387^9+WeightSDS!O$23*$AM387^8+WeightSDS!P$23*$AM387^7+WeightSDS!Q$23*$AM387^6+WeightSDS!R$23*$AM387^5+WeightSDS!S$23*$AM387^4+WeightSDS!T$23*$AM387^3+WeightSDS!U$23*$AM387^2+WeightSDS!V$23*$AM387+WeightSDS!W$23,IF($AM387&lt;153,WeightSDS!M$25*$AM387^10+WeightSDS!N$25*$AM387^9+WeightSDS!O$25*$AM387^8+WeightSDS!P$25*$AM387^7+WeightSDS!Q$25*$AM387^6+WeightSDS!R$25*$AM387^5+WeightSDS!S$25*$AM387^4+WeightSDS!T$25*$AM387^3+WeightSDS!U$25*$AM387^2+WeightSDS!V$25*$AM387+WeightSDS!W$25,WeightSDS!M$27+WeightSDS!N$27/(1+EXP(WeightSDS!O$27+WeightSDS!P$27*$AM387)))),IF($AM387&lt;43.8,WeightSDS!M$29*$AM387^10+WeightSDS!N$29*$AM387^9+WeightSDS!O$29*$AM387^8+WeightSDS!P$29*$AM387^7+WeightSDS!Q$29*$AM387^6+WeightSDS!R$29*$AM387^5+WeightSDS!S$29*$AM387^4+WeightSDS!T$29*$AM387^3+WeightSDS!U$29*$AM387^2+WeightSDS!V$29*$AM387+WeightSDS!W$29-0.010431*(1-$AM387/210),IF($AM387&lt;123,WeightSDS!M$30*$AM387^10+WeightSDS!N$30*$AM387^9+WeightSDS!O$30*$AM387^8+WeightSDS!P$30*$AM387^7+WeightSDS!Q$30*$AM387^6+WeightSDS!R$30*$AM387^5+WeightSDS!S$30*$AM387^4+WeightSDS!T$30*$AM387^3+WeightSDS!U$30*$AM387^2+WeightSDS!V$30*$AM387+WeightSDS!W$30-0.010431*(1-1/$AM387),WeightSDS!M$32+WeightSDS!N$32/(1+EXP(WeightSDS!O$32+WeightSDS!P$32*$AM387))-0.010431*(1-$AM387/210))))</f>
        <v>2.9500001032655536</v>
      </c>
      <c r="AQ387" s="4">
        <f>IF(D387="M",IF($AM387&lt;162,WeightSDS!P$12*$AM387^7+WeightSDS!Q$12*$AM387^6+WeightSDS!R$12*$AM387^5+WeightSDS!S$12*$AM387^4+WeightSDS!T$12*$AM387^3+WeightSDS!U$12*$AM387^2+WeightSDS!V$12*$AM387+WeightSDS!W$12,WeightSDS!P$14*$AM387^7+WeightSDS!Q$14*$AM387^6+WeightSDS!R$14*$AM387^5+WeightSDS!S$14*$AM387^4+WeightSDS!T$14*$AM387^3+WeightSDS!U$14*$AM387^2+WeightSDS!V$14*$AM387+WeightSDS!W$14),IF($AM387&lt;156,WeightSDS!O$17*$AM387^8+WeightSDS!P$17*$AM387^7+WeightSDS!Q$17*$AM387^6+WeightSDS!R$17*$AM387^5+WeightSDS!S$17*$AM387^4+WeightSDS!T$17*$AM387^3+WeightSDS!U$17*$AM387^2+WeightSDS!V$17*$AM387+WeightSDS!W$17,IF($AM387&lt;186,WeightSDS!$U$18+(WeightSDS!$V$18-WeightSDS!$U$18)/24*($AM387-186)+WeightSDS!$W$18*(-$AM387+186)^2-0.005,WeightSDS!$U$18+(WeightSDS!$V$18-WeightSDS!$U$18)/24*($AM387-186)-0.005)))</f>
        <v>0.14604529399999999</v>
      </c>
      <c r="AT387" s="4">
        <f t="shared" ref="AT387:AT450" si="133">INDEX(IF(D387="M",IGFmale, IGFfemale), AA387+1,1)</f>
        <v>0.56299999999999994</v>
      </c>
      <c r="AU387" s="4">
        <f t="shared" ref="AU387:AU450" si="134">INDEX(IF(D387="M",IGFmale, IGFfemale), AA387+1,2)</f>
        <v>69</v>
      </c>
      <c r="AV387" s="4">
        <f t="shared" ref="AV387:AV450" si="135">INDEX(IF(D387="M",IGFmale, IGFfemale), AA387+1,3)</f>
        <v>0.51</v>
      </c>
    </row>
    <row r="388" spans="1:48" x14ac:dyDescent="0.15">
      <c r="A388" s="4"/>
      <c r="B388" s="21"/>
      <c r="C388" s="21"/>
      <c r="D388" s="21"/>
      <c r="E388" s="22"/>
      <c r="F388" s="22"/>
      <c r="G388" s="23"/>
      <c r="H388" s="23"/>
      <c r="I388" s="181"/>
      <c r="J388" s="8" t="str">
        <f t="shared" si="127"/>
        <v/>
      </c>
      <c r="K388" s="2" t="str">
        <f t="shared" ref="K388:K451" si="136">IF(COUNTA(D388,E388,F388,G388,H388)=5,IF(T388&lt;1,"       *",IF(T388&gt;=6,"       *",IF(G388&gt;=120,"       *",IF(G388&lt;70,"       *",(H388-AG388)/AG388*100)))),"")</f>
        <v/>
      </c>
      <c r="L388" s="2" t="str">
        <f t="shared" si="128"/>
        <v/>
      </c>
      <c r="M388" s="2" t="str">
        <f t="shared" ref="M388:M451" si="137">IF(COUNTA(D388,E388,F388,G388,H388)=5,IF(G388&gt;=IF(D388="M",181,174),"*",IF(G388&lt;101,"       *",IF(T388&lt;6,"       *",IF(AA388+AB388/12&gt;=17.583,"*",(H388-AH388)/AH388*100)))),"")</f>
        <v/>
      </c>
      <c r="N388" s="2" t="str">
        <f t="shared" si="124"/>
        <v/>
      </c>
      <c r="O388" s="2" t="str">
        <f t="shared" ref="O388:O451" si="138">IF(COUNTA(D388,E388,F388,G388,H388)=5,IF(AA388+AB388/12&gt;17.583,"   *",NORMSDIST(((N388/AK388)^(AJ388)-1)/AJ388/AL388)*100),"")</f>
        <v/>
      </c>
      <c r="P388" s="8" t="str">
        <f t="shared" ref="P388:P451" si="139">IF(COUNTA(D388,E388,F388,G388,H388)=5,IF(AA388+AB388/12&gt;17.583,"   *",((N388/AK388)^(AJ388)-1)/AJ388/AL388),"")</f>
        <v/>
      </c>
      <c r="Q388" s="8" t="str">
        <f t="shared" ref="Q388:Q451" si="140">IF(COUNTA(D388,E388,F388,H388)=4,IF(AA388+AB388/12&gt;17.583,"   *",((H388/AP388)^(AO388)-1)/AO388/AQ388),"")</f>
        <v/>
      </c>
      <c r="R388" s="111" t="str">
        <f t="shared" ref="R388:R451" si="141">IF(COUNTA(D388,E388,F388,I388)=4,IF(AC388&gt;77,"*",NORMSDIST(((I388/AU388)^(AT388)-1)/AT388/AV388)*100),"")</f>
        <v/>
      </c>
      <c r="S388" s="44" t="str">
        <f t="shared" ref="S388:S451" si="142">IF(COUNTA(D388,E388,F388,I388)=4,IF(AC388&gt;77,"*",((I388/AU388)^(AT388)-1)/AT388/AV388),"")</f>
        <v/>
      </c>
      <c r="T388" s="37" t="str">
        <f t="shared" ref="T388:T451" si="143">IF(COUNTA(E388,F388)=2,AC388,"")</f>
        <v/>
      </c>
      <c r="U388" s="44" t="str">
        <f t="shared" ref="U388:U451" si="144">IF(COUNTA(E388,F388)=2,AA388&amp;"歳"&amp;AB388&amp;"か月","")</f>
        <v/>
      </c>
      <c r="V388" s="26"/>
      <c r="W388" s="26"/>
      <c r="X388" s="26"/>
      <c r="Y388" s="26"/>
      <c r="Z388" s="24"/>
      <c r="AA388" s="169">
        <f t="shared" si="129"/>
        <v>0</v>
      </c>
      <c r="AB388" s="4">
        <f t="shared" si="130"/>
        <v>0</v>
      </c>
      <c r="AC388" s="170">
        <f t="shared" si="126"/>
        <v>0</v>
      </c>
      <c r="AD388" s="58"/>
      <c r="AE388" s="58"/>
      <c r="AF388" s="58"/>
      <c r="AG388" s="59">
        <f t="shared" si="131"/>
        <v>9.0359999999999996</v>
      </c>
      <c r="AH388" s="59">
        <f t="shared" si="132"/>
        <v>-184.49199999999999</v>
      </c>
      <c r="AJ388" s="4">
        <f>IF(D388="M",IF(AM388&lt;78,BMILMS!$D$5*AM388^3+BMILMS!$E$5*AM388^2+BMILMS!$F$5*AM388+BMILMS!$G$5,IF(AM388&lt;150,BMILMS!$D$6*AM388^3+BMILMS!$E$6*AM388^2+BMILMS!$F$6*AM388+BMILMS!$G$6,BMILMS!$D$7*AM388^3+BMILMS!$E$7*AM388^2+BMILMS!$F$7*AM388+BMILMS!$G$7)),IF(AM388&lt;69,BMILMS!$D$9*AM388^3+BMILMS!$E$9*AM388^2+BMILMS!$F$9*AM388+BMILMS!$G$9,IF(AM388&lt;150,BMILMS!$D$10*AM388^3+BMILMS!$E$10*AM388^2+BMILMS!$F$10*AM388+BMILMS!$G$10,BMILMS!$D$11*AM388^3+BMILMS!$E$11*AM388^2+BMILMS!$F$11*AM388+BMILMS!$G$11)))</f>
        <v>0.79584630099999998</v>
      </c>
      <c r="AK388" s="4">
        <f>IF(D388="M",(IF(AM388&lt;2.5,BMILMS!$D$21*AM388^3+BMILMS!$E$21*AM388^2+BMILMS!$F$21*AM388+BMILMS!$G$21,IF(AM388&lt;9.5,BMILMS!$D$22*AM388^3+BMILMS!$E$22*AM388^2+BMILMS!$F$22*AM388+BMILMS!$G$22,IF(AM388&lt;26.75,BMILMS!$D$23*AM388^3+BMILMS!$E$23*AM388^2+BMILMS!$F$23*AM388+BMILMS!$G$23,IF(AM388&lt;90,BMILMS!$D$24*AM388^3+BMILMS!$E$24*AM388^2+BMILMS!$F$24*AM388+BMILMS!$G$24,BMILMS!$D$25*AM388^3+BMILMS!$E$25*AM388^2+BMILMS!$F$25*AM388+BMILMS!$G$25))))),(IF(AM388&lt;2.5,BMILMS!$D$27*AM388^3+BMILMS!$E$27*AM388^2+BMILMS!$F$27*AM388+BMILMS!$G$27,IF(AM388&lt;9.5,BMILMS!$D$28*AM388^3+BMILMS!$E$28*AM388^2+BMILMS!$F$28*AM388+BMILMS!$G$28,IF(AM388&lt;26.75,BMILMS!$D$29*AM388^3+BMILMS!$E$29*AM388^2+BMILMS!$F$29*AM388+BMILMS!$G$29,IF(AM388&lt;90,BMILMS!$D$30*AM388^3+BMILMS!$E$30*AM388^2+BMILMS!$F$30*AM388+BMILMS!$G$30,IF(AM388&lt;150,BMILMS!$D$31*AM388^3+BMILMS!$E$31*AM388^2+BMILMS!$F$31*AM388+BMILMS!$G$31,BMILMS!$D$32*AM388^3+BMILMS!$E$32*AM388^2+BMILMS!$F$32*AM388+BMILMS!$G$32)))))))</f>
        <v>12.568967990000001</v>
      </c>
      <c r="AL388" s="4">
        <f>IF(D388="M",(IF(AM388&lt;90,BMILMS!$D$14*AM388^3+BMILMS!$E$14*AM388^2+BMILMS!$F$14*AM388+BMILMS!$G$14,BMILMS!$D$15*AM388^3+BMILMS!$E$15*AM388^2+BMILMS!$F$15*AM388+BMILMS!$G$15)),(IF(AM388&lt;90,BMILMS!$D$17*AM388^3+BMILMS!$E$17*AM388^2+BMILMS!$F$17*AM388+BMILMS!$G$17,BMILMS!$D$18*AM388^3+BMILMS!$E$18*AM388^2+BMILMS!$F$18*AM388+BMILMS!$G$18)))</f>
        <v>8.8969350000000003E-2</v>
      </c>
      <c r="AM388" s="4">
        <f t="shared" si="125"/>
        <v>0</v>
      </c>
      <c r="AO388" s="56">
        <f>IF(D388="M",WeightSDS!P$5*$AM388^7+WeightSDS!Q$5*$AM388^6+WeightSDS!R$5*$AM388^5+WeightSDS!S$5*$AM388^4+WeightSDS!T$5*$AM388^3+WeightSDS!U$5*$AM388^2+WeightSDS!V$5*$AM388+WeightSDS!W$5,IF($AM388&lt;186,WeightSDS!P$8*$AM388^7+WeightSDS!Q$8*$AM388^6+WeightSDS!R$8*$AM388^5+WeightSDS!S$8*$AM388^4+WeightSDS!T$8*$AM388^3+WeightSDS!U$8*$AM388^2+WeightSDS!V$8*$AM388+WeightSDS!W$8,WeightSDS!$U$9+WeightSDS!$V$9*($AM388-WeightSDS!$W$9)))</f>
        <v>0.75407122999999998</v>
      </c>
      <c r="AP388" s="4">
        <f>IF(D388="M",IF($AM388&lt;45,WeightSDS!M$23*$AM388^10+WeightSDS!N$23*$AM388^9+WeightSDS!O$23*$AM388^8+WeightSDS!P$23*$AM388^7+WeightSDS!Q$23*$AM388^6+WeightSDS!R$23*$AM388^5+WeightSDS!S$23*$AM388^4+WeightSDS!T$23*$AM388^3+WeightSDS!U$23*$AM388^2+WeightSDS!V$23*$AM388+WeightSDS!W$23,IF($AM388&lt;153,WeightSDS!M$25*$AM388^10+WeightSDS!N$25*$AM388^9+WeightSDS!O$25*$AM388^8+WeightSDS!P$25*$AM388^7+WeightSDS!Q$25*$AM388^6+WeightSDS!R$25*$AM388^5+WeightSDS!S$25*$AM388^4+WeightSDS!T$25*$AM388^3+WeightSDS!U$25*$AM388^2+WeightSDS!V$25*$AM388+WeightSDS!W$25,WeightSDS!M$27+WeightSDS!N$27/(1+EXP(WeightSDS!O$27+WeightSDS!P$27*$AM388)))),IF($AM388&lt;43.8,WeightSDS!M$29*$AM388^10+WeightSDS!N$29*$AM388^9+WeightSDS!O$29*$AM388^8+WeightSDS!P$29*$AM388^7+WeightSDS!Q$29*$AM388^6+WeightSDS!R$29*$AM388^5+WeightSDS!S$29*$AM388^4+WeightSDS!T$29*$AM388^3+WeightSDS!U$29*$AM388^2+WeightSDS!V$29*$AM388+WeightSDS!W$29-0.010431*(1-$AM388/210),IF($AM388&lt;123,WeightSDS!M$30*$AM388^10+WeightSDS!N$30*$AM388^9+WeightSDS!O$30*$AM388^8+WeightSDS!P$30*$AM388^7+WeightSDS!Q$30*$AM388^6+WeightSDS!R$30*$AM388^5+WeightSDS!S$30*$AM388^4+WeightSDS!T$30*$AM388^3+WeightSDS!U$30*$AM388^2+WeightSDS!V$30*$AM388+WeightSDS!W$30-0.010431*(1-1/$AM388),WeightSDS!M$32+WeightSDS!N$32/(1+EXP(WeightSDS!O$32+WeightSDS!P$32*$AM388))-0.010431*(1-$AM388/210))))</f>
        <v>2.9500001032655536</v>
      </c>
      <c r="AQ388" s="4">
        <f>IF(D388="M",IF($AM388&lt;162,WeightSDS!P$12*$AM388^7+WeightSDS!Q$12*$AM388^6+WeightSDS!R$12*$AM388^5+WeightSDS!S$12*$AM388^4+WeightSDS!T$12*$AM388^3+WeightSDS!U$12*$AM388^2+WeightSDS!V$12*$AM388+WeightSDS!W$12,WeightSDS!P$14*$AM388^7+WeightSDS!Q$14*$AM388^6+WeightSDS!R$14*$AM388^5+WeightSDS!S$14*$AM388^4+WeightSDS!T$14*$AM388^3+WeightSDS!U$14*$AM388^2+WeightSDS!V$14*$AM388+WeightSDS!W$14),IF($AM388&lt;156,WeightSDS!O$17*$AM388^8+WeightSDS!P$17*$AM388^7+WeightSDS!Q$17*$AM388^6+WeightSDS!R$17*$AM388^5+WeightSDS!S$17*$AM388^4+WeightSDS!T$17*$AM388^3+WeightSDS!U$17*$AM388^2+WeightSDS!V$17*$AM388+WeightSDS!W$17,IF($AM388&lt;186,WeightSDS!$U$18+(WeightSDS!$V$18-WeightSDS!$U$18)/24*($AM388-186)+WeightSDS!$W$18*(-$AM388+186)^2-0.005,WeightSDS!$U$18+(WeightSDS!$V$18-WeightSDS!$U$18)/24*($AM388-186)-0.005)))</f>
        <v>0.14604529399999999</v>
      </c>
      <c r="AT388" s="4">
        <f t="shared" si="133"/>
        <v>0.56299999999999994</v>
      </c>
      <c r="AU388" s="4">
        <f t="shared" si="134"/>
        <v>69</v>
      </c>
      <c r="AV388" s="4">
        <f t="shared" si="135"/>
        <v>0.51</v>
      </c>
    </row>
    <row r="389" spans="1:48" x14ac:dyDescent="0.15">
      <c r="A389" s="4"/>
      <c r="B389" s="21"/>
      <c r="C389" s="21"/>
      <c r="D389" s="21"/>
      <c r="E389" s="22"/>
      <c r="F389" s="22"/>
      <c r="G389" s="23"/>
      <c r="H389" s="23"/>
      <c r="I389" s="181"/>
      <c r="J389" s="8" t="str">
        <f t="shared" si="127"/>
        <v/>
      </c>
      <c r="K389" s="2" t="str">
        <f t="shared" si="136"/>
        <v/>
      </c>
      <c r="L389" s="2" t="str">
        <f t="shared" si="128"/>
        <v/>
      </c>
      <c r="M389" s="2" t="str">
        <f t="shared" si="137"/>
        <v/>
      </c>
      <c r="N389" s="2" t="str">
        <f t="shared" si="124"/>
        <v/>
      </c>
      <c r="O389" s="2" t="str">
        <f t="shared" si="138"/>
        <v/>
      </c>
      <c r="P389" s="8" t="str">
        <f t="shared" si="139"/>
        <v/>
      </c>
      <c r="Q389" s="8" t="str">
        <f t="shared" si="140"/>
        <v/>
      </c>
      <c r="R389" s="111" t="str">
        <f t="shared" si="141"/>
        <v/>
      </c>
      <c r="S389" s="44" t="str">
        <f t="shared" si="142"/>
        <v/>
      </c>
      <c r="T389" s="37" t="str">
        <f t="shared" si="143"/>
        <v/>
      </c>
      <c r="U389" s="44" t="str">
        <f t="shared" si="144"/>
        <v/>
      </c>
      <c r="V389" s="26"/>
      <c r="W389" s="26"/>
      <c r="X389" s="26"/>
      <c r="Y389" s="26"/>
      <c r="Z389" s="24"/>
      <c r="AA389" s="169">
        <f t="shared" si="129"/>
        <v>0</v>
      </c>
      <c r="AB389" s="4">
        <f t="shared" si="130"/>
        <v>0</v>
      </c>
      <c r="AC389" s="170">
        <f t="shared" si="126"/>
        <v>0</v>
      </c>
      <c r="AD389" s="58"/>
      <c r="AE389" s="58"/>
      <c r="AF389" s="58"/>
      <c r="AG389" s="59">
        <f t="shared" si="131"/>
        <v>9.0359999999999996</v>
      </c>
      <c r="AH389" s="59">
        <f t="shared" si="132"/>
        <v>-184.49199999999999</v>
      </c>
      <c r="AJ389" s="4">
        <f>IF(D389="M",IF(AM389&lt;78,BMILMS!$D$5*AM389^3+BMILMS!$E$5*AM389^2+BMILMS!$F$5*AM389+BMILMS!$G$5,IF(AM389&lt;150,BMILMS!$D$6*AM389^3+BMILMS!$E$6*AM389^2+BMILMS!$F$6*AM389+BMILMS!$G$6,BMILMS!$D$7*AM389^3+BMILMS!$E$7*AM389^2+BMILMS!$F$7*AM389+BMILMS!$G$7)),IF(AM389&lt;69,BMILMS!$D$9*AM389^3+BMILMS!$E$9*AM389^2+BMILMS!$F$9*AM389+BMILMS!$G$9,IF(AM389&lt;150,BMILMS!$D$10*AM389^3+BMILMS!$E$10*AM389^2+BMILMS!$F$10*AM389+BMILMS!$G$10,BMILMS!$D$11*AM389^3+BMILMS!$E$11*AM389^2+BMILMS!$F$11*AM389+BMILMS!$G$11)))</f>
        <v>0.79584630099999998</v>
      </c>
      <c r="AK389" s="4">
        <f>IF(D389="M",(IF(AM389&lt;2.5,BMILMS!$D$21*AM389^3+BMILMS!$E$21*AM389^2+BMILMS!$F$21*AM389+BMILMS!$G$21,IF(AM389&lt;9.5,BMILMS!$D$22*AM389^3+BMILMS!$E$22*AM389^2+BMILMS!$F$22*AM389+BMILMS!$G$22,IF(AM389&lt;26.75,BMILMS!$D$23*AM389^3+BMILMS!$E$23*AM389^2+BMILMS!$F$23*AM389+BMILMS!$G$23,IF(AM389&lt;90,BMILMS!$D$24*AM389^3+BMILMS!$E$24*AM389^2+BMILMS!$F$24*AM389+BMILMS!$G$24,BMILMS!$D$25*AM389^3+BMILMS!$E$25*AM389^2+BMILMS!$F$25*AM389+BMILMS!$G$25))))),(IF(AM389&lt;2.5,BMILMS!$D$27*AM389^3+BMILMS!$E$27*AM389^2+BMILMS!$F$27*AM389+BMILMS!$G$27,IF(AM389&lt;9.5,BMILMS!$D$28*AM389^3+BMILMS!$E$28*AM389^2+BMILMS!$F$28*AM389+BMILMS!$G$28,IF(AM389&lt;26.75,BMILMS!$D$29*AM389^3+BMILMS!$E$29*AM389^2+BMILMS!$F$29*AM389+BMILMS!$G$29,IF(AM389&lt;90,BMILMS!$D$30*AM389^3+BMILMS!$E$30*AM389^2+BMILMS!$F$30*AM389+BMILMS!$G$30,IF(AM389&lt;150,BMILMS!$D$31*AM389^3+BMILMS!$E$31*AM389^2+BMILMS!$F$31*AM389+BMILMS!$G$31,BMILMS!$D$32*AM389^3+BMILMS!$E$32*AM389^2+BMILMS!$F$32*AM389+BMILMS!$G$32)))))))</f>
        <v>12.568967990000001</v>
      </c>
      <c r="AL389" s="4">
        <f>IF(D389="M",(IF(AM389&lt;90,BMILMS!$D$14*AM389^3+BMILMS!$E$14*AM389^2+BMILMS!$F$14*AM389+BMILMS!$G$14,BMILMS!$D$15*AM389^3+BMILMS!$E$15*AM389^2+BMILMS!$F$15*AM389+BMILMS!$G$15)),(IF(AM389&lt;90,BMILMS!$D$17*AM389^3+BMILMS!$E$17*AM389^2+BMILMS!$F$17*AM389+BMILMS!$G$17,BMILMS!$D$18*AM389^3+BMILMS!$E$18*AM389^2+BMILMS!$F$18*AM389+BMILMS!$G$18)))</f>
        <v>8.8969350000000003E-2</v>
      </c>
      <c r="AM389" s="4">
        <f t="shared" si="125"/>
        <v>0</v>
      </c>
      <c r="AO389" s="56">
        <f>IF(D389="M",WeightSDS!P$5*$AM389^7+WeightSDS!Q$5*$AM389^6+WeightSDS!R$5*$AM389^5+WeightSDS!S$5*$AM389^4+WeightSDS!T$5*$AM389^3+WeightSDS!U$5*$AM389^2+WeightSDS!V$5*$AM389+WeightSDS!W$5,IF($AM389&lt;186,WeightSDS!P$8*$AM389^7+WeightSDS!Q$8*$AM389^6+WeightSDS!R$8*$AM389^5+WeightSDS!S$8*$AM389^4+WeightSDS!T$8*$AM389^3+WeightSDS!U$8*$AM389^2+WeightSDS!V$8*$AM389+WeightSDS!W$8,WeightSDS!$U$9+WeightSDS!$V$9*($AM389-WeightSDS!$W$9)))</f>
        <v>0.75407122999999998</v>
      </c>
      <c r="AP389" s="4">
        <f>IF(D389="M",IF($AM389&lt;45,WeightSDS!M$23*$AM389^10+WeightSDS!N$23*$AM389^9+WeightSDS!O$23*$AM389^8+WeightSDS!P$23*$AM389^7+WeightSDS!Q$23*$AM389^6+WeightSDS!R$23*$AM389^5+WeightSDS!S$23*$AM389^4+WeightSDS!T$23*$AM389^3+WeightSDS!U$23*$AM389^2+WeightSDS!V$23*$AM389+WeightSDS!W$23,IF($AM389&lt;153,WeightSDS!M$25*$AM389^10+WeightSDS!N$25*$AM389^9+WeightSDS!O$25*$AM389^8+WeightSDS!P$25*$AM389^7+WeightSDS!Q$25*$AM389^6+WeightSDS!R$25*$AM389^5+WeightSDS!S$25*$AM389^4+WeightSDS!T$25*$AM389^3+WeightSDS!U$25*$AM389^2+WeightSDS!V$25*$AM389+WeightSDS!W$25,WeightSDS!M$27+WeightSDS!N$27/(1+EXP(WeightSDS!O$27+WeightSDS!P$27*$AM389)))),IF($AM389&lt;43.8,WeightSDS!M$29*$AM389^10+WeightSDS!N$29*$AM389^9+WeightSDS!O$29*$AM389^8+WeightSDS!P$29*$AM389^7+WeightSDS!Q$29*$AM389^6+WeightSDS!R$29*$AM389^5+WeightSDS!S$29*$AM389^4+WeightSDS!T$29*$AM389^3+WeightSDS!U$29*$AM389^2+WeightSDS!V$29*$AM389+WeightSDS!W$29-0.010431*(1-$AM389/210),IF($AM389&lt;123,WeightSDS!M$30*$AM389^10+WeightSDS!N$30*$AM389^9+WeightSDS!O$30*$AM389^8+WeightSDS!P$30*$AM389^7+WeightSDS!Q$30*$AM389^6+WeightSDS!R$30*$AM389^5+WeightSDS!S$30*$AM389^4+WeightSDS!T$30*$AM389^3+WeightSDS!U$30*$AM389^2+WeightSDS!V$30*$AM389+WeightSDS!W$30-0.010431*(1-1/$AM389),WeightSDS!M$32+WeightSDS!N$32/(1+EXP(WeightSDS!O$32+WeightSDS!P$32*$AM389))-0.010431*(1-$AM389/210))))</f>
        <v>2.9500001032655536</v>
      </c>
      <c r="AQ389" s="4">
        <f>IF(D389="M",IF($AM389&lt;162,WeightSDS!P$12*$AM389^7+WeightSDS!Q$12*$AM389^6+WeightSDS!R$12*$AM389^5+WeightSDS!S$12*$AM389^4+WeightSDS!T$12*$AM389^3+WeightSDS!U$12*$AM389^2+WeightSDS!V$12*$AM389+WeightSDS!W$12,WeightSDS!P$14*$AM389^7+WeightSDS!Q$14*$AM389^6+WeightSDS!R$14*$AM389^5+WeightSDS!S$14*$AM389^4+WeightSDS!T$14*$AM389^3+WeightSDS!U$14*$AM389^2+WeightSDS!V$14*$AM389+WeightSDS!W$14),IF($AM389&lt;156,WeightSDS!O$17*$AM389^8+WeightSDS!P$17*$AM389^7+WeightSDS!Q$17*$AM389^6+WeightSDS!R$17*$AM389^5+WeightSDS!S$17*$AM389^4+WeightSDS!T$17*$AM389^3+WeightSDS!U$17*$AM389^2+WeightSDS!V$17*$AM389+WeightSDS!W$17,IF($AM389&lt;186,WeightSDS!$U$18+(WeightSDS!$V$18-WeightSDS!$U$18)/24*($AM389-186)+WeightSDS!$W$18*(-$AM389+186)^2-0.005,WeightSDS!$U$18+(WeightSDS!$V$18-WeightSDS!$U$18)/24*($AM389-186)-0.005)))</f>
        <v>0.14604529399999999</v>
      </c>
      <c r="AT389" s="4">
        <f t="shared" si="133"/>
        <v>0.56299999999999994</v>
      </c>
      <c r="AU389" s="4">
        <f t="shared" si="134"/>
        <v>69</v>
      </c>
      <c r="AV389" s="4">
        <f t="shared" si="135"/>
        <v>0.51</v>
      </c>
    </row>
    <row r="390" spans="1:48" x14ac:dyDescent="0.15">
      <c r="A390" s="4"/>
      <c r="B390" s="21"/>
      <c r="C390" s="21"/>
      <c r="D390" s="21"/>
      <c r="E390" s="22"/>
      <c r="F390" s="22"/>
      <c r="G390" s="23"/>
      <c r="H390" s="23"/>
      <c r="I390" s="181"/>
      <c r="J390" s="8" t="str">
        <f t="shared" si="127"/>
        <v/>
      </c>
      <c r="K390" s="2" t="str">
        <f t="shared" si="136"/>
        <v/>
      </c>
      <c r="L390" s="2" t="str">
        <f t="shared" si="128"/>
        <v/>
      </c>
      <c r="M390" s="2" t="str">
        <f t="shared" si="137"/>
        <v/>
      </c>
      <c r="N390" s="2" t="str">
        <f t="shared" si="124"/>
        <v/>
      </c>
      <c r="O390" s="2" t="str">
        <f t="shared" si="138"/>
        <v/>
      </c>
      <c r="P390" s="8" t="str">
        <f t="shared" si="139"/>
        <v/>
      </c>
      <c r="Q390" s="8" t="str">
        <f t="shared" si="140"/>
        <v/>
      </c>
      <c r="R390" s="111" t="str">
        <f t="shared" si="141"/>
        <v/>
      </c>
      <c r="S390" s="44" t="str">
        <f t="shared" si="142"/>
        <v/>
      </c>
      <c r="T390" s="37" t="str">
        <f t="shared" si="143"/>
        <v/>
      </c>
      <c r="U390" s="44" t="str">
        <f t="shared" si="144"/>
        <v/>
      </c>
      <c r="V390" s="26"/>
      <c r="W390" s="26"/>
      <c r="X390" s="26"/>
      <c r="Y390" s="26"/>
      <c r="Z390" s="24"/>
      <c r="AA390" s="169">
        <f t="shared" si="129"/>
        <v>0</v>
      </c>
      <c r="AB390" s="4">
        <f t="shared" si="130"/>
        <v>0</v>
      </c>
      <c r="AC390" s="170">
        <f t="shared" si="126"/>
        <v>0</v>
      </c>
      <c r="AD390" s="58"/>
      <c r="AE390" s="58"/>
      <c r="AF390" s="58"/>
      <c r="AG390" s="59">
        <f t="shared" si="131"/>
        <v>9.0359999999999996</v>
      </c>
      <c r="AH390" s="59">
        <f t="shared" si="132"/>
        <v>-184.49199999999999</v>
      </c>
      <c r="AJ390" s="4">
        <f>IF(D390="M",IF(AM390&lt;78,BMILMS!$D$5*AM390^3+BMILMS!$E$5*AM390^2+BMILMS!$F$5*AM390+BMILMS!$G$5,IF(AM390&lt;150,BMILMS!$D$6*AM390^3+BMILMS!$E$6*AM390^2+BMILMS!$F$6*AM390+BMILMS!$G$6,BMILMS!$D$7*AM390^3+BMILMS!$E$7*AM390^2+BMILMS!$F$7*AM390+BMILMS!$G$7)),IF(AM390&lt;69,BMILMS!$D$9*AM390^3+BMILMS!$E$9*AM390^2+BMILMS!$F$9*AM390+BMILMS!$G$9,IF(AM390&lt;150,BMILMS!$D$10*AM390^3+BMILMS!$E$10*AM390^2+BMILMS!$F$10*AM390+BMILMS!$G$10,BMILMS!$D$11*AM390^3+BMILMS!$E$11*AM390^2+BMILMS!$F$11*AM390+BMILMS!$G$11)))</f>
        <v>0.79584630099999998</v>
      </c>
      <c r="AK390" s="4">
        <f>IF(D390="M",(IF(AM390&lt;2.5,BMILMS!$D$21*AM390^3+BMILMS!$E$21*AM390^2+BMILMS!$F$21*AM390+BMILMS!$G$21,IF(AM390&lt;9.5,BMILMS!$D$22*AM390^3+BMILMS!$E$22*AM390^2+BMILMS!$F$22*AM390+BMILMS!$G$22,IF(AM390&lt;26.75,BMILMS!$D$23*AM390^3+BMILMS!$E$23*AM390^2+BMILMS!$F$23*AM390+BMILMS!$G$23,IF(AM390&lt;90,BMILMS!$D$24*AM390^3+BMILMS!$E$24*AM390^2+BMILMS!$F$24*AM390+BMILMS!$G$24,BMILMS!$D$25*AM390^3+BMILMS!$E$25*AM390^2+BMILMS!$F$25*AM390+BMILMS!$G$25))))),(IF(AM390&lt;2.5,BMILMS!$D$27*AM390^3+BMILMS!$E$27*AM390^2+BMILMS!$F$27*AM390+BMILMS!$G$27,IF(AM390&lt;9.5,BMILMS!$D$28*AM390^3+BMILMS!$E$28*AM390^2+BMILMS!$F$28*AM390+BMILMS!$G$28,IF(AM390&lt;26.75,BMILMS!$D$29*AM390^3+BMILMS!$E$29*AM390^2+BMILMS!$F$29*AM390+BMILMS!$G$29,IF(AM390&lt;90,BMILMS!$D$30*AM390^3+BMILMS!$E$30*AM390^2+BMILMS!$F$30*AM390+BMILMS!$G$30,IF(AM390&lt;150,BMILMS!$D$31*AM390^3+BMILMS!$E$31*AM390^2+BMILMS!$F$31*AM390+BMILMS!$G$31,BMILMS!$D$32*AM390^3+BMILMS!$E$32*AM390^2+BMILMS!$F$32*AM390+BMILMS!$G$32)))))))</f>
        <v>12.568967990000001</v>
      </c>
      <c r="AL390" s="4">
        <f>IF(D390="M",(IF(AM390&lt;90,BMILMS!$D$14*AM390^3+BMILMS!$E$14*AM390^2+BMILMS!$F$14*AM390+BMILMS!$G$14,BMILMS!$D$15*AM390^3+BMILMS!$E$15*AM390^2+BMILMS!$F$15*AM390+BMILMS!$G$15)),(IF(AM390&lt;90,BMILMS!$D$17*AM390^3+BMILMS!$E$17*AM390^2+BMILMS!$F$17*AM390+BMILMS!$G$17,BMILMS!$D$18*AM390^3+BMILMS!$E$18*AM390^2+BMILMS!$F$18*AM390+BMILMS!$G$18)))</f>
        <v>8.8969350000000003E-2</v>
      </c>
      <c r="AM390" s="4">
        <f t="shared" si="125"/>
        <v>0</v>
      </c>
      <c r="AO390" s="56">
        <f>IF(D390="M",WeightSDS!P$5*$AM390^7+WeightSDS!Q$5*$AM390^6+WeightSDS!R$5*$AM390^5+WeightSDS!S$5*$AM390^4+WeightSDS!T$5*$AM390^3+WeightSDS!U$5*$AM390^2+WeightSDS!V$5*$AM390+WeightSDS!W$5,IF($AM390&lt;186,WeightSDS!P$8*$AM390^7+WeightSDS!Q$8*$AM390^6+WeightSDS!R$8*$AM390^5+WeightSDS!S$8*$AM390^4+WeightSDS!T$8*$AM390^3+WeightSDS!U$8*$AM390^2+WeightSDS!V$8*$AM390+WeightSDS!W$8,WeightSDS!$U$9+WeightSDS!$V$9*($AM390-WeightSDS!$W$9)))</f>
        <v>0.75407122999999998</v>
      </c>
      <c r="AP390" s="4">
        <f>IF(D390="M",IF($AM390&lt;45,WeightSDS!M$23*$AM390^10+WeightSDS!N$23*$AM390^9+WeightSDS!O$23*$AM390^8+WeightSDS!P$23*$AM390^7+WeightSDS!Q$23*$AM390^6+WeightSDS!R$23*$AM390^5+WeightSDS!S$23*$AM390^4+WeightSDS!T$23*$AM390^3+WeightSDS!U$23*$AM390^2+WeightSDS!V$23*$AM390+WeightSDS!W$23,IF($AM390&lt;153,WeightSDS!M$25*$AM390^10+WeightSDS!N$25*$AM390^9+WeightSDS!O$25*$AM390^8+WeightSDS!P$25*$AM390^7+WeightSDS!Q$25*$AM390^6+WeightSDS!R$25*$AM390^5+WeightSDS!S$25*$AM390^4+WeightSDS!T$25*$AM390^3+WeightSDS!U$25*$AM390^2+WeightSDS!V$25*$AM390+WeightSDS!W$25,WeightSDS!M$27+WeightSDS!N$27/(1+EXP(WeightSDS!O$27+WeightSDS!P$27*$AM390)))),IF($AM390&lt;43.8,WeightSDS!M$29*$AM390^10+WeightSDS!N$29*$AM390^9+WeightSDS!O$29*$AM390^8+WeightSDS!P$29*$AM390^7+WeightSDS!Q$29*$AM390^6+WeightSDS!R$29*$AM390^5+WeightSDS!S$29*$AM390^4+WeightSDS!T$29*$AM390^3+WeightSDS!U$29*$AM390^2+WeightSDS!V$29*$AM390+WeightSDS!W$29-0.010431*(1-$AM390/210),IF($AM390&lt;123,WeightSDS!M$30*$AM390^10+WeightSDS!N$30*$AM390^9+WeightSDS!O$30*$AM390^8+WeightSDS!P$30*$AM390^7+WeightSDS!Q$30*$AM390^6+WeightSDS!R$30*$AM390^5+WeightSDS!S$30*$AM390^4+WeightSDS!T$30*$AM390^3+WeightSDS!U$30*$AM390^2+WeightSDS!V$30*$AM390+WeightSDS!W$30-0.010431*(1-1/$AM390),WeightSDS!M$32+WeightSDS!N$32/(1+EXP(WeightSDS!O$32+WeightSDS!P$32*$AM390))-0.010431*(1-$AM390/210))))</f>
        <v>2.9500001032655536</v>
      </c>
      <c r="AQ390" s="4">
        <f>IF(D390="M",IF($AM390&lt;162,WeightSDS!P$12*$AM390^7+WeightSDS!Q$12*$AM390^6+WeightSDS!R$12*$AM390^5+WeightSDS!S$12*$AM390^4+WeightSDS!T$12*$AM390^3+WeightSDS!U$12*$AM390^2+WeightSDS!V$12*$AM390+WeightSDS!W$12,WeightSDS!P$14*$AM390^7+WeightSDS!Q$14*$AM390^6+WeightSDS!R$14*$AM390^5+WeightSDS!S$14*$AM390^4+WeightSDS!T$14*$AM390^3+WeightSDS!U$14*$AM390^2+WeightSDS!V$14*$AM390+WeightSDS!W$14),IF($AM390&lt;156,WeightSDS!O$17*$AM390^8+WeightSDS!P$17*$AM390^7+WeightSDS!Q$17*$AM390^6+WeightSDS!R$17*$AM390^5+WeightSDS!S$17*$AM390^4+WeightSDS!T$17*$AM390^3+WeightSDS!U$17*$AM390^2+WeightSDS!V$17*$AM390+WeightSDS!W$17,IF($AM390&lt;186,WeightSDS!$U$18+(WeightSDS!$V$18-WeightSDS!$U$18)/24*($AM390-186)+WeightSDS!$W$18*(-$AM390+186)^2-0.005,WeightSDS!$U$18+(WeightSDS!$V$18-WeightSDS!$U$18)/24*($AM390-186)-0.005)))</f>
        <v>0.14604529399999999</v>
      </c>
      <c r="AT390" s="4">
        <f t="shared" si="133"/>
        <v>0.56299999999999994</v>
      </c>
      <c r="AU390" s="4">
        <f t="shared" si="134"/>
        <v>69</v>
      </c>
      <c r="AV390" s="4">
        <f t="shared" si="135"/>
        <v>0.51</v>
      </c>
    </row>
    <row r="391" spans="1:48" x14ac:dyDescent="0.15">
      <c r="A391" s="4"/>
      <c r="B391" s="21"/>
      <c r="C391" s="21"/>
      <c r="D391" s="21"/>
      <c r="E391" s="22"/>
      <c r="F391" s="22"/>
      <c r="G391" s="23"/>
      <c r="H391" s="23"/>
      <c r="I391" s="181"/>
      <c r="J391" s="8" t="str">
        <f t="shared" si="127"/>
        <v/>
      </c>
      <c r="K391" s="2" t="str">
        <f t="shared" si="136"/>
        <v/>
      </c>
      <c r="L391" s="2" t="str">
        <f t="shared" si="128"/>
        <v/>
      </c>
      <c r="M391" s="2" t="str">
        <f t="shared" si="137"/>
        <v/>
      </c>
      <c r="N391" s="2" t="str">
        <f t="shared" si="124"/>
        <v/>
      </c>
      <c r="O391" s="2" t="str">
        <f t="shared" si="138"/>
        <v/>
      </c>
      <c r="P391" s="8" t="str">
        <f t="shared" si="139"/>
        <v/>
      </c>
      <c r="Q391" s="8" t="str">
        <f t="shared" si="140"/>
        <v/>
      </c>
      <c r="R391" s="111" t="str">
        <f t="shared" si="141"/>
        <v/>
      </c>
      <c r="S391" s="44" t="str">
        <f t="shared" si="142"/>
        <v/>
      </c>
      <c r="T391" s="37" t="str">
        <f t="shared" si="143"/>
        <v/>
      </c>
      <c r="U391" s="44" t="str">
        <f t="shared" si="144"/>
        <v/>
      </c>
      <c r="V391" s="26"/>
      <c r="W391" s="26"/>
      <c r="X391" s="26"/>
      <c r="Y391" s="26"/>
      <c r="Z391" s="24"/>
      <c r="AA391" s="169">
        <f t="shared" si="129"/>
        <v>0</v>
      </c>
      <c r="AB391" s="4">
        <f t="shared" si="130"/>
        <v>0</v>
      </c>
      <c r="AC391" s="170">
        <f t="shared" si="126"/>
        <v>0</v>
      </c>
      <c r="AD391" s="58"/>
      <c r="AE391" s="58"/>
      <c r="AF391" s="58"/>
      <c r="AG391" s="59">
        <f t="shared" si="131"/>
        <v>9.0359999999999996</v>
      </c>
      <c r="AH391" s="59">
        <f t="shared" si="132"/>
        <v>-184.49199999999999</v>
      </c>
      <c r="AJ391" s="4">
        <f>IF(D391="M",IF(AM391&lt;78,BMILMS!$D$5*AM391^3+BMILMS!$E$5*AM391^2+BMILMS!$F$5*AM391+BMILMS!$G$5,IF(AM391&lt;150,BMILMS!$D$6*AM391^3+BMILMS!$E$6*AM391^2+BMILMS!$F$6*AM391+BMILMS!$G$6,BMILMS!$D$7*AM391^3+BMILMS!$E$7*AM391^2+BMILMS!$F$7*AM391+BMILMS!$G$7)),IF(AM391&lt;69,BMILMS!$D$9*AM391^3+BMILMS!$E$9*AM391^2+BMILMS!$F$9*AM391+BMILMS!$G$9,IF(AM391&lt;150,BMILMS!$D$10*AM391^3+BMILMS!$E$10*AM391^2+BMILMS!$F$10*AM391+BMILMS!$G$10,BMILMS!$D$11*AM391^3+BMILMS!$E$11*AM391^2+BMILMS!$F$11*AM391+BMILMS!$G$11)))</f>
        <v>0.79584630099999998</v>
      </c>
      <c r="AK391" s="4">
        <f>IF(D391="M",(IF(AM391&lt;2.5,BMILMS!$D$21*AM391^3+BMILMS!$E$21*AM391^2+BMILMS!$F$21*AM391+BMILMS!$G$21,IF(AM391&lt;9.5,BMILMS!$D$22*AM391^3+BMILMS!$E$22*AM391^2+BMILMS!$F$22*AM391+BMILMS!$G$22,IF(AM391&lt;26.75,BMILMS!$D$23*AM391^3+BMILMS!$E$23*AM391^2+BMILMS!$F$23*AM391+BMILMS!$G$23,IF(AM391&lt;90,BMILMS!$D$24*AM391^3+BMILMS!$E$24*AM391^2+BMILMS!$F$24*AM391+BMILMS!$G$24,BMILMS!$D$25*AM391^3+BMILMS!$E$25*AM391^2+BMILMS!$F$25*AM391+BMILMS!$G$25))))),(IF(AM391&lt;2.5,BMILMS!$D$27*AM391^3+BMILMS!$E$27*AM391^2+BMILMS!$F$27*AM391+BMILMS!$G$27,IF(AM391&lt;9.5,BMILMS!$D$28*AM391^3+BMILMS!$E$28*AM391^2+BMILMS!$F$28*AM391+BMILMS!$G$28,IF(AM391&lt;26.75,BMILMS!$D$29*AM391^3+BMILMS!$E$29*AM391^2+BMILMS!$F$29*AM391+BMILMS!$G$29,IF(AM391&lt;90,BMILMS!$D$30*AM391^3+BMILMS!$E$30*AM391^2+BMILMS!$F$30*AM391+BMILMS!$G$30,IF(AM391&lt;150,BMILMS!$D$31*AM391^3+BMILMS!$E$31*AM391^2+BMILMS!$F$31*AM391+BMILMS!$G$31,BMILMS!$D$32*AM391^3+BMILMS!$E$32*AM391^2+BMILMS!$F$32*AM391+BMILMS!$G$32)))))))</f>
        <v>12.568967990000001</v>
      </c>
      <c r="AL391" s="4">
        <f>IF(D391="M",(IF(AM391&lt;90,BMILMS!$D$14*AM391^3+BMILMS!$E$14*AM391^2+BMILMS!$F$14*AM391+BMILMS!$G$14,BMILMS!$D$15*AM391^3+BMILMS!$E$15*AM391^2+BMILMS!$F$15*AM391+BMILMS!$G$15)),(IF(AM391&lt;90,BMILMS!$D$17*AM391^3+BMILMS!$E$17*AM391^2+BMILMS!$F$17*AM391+BMILMS!$G$17,BMILMS!$D$18*AM391^3+BMILMS!$E$18*AM391^2+BMILMS!$F$18*AM391+BMILMS!$G$18)))</f>
        <v>8.8969350000000003E-2</v>
      </c>
      <c r="AM391" s="4">
        <f t="shared" si="125"/>
        <v>0</v>
      </c>
      <c r="AO391" s="56">
        <f>IF(D391="M",WeightSDS!P$5*$AM391^7+WeightSDS!Q$5*$AM391^6+WeightSDS!R$5*$AM391^5+WeightSDS!S$5*$AM391^4+WeightSDS!T$5*$AM391^3+WeightSDS!U$5*$AM391^2+WeightSDS!V$5*$AM391+WeightSDS!W$5,IF($AM391&lt;186,WeightSDS!P$8*$AM391^7+WeightSDS!Q$8*$AM391^6+WeightSDS!R$8*$AM391^5+WeightSDS!S$8*$AM391^4+WeightSDS!T$8*$AM391^3+WeightSDS!U$8*$AM391^2+WeightSDS!V$8*$AM391+WeightSDS!W$8,WeightSDS!$U$9+WeightSDS!$V$9*($AM391-WeightSDS!$W$9)))</f>
        <v>0.75407122999999998</v>
      </c>
      <c r="AP391" s="4">
        <f>IF(D391="M",IF($AM391&lt;45,WeightSDS!M$23*$AM391^10+WeightSDS!N$23*$AM391^9+WeightSDS!O$23*$AM391^8+WeightSDS!P$23*$AM391^7+WeightSDS!Q$23*$AM391^6+WeightSDS!R$23*$AM391^5+WeightSDS!S$23*$AM391^4+WeightSDS!T$23*$AM391^3+WeightSDS!U$23*$AM391^2+WeightSDS!V$23*$AM391+WeightSDS!W$23,IF($AM391&lt;153,WeightSDS!M$25*$AM391^10+WeightSDS!N$25*$AM391^9+WeightSDS!O$25*$AM391^8+WeightSDS!P$25*$AM391^7+WeightSDS!Q$25*$AM391^6+WeightSDS!R$25*$AM391^5+WeightSDS!S$25*$AM391^4+WeightSDS!T$25*$AM391^3+WeightSDS!U$25*$AM391^2+WeightSDS!V$25*$AM391+WeightSDS!W$25,WeightSDS!M$27+WeightSDS!N$27/(1+EXP(WeightSDS!O$27+WeightSDS!P$27*$AM391)))),IF($AM391&lt;43.8,WeightSDS!M$29*$AM391^10+WeightSDS!N$29*$AM391^9+WeightSDS!O$29*$AM391^8+WeightSDS!P$29*$AM391^7+WeightSDS!Q$29*$AM391^6+WeightSDS!R$29*$AM391^5+WeightSDS!S$29*$AM391^4+WeightSDS!T$29*$AM391^3+WeightSDS!U$29*$AM391^2+WeightSDS!V$29*$AM391+WeightSDS!W$29-0.010431*(1-$AM391/210),IF($AM391&lt;123,WeightSDS!M$30*$AM391^10+WeightSDS!N$30*$AM391^9+WeightSDS!O$30*$AM391^8+WeightSDS!P$30*$AM391^7+WeightSDS!Q$30*$AM391^6+WeightSDS!R$30*$AM391^5+WeightSDS!S$30*$AM391^4+WeightSDS!T$30*$AM391^3+WeightSDS!U$30*$AM391^2+WeightSDS!V$30*$AM391+WeightSDS!W$30-0.010431*(1-1/$AM391),WeightSDS!M$32+WeightSDS!N$32/(1+EXP(WeightSDS!O$32+WeightSDS!P$32*$AM391))-0.010431*(1-$AM391/210))))</f>
        <v>2.9500001032655536</v>
      </c>
      <c r="AQ391" s="4">
        <f>IF(D391="M",IF($AM391&lt;162,WeightSDS!P$12*$AM391^7+WeightSDS!Q$12*$AM391^6+WeightSDS!R$12*$AM391^5+WeightSDS!S$12*$AM391^4+WeightSDS!T$12*$AM391^3+WeightSDS!U$12*$AM391^2+WeightSDS!V$12*$AM391+WeightSDS!W$12,WeightSDS!P$14*$AM391^7+WeightSDS!Q$14*$AM391^6+WeightSDS!R$14*$AM391^5+WeightSDS!S$14*$AM391^4+WeightSDS!T$14*$AM391^3+WeightSDS!U$14*$AM391^2+WeightSDS!V$14*$AM391+WeightSDS!W$14),IF($AM391&lt;156,WeightSDS!O$17*$AM391^8+WeightSDS!P$17*$AM391^7+WeightSDS!Q$17*$AM391^6+WeightSDS!R$17*$AM391^5+WeightSDS!S$17*$AM391^4+WeightSDS!T$17*$AM391^3+WeightSDS!U$17*$AM391^2+WeightSDS!V$17*$AM391+WeightSDS!W$17,IF($AM391&lt;186,WeightSDS!$U$18+(WeightSDS!$V$18-WeightSDS!$U$18)/24*($AM391-186)+WeightSDS!$W$18*(-$AM391+186)^2-0.005,WeightSDS!$U$18+(WeightSDS!$V$18-WeightSDS!$U$18)/24*($AM391-186)-0.005)))</f>
        <v>0.14604529399999999</v>
      </c>
      <c r="AT391" s="4">
        <f t="shared" si="133"/>
        <v>0.56299999999999994</v>
      </c>
      <c r="AU391" s="4">
        <f t="shared" si="134"/>
        <v>69</v>
      </c>
      <c r="AV391" s="4">
        <f t="shared" si="135"/>
        <v>0.51</v>
      </c>
    </row>
    <row r="392" spans="1:48" x14ac:dyDescent="0.15">
      <c r="A392" s="4"/>
      <c r="B392" s="21"/>
      <c r="C392" s="21"/>
      <c r="D392" s="21"/>
      <c r="E392" s="22"/>
      <c r="F392" s="22"/>
      <c r="G392" s="23"/>
      <c r="H392" s="23"/>
      <c r="I392" s="181"/>
      <c r="J392" s="8" t="str">
        <f t="shared" si="127"/>
        <v/>
      </c>
      <c r="K392" s="2" t="str">
        <f t="shared" si="136"/>
        <v/>
      </c>
      <c r="L392" s="2" t="str">
        <f t="shared" si="128"/>
        <v/>
      </c>
      <c r="M392" s="2" t="str">
        <f t="shared" si="137"/>
        <v/>
      </c>
      <c r="N392" s="2" t="str">
        <f t="shared" ref="N392:N455" si="145">IF(COUNTA(D392,E392,F392,G392,H392)=5,H392/G392^2*10000,"")</f>
        <v/>
      </c>
      <c r="O392" s="2" t="str">
        <f t="shared" si="138"/>
        <v/>
      </c>
      <c r="P392" s="8" t="str">
        <f t="shared" si="139"/>
        <v/>
      </c>
      <c r="Q392" s="8" t="str">
        <f t="shared" si="140"/>
        <v/>
      </c>
      <c r="R392" s="111" t="str">
        <f t="shared" si="141"/>
        <v/>
      </c>
      <c r="S392" s="44" t="str">
        <f t="shared" si="142"/>
        <v/>
      </c>
      <c r="T392" s="37" t="str">
        <f t="shared" si="143"/>
        <v/>
      </c>
      <c r="U392" s="44" t="str">
        <f t="shared" si="144"/>
        <v/>
      </c>
      <c r="V392" s="26"/>
      <c r="W392" s="26"/>
      <c r="X392" s="26"/>
      <c r="Y392" s="26"/>
      <c r="Z392" s="24"/>
      <c r="AA392" s="169">
        <f t="shared" si="129"/>
        <v>0</v>
      </c>
      <c r="AB392" s="4">
        <f t="shared" si="130"/>
        <v>0</v>
      </c>
      <c r="AC392" s="170">
        <f t="shared" si="126"/>
        <v>0</v>
      </c>
      <c r="AD392" s="58"/>
      <c r="AE392" s="58"/>
      <c r="AF392" s="58"/>
      <c r="AG392" s="59">
        <f t="shared" si="131"/>
        <v>9.0359999999999996</v>
      </c>
      <c r="AH392" s="59">
        <f t="shared" si="132"/>
        <v>-184.49199999999999</v>
      </c>
      <c r="AJ392" s="4">
        <f>IF(D392="M",IF(AM392&lt;78,BMILMS!$D$5*AM392^3+BMILMS!$E$5*AM392^2+BMILMS!$F$5*AM392+BMILMS!$G$5,IF(AM392&lt;150,BMILMS!$D$6*AM392^3+BMILMS!$E$6*AM392^2+BMILMS!$F$6*AM392+BMILMS!$G$6,BMILMS!$D$7*AM392^3+BMILMS!$E$7*AM392^2+BMILMS!$F$7*AM392+BMILMS!$G$7)),IF(AM392&lt;69,BMILMS!$D$9*AM392^3+BMILMS!$E$9*AM392^2+BMILMS!$F$9*AM392+BMILMS!$G$9,IF(AM392&lt;150,BMILMS!$D$10*AM392^3+BMILMS!$E$10*AM392^2+BMILMS!$F$10*AM392+BMILMS!$G$10,BMILMS!$D$11*AM392^3+BMILMS!$E$11*AM392^2+BMILMS!$F$11*AM392+BMILMS!$G$11)))</f>
        <v>0.79584630099999998</v>
      </c>
      <c r="AK392" s="4">
        <f>IF(D392="M",(IF(AM392&lt;2.5,BMILMS!$D$21*AM392^3+BMILMS!$E$21*AM392^2+BMILMS!$F$21*AM392+BMILMS!$G$21,IF(AM392&lt;9.5,BMILMS!$D$22*AM392^3+BMILMS!$E$22*AM392^2+BMILMS!$F$22*AM392+BMILMS!$G$22,IF(AM392&lt;26.75,BMILMS!$D$23*AM392^3+BMILMS!$E$23*AM392^2+BMILMS!$F$23*AM392+BMILMS!$G$23,IF(AM392&lt;90,BMILMS!$D$24*AM392^3+BMILMS!$E$24*AM392^2+BMILMS!$F$24*AM392+BMILMS!$G$24,BMILMS!$D$25*AM392^3+BMILMS!$E$25*AM392^2+BMILMS!$F$25*AM392+BMILMS!$G$25))))),(IF(AM392&lt;2.5,BMILMS!$D$27*AM392^3+BMILMS!$E$27*AM392^2+BMILMS!$F$27*AM392+BMILMS!$G$27,IF(AM392&lt;9.5,BMILMS!$D$28*AM392^3+BMILMS!$E$28*AM392^2+BMILMS!$F$28*AM392+BMILMS!$G$28,IF(AM392&lt;26.75,BMILMS!$D$29*AM392^3+BMILMS!$E$29*AM392^2+BMILMS!$F$29*AM392+BMILMS!$G$29,IF(AM392&lt;90,BMILMS!$D$30*AM392^3+BMILMS!$E$30*AM392^2+BMILMS!$F$30*AM392+BMILMS!$G$30,IF(AM392&lt;150,BMILMS!$D$31*AM392^3+BMILMS!$E$31*AM392^2+BMILMS!$F$31*AM392+BMILMS!$G$31,BMILMS!$D$32*AM392^3+BMILMS!$E$32*AM392^2+BMILMS!$F$32*AM392+BMILMS!$G$32)))))))</f>
        <v>12.568967990000001</v>
      </c>
      <c r="AL392" s="4">
        <f>IF(D392="M",(IF(AM392&lt;90,BMILMS!$D$14*AM392^3+BMILMS!$E$14*AM392^2+BMILMS!$F$14*AM392+BMILMS!$G$14,BMILMS!$D$15*AM392^3+BMILMS!$E$15*AM392^2+BMILMS!$F$15*AM392+BMILMS!$G$15)),(IF(AM392&lt;90,BMILMS!$D$17*AM392^3+BMILMS!$E$17*AM392^2+BMILMS!$F$17*AM392+BMILMS!$G$17,BMILMS!$D$18*AM392^3+BMILMS!$E$18*AM392^2+BMILMS!$F$18*AM392+BMILMS!$G$18)))</f>
        <v>8.8969350000000003E-2</v>
      </c>
      <c r="AM392" s="4">
        <f t="shared" ref="AM392:AM455" si="146">AA392*12+AB392</f>
        <v>0</v>
      </c>
      <c r="AO392" s="56">
        <f>IF(D392="M",WeightSDS!P$5*$AM392^7+WeightSDS!Q$5*$AM392^6+WeightSDS!R$5*$AM392^5+WeightSDS!S$5*$AM392^4+WeightSDS!T$5*$AM392^3+WeightSDS!U$5*$AM392^2+WeightSDS!V$5*$AM392+WeightSDS!W$5,IF($AM392&lt;186,WeightSDS!P$8*$AM392^7+WeightSDS!Q$8*$AM392^6+WeightSDS!R$8*$AM392^5+WeightSDS!S$8*$AM392^4+WeightSDS!T$8*$AM392^3+WeightSDS!U$8*$AM392^2+WeightSDS!V$8*$AM392+WeightSDS!W$8,WeightSDS!$U$9+WeightSDS!$V$9*($AM392-WeightSDS!$W$9)))</f>
        <v>0.75407122999999998</v>
      </c>
      <c r="AP392" s="4">
        <f>IF(D392="M",IF($AM392&lt;45,WeightSDS!M$23*$AM392^10+WeightSDS!N$23*$AM392^9+WeightSDS!O$23*$AM392^8+WeightSDS!P$23*$AM392^7+WeightSDS!Q$23*$AM392^6+WeightSDS!R$23*$AM392^5+WeightSDS!S$23*$AM392^4+WeightSDS!T$23*$AM392^3+WeightSDS!U$23*$AM392^2+WeightSDS!V$23*$AM392+WeightSDS!W$23,IF($AM392&lt;153,WeightSDS!M$25*$AM392^10+WeightSDS!N$25*$AM392^9+WeightSDS!O$25*$AM392^8+WeightSDS!P$25*$AM392^7+WeightSDS!Q$25*$AM392^6+WeightSDS!R$25*$AM392^5+WeightSDS!S$25*$AM392^4+WeightSDS!T$25*$AM392^3+WeightSDS!U$25*$AM392^2+WeightSDS!V$25*$AM392+WeightSDS!W$25,WeightSDS!M$27+WeightSDS!N$27/(1+EXP(WeightSDS!O$27+WeightSDS!P$27*$AM392)))),IF($AM392&lt;43.8,WeightSDS!M$29*$AM392^10+WeightSDS!N$29*$AM392^9+WeightSDS!O$29*$AM392^8+WeightSDS!P$29*$AM392^7+WeightSDS!Q$29*$AM392^6+WeightSDS!R$29*$AM392^5+WeightSDS!S$29*$AM392^4+WeightSDS!T$29*$AM392^3+WeightSDS!U$29*$AM392^2+WeightSDS!V$29*$AM392+WeightSDS!W$29-0.010431*(1-$AM392/210),IF($AM392&lt;123,WeightSDS!M$30*$AM392^10+WeightSDS!N$30*$AM392^9+WeightSDS!O$30*$AM392^8+WeightSDS!P$30*$AM392^7+WeightSDS!Q$30*$AM392^6+WeightSDS!R$30*$AM392^5+WeightSDS!S$30*$AM392^4+WeightSDS!T$30*$AM392^3+WeightSDS!U$30*$AM392^2+WeightSDS!V$30*$AM392+WeightSDS!W$30-0.010431*(1-1/$AM392),WeightSDS!M$32+WeightSDS!N$32/(1+EXP(WeightSDS!O$32+WeightSDS!P$32*$AM392))-0.010431*(1-$AM392/210))))</f>
        <v>2.9500001032655536</v>
      </c>
      <c r="AQ392" s="4">
        <f>IF(D392="M",IF($AM392&lt;162,WeightSDS!P$12*$AM392^7+WeightSDS!Q$12*$AM392^6+WeightSDS!R$12*$AM392^5+WeightSDS!S$12*$AM392^4+WeightSDS!T$12*$AM392^3+WeightSDS!U$12*$AM392^2+WeightSDS!V$12*$AM392+WeightSDS!W$12,WeightSDS!P$14*$AM392^7+WeightSDS!Q$14*$AM392^6+WeightSDS!R$14*$AM392^5+WeightSDS!S$14*$AM392^4+WeightSDS!T$14*$AM392^3+WeightSDS!U$14*$AM392^2+WeightSDS!V$14*$AM392+WeightSDS!W$14),IF($AM392&lt;156,WeightSDS!O$17*$AM392^8+WeightSDS!P$17*$AM392^7+WeightSDS!Q$17*$AM392^6+WeightSDS!R$17*$AM392^5+WeightSDS!S$17*$AM392^4+WeightSDS!T$17*$AM392^3+WeightSDS!U$17*$AM392^2+WeightSDS!V$17*$AM392+WeightSDS!W$17,IF($AM392&lt;186,WeightSDS!$U$18+(WeightSDS!$V$18-WeightSDS!$U$18)/24*($AM392-186)+WeightSDS!$W$18*(-$AM392+186)^2-0.005,WeightSDS!$U$18+(WeightSDS!$V$18-WeightSDS!$U$18)/24*($AM392-186)-0.005)))</f>
        <v>0.14604529399999999</v>
      </c>
      <c r="AT392" s="4">
        <f t="shared" si="133"/>
        <v>0.56299999999999994</v>
      </c>
      <c r="AU392" s="4">
        <f t="shared" si="134"/>
        <v>69</v>
      </c>
      <c r="AV392" s="4">
        <f t="shared" si="135"/>
        <v>0.51</v>
      </c>
    </row>
    <row r="393" spans="1:48" x14ac:dyDescent="0.15">
      <c r="A393" s="4"/>
      <c r="B393" s="21"/>
      <c r="C393" s="21"/>
      <c r="D393" s="21"/>
      <c r="E393" s="22"/>
      <c r="F393" s="22"/>
      <c r="G393" s="23"/>
      <c r="H393" s="23"/>
      <c r="I393" s="181"/>
      <c r="J393" s="8" t="str">
        <f t="shared" si="127"/>
        <v/>
      </c>
      <c r="K393" s="2" t="str">
        <f t="shared" si="136"/>
        <v/>
      </c>
      <c r="L393" s="2" t="str">
        <f t="shared" si="128"/>
        <v/>
      </c>
      <c r="M393" s="2" t="str">
        <f t="shared" si="137"/>
        <v/>
      </c>
      <c r="N393" s="2" t="str">
        <f t="shared" si="145"/>
        <v/>
      </c>
      <c r="O393" s="2" t="str">
        <f t="shared" si="138"/>
        <v/>
      </c>
      <c r="P393" s="8" t="str">
        <f t="shared" si="139"/>
        <v/>
      </c>
      <c r="Q393" s="8" t="str">
        <f t="shared" si="140"/>
        <v/>
      </c>
      <c r="R393" s="111" t="str">
        <f t="shared" si="141"/>
        <v/>
      </c>
      <c r="S393" s="44" t="str">
        <f t="shared" si="142"/>
        <v/>
      </c>
      <c r="T393" s="37" t="str">
        <f t="shared" si="143"/>
        <v/>
      </c>
      <c r="U393" s="44" t="str">
        <f t="shared" si="144"/>
        <v/>
      </c>
      <c r="V393" s="26"/>
      <c r="W393" s="26"/>
      <c r="X393" s="26"/>
      <c r="Y393" s="26"/>
      <c r="Z393" s="24"/>
      <c r="AA393" s="169">
        <f t="shared" si="129"/>
        <v>0</v>
      </c>
      <c r="AB393" s="4">
        <f t="shared" si="130"/>
        <v>0</v>
      </c>
      <c r="AC393" s="170">
        <f t="shared" si="126"/>
        <v>0</v>
      </c>
      <c r="AD393" s="58"/>
      <c r="AE393" s="58"/>
      <c r="AF393" s="58"/>
      <c r="AG393" s="59">
        <f t="shared" si="131"/>
        <v>9.0359999999999996</v>
      </c>
      <c r="AH393" s="59">
        <f t="shared" si="132"/>
        <v>-184.49199999999999</v>
      </c>
      <c r="AJ393" s="4">
        <f>IF(D393="M",IF(AM393&lt;78,BMILMS!$D$5*AM393^3+BMILMS!$E$5*AM393^2+BMILMS!$F$5*AM393+BMILMS!$G$5,IF(AM393&lt;150,BMILMS!$D$6*AM393^3+BMILMS!$E$6*AM393^2+BMILMS!$F$6*AM393+BMILMS!$G$6,BMILMS!$D$7*AM393^3+BMILMS!$E$7*AM393^2+BMILMS!$F$7*AM393+BMILMS!$G$7)),IF(AM393&lt;69,BMILMS!$D$9*AM393^3+BMILMS!$E$9*AM393^2+BMILMS!$F$9*AM393+BMILMS!$G$9,IF(AM393&lt;150,BMILMS!$D$10*AM393^3+BMILMS!$E$10*AM393^2+BMILMS!$F$10*AM393+BMILMS!$G$10,BMILMS!$D$11*AM393^3+BMILMS!$E$11*AM393^2+BMILMS!$F$11*AM393+BMILMS!$G$11)))</f>
        <v>0.79584630099999998</v>
      </c>
      <c r="AK393" s="4">
        <f>IF(D393="M",(IF(AM393&lt;2.5,BMILMS!$D$21*AM393^3+BMILMS!$E$21*AM393^2+BMILMS!$F$21*AM393+BMILMS!$G$21,IF(AM393&lt;9.5,BMILMS!$D$22*AM393^3+BMILMS!$E$22*AM393^2+BMILMS!$F$22*AM393+BMILMS!$G$22,IF(AM393&lt;26.75,BMILMS!$D$23*AM393^3+BMILMS!$E$23*AM393^2+BMILMS!$F$23*AM393+BMILMS!$G$23,IF(AM393&lt;90,BMILMS!$D$24*AM393^3+BMILMS!$E$24*AM393^2+BMILMS!$F$24*AM393+BMILMS!$G$24,BMILMS!$D$25*AM393^3+BMILMS!$E$25*AM393^2+BMILMS!$F$25*AM393+BMILMS!$G$25))))),(IF(AM393&lt;2.5,BMILMS!$D$27*AM393^3+BMILMS!$E$27*AM393^2+BMILMS!$F$27*AM393+BMILMS!$G$27,IF(AM393&lt;9.5,BMILMS!$D$28*AM393^3+BMILMS!$E$28*AM393^2+BMILMS!$F$28*AM393+BMILMS!$G$28,IF(AM393&lt;26.75,BMILMS!$D$29*AM393^3+BMILMS!$E$29*AM393^2+BMILMS!$F$29*AM393+BMILMS!$G$29,IF(AM393&lt;90,BMILMS!$D$30*AM393^3+BMILMS!$E$30*AM393^2+BMILMS!$F$30*AM393+BMILMS!$G$30,IF(AM393&lt;150,BMILMS!$D$31*AM393^3+BMILMS!$E$31*AM393^2+BMILMS!$F$31*AM393+BMILMS!$G$31,BMILMS!$D$32*AM393^3+BMILMS!$E$32*AM393^2+BMILMS!$F$32*AM393+BMILMS!$G$32)))))))</f>
        <v>12.568967990000001</v>
      </c>
      <c r="AL393" s="4">
        <f>IF(D393="M",(IF(AM393&lt;90,BMILMS!$D$14*AM393^3+BMILMS!$E$14*AM393^2+BMILMS!$F$14*AM393+BMILMS!$G$14,BMILMS!$D$15*AM393^3+BMILMS!$E$15*AM393^2+BMILMS!$F$15*AM393+BMILMS!$G$15)),(IF(AM393&lt;90,BMILMS!$D$17*AM393^3+BMILMS!$E$17*AM393^2+BMILMS!$F$17*AM393+BMILMS!$G$17,BMILMS!$D$18*AM393^3+BMILMS!$E$18*AM393^2+BMILMS!$F$18*AM393+BMILMS!$G$18)))</f>
        <v>8.8969350000000003E-2</v>
      </c>
      <c r="AM393" s="4">
        <f t="shared" si="146"/>
        <v>0</v>
      </c>
      <c r="AO393" s="56">
        <f>IF(D393="M",WeightSDS!P$5*$AM393^7+WeightSDS!Q$5*$AM393^6+WeightSDS!R$5*$AM393^5+WeightSDS!S$5*$AM393^4+WeightSDS!T$5*$AM393^3+WeightSDS!U$5*$AM393^2+WeightSDS!V$5*$AM393+WeightSDS!W$5,IF($AM393&lt;186,WeightSDS!P$8*$AM393^7+WeightSDS!Q$8*$AM393^6+WeightSDS!R$8*$AM393^5+WeightSDS!S$8*$AM393^4+WeightSDS!T$8*$AM393^3+WeightSDS!U$8*$AM393^2+WeightSDS!V$8*$AM393+WeightSDS!W$8,WeightSDS!$U$9+WeightSDS!$V$9*($AM393-WeightSDS!$W$9)))</f>
        <v>0.75407122999999998</v>
      </c>
      <c r="AP393" s="4">
        <f>IF(D393="M",IF($AM393&lt;45,WeightSDS!M$23*$AM393^10+WeightSDS!N$23*$AM393^9+WeightSDS!O$23*$AM393^8+WeightSDS!P$23*$AM393^7+WeightSDS!Q$23*$AM393^6+WeightSDS!R$23*$AM393^5+WeightSDS!S$23*$AM393^4+WeightSDS!T$23*$AM393^3+WeightSDS!U$23*$AM393^2+WeightSDS!V$23*$AM393+WeightSDS!W$23,IF($AM393&lt;153,WeightSDS!M$25*$AM393^10+WeightSDS!N$25*$AM393^9+WeightSDS!O$25*$AM393^8+WeightSDS!P$25*$AM393^7+WeightSDS!Q$25*$AM393^6+WeightSDS!R$25*$AM393^5+WeightSDS!S$25*$AM393^4+WeightSDS!T$25*$AM393^3+WeightSDS!U$25*$AM393^2+WeightSDS!V$25*$AM393+WeightSDS!W$25,WeightSDS!M$27+WeightSDS!N$27/(1+EXP(WeightSDS!O$27+WeightSDS!P$27*$AM393)))),IF($AM393&lt;43.8,WeightSDS!M$29*$AM393^10+WeightSDS!N$29*$AM393^9+WeightSDS!O$29*$AM393^8+WeightSDS!P$29*$AM393^7+WeightSDS!Q$29*$AM393^6+WeightSDS!R$29*$AM393^5+WeightSDS!S$29*$AM393^4+WeightSDS!T$29*$AM393^3+WeightSDS!U$29*$AM393^2+WeightSDS!V$29*$AM393+WeightSDS!W$29-0.010431*(1-$AM393/210),IF($AM393&lt;123,WeightSDS!M$30*$AM393^10+WeightSDS!N$30*$AM393^9+WeightSDS!O$30*$AM393^8+WeightSDS!P$30*$AM393^7+WeightSDS!Q$30*$AM393^6+WeightSDS!R$30*$AM393^5+WeightSDS!S$30*$AM393^4+WeightSDS!T$30*$AM393^3+WeightSDS!U$30*$AM393^2+WeightSDS!V$30*$AM393+WeightSDS!W$30-0.010431*(1-1/$AM393),WeightSDS!M$32+WeightSDS!N$32/(1+EXP(WeightSDS!O$32+WeightSDS!P$32*$AM393))-0.010431*(1-$AM393/210))))</f>
        <v>2.9500001032655536</v>
      </c>
      <c r="AQ393" s="4">
        <f>IF(D393="M",IF($AM393&lt;162,WeightSDS!P$12*$AM393^7+WeightSDS!Q$12*$AM393^6+WeightSDS!R$12*$AM393^5+WeightSDS!S$12*$AM393^4+WeightSDS!T$12*$AM393^3+WeightSDS!U$12*$AM393^2+WeightSDS!V$12*$AM393+WeightSDS!W$12,WeightSDS!P$14*$AM393^7+WeightSDS!Q$14*$AM393^6+WeightSDS!R$14*$AM393^5+WeightSDS!S$14*$AM393^4+WeightSDS!T$14*$AM393^3+WeightSDS!U$14*$AM393^2+WeightSDS!V$14*$AM393+WeightSDS!W$14),IF($AM393&lt;156,WeightSDS!O$17*$AM393^8+WeightSDS!P$17*$AM393^7+WeightSDS!Q$17*$AM393^6+WeightSDS!R$17*$AM393^5+WeightSDS!S$17*$AM393^4+WeightSDS!T$17*$AM393^3+WeightSDS!U$17*$AM393^2+WeightSDS!V$17*$AM393+WeightSDS!W$17,IF($AM393&lt;186,WeightSDS!$U$18+(WeightSDS!$V$18-WeightSDS!$U$18)/24*($AM393-186)+WeightSDS!$W$18*(-$AM393+186)^2-0.005,WeightSDS!$U$18+(WeightSDS!$V$18-WeightSDS!$U$18)/24*($AM393-186)-0.005)))</f>
        <v>0.14604529399999999</v>
      </c>
      <c r="AT393" s="4">
        <f t="shared" si="133"/>
        <v>0.56299999999999994</v>
      </c>
      <c r="AU393" s="4">
        <f t="shared" si="134"/>
        <v>69</v>
      </c>
      <c r="AV393" s="4">
        <f t="shared" si="135"/>
        <v>0.51</v>
      </c>
    </row>
    <row r="394" spans="1:48" x14ac:dyDescent="0.15">
      <c r="A394" s="4"/>
      <c r="B394" s="21"/>
      <c r="C394" s="21"/>
      <c r="D394" s="21"/>
      <c r="E394" s="22"/>
      <c r="F394" s="22"/>
      <c r="G394" s="23"/>
      <c r="H394" s="23"/>
      <c r="I394" s="181"/>
      <c r="J394" s="8" t="str">
        <f t="shared" si="127"/>
        <v/>
      </c>
      <c r="K394" s="2" t="str">
        <f t="shared" si="136"/>
        <v/>
      </c>
      <c r="L394" s="2" t="str">
        <f t="shared" si="128"/>
        <v/>
      </c>
      <c r="M394" s="2" t="str">
        <f t="shared" si="137"/>
        <v/>
      </c>
      <c r="N394" s="2" t="str">
        <f t="shared" si="145"/>
        <v/>
      </c>
      <c r="O394" s="2" t="str">
        <f t="shared" si="138"/>
        <v/>
      </c>
      <c r="P394" s="8" t="str">
        <f t="shared" si="139"/>
        <v/>
      </c>
      <c r="Q394" s="8" t="str">
        <f t="shared" si="140"/>
        <v/>
      </c>
      <c r="R394" s="111" t="str">
        <f t="shared" si="141"/>
        <v/>
      </c>
      <c r="S394" s="44" t="str">
        <f t="shared" si="142"/>
        <v/>
      </c>
      <c r="T394" s="37" t="str">
        <f t="shared" si="143"/>
        <v/>
      </c>
      <c r="U394" s="44" t="str">
        <f t="shared" si="144"/>
        <v/>
      </c>
      <c r="V394" s="26"/>
      <c r="W394" s="26"/>
      <c r="X394" s="26"/>
      <c r="Y394" s="26"/>
      <c r="Z394" s="24"/>
      <c r="AA394" s="169">
        <f t="shared" si="129"/>
        <v>0</v>
      </c>
      <c r="AB394" s="4">
        <f t="shared" si="130"/>
        <v>0</v>
      </c>
      <c r="AC394" s="170">
        <f t="shared" si="126"/>
        <v>0</v>
      </c>
      <c r="AD394" s="58"/>
      <c r="AE394" s="58"/>
      <c r="AF394" s="58"/>
      <c r="AG394" s="59">
        <f t="shared" si="131"/>
        <v>9.0359999999999996</v>
      </c>
      <c r="AH394" s="59">
        <f t="shared" si="132"/>
        <v>-184.49199999999999</v>
      </c>
      <c r="AJ394" s="4">
        <f>IF(D394="M",IF(AM394&lt;78,BMILMS!$D$5*AM394^3+BMILMS!$E$5*AM394^2+BMILMS!$F$5*AM394+BMILMS!$G$5,IF(AM394&lt;150,BMILMS!$D$6*AM394^3+BMILMS!$E$6*AM394^2+BMILMS!$F$6*AM394+BMILMS!$G$6,BMILMS!$D$7*AM394^3+BMILMS!$E$7*AM394^2+BMILMS!$F$7*AM394+BMILMS!$G$7)),IF(AM394&lt;69,BMILMS!$D$9*AM394^3+BMILMS!$E$9*AM394^2+BMILMS!$F$9*AM394+BMILMS!$G$9,IF(AM394&lt;150,BMILMS!$D$10*AM394^3+BMILMS!$E$10*AM394^2+BMILMS!$F$10*AM394+BMILMS!$G$10,BMILMS!$D$11*AM394^3+BMILMS!$E$11*AM394^2+BMILMS!$F$11*AM394+BMILMS!$G$11)))</f>
        <v>0.79584630099999998</v>
      </c>
      <c r="AK394" s="4">
        <f>IF(D394="M",(IF(AM394&lt;2.5,BMILMS!$D$21*AM394^3+BMILMS!$E$21*AM394^2+BMILMS!$F$21*AM394+BMILMS!$G$21,IF(AM394&lt;9.5,BMILMS!$D$22*AM394^3+BMILMS!$E$22*AM394^2+BMILMS!$F$22*AM394+BMILMS!$G$22,IF(AM394&lt;26.75,BMILMS!$D$23*AM394^3+BMILMS!$E$23*AM394^2+BMILMS!$F$23*AM394+BMILMS!$G$23,IF(AM394&lt;90,BMILMS!$D$24*AM394^3+BMILMS!$E$24*AM394^2+BMILMS!$F$24*AM394+BMILMS!$G$24,BMILMS!$D$25*AM394^3+BMILMS!$E$25*AM394^2+BMILMS!$F$25*AM394+BMILMS!$G$25))))),(IF(AM394&lt;2.5,BMILMS!$D$27*AM394^3+BMILMS!$E$27*AM394^2+BMILMS!$F$27*AM394+BMILMS!$G$27,IF(AM394&lt;9.5,BMILMS!$D$28*AM394^3+BMILMS!$E$28*AM394^2+BMILMS!$F$28*AM394+BMILMS!$G$28,IF(AM394&lt;26.75,BMILMS!$D$29*AM394^3+BMILMS!$E$29*AM394^2+BMILMS!$F$29*AM394+BMILMS!$G$29,IF(AM394&lt;90,BMILMS!$D$30*AM394^3+BMILMS!$E$30*AM394^2+BMILMS!$F$30*AM394+BMILMS!$G$30,IF(AM394&lt;150,BMILMS!$D$31*AM394^3+BMILMS!$E$31*AM394^2+BMILMS!$F$31*AM394+BMILMS!$G$31,BMILMS!$D$32*AM394^3+BMILMS!$E$32*AM394^2+BMILMS!$F$32*AM394+BMILMS!$G$32)))))))</f>
        <v>12.568967990000001</v>
      </c>
      <c r="AL394" s="4">
        <f>IF(D394="M",(IF(AM394&lt;90,BMILMS!$D$14*AM394^3+BMILMS!$E$14*AM394^2+BMILMS!$F$14*AM394+BMILMS!$G$14,BMILMS!$D$15*AM394^3+BMILMS!$E$15*AM394^2+BMILMS!$F$15*AM394+BMILMS!$G$15)),(IF(AM394&lt;90,BMILMS!$D$17*AM394^3+BMILMS!$E$17*AM394^2+BMILMS!$F$17*AM394+BMILMS!$G$17,BMILMS!$D$18*AM394^3+BMILMS!$E$18*AM394^2+BMILMS!$F$18*AM394+BMILMS!$G$18)))</f>
        <v>8.8969350000000003E-2</v>
      </c>
      <c r="AM394" s="4">
        <f t="shared" si="146"/>
        <v>0</v>
      </c>
      <c r="AO394" s="56">
        <f>IF(D394="M",WeightSDS!P$5*$AM394^7+WeightSDS!Q$5*$AM394^6+WeightSDS!R$5*$AM394^5+WeightSDS!S$5*$AM394^4+WeightSDS!T$5*$AM394^3+WeightSDS!U$5*$AM394^2+WeightSDS!V$5*$AM394+WeightSDS!W$5,IF($AM394&lt;186,WeightSDS!P$8*$AM394^7+WeightSDS!Q$8*$AM394^6+WeightSDS!R$8*$AM394^5+WeightSDS!S$8*$AM394^4+WeightSDS!T$8*$AM394^3+WeightSDS!U$8*$AM394^2+WeightSDS!V$8*$AM394+WeightSDS!W$8,WeightSDS!$U$9+WeightSDS!$V$9*($AM394-WeightSDS!$W$9)))</f>
        <v>0.75407122999999998</v>
      </c>
      <c r="AP394" s="4">
        <f>IF(D394="M",IF($AM394&lt;45,WeightSDS!M$23*$AM394^10+WeightSDS!N$23*$AM394^9+WeightSDS!O$23*$AM394^8+WeightSDS!P$23*$AM394^7+WeightSDS!Q$23*$AM394^6+WeightSDS!R$23*$AM394^5+WeightSDS!S$23*$AM394^4+WeightSDS!T$23*$AM394^3+WeightSDS!U$23*$AM394^2+WeightSDS!V$23*$AM394+WeightSDS!W$23,IF($AM394&lt;153,WeightSDS!M$25*$AM394^10+WeightSDS!N$25*$AM394^9+WeightSDS!O$25*$AM394^8+WeightSDS!P$25*$AM394^7+WeightSDS!Q$25*$AM394^6+WeightSDS!R$25*$AM394^5+WeightSDS!S$25*$AM394^4+WeightSDS!T$25*$AM394^3+WeightSDS!U$25*$AM394^2+WeightSDS!V$25*$AM394+WeightSDS!W$25,WeightSDS!M$27+WeightSDS!N$27/(1+EXP(WeightSDS!O$27+WeightSDS!P$27*$AM394)))),IF($AM394&lt;43.8,WeightSDS!M$29*$AM394^10+WeightSDS!N$29*$AM394^9+WeightSDS!O$29*$AM394^8+WeightSDS!P$29*$AM394^7+WeightSDS!Q$29*$AM394^6+WeightSDS!R$29*$AM394^5+WeightSDS!S$29*$AM394^4+WeightSDS!T$29*$AM394^3+WeightSDS!U$29*$AM394^2+WeightSDS!V$29*$AM394+WeightSDS!W$29-0.010431*(1-$AM394/210),IF($AM394&lt;123,WeightSDS!M$30*$AM394^10+WeightSDS!N$30*$AM394^9+WeightSDS!O$30*$AM394^8+WeightSDS!P$30*$AM394^7+WeightSDS!Q$30*$AM394^6+WeightSDS!R$30*$AM394^5+WeightSDS!S$30*$AM394^4+WeightSDS!T$30*$AM394^3+WeightSDS!U$30*$AM394^2+WeightSDS!V$30*$AM394+WeightSDS!W$30-0.010431*(1-1/$AM394),WeightSDS!M$32+WeightSDS!N$32/(1+EXP(WeightSDS!O$32+WeightSDS!P$32*$AM394))-0.010431*(1-$AM394/210))))</f>
        <v>2.9500001032655536</v>
      </c>
      <c r="AQ394" s="4">
        <f>IF(D394="M",IF($AM394&lt;162,WeightSDS!P$12*$AM394^7+WeightSDS!Q$12*$AM394^6+WeightSDS!R$12*$AM394^5+WeightSDS!S$12*$AM394^4+WeightSDS!T$12*$AM394^3+WeightSDS!U$12*$AM394^2+WeightSDS!V$12*$AM394+WeightSDS!W$12,WeightSDS!P$14*$AM394^7+WeightSDS!Q$14*$AM394^6+WeightSDS!R$14*$AM394^5+WeightSDS!S$14*$AM394^4+WeightSDS!T$14*$AM394^3+WeightSDS!U$14*$AM394^2+WeightSDS!V$14*$AM394+WeightSDS!W$14),IF($AM394&lt;156,WeightSDS!O$17*$AM394^8+WeightSDS!P$17*$AM394^7+WeightSDS!Q$17*$AM394^6+WeightSDS!R$17*$AM394^5+WeightSDS!S$17*$AM394^4+WeightSDS!T$17*$AM394^3+WeightSDS!U$17*$AM394^2+WeightSDS!V$17*$AM394+WeightSDS!W$17,IF($AM394&lt;186,WeightSDS!$U$18+(WeightSDS!$V$18-WeightSDS!$U$18)/24*($AM394-186)+WeightSDS!$W$18*(-$AM394+186)^2-0.005,WeightSDS!$U$18+(WeightSDS!$V$18-WeightSDS!$U$18)/24*($AM394-186)-0.005)))</f>
        <v>0.14604529399999999</v>
      </c>
      <c r="AT394" s="4">
        <f t="shared" si="133"/>
        <v>0.56299999999999994</v>
      </c>
      <c r="AU394" s="4">
        <f t="shared" si="134"/>
        <v>69</v>
      </c>
      <c r="AV394" s="4">
        <f t="shared" si="135"/>
        <v>0.51</v>
      </c>
    </row>
    <row r="395" spans="1:48" x14ac:dyDescent="0.15">
      <c r="A395" s="4"/>
      <c r="B395" s="21"/>
      <c r="C395" s="21"/>
      <c r="D395" s="21"/>
      <c r="E395" s="22"/>
      <c r="F395" s="22"/>
      <c r="G395" s="23"/>
      <c r="H395" s="23"/>
      <c r="I395" s="181"/>
      <c r="J395" s="8" t="str">
        <f t="shared" si="127"/>
        <v/>
      </c>
      <c r="K395" s="2" t="str">
        <f t="shared" si="136"/>
        <v/>
      </c>
      <c r="L395" s="2" t="str">
        <f t="shared" si="128"/>
        <v/>
      </c>
      <c r="M395" s="2" t="str">
        <f t="shared" si="137"/>
        <v/>
      </c>
      <c r="N395" s="2" t="str">
        <f t="shared" si="145"/>
        <v/>
      </c>
      <c r="O395" s="2" t="str">
        <f t="shared" si="138"/>
        <v/>
      </c>
      <c r="P395" s="8" t="str">
        <f t="shared" si="139"/>
        <v/>
      </c>
      <c r="Q395" s="8" t="str">
        <f t="shared" si="140"/>
        <v/>
      </c>
      <c r="R395" s="111" t="str">
        <f t="shared" si="141"/>
        <v/>
      </c>
      <c r="S395" s="44" t="str">
        <f t="shared" si="142"/>
        <v/>
      </c>
      <c r="T395" s="37" t="str">
        <f t="shared" si="143"/>
        <v/>
      </c>
      <c r="U395" s="44" t="str">
        <f t="shared" si="144"/>
        <v/>
      </c>
      <c r="V395" s="26"/>
      <c r="W395" s="26"/>
      <c r="X395" s="26"/>
      <c r="Y395" s="26"/>
      <c r="Z395" s="24"/>
      <c r="AA395" s="169">
        <f t="shared" si="129"/>
        <v>0</v>
      </c>
      <c r="AB395" s="4">
        <f t="shared" si="130"/>
        <v>0</v>
      </c>
      <c r="AC395" s="170">
        <f t="shared" si="126"/>
        <v>0</v>
      </c>
      <c r="AD395" s="58"/>
      <c r="AE395" s="58"/>
      <c r="AF395" s="58"/>
      <c r="AG395" s="59">
        <f t="shared" si="131"/>
        <v>9.0359999999999996</v>
      </c>
      <c r="AH395" s="59">
        <f t="shared" si="132"/>
        <v>-184.49199999999999</v>
      </c>
      <c r="AJ395" s="4">
        <f>IF(D395="M",IF(AM395&lt;78,BMILMS!$D$5*AM395^3+BMILMS!$E$5*AM395^2+BMILMS!$F$5*AM395+BMILMS!$G$5,IF(AM395&lt;150,BMILMS!$D$6*AM395^3+BMILMS!$E$6*AM395^2+BMILMS!$F$6*AM395+BMILMS!$G$6,BMILMS!$D$7*AM395^3+BMILMS!$E$7*AM395^2+BMILMS!$F$7*AM395+BMILMS!$G$7)),IF(AM395&lt;69,BMILMS!$D$9*AM395^3+BMILMS!$E$9*AM395^2+BMILMS!$F$9*AM395+BMILMS!$G$9,IF(AM395&lt;150,BMILMS!$D$10*AM395^3+BMILMS!$E$10*AM395^2+BMILMS!$F$10*AM395+BMILMS!$G$10,BMILMS!$D$11*AM395^3+BMILMS!$E$11*AM395^2+BMILMS!$F$11*AM395+BMILMS!$G$11)))</f>
        <v>0.79584630099999998</v>
      </c>
      <c r="AK395" s="4">
        <f>IF(D395="M",(IF(AM395&lt;2.5,BMILMS!$D$21*AM395^3+BMILMS!$E$21*AM395^2+BMILMS!$F$21*AM395+BMILMS!$G$21,IF(AM395&lt;9.5,BMILMS!$D$22*AM395^3+BMILMS!$E$22*AM395^2+BMILMS!$F$22*AM395+BMILMS!$G$22,IF(AM395&lt;26.75,BMILMS!$D$23*AM395^3+BMILMS!$E$23*AM395^2+BMILMS!$F$23*AM395+BMILMS!$G$23,IF(AM395&lt;90,BMILMS!$D$24*AM395^3+BMILMS!$E$24*AM395^2+BMILMS!$F$24*AM395+BMILMS!$G$24,BMILMS!$D$25*AM395^3+BMILMS!$E$25*AM395^2+BMILMS!$F$25*AM395+BMILMS!$G$25))))),(IF(AM395&lt;2.5,BMILMS!$D$27*AM395^3+BMILMS!$E$27*AM395^2+BMILMS!$F$27*AM395+BMILMS!$G$27,IF(AM395&lt;9.5,BMILMS!$D$28*AM395^3+BMILMS!$E$28*AM395^2+BMILMS!$F$28*AM395+BMILMS!$G$28,IF(AM395&lt;26.75,BMILMS!$D$29*AM395^3+BMILMS!$E$29*AM395^2+BMILMS!$F$29*AM395+BMILMS!$G$29,IF(AM395&lt;90,BMILMS!$D$30*AM395^3+BMILMS!$E$30*AM395^2+BMILMS!$F$30*AM395+BMILMS!$G$30,IF(AM395&lt;150,BMILMS!$D$31*AM395^3+BMILMS!$E$31*AM395^2+BMILMS!$F$31*AM395+BMILMS!$G$31,BMILMS!$D$32*AM395^3+BMILMS!$E$32*AM395^2+BMILMS!$F$32*AM395+BMILMS!$G$32)))))))</f>
        <v>12.568967990000001</v>
      </c>
      <c r="AL395" s="4">
        <f>IF(D395="M",(IF(AM395&lt;90,BMILMS!$D$14*AM395^3+BMILMS!$E$14*AM395^2+BMILMS!$F$14*AM395+BMILMS!$G$14,BMILMS!$D$15*AM395^3+BMILMS!$E$15*AM395^2+BMILMS!$F$15*AM395+BMILMS!$G$15)),(IF(AM395&lt;90,BMILMS!$D$17*AM395^3+BMILMS!$E$17*AM395^2+BMILMS!$F$17*AM395+BMILMS!$G$17,BMILMS!$D$18*AM395^3+BMILMS!$E$18*AM395^2+BMILMS!$F$18*AM395+BMILMS!$G$18)))</f>
        <v>8.8969350000000003E-2</v>
      </c>
      <c r="AM395" s="4">
        <f t="shared" si="146"/>
        <v>0</v>
      </c>
      <c r="AO395" s="56">
        <f>IF(D395="M",WeightSDS!P$5*$AM395^7+WeightSDS!Q$5*$AM395^6+WeightSDS!R$5*$AM395^5+WeightSDS!S$5*$AM395^4+WeightSDS!T$5*$AM395^3+WeightSDS!U$5*$AM395^2+WeightSDS!V$5*$AM395+WeightSDS!W$5,IF($AM395&lt;186,WeightSDS!P$8*$AM395^7+WeightSDS!Q$8*$AM395^6+WeightSDS!R$8*$AM395^5+WeightSDS!S$8*$AM395^4+WeightSDS!T$8*$AM395^3+WeightSDS!U$8*$AM395^2+WeightSDS!V$8*$AM395+WeightSDS!W$8,WeightSDS!$U$9+WeightSDS!$V$9*($AM395-WeightSDS!$W$9)))</f>
        <v>0.75407122999999998</v>
      </c>
      <c r="AP395" s="4">
        <f>IF(D395="M",IF($AM395&lt;45,WeightSDS!M$23*$AM395^10+WeightSDS!N$23*$AM395^9+WeightSDS!O$23*$AM395^8+WeightSDS!P$23*$AM395^7+WeightSDS!Q$23*$AM395^6+WeightSDS!R$23*$AM395^5+WeightSDS!S$23*$AM395^4+WeightSDS!T$23*$AM395^3+WeightSDS!U$23*$AM395^2+WeightSDS!V$23*$AM395+WeightSDS!W$23,IF($AM395&lt;153,WeightSDS!M$25*$AM395^10+WeightSDS!N$25*$AM395^9+WeightSDS!O$25*$AM395^8+WeightSDS!P$25*$AM395^7+WeightSDS!Q$25*$AM395^6+WeightSDS!R$25*$AM395^5+WeightSDS!S$25*$AM395^4+WeightSDS!T$25*$AM395^3+WeightSDS!U$25*$AM395^2+WeightSDS!V$25*$AM395+WeightSDS!W$25,WeightSDS!M$27+WeightSDS!N$27/(1+EXP(WeightSDS!O$27+WeightSDS!P$27*$AM395)))),IF($AM395&lt;43.8,WeightSDS!M$29*$AM395^10+WeightSDS!N$29*$AM395^9+WeightSDS!O$29*$AM395^8+WeightSDS!P$29*$AM395^7+WeightSDS!Q$29*$AM395^6+WeightSDS!R$29*$AM395^5+WeightSDS!S$29*$AM395^4+WeightSDS!T$29*$AM395^3+WeightSDS!U$29*$AM395^2+WeightSDS!V$29*$AM395+WeightSDS!W$29-0.010431*(1-$AM395/210),IF($AM395&lt;123,WeightSDS!M$30*$AM395^10+WeightSDS!N$30*$AM395^9+WeightSDS!O$30*$AM395^8+WeightSDS!P$30*$AM395^7+WeightSDS!Q$30*$AM395^6+WeightSDS!R$30*$AM395^5+WeightSDS!S$30*$AM395^4+WeightSDS!T$30*$AM395^3+WeightSDS!U$30*$AM395^2+WeightSDS!V$30*$AM395+WeightSDS!W$30-0.010431*(1-1/$AM395),WeightSDS!M$32+WeightSDS!N$32/(1+EXP(WeightSDS!O$32+WeightSDS!P$32*$AM395))-0.010431*(1-$AM395/210))))</f>
        <v>2.9500001032655536</v>
      </c>
      <c r="AQ395" s="4">
        <f>IF(D395="M",IF($AM395&lt;162,WeightSDS!P$12*$AM395^7+WeightSDS!Q$12*$AM395^6+WeightSDS!R$12*$AM395^5+WeightSDS!S$12*$AM395^4+WeightSDS!T$12*$AM395^3+WeightSDS!U$12*$AM395^2+WeightSDS!V$12*$AM395+WeightSDS!W$12,WeightSDS!P$14*$AM395^7+WeightSDS!Q$14*$AM395^6+WeightSDS!R$14*$AM395^5+WeightSDS!S$14*$AM395^4+WeightSDS!T$14*$AM395^3+WeightSDS!U$14*$AM395^2+WeightSDS!V$14*$AM395+WeightSDS!W$14),IF($AM395&lt;156,WeightSDS!O$17*$AM395^8+WeightSDS!P$17*$AM395^7+WeightSDS!Q$17*$AM395^6+WeightSDS!R$17*$AM395^5+WeightSDS!S$17*$AM395^4+WeightSDS!T$17*$AM395^3+WeightSDS!U$17*$AM395^2+WeightSDS!V$17*$AM395+WeightSDS!W$17,IF($AM395&lt;186,WeightSDS!$U$18+(WeightSDS!$V$18-WeightSDS!$U$18)/24*($AM395-186)+WeightSDS!$W$18*(-$AM395+186)^2-0.005,WeightSDS!$U$18+(WeightSDS!$V$18-WeightSDS!$U$18)/24*($AM395-186)-0.005)))</f>
        <v>0.14604529399999999</v>
      </c>
      <c r="AT395" s="4">
        <f t="shared" si="133"/>
        <v>0.56299999999999994</v>
      </c>
      <c r="AU395" s="4">
        <f t="shared" si="134"/>
        <v>69</v>
      </c>
      <c r="AV395" s="4">
        <f t="shared" si="135"/>
        <v>0.51</v>
      </c>
    </row>
    <row r="396" spans="1:48" x14ac:dyDescent="0.15">
      <c r="A396" s="4"/>
      <c r="B396" s="21"/>
      <c r="C396" s="21"/>
      <c r="D396" s="21"/>
      <c r="E396" s="22"/>
      <c r="F396" s="22"/>
      <c r="G396" s="23"/>
      <c r="H396" s="23"/>
      <c r="I396" s="181"/>
      <c r="J396" s="8" t="str">
        <f t="shared" si="127"/>
        <v/>
      </c>
      <c r="K396" s="2" t="str">
        <f t="shared" si="136"/>
        <v/>
      </c>
      <c r="L396" s="2" t="str">
        <f t="shared" si="128"/>
        <v/>
      </c>
      <c r="M396" s="2" t="str">
        <f t="shared" si="137"/>
        <v/>
      </c>
      <c r="N396" s="2" t="str">
        <f t="shared" si="145"/>
        <v/>
      </c>
      <c r="O396" s="2" t="str">
        <f t="shared" si="138"/>
        <v/>
      </c>
      <c r="P396" s="8" t="str">
        <f t="shared" si="139"/>
        <v/>
      </c>
      <c r="Q396" s="8" t="str">
        <f t="shared" si="140"/>
        <v/>
      </c>
      <c r="R396" s="111" t="str">
        <f t="shared" si="141"/>
        <v/>
      </c>
      <c r="S396" s="44" t="str">
        <f t="shared" si="142"/>
        <v/>
      </c>
      <c r="T396" s="37" t="str">
        <f t="shared" si="143"/>
        <v/>
      </c>
      <c r="U396" s="44" t="str">
        <f t="shared" si="144"/>
        <v/>
      </c>
      <c r="V396" s="26"/>
      <c r="W396" s="26"/>
      <c r="X396" s="26"/>
      <c r="Y396" s="26"/>
      <c r="Z396" s="24"/>
      <c r="AA396" s="169">
        <f t="shared" si="129"/>
        <v>0</v>
      </c>
      <c r="AB396" s="4">
        <f t="shared" si="130"/>
        <v>0</v>
      </c>
      <c r="AC396" s="170">
        <f t="shared" si="126"/>
        <v>0</v>
      </c>
      <c r="AD396" s="58"/>
      <c r="AE396" s="58"/>
      <c r="AF396" s="58"/>
      <c r="AG396" s="59">
        <f t="shared" si="131"/>
        <v>9.0359999999999996</v>
      </c>
      <c r="AH396" s="59">
        <f t="shared" si="132"/>
        <v>-184.49199999999999</v>
      </c>
      <c r="AJ396" s="4">
        <f>IF(D396="M",IF(AM396&lt;78,BMILMS!$D$5*AM396^3+BMILMS!$E$5*AM396^2+BMILMS!$F$5*AM396+BMILMS!$G$5,IF(AM396&lt;150,BMILMS!$D$6*AM396^3+BMILMS!$E$6*AM396^2+BMILMS!$F$6*AM396+BMILMS!$G$6,BMILMS!$D$7*AM396^3+BMILMS!$E$7*AM396^2+BMILMS!$F$7*AM396+BMILMS!$G$7)),IF(AM396&lt;69,BMILMS!$D$9*AM396^3+BMILMS!$E$9*AM396^2+BMILMS!$F$9*AM396+BMILMS!$G$9,IF(AM396&lt;150,BMILMS!$D$10*AM396^3+BMILMS!$E$10*AM396^2+BMILMS!$F$10*AM396+BMILMS!$G$10,BMILMS!$D$11*AM396^3+BMILMS!$E$11*AM396^2+BMILMS!$F$11*AM396+BMILMS!$G$11)))</f>
        <v>0.79584630099999998</v>
      </c>
      <c r="AK396" s="4">
        <f>IF(D396="M",(IF(AM396&lt;2.5,BMILMS!$D$21*AM396^3+BMILMS!$E$21*AM396^2+BMILMS!$F$21*AM396+BMILMS!$G$21,IF(AM396&lt;9.5,BMILMS!$D$22*AM396^3+BMILMS!$E$22*AM396^2+BMILMS!$F$22*AM396+BMILMS!$G$22,IF(AM396&lt;26.75,BMILMS!$D$23*AM396^3+BMILMS!$E$23*AM396^2+BMILMS!$F$23*AM396+BMILMS!$G$23,IF(AM396&lt;90,BMILMS!$D$24*AM396^3+BMILMS!$E$24*AM396^2+BMILMS!$F$24*AM396+BMILMS!$G$24,BMILMS!$D$25*AM396^3+BMILMS!$E$25*AM396^2+BMILMS!$F$25*AM396+BMILMS!$G$25))))),(IF(AM396&lt;2.5,BMILMS!$D$27*AM396^3+BMILMS!$E$27*AM396^2+BMILMS!$F$27*AM396+BMILMS!$G$27,IF(AM396&lt;9.5,BMILMS!$D$28*AM396^3+BMILMS!$E$28*AM396^2+BMILMS!$F$28*AM396+BMILMS!$G$28,IF(AM396&lt;26.75,BMILMS!$D$29*AM396^3+BMILMS!$E$29*AM396^2+BMILMS!$F$29*AM396+BMILMS!$G$29,IF(AM396&lt;90,BMILMS!$D$30*AM396^3+BMILMS!$E$30*AM396^2+BMILMS!$F$30*AM396+BMILMS!$G$30,IF(AM396&lt;150,BMILMS!$D$31*AM396^3+BMILMS!$E$31*AM396^2+BMILMS!$F$31*AM396+BMILMS!$G$31,BMILMS!$D$32*AM396^3+BMILMS!$E$32*AM396^2+BMILMS!$F$32*AM396+BMILMS!$G$32)))))))</f>
        <v>12.568967990000001</v>
      </c>
      <c r="AL396" s="4">
        <f>IF(D396="M",(IF(AM396&lt;90,BMILMS!$D$14*AM396^3+BMILMS!$E$14*AM396^2+BMILMS!$F$14*AM396+BMILMS!$G$14,BMILMS!$D$15*AM396^3+BMILMS!$E$15*AM396^2+BMILMS!$F$15*AM396+BMILMS!$G$15)),(IF(AM396&lt;90,BMILMS!$D$17*AM396^3+BMILMS!$E$17*AM396^2+BMILMS!$F$17*AM396+BMILMS!$G$17,BMILMS!$D$18*AM396^3+BMILMS!$E$18*AM396^2+BMILMS!$F$18*AM396+BMILMS!$G$18)))</f>
        <v>8.8969350000000003E-2</v>
      </c>
      <c r="AM396" s="4">
        <f t="shared" si="146"/>
        <v>0</v>
      </c>
      <c r="AO396" s="56">
        <f>IF(D396="M",WeightSDS!P$5*$AM396^7+WeightSDS!Q$5*$AM396^6+WeightSDS!R$5*$AM396^5+WeightSDS!S$5*$AM396^4+WeightSDS!T$5*$AM396^3+WeightSDS!U$5*$AM396^2+WeightSDS!V$5*$AM396+WeightSDS!W$5,IF($AM396&lt;186,WeightSDS!P$8*$AM396^7+WeightSDS!Q$8*$AM396^6+WeightSDS!R$8*$AM396^5+WeightSDS!S$8*$AM396^4+WeightSDS!T$8*$AM396^3+WeightSDS!U$8*$AM396^2+WeightSDS!V$8*$AM396+WeightSDS!W$8,WeightSDS!$U$9+WeightSDS!$V$9*($AM396-WeightSDS!$W$9)))</f>
        <v>0.75407122999999998</v>
      </c>
      <c r="AP396" s="4">
        <f>IF(D396="M",IF($AM396&lt;45,WeightSDS!M$23*$AM396^10+WeightSDS!N$23*$AM396^9+WeightSDS!O$23*$AM396^8+WeightSDS!P$23*$AM396^7+WeightSDS!Q$23*$AM396^6+WeightSDS!R$23*$AM396^5+WeightSDS!S$23*$AM396^4+WeightSDS!T$23*$AM396^3+WeightSDS!U$23*$AM396^2+WeightSDS!V$23*$AM396+WeightSDS!W$23,IF($AM396&lt;153,WeightSDS!M$25*$AM396^10+WeightSDS!N$25*$AM396^9+WeightSDS!O$25*$AM396^8+WeightSDS!P$25*$AM396^7+WeightSDS!Q$25*$AM396^6+WeightSDS!R$25*$AM396^5+WeightSDS!S$25*$AM396^4+WeightSDS!T$25*$AM396^3+WeightSDS!U$25*$AM396^2+WeightSDS!V$25*$AM396+WeightSDS!W$25,WeightSDS!M$27+WeightSDS!N$27/(1+EXP(WeightSDS!O$27+WeightSDS!P$27*$AM396)))),IF($AM396&lt;43.8,WeightSDS!M$29*$AM396^10+WeightSDS!N$29*$AM396^9+WeightSDS!O$29*$AM396^8+WeightSDS!P$29*$AM396^7+WeightSDS!Q$29*$AM396^6+WeightSDS!R$29*$AM396^5+WeightSDS!S$29*$AM396^4+WeightSDS!T$29*$AM396^3+WeightSDS!U$29*$AM396^2+WeightSDS!V$29*$AM396+WeightSDS!W$29-0.010431*(1-$AM396/210),IF($AM396&lt;123,WeightSDS!M$30*$AM396^10+WeightSDS!N$30*$AM396^9+WeightSDS!O$30*$AM396^8+WeightSDS!P$30*$AM396^7+WeightSDS!Q$30*$AM396^6+WeightSDS!R$30*$AM396^5+WeightSDS!S$30*$AM396^4+WeightSDS!T$30*$AM396^3+WeightSDS!U$30*$AM396^2+WeightSDS!V$30*$AM396+WeightSDS!W$30-0.010431*(1-1/$AM396),WeightSDS!M$32+WeightSDS!N$32/(1+EXP(WeightSDS!O$32+WeightSDS!P$32*$AM396))-0.010431*(1-$AM396/210))))</f>
        <v>2.9500001032655536</v>
      </c>
      <c r="AQ396" s="4">
        <f>IF(D396="M",IF($AM396&lt;162,WeightSDS!P$12*$AM396^7+WeightSDS!Q$12*$AM396^6+WeightSDS!R$12*$AM396^5+WeightSDS!S$12*$AM396^4+WeightSDS!T$12*$AM396^3+WeightSDS!U$12*$AM396^2+WeightSDS!V$12*$AM396+WeightSDS!W$12,WeightSDS!P$14*$AM396^7+WeightSDS!Q$14*$AM396^6+WeightSDS!R$14*$AM396^5+WeightSDS!S$14*$AM396^4+WeightSDS!T$14*$AM396^3+WeightSDS!U$14*$AM396^2+WeightSDS!V$14*$AM396+WeightSDS!W$14),IF($AM396&lt;156,WeightSDS!O$17*$AM396^8+WeightSDS!P$17*$AM396^7+WeightSDS!Q$17*$AM396^6+WeightSDS!R$17*$AM396^5+WeightSDS!S$17*$AM396^4+WeightSDS!T$17*$AM396^3+WeightSDS!U$17*$AM396^2+WeightSDS!V$17*$AM396+WeightSDS!W$17,IF($AM396&lt;186,WeightSDS!$U$18+(WeightSDS!$V$18-WeightSDS!$U$18)/24*($AM396-186)+WeightSDS!$W$18*(-$AM396+186)^2-0.005,WeightSDS!$U$18+(WeightSDS!$V$18-WeightSDS!$U$18)/24*($AM396-186)-0.005)))</f>
        <v>0.14604529399999999</v>
      </c>
      <c r="AT396" s="4">
        <f t="shared" si="133"/>
        <v>0.56299999999999994</v>
      </c>
      <c r="AU396" s="4">
        <f t="shared" si="134"/>
        <v>69</v>
      </c>
      <c r="AV396" s="4">
        <f t="shared" si="135"/>
        <v>0.51</v>
      </c>
    </row>
    <row r="397" spans="1:48" x14ac:dyDescent="0.15">
      <c r="A397" s="4"/>
      <c r="B397" s="21"/>
      <c r="C397" s="21"/>
      <c r="D397" s="21"/>
      <c r="E397" s="22"/>
      <c r="F397" s="22"/>
      <c r="G397" s="23"/>
      <c r="H397" s="23"/>
      <c r="I397" s="181"/>
      <c r="J397" s="8" t="str">
        <f t="shared" si="127"/>
        <v/>
      </c>
      <c r="K397" s="2" t="str">
        <f t="shared" si="136"/>
        <v/>
      </c>
      <c r="L397" s="2" t="str">
        <f t="shared" si="128"/>
        <v/>
      </c>
      <c r="M397" s="2" t="str">
        <f t="shared" si="137"/>
        <v/>
      </c>
      <c r="N397" s="2" t="str">
        <f t="shared" si="145"/>
        <v/>
      </c>
      <c r="O397" s="2" t="str">
        <f t="shared" si="138"/>
        <v/>
      </c>
      <c r="P397" s="8" t="str">
        <f t="shared" si="139"/>
        <v/>
      </c>
      <c r="Q397" s="8" t="str">
        <f t="shared" si="140"/>
        <v/>
      </c>
      <c r="R397" s="111" t="str">
        <f t="shared" si="141"/>
        <v/>
      </c>
      <c r="S397" s="44" t="str">
        <f t="shared" si="142"/>
        <v/>
      </c>
      <c r="T397" s="37" t="str">
        <f t="shared" si="143"/>
        <v/>
      </c>
      <c r="U397" s="44" t="str">
        <f t="shared" si="144"/>
        <v/>
      </c>
      <c r="V397" s="26"/>
      <c r="W397" s="26"/>
      <c r="X397" s="26"/>
      <c r="Y397" s="26"/>
      <c r="Z397" s="24"/>
      <c r="AA397" s="169">
        <f t="shared" si="129"/>
        <v>0</v>
      </c>
      <c r="AB397" s="4">
        <f t="shared" si="130"/>
        <v>0</v>
      </c>
      <c r="AC397" s="170">
        <f t="shared" si="126"/>
        <v>0</v>
      </c>
      <c r="AD397" s="58"/>
      <c r="AE397" s="58"/>
      <c r="AF397" s="58"/>
      <c r="AG397" s="59">
        <f t="shared" si="131"/>
        <v>9.0359999999999996</v>
      </c>
      <c r="AH397" s="59">
        <f t="shared" si="132"/>
        <v>-184.49199999999999</v>
      </c>
      <c r="AJ397" s="4">
        <f>IF(D397="M",IF(AM397&lt;78,BMILMS!$D$5*AM397^3+BMILMS!$E$5*AM397^2+BMILMS!$F$5*AM397+BMILMS!$G$5,IF(AM397&lt;150,BMILMS!$D$6*AM397^3+BMILMS!$E$6*AM397^2+BMILMS!$F$6*AM397+BMILMS!$G$6,BMILMS!$D$7*AM397^3+BMILMS!$E$7*AM397^2+BMILMS!$F$7*AM397+BMILMS!$G$7)),IF(AM397&lt;69,BMILMS!$D$9*AM397^3+BMILMS!$E$9*AM397^2+BMILMS!$F$9*AM397+BMILMS!$G$9,IF(AM397&lt;150,BMILMS!$D$10*AM397^3+BMILMS!$E$10*AM397^2+BMILMS!$F$10*AM397+BMILMS!$G$10,BMILMS!$D$11*AM397^3+BMILMS!$E$11*AM397^2+BMILMS!$F$11*AM397+BMILMS!$G$11)))</f>
        <v>0.79584630099999998</v>
      </c>
      <c r="AK397" s="4">
        <f>IF(D397="M",(IF(AM397&lt;2.5,BMILMS!$D$21*AM397^3+BMILMS!$E$21*AM397^2+BMILMS!$F$21*AM397+BMILMS!$G$21,IF(AM397&lt;9.5,BMILMS!$D$22*AM397^3+BMILMS!$E$22*AM397^2+BMILMS!$F$22*AM397+BMILMS!$G$22,IF(AM397&lt;26.75,BMILMS!$D$23*AM397^3+BMILMS!$E$23*AM397^2+BMILMS!$F$23*AM397+BMILMS!$G$23,IF(AM397&lt;90,BMILMS!$D$24*AM397^3+BMILMS!$E$24*AM397^2+BMILMS!$F$24*AM397+BMILMS!$G$24,BMILMS!$D$25*AM397^3+BMILMS!$E$25*AM397^2+BMILMS!$F$25*AM397+BMILMS!$G$25))))),(IF(AM397&lt;2.5,BMILMS!$D$27*AM397^3+BMILMS!$E$27*AM397^2+BMILMS!$F$27*AM397+BMILMS!$G$27,IF(AM397&lt;9.5,BMILMS!$D$28*AM397^3+BMILMS!$E$28*AM397^2+BMILMS!$F$28*AM397+BMILMS!$G$28,IF(AM397&lt;26.75,BMILMS!$D$29*AM397^3+BMILMS!$E$29*AM397^2+BMILMS!$F$29*AM397+BMILMS!$G$29,IF(AM397&lt;90,BMILMS!$D$30*AM397^3+BMILMS!$E$30*AM397^2+BMILMS!$F$30*AM397+BMILMS!$G$30,IF(AM397&lt;150,BMILMS!$D$31*AM397^3+BMILMS!$E$31*AM397^2+BMILMS!$F$31*AM397+BMILMS!$G$31,BMILMS!$D$32*AM397^3+BMILMS!$E$32*AM397^2+BMILMS!$F$32*AM397+BMILMS!$G$32)))))))</f>
        <v>12.568967990000001</v>
      </c>
      <c r="AL397" s="4">
        <f>IF(D397="M",(IF(AM397&lt;90,BMILMS!$D$14*AM397^3+BMILMS!$E$14*AM397^2+BMILMS!$F$14*AM397+BMILMS!$G$14,BMILMS!$D$15*AM397^3+BMILMS!$E$15*AM397^2+BMILMS!$F$15*AM397+BMILMS!$G$15)),(IF(AM397&lt;90,BMILMS!$D$17*AM397^3+BMILMS!$E$17*AM397^2+BMILMS!$F$17*AM397+BMILMS!$G$17,BMILMS!$D$18*AM397^3+BMILMS!$E$18*AM397^2+BMILMS!$F$18*AM397+BMILMS!$G$18)))</f>
        <v>8.8969350000000003E-2</v>
      </c>
      <c r="AM397" s="4">
        <f t="shared" si="146"/>
        <v>0</v>
      </c>
      <c r="AO397" s="56">
        <f>IF(D397="M",WeightSDS!P$5*$AM397^7+WeightSDS!Q$5*$AM397^6+WeightSDS!R$5*$AM397^5+WeightSDS!S$5*$AM397^4+WeightSDS!T$5*$AM397^3+WeightSDS!U$5*$AM397^2+WeightSDS!V$5*$AM397+WeightSDS!W$5,IF($AM397&lt;186,WeightSDS!P$8*$AM397^7+WeightSDS!Q$8*$AM397^6+WeightSDS!R$8*$AM397^5+WeightSDS!S$8*$AM397^4+WeightSDS!T$8*$AM397^3+WeightSDS!U$8*$AM397^2+WeightSDS!V$8*$AM397+WeightSDS!W$8,WeightSDS!$U$9+WeightSDS!$V$9*($AM397-WeightSDS!$W$9)))</f>
        <v>0.75407122999999998</v>
      </c>
      <c r="AP397" s="4">
        <f>IF(D397="M",IF($AM397&lt;45,WeightSDS!M$23*$AM397^10+WeightSDS!N$23*$AM397^9+WeightSDS!O$23*$AM397^8+WeightSDS!P$23*$AM397^7+WeightSDS!Q$23*$AM397^6+WeightSDS!R$23*$AM397^5+WeightSDS!S$23*$AM397^4+WeightSDS!T$23*$AM397^3+WeightSDS!U$23*$AM397^2+WeightSDS!V$23*$AM397+WeightSDS!W$23,IF($AM397&lt;153,WeightSDS!M$25*$AM397^10+WeightSDS!N$25*$AM397^9+WeightSDS!O$25*$AM397^8+WeightSDS!P$25*$AM397^7+WeightSDS!Q$25*$AM397^6+WeightSDS!R$25*$AM397^5+WeightSDS!S$25*$AM397^4+WeightSDS!T$25*$AM397^3+WeightSDS!U$25*$AM397^2+WeightSDS!V$25*$AM397+WeightSDS!W$25,WeightSDS!M$27+WeightSDS!N$27/(1+EXP(WeightSDS!O$27+WeightSDS!P$27*$AM397)))),IF($AM397&lt;43.8,WeightSDS!M$29*$AM397^10+WeightSDS!N$29*$AM397^9+WeightSDS!O$29*$AM397^8+WeightSDS!P$29*$AM397^7+WeightSDS!Q$29*$AM397^6+WeightSDS!R$29*$AM397^5+WeightSDS!S$29*$AM397^4+WeightSDS!T$29*$AM397^3+WeightSDS!U$29*$AM397^2+WeightSDS!V$29*$AM397+WeightSDS!W$29-0.010431*(1-$AM397/210),IF($AM397&lt;123,WeightSDS!M$30*$AM397^10+WeightSDS!N$30*$AM397^9+WeightSDS!O$30*$AM397^8+WeightSDS!P$30*$AM397^7+WeightSDS!Q$30*$AM397^6+WeightSDS!R$30*$AM397^5+WeightSDS!S$30*$AM397^4+WeightSDS!T$30*$AM397^3+WeightSDS!U$30*$AM397^2+WeightSDS!V$30*$AM397+WeightSDS!W$30-0.010431*(1-1/$AM397),WeightSDS!M$32+WeightSDS!N$32/(1+EXP(WeightSDS!O$32+WeightSDS!P$32*$AM397))-0.010431*(1-$AM397/210))))</f>
        <v>2.9500001032655536</v>
      </c>
      <c r="AQ397" s="4">
        <f>IF(D397="M",IF($AM397&lt;162,WeightSDS!P$12*$AM397^7+WeightSDS!Q$12*$AM397^6+WeightSDS!R$12*$AM397^5+WeightSDS!S$12*$AM397^4+WeightSDS!T$12*$AM397^3+WeightSDS!U$12*$AM397^2+WeightSDS!V$12*$AM397+WeightSDS!W$12,WeightSDS!P$14*$AM397^7+WeightSDS!Q$14*$AM397^6+WeightSDS!R$14*$AM397^5+WeightSDS!S$14*$AM397^4+WeightSDS!T$14*$AM397^3+WeightSDS!U$14*$AM397^2+WeightSDS!V$14*$AM397+WeightSDS!W$14),IF($AM397&lt;156,WeightSDS!O$17*$AM397^8+WeightSDS!P$17*$AM397^7+WeightSDS!Q$17*$AM397^6+WeightSDS!R$17*$AM397^5+WeightSDS!S$17*$AM397^4+WeightSDS!T$17*$AM397^3+WeightSDS!U$17*$AM397^2+WeightSDS!V$17*$AM397+WeightSDS!W$17,IF($AM397&lt;186,WeightSDS!$U$18+(WeightSDS!$V$18-WeightSDS!$U$18)/24*($AM397-186)+WeightSDS!$W$18*(-$AM397+186)^2-0.005,WeightSDS!$U$18+(WeightSDS!$V$18-WeightSDS!$U$18)/24*($AM397-186)-0.005)))</f>
        <v>0.14604529399999999</v>
      </c>
      <c r="AT397" s="4">
        <f t="shared" si="133"/>
        <v>0.56299999999999994</v>
      </c>
      <c r="AU397" s="4">
        <f t="shared" si="134"/>
        <v>69</v>
      </c>
      <c r="AV397" s="4">
        <f t="shared" si="135"/>
        <v>0.51</v>
      </c>
    </row>
    <row r="398" spans="1:48" x14ac:dyDescent="0.15">
      <c r="A398" s="4"/>
      <c r="B398" s="21"/>
      <c r="C398" s="21"/>
      <c r="D398" s="21"/>
      <c r="E398" s="22"/>
      <c r="F398" s="22"/>
      <c r="G398" s="23"/>
      <c r="H398" s="23"/>
      <c r="I398" s="181"/>
      <c r="J398" s="8" t="str">
        <f t="shared" si="127"/>
        <v/>
      </c>
      <c r="K398" s="2" t="str">
        <f t="shared" si="136"/>
        <v/>
      </c>
      <c r="L398" s="2" t="str">
        <f t="shared" si="128"/>
        <v/>
      </c>
      <c r="M398" s="2" t="str">
        <f t="shared" si="137"/>
        <v/>
      </c>
      <c r="N398" s="2" t="str">
        <f t="shared" si="145"/>
        <v/>
      </c>
      <c r="O398" s="2" t="str">
        <f t="shared" si="138"/>
        <v/>
      </c>
      <c r="P398" s="8" t="str">
        <f t="shared" si="139"/>
        <v/>
      </c>
      <c r="Q398" s="8" t="str">
        <f t="shared" si="140"/>
        <v/>
      </c>
      <c r="R398" s="111" t="str">
        <f t="shared" si="141"/>
        <v/>
      </c>
      <c r="S398" s="44" t="str">
        <f t="shared" si="142"/>
        <v/>
      </c>
      <c r="T398" s="37" t="str">
        <f t="shared" si="143"/>
        <v/>
      </c>
      <c r="U398" s="44" t="str">
        <f t="shared" si="144"/>
        <v/>
      </c>
      <c r="V398" s="26"/>
      <c r="W398" s="26"/>
      <c r="X398" s="26"/>
      <c r="Y398" s="26"/>
      <c r="Z398" s="24"/>
      <c r="AA398" s="169">
        <f t="shared" si="129"/>
        <v>0</v>
      </c>
      <c r="AB398" s="4">
        <f t="shared" si="130"/>
        <v>0</v>
      </c>
      <c r="AC398" s="170">
        <f t="shared" si="126"/>
        <v>0</v>
      </c>
      <c r="AD398" s="58"/>
      <c r="AE398" s="58"/>
      <c r="AF398" s="58"/>
      <c r="AG398" s="59">
        <f t="shared" si="131"/>
        <v>9.0359999999999996</v>
      </c>
      <c r="AH398" s="59">
        <f t="shared" si="132"/>
        <v>-184.49199999999999</v>
      </c>
      <c r="AJ398" s="4">
        <f>IF(D398="M",IF(AM398&lt;78,BMILMS!$D$5*AM398^3+BMILMS!$E$5*AM398^2+BMILMS!$F$5*AM398+BMILMS!$G$5,IF(AM398&lt;150,BMILMS!$D$6*AM398^3+BMILMS!$E$6*AM398^2+BMILMS!$F$6*AM398+BMILMS!$G$6,BMILMS!$D$7*AM398^3+BMILMS!$E$7*AM398^2+BMILMS!$F$7*AM398+BMILMS!$G$7)),IF(AM398&lt;69,BMILMS!$D$9*AM398^3+BMILMS!$E$9*AM398^2+BMILMS!$F$9*AM398+BMILMS!$G$9,IF(AM398&lt;150,BMILMS!$D$10*AM398^3+BMILMS!$E$10*AM398^2+BMILMS!$F$10*AM398+BMILMS!$G$10,BMILMS!$D$11*AM398^3+BMILMS!$E$11*AM398^2+BMILMS!$F$11*AM398+BMILMS!$G$11)))</f>
        <v>0.79584630099999998</v>
      </c>
      <c r="AK398" s="4">
        <f>IF(D398="M",(IF(AM398&lt;2.5,BMILMS!$D$21*AM398^3+BMILMS!$E$21*AM398^2+BMILMS!$F$21*AM398+BMILMS!$G$21,IF(AM398&lt;9.5,BMILMS!$D$22*AM398^3+BMILMS!$E$22*AM398^2+BMILMS!$F$22*AM398+BMILMS!$G$22,IF(AM398&lt;26.75,BMILMS!$D$23*AM398^3+BMILMS!$E$23*AM398^2+BMILMS!$F$23*AM398+BMILMS!$G$23,IF(AM398&lt;90,BMILMS!$D$24*AM398^3+BMILMS!$E$24*AM398^2+BMILMS!$F$24*AM398+BMILMS!$G$24,BMILMS!$D$25*AM398^3+BMILMS!$E$25*AM398^2+BMILMS!$F$25*AM398+BMILMS!$G$25))))),(IF(AM398&lt;2.5,BMILMS!$D$27*AM398^3+BMILMS!$E$27*AM398^2+BMILMS!$F$27*AM398+BMILMS!$G$27,IF(AM398&lt;9.5,BMILMS!$D$28*AM398^3+BMILMS!$E$28*AM398^2+BMILMS!$F$28*AM398+BMILMS!$G$28,IF(AM398&lt;26.75,BMILMS!$D$29*AM398^3+BMILMS!$E$29*AM398^2+BMILMS!$F$29*AM398+BMILMS!$G$29,IF(AM398&lt;90,BMILMS!$D$30*AM398^3+BMILMS!$E$30*AM398^2+BMILMS!$F$30*AM398+BMILMS!$G$30,IF(AM398&lt;150,BMILMS!$D$31*AM398^3+BMILMS!$E$31*AM398^2+BMILMS!$F$31*AM398+BMILMS!$G$31,BMILMS!$D$32*AM398^3+BMILMS!$E$32*AM398^2+BMILMS!$F$32*AM398+BMILMS!$G$32)))))))</f>
        <v>12.568967990000001</v>
      </c>
      <c r="AL398" s="4">
        <f>IF(D398="M",(IF(AM398&lt;90,BMILMS!$D$14*AM398^3+BMILMS!$E$14*AM398^2+BMILMS!$F$14*AM398+BMILMS!$G$14,BMILMS!$D$15*AM398^3+BMILMS!$E$15*AM398^2+BMILMS!$F$15*AM398+BMILMS!$G$15)),(IF(AM398&lt;90,BMILMS!$D$17*AM398^3+BMILMS!$E$17*AM398^2+BMILMS!$F$17*AM398+BMILMS!$G$17,BMILMS!$D$18*AM398^3+BMILMS!$E$18*AM398^2+BMILMS!$F$18*AM398+BMILMS!$G$18)))</f>
        <v>8.8969350000000003E-2</v>
      </c>
      <c r="AM398" s="4">
        <f t="shared" si="146"/>
        <v>0</v>
      </c>
      <c r="AO398" s="56">
        <f>IF(D398="M",WeightSDS!P$5*$AM398^7+WeightSDS!Q$5*$AM398^6+WeightSDS!R$5*$AM398^5+WeightSDS!S$5*$AM398^4+WeightSDS!T$5*$AM398^3+WeightSDS!U$5*$AM398^2+WeightSDS!V$5*$AM398+WeightSDS!W$5,IF($AM398&lt;186,WeightSDS!P$8*$AM398^7+WeightSDS!Q$8*$AM398^6+WeightSDS!R$8*$AM398^5+WeightSDS!S$8*$AM398^4+WeightSDS!T$8*$AM398^3+WeightSDS!U$8*$AM398^2+WeightSDS!V$8*$AM398+WeightSDS!W$8,WeightSDS!$U$9+WeightSDS!$V$9*($AM398-WeightSDS!$W$9)))</f>
        <v>0.75407122999999998</v>
      </c>
      <c r="AP398" s="4">
        <f>IF(D398="M",IF($AM398&lt;45,WeightSDS!M$23*$AM398^10+WeightSDS!N$23*$AM398^9+WeightSDS!O$23*$AM398^8+WeightSDS!P$23*$AM398^7+WeightSDS!Q$23*$AM398^6+WeightSDS!R$23*$AM398^5+WeightSDS!S$23*$AM398^4+WeightSDS!T$23*$AM398^3+WeightSDS!U$23*$AM398^2+WeightSDS!V$23*$AM398+WeightSDS!W$23,IF($AM398&lt;153,WeightSDS!M$25*$AM398^10+WeightSDS!N$25*$AM398^9+WeightSDS!O$25*$AM398^8+WeightSDS!P$25*$AM398^7+WeightSDS!Q$25*$AM398^6+WeightSDS!R$25*$AM398^5+WeightSDS!S$25*$AM398^4+WeightSDS!T$25*$AM398^3+WeightSDS!U$25*$AM398^2+WeightSDS!V$25*$AM398+WeightSDS!W$25,WeightSDS!M$27+WeightSDS!N$27/(1+EXP(WeightSDS!O$27+WeightSDS!P$27*$AM398)))),IF($AM398&lt;43.8,WeightSDS!M$29*$AM398^10+WeightSDS!N$29*$AM398^9+WeightSDS!O$29*$AM398^8+WeightSDS!P$29*$AM398^7+WeightSDS!Q$29*$AM398^6+WeightSDS!R$29*$AM398^5+WeightSDS!S$29*$AM398^4+WeightSDS!T$29*$AM398^3+WeightSDS!U$29*$AM398^2+WeightSDS!V$29*$AM398+WeightSDS!W$29-0.010431*(1-$AM398/210),IF($AM398&lt;123,WeightSDS!M$30*$AM398^10+WeightSDS!N$30*$AM398^9+WeightSDS!O$30*$AM398^8+WeightSDS!P$30*$AM398^7+WeightSDS!Q$30*$AM398^6+WeightSDS!R$30*$AM398^5+WeightSDS!S$30*$AM398^4+WeightSDS!T$30*$AM398^3+WeightSDS!U$30*$AM398^2+WeightSDS!V$30*$AM398+WeightSDS!W$30-0.010431*(1-1/$AM398),WeightSDS!M$32+WeightSDS!N$32/(1+EXP(WeightSDS!O$32+WeightSDS!P$32*$AM398))-0.010431*(1-$AM398/210))))</f>
        <v>2.9500001032655536</v>
      </c>
      <c r="AQ398" s="4">
        <f>IF(D398="M",IF($AM398&lt;162,WeightSDS!P$12*$AM398^7+WeightSDS!Q$12*$AM398^6+WeightSDS!R$12*$AM398^5+WeightSDS!S$12*$AM398^4+WeightSDS!T$12*$AM398^3+WeightSDS!U$12*$AM398^2+WeightSDS!V$12*$AM398+WeightSDS!W$12,WeightSDS!P$14*$AM398^7+WeightSDS!Q$14*$AM398^6+WeightSDS!R$14*$AM398^5+WeightSDS!S$14*$AM398^4+WeightSDS!T$14*$AM398^3+WeightSDS!U$14*$AM398^2+WeightSDS!V$14*$AM398+WeightSDS!W$14),IF($AM398&lt;156,WeightSDS!O$17*$AM398^8+WeightSDS!P$17*$AM398^7+WeightSDS!Q$17*$AM398^6+WeightSDS!R$17*$AM398^5+WeightSDS!S$17*$AM398^4+WeightSDS!T$17*$AM398^3+WeightSDS!U$17*$AM398^2+WeightSDS!V$17*$AM398+WeightSDS!W$17,IF($AM398&lt;186,WeightSDS!$U$18+(WeightSDS!$V$18-WeightSDS!$U$18)/24*($AM398-186)+WeightSDS!$W$18*(-$AM398+186)^2-0.005,WeightSDS!$U$18+(WeightSDS!$V$18-WeightSDS!$U$18)/24*($AM398-186)-0.005)))</f>
        <v>0.14604529399999999</v>
      </c>
      <c r="AT398" s="4">
        <f t="shared" si="133"/>
        <v>0.56299999999999994</v>
      </c>
      <c r="AU398" s="4">
        <f t="shared" si="134"/>
        <v>69</v>
      </c>
      <c r="AV398" s="4">
        <f t="shared" si="135"/>
        <v>0.51</v>
      </c>
    </row>
    <row r="399" spans="1:48" x14ac:dyDescent="0.15">
      <c r="A399" s="4"/>
      <c r="B399" s="21"/>
      <c r="C399" s="21"/>
      <c r="D399" s="21"/>
      <c r="E399" s="22"/>
      <c r="F399" s="22"/>
      <c r="G399" s="23"/>
      <c r="H399" s="23"/>
      <c r="I399" s="181"/>
      <c r="J399" s="8" t="str">
        <f t="shared" si="127"/>
        <v/>
      </c>
      <c r="K399" s="2" t="str">
        <f t="shared" si="136"/>
        <v/>
      </c>
      <c r="L399" s="2" t="str">
        <f t="shared" si="128"/>
        <v/>
      </c>
      <c r="M399" s="2" t="str">
        <f t="shared" si="137"/>
        <v/>
      </c>
      <c r="N399" s="2" t="str">
        <f t="shared" si="145"/>
        <v/>
      </c>
      <c r="O399" s="2" t="str">
        <f t="shared" si="138"/>
        <v/>
      </c>
      <c r="P399" s="8" t="str">
        <f t="shared" si="139"/>
        <v/>
      </c>
      <c r="Q399" s="8" t="str">
        <f t="shared" si="140"/>
        <v/>
      </c>
      <c r="R399" s="111" t="str">
        <f t="shared" si="141"/>
        <v/>
      </c>
      <c r="S399" s="44" t="str">
        <f t="shared" si="142"/>
        <v/>
      </c>
      <c r="T399" s="37" t="str">
        <f t="shared" si="143"/>
        <v/>
      </c>
      <c r="U399" s="44" t="str">
        <f t="shared" si="144"/>
        <v/>
      </c>
      <c r="V399" s="26"/>
      <c r="W399" s="26"/>
      <c r="X399" s="26"/>
      <c r="Y399" s="26"/>
      <c r="Z399" s="24"/>
      <c r="AA399" s="169">
        <f t="shared" si="129"/>
        <v>0</v>
      </c>
      <c r="AB399" s="4">
        <f t="shared" si="130"/>
        <v>0</v>
      </c>
      <c r="AC399" s="170">
        <f t="shared" si="126"/>
        <v>0</v>
      </c>
      <c r="AD399" s="58"/>
      <c r="AE399" s="58"/>
      <c r="AF399" s="58"/>
      <c r="AG399" s="59">
        <f t="shared" si="131"/>
        <v>9.0359999999999996</v>
      </c>
      <c r="AH399" s="59">
        <f t="shared" si="132"/>
        <v>-184.49199999999999</v>
      </c>
      <c r="AJ399" s="4">
        <f>IF(D399="M",IF(AM399&lt;78,BMILMS!$D$5*AM399^3+BMILMS!$E$5*AM399^2+BMILMS!$F$5*AM399+BMILMS!$G$5,IF(AM399&lt;150,BMILMS!$D$6*AM399^3+BMILMS!$E$6*AM399^2+BMILMS!$F$6*AM399+BMILMS!$G$6,BMILMS!$D$7*AM399^3+BMILMS!$E$7*AM399^2+BMILMS!$F$7*AM399+BMILMS!$G$7)),IF(AM399&lt;69,BMILMS!$D$9*AM399^3+BMILMS!$E$9*AM399^2+BMILMS!$F$9*AM399+BMILMS!$G$9,IF(AM399&lt;150,BMILMS!$D$10*AM399^3+BMILMS!$E$10*AM399^2+BMILMS!$F$10*AM399+BMILMS!$G$10,BMILMS!$D$11*AM399^3+BMILMS!$E$11*AM399^2+BMILMS!$F$11*AM399+BMILMS!$G$11)))</f>
        <v>0.79584630099999998</v>
      </c>
      <c r="AK399" s="4">
        <f>IF(D399="M",(IF(AM399&lt;2.5,BMILMS!$D$21*AM399^3+BMILMS!$E$21*AM399^2+BMILMS!$F$21*AM399+BMILMS!$G$21,IF(AM399&lt;9.5,BMILMS!$D$22*AM399^3+BMILMS!$E$22*AM399^2+BMILMS!$F$22*AM399+BMILMS!$G$22,IF(AM399&lt;26.75,BMILMS!$D$23*AM399^3+BMILMS!$E$23*AM399^2+BMILMS!$F$23*AM399+BMILMS!$G$23,IF(AM399&lt;90,BMILMS!$D$24*AM399^3+BMILMS!$E$24*AM399^2+BMILMS!$F$24*AM399+BMILMS!$G$24,BMILMS!$D$25*AM399^3+BMILMS!$E$25*AM399^2+BMILMS!$F$25*AM399+BMILMS!$G$25))))),(IF(AM399&lt;2.5,BMILMS!$D$27*AM399^3+BMILMS!$E$27*AM399^2+BMILMS!$F$27*AM399+BMILMS!$G$27,IF(AM399&lt;9.5,BMILMS!$D$28*AM399^3+BMILMS!$E$28*AM399^2+BMILMS!$F$28*AM399+BMILMS!$G$28,IF(AM399&lt;26.75,BMILMS!$D$29*AM399^3+BMILMS!$E$29*AM399^2+BMILMS!$F$29*AM399+BMILMS!$G$29,IF(AM399&lt;90,BMILMS!$D$30*AM399^3+BMILMS!$E$30*AM399^2+BMILMS!$F$30*AM399+BMILMS!$G$30,IF(AM399&lt;150,BMILMS!$D$31*AM399^3+BMILMS!$E$31*AM399^2+BMILMS!$F$31*AM399+BMILMS!$G$31,BMILMS!$D$32*AM399^3+BMILMS!$E$32*AM399^2+BMILMS!$F$32*AM399+BMILMS!$G$32)))))))</f>
        <v>12.568967990000001</v>
      </c>
      <c r="AL399" s="4">
        <f>IF(D399="M",(IF(AM399&lt;90,BMILMS!$D$14*AM399^3+BMILMS!$E$14*AM399^2+BMILMS!$F$14*AM399+BMILMS!$G$14,BMILMS!$D$15*AM399^3+BMILMS!$E$15*AM399^2+BMILMS!$F$15*AM399+BMILMS!$G$15)),(IF(AM399&lt;90,BMILMS!$D$17*AM399^3+BMILMS!$E$17*AM399^2+BMILMS!$F$17*AM399+BMILMS!$G$17,BMILMS!$D$18*AM399^3+BMILMS!$E$18*AM399^2+BMILMS!$F$18*AM399+BMILMS!$G$18)))</f>
        <v>8.8969350000000003E-2</v>
      </c>
      <c r="AM399" s="4">
        <f t="shared" si="146"/>
        <v>0</v>
      </c>
      <c r="AO399" s="56">
        <f>IF(D399="M",WeightSDS!P$5*$AM399^7+WeightSDS!Q$5*$AM399^6+WeightSDS!R$5*$AM399^5+WeightSDS!S$5*$AM399^4+WeightSDS!T$5*$AM399^3+WeightSDS!U$5*$AM399^2+WeightSDS!V$5*$AM399+WeightSDS!W$5,IF($AM399&lt;186,WeightSDS!P$8*$AM399^7+WeightSDS!Q$8*$AM399^6+WeightSDS!R$8*$AM399^5+WeightSDS!S$8*$AM399^4+WeightSDS!T$8*$AM399^3+WeightSDS!U$8*$AM399^2+WeightSDS!V$8*$AM399+WeightSDS!W$8,WeightSDS!$U$9+WeightSDS!$V$9*($AM399-WeightSDS!$W$9)))</f>
        <v>0.75407122999999998</v>
      </c>
      <c r="AP399" s="4">
        <f>IF(D399="M",IF($AM399&lt;45,WeightSDS!M$23*$AM399^10+WeightSDS!N$23*$AM399^9+WeightSDS!O$23*$AM399^8+WeightSDS!P$23*$AM399^7+WeightSDS!Q$23*$AM399^6+WeightSDS!R$23*$AM399^5+WeightSDS!S$23*$AM399^4+WeightSDS!T$23*$AM399^3+WeightSDS!U$23*$AM399^2+WeightSDS!V$23*$AM399+WeightSDS!W$23,IF($AM399&lt;153,WeightSDS!M$25*$AM399^10+WeightSDS!N$25*$AM399^9+WeightSDS!O$25*$AM399^8+WeightSDS!P$25*$AM399^7+WeightSDS!Q$25*$AM399^6+WeightSDS!R$25*$AM399^5+WeightSDS!S$25*$AM399^4+WeightSDS!T$25*$AM399^3+WeightSDS!U$25*$AM399^2+WeightSDS!V$25*$AM399+WeightSDS!W$25,WeightSDS!M$27+WeightSDS!N$27/(1+EXP(WeightSDS!O$27+WeightSDS!P$27*$AM399)))),IF($AM399&lt;43.8,WeightSDS!M$29*$AM399^10+WeightSDS!N$29*$AM399^9+WeightSDS!O$29*$AM399^8+WeightSDS!P$29*$AM399^7+WeightSDS!Q$29*$AM399^6+WeightSDS!R$29*$AM399^5+WeightSDS!S$29*$AM399^4+WeightSDS!T$29*$AM399^3+WeightSDS!U$29*$AM399^2+WeightSDS!V$29*$AM399+WeightSDS!W$29-0.010431*(1-$AM399/210),IF($AM399&lt;123,WeightSDS!M$30*$AM399^10+WeightSDS!N$30*$AM399^9+WeightSDS!O$30*$AM399^8+WeightSDS!P$30*$AM399^7+WeightSDS!Q$30*$AM399^6+WeightSDS!R$30*$AM399^5+WeightSDS!S$30*$AM399^4+WeightSDS!T$30*$AM399^3+WeightSDS!U$30*$AM399^2+WeightSDS!V$30*$AM399+WeightSDS!W$30-0.010431*(1-1/$AM399),WeightSDS!M$32+WeightSDS!N$32/(1+EXP(WeightSDS!O$32+WeightSDS!P$32*$AM399))-0.010431*(1-$AM399/210))))</f>
        <v>2.9500001032655536</v>
      </c>
      <c r="AQ399" s="4">
        <f>IF(D399="M",IF($AM399&lt;162,WeightSDS!P$12*$AM399^7+WeightSDS!Q$12*$AM399^6+WeightSDS!R$12*$AM399^5+WeightSDS!S$12*$AM399^4+WeightSDS!T$12*$AM399^3+WeightSDS!U$12*$AM399^2+WeightSDS!V$12*$AM399+WeightSDS!W$12,WeightSDS!P$14*$AM399^7+WeightSDS!Q$14*$AM399^6+WeightSDS!R$14*$AM399^5+WeightSDS!S$14*$AM399^4+WeightSDS!T$14*$AM399^3+WeightSDS!U$14*$AM399^2+WeightSDS!V$14*$AM399+WeightSDS!W$14),IF($AM399&lt;156,WeightSDS!O$17*$AM399^8+WeightSDS!P$17*$AM399^7+WeightSDS!Q$17*$AM399^6+WeightSDS!R$17*$AM399^5+WeightSDS!S$17*$AM399^4+WeightSDS!T$17*$AM399^3+WeightSDS!U$17*$AM399^2+WeightSDS!V$17*$AM399+WeightSDS!W$17,IF($AM399&lt;186,WeightSDS!$U$18+(WeightSDS!$V$18-WeightSDS!$U$18)/24*($AM399-186)+WeightSDS!$W$18*(-$AM399+186)^2-0.005,WeightSDS!$U$18+(WeightSDS!$V$18-WeightSDS!$U$18)/24*($AM399-186)-0.005)))</f>
        <v>0.14604529399999999</v>
      </c>
      <c r="AT399" s="4">
        <f t="shared" si="133"/>
        <v>0.56299999999999994</v>
      </c>
      <c r="AU399" s="4">
        <f t="shared" si="134"/>
        <v>69</v>
      </c>
      <c r="AV399" s="4">
        <f t="shared" si="135"/>
        <v>0.51</v>
      </c>
    </row>
    <row r="400" spans="1:48" x14ac:dyDescent="0.15">
      <c r="A400" s="4"/>
      <c r="B400" s="21"/>
      <c r="C400" s="21"/>
      <c r="D400" s="21"/>
      <c r="E400" s="22"/>
      <c r="F400" s="22"/>
      <c r="G400" s="23"/>
      <c r="H400" s="23"/>
      <c r="I400" s="181"/>
      <c r="J400" s="8" t="str">
        <f t="shared" si="127"/>
        <v/>
      </c>
      <c r="K400" s="2" t="str">
        <f t="shared" si="136"/>
        <v/>
      </c>
      <c r="L400" s="2" t="str">
        <f t="shared" si="128"/>
        <v/>
      </c>
      <c r="M400" s="2" t="str">
        <f t="shared" si="137"/>
        <v/>
      </c>
      <c r="N400" s="2" t="str">
        <f t="shared" si="145"/>
        <v/>
      </c>
      <c r="O400" s="2" t="str">
        <f t="shared" si="138"/>
        <v/>
      </c>
      <c r="P400" s="8" t="str">
        <f t="shared" si="139"/>
        <v/>
      </c>
      <c r="Q400" s="8" t="str">
        <f t="shared" si="140"/>
        <v/>
      </c>
      <c r="R400" s="111" t="str">
        <f t="shared" si="141"/>
        <v/>
      </c>
      <c r="S400" s="44" t="str">
        <f t="shared" si="142"/>
        <v/>
      </c>
      <c r="T400" s="37" t="str">
        <f t="shared" si="143"/>
        <v/>
      </c>
      <c r="U400" s="44" t="str">
        <f t="shared" si="144"/>
        <v/>
      </c>
      <c r="V400" s="26"/>
      <c r="W400" s="26"/>
      <c r="X400" s="26"/>
      <c r="Y400" s="26"/>
      <c r="Z400" s="24"/>
      <c r="AA400" s="169">
        <f t="shared" si="129"/>
        <v>0</v>
      </c>
      <c r="AB400" s="4">
        <f t="shared" si="130"/>
        <v>0</v>
      </c>
      <c r="AC400" s="170">
        <f t="shared" si="126"/>
        <v>0</v>
      </c>
      <c r="AD400" s="58"/>
      <c r="AE400" s="58"/>
      <c r="AF400" s="58"/>
      <c r="AG400" s="59">
        <f t="shared" si="131"/>
        <v>9.0359999999999996</v>
      </c>
      <c r="AH400" s="59">
        <f t="shared" si="132"/>
        <v>-184.49199999999999</v>
      </c>
      <c r="AJ400" s="4">
        <f>IF(D400="M",IF(AM400&lt;78,BMILMS!$D$5*AM400^3+BMILMS!$E$5*AM400^2+BMILMS!$F$5*AM400+BMILMS!$G$5,IF(AM400&lt;150,BMILMS!$D$6*AM400^3+BMILMS!$E$6*AM400^2+BMILMS!$F$6*AM400+BMILMS!$G$6,BMILMS!$D$7*AM400^3+BMILMS!$E$7*AM400^2+BMILMS!$F$7*AM400+BMILMS!$G$7)),IF(AM400&lt;69,BMILMS!$D$9*AM400^3+BMILMS!$E$9*AM400^2+BMILMS!$F$9*AM400+BMILMS!$G$9,IF(AM400&lt;150,BMILMS!$D$10*AM400^3+BMILMS!$E$10*AM400^2+BMILMS!$F$10*AM400+BMILMS!$G$10,BMILMS!$D$11*AM400^3+BMILMS!$E$11*AM400^2+BMILMS!$F$11*AM400+BMILMS!$G$11)))</f>
        <v>0.79584630099999998</v>
      </c>
      <c r="AK400" s="4">
        <f>IF(D400="M",(IF(AM400&lt;2.5,BMILMS!$D$21*AM400^3+BMILMS!$E$21*AM400^2+BMILMS!$F$21*AM400+BMILMS!$G$21,IF(AM400&lt;9.5,BMILMS!$D$22*AM400^3+BMILMS!$E$22*AM400^2+BMILMS!$F$22*AM400+BMILMS!$G$22,IF(AM400&lt;26.75,BMILMS!$D$23*AM400^3+BMILMS!$E$23*AM400^2+BMILMS!$F$23*AM400+BMILMS!$G$23,IF(AM400&lt;90,BMILMS!$D$24*AM400^3+BMILMS!$E$24*AM400^2+BMILMS!$F$24*AM400+BMILMS!$G$24,BMILMS!$D$25*AM400^3+BMILMS!$E$25*AM400^2+BMILMS!$F$25*AM400+BMILMS!$G$25))))),(IF(AM400&lt;2.5,BMILMS!$D$27*AM400^3+BMILMS!$E$27*AM400^2+BMILMS!$F$27*AM400+BMILMS!$G$27,IF(AM400&lt;9.5,BMILMS!$D$28*AM400^3+BMILMS!$E$28*AM400^2+BMILMS!$F$28*AM400+BMILMS!$G$28,IF(AM400&lt;26.75,BMILMS!$D$29*AM400^3+BMILMS!$E$29*AM400^2+BMILMS!$F$29*AM400+BMILMS!$G$29,IF(AM400&lt;90,BMILMS!$D$30*AM400^3+BMILMS!$E$30*AM400^2+BMILMS!$F$30*AM400+BMILMS!$G$30,IF(AM400&lt;150,BMILMS!$D$31*AM400^3+BMILMS!$E$31*AM400^2+BMILMS!$F$31*AM400+BMILMS!$G$31,BMILMS!$D$32*AM400^3+BMILMS!$E$32*AM400^2+BMILMS!$F$32*AM400+BMILMS!$G$32)))))))</f>
        <v>12.568967990000001</v>
      </c>
      <c r="AL400" s="4">
        <f>IF(D400="M",(IF(AM400&lt;90,BMILMS!$D$14*AM400^3+BMILMS!$E$14*AM400^2+BMILMS!$F$14*AM400+BMILMS!$G$14,BMILMS!$D$15*AM400^3+BMILMS!$E$15*AM400^2+BMILMS!$F$15*AM400+BMILMS!$G$15)),(IF(AM400&lt;90,BMILMS!$D$17*AM400^3+BMILMS!$E$17*AM400^2+BMILMS!$F$17*AM400+BMILMS!$G$17,BMILMS!$D$18*AM400^3+BMILMS!$E$18*AM400^2+BMILMS!$F$18*AM400+BMILMS!$G$18)))</f>
        <v>8.8969350000000003E-2</v>
      </c>
      <c r="AM400" s="4">
        <f t="shared" si="146"/>
        <v>0</v>
      </c>
      <c r="AO400" s="56">
        <f>IF(D400="M",WeightSDS!P$5*$AM400^7+WeightSDS!Q$5*$AM400^6+WeightSDS!R$5*$AM400^5+WeightSDS!S$5*$AM400^4+WeightSDS!T$5*$AM400^3+WeightSDS!U$5*$AM400^2+WeightSDS!V$5*$AM400+WeightSDS!W$5,IF($AM400&lt;186,WeightSDS!P$8*$AM400^7+WeightSDS!Q$8*$AM400^6+WeightSDS!R$8*$AM400^5+WeightSDS!S$8*$AM400^4+WeightSDS!T$8*$AM400^3+WeightSDS!U$8*$AM400^2+WeightSDS!V$8*$AM400+WeightSDS!W$8,WeightSDS!$U$9+WeightSDS!$V$9*($AM400-WeightSDS!$W$9)))</f>
        <v>0.75407122999999998</v>
      </c>
      <c r="AP400" s="4">
        <f>IF(D400="M",IF($AM400&lt;45,WeightSDS!M$23*$AM400^10+WeightSDS!N$23*$AM400^9+WeightSDS!O$23*$AM400^8+WeightSDS!P$23*$AM400^7+WeightSDS!Q$23*$AM400^6+WeightSDS!R$23*$AM400^5+WeightSDS!S$23*$AM400^4+WeightSDS!T$23*$AM400^3+WeightSDS!U$23*$AM400^2+WeightSDS!V$23*$AM400+WeightSDS!W$23,IF($AM400&lt;153,WeightSDS!M$25*$AM400^10+WeightSDS!N$25*$AM400^9+WeightSDS!O$25*$AM400^8+WeightSDS!P$25*$AM400^7+WeightSDS!Q$25*$AM400^6+WeightSDS!R$25*$AM400^5+WeightSDS!S$25*$AM400^4+WeightSDS!T$25*$AM400^3+WeightSDS!U$25*$AM400^2+WeightSDS!V$25*$AM400+WeightSDS!W$25,WeightSDS!M$27+WeightSDS!N$27/(1+EXP(WeightSDS!O$27+WeightSDS!P$27*$AM400)))),IF($AM400&lt;43.8,WeightSDS!M$29*$AM400^10+WeightSDS!N$29*$AM400^9+WeightSDS!O$29*$AM400^8+WeightSDS!P$29*$AM400^7+WeightSDS!Q$29*$AM400^6+WeightSDS!R$29*$AM400^5+WeightSDS!S$29*$AM400^4+WeightSDS!T$29*$AM400^3+WeightSDS!U$29*$AM400^2+WeightSDS!V$29*$AM400+WeightSDS!W$29-0.010431*(1-$AM400/210),IF($AM400&lt;123,WeightSDS!M$30*$AM400^10+WeightSDS!N$30*$AM400^9+WeightSDS!O$30*$AM400^8+WeightSDS!P$30*$AM400^7+WeightSDS!Q$30*$AM400^6+WeightSDS!R$30*$AM400^5+WeightSDS!S$30*$AM400^4+WeightSDS!T$30*$AM400^3+WeightSDS!U$30*$AM400^2+WeightSDS!V$30*$AM400+WeightSDS!W$30-0.010431*(1-1/$AM400),WeightSDS!M$32+WeightSDS!N$32/(1+EXP(WeightSDS!O$32+WeightSDS!P$32*$AM400))-0.010431*(1-$AM400/210))))</f>
        <v>2.9500001032655536</v>
      </c>
      <c r="AQ400" s="4">
        <f>IF(D400="M",IF($AM400&lt;162,WeightSDS!P$12*$AM400^7+WeightSDS!Q$12*$AM400^6+WeightSDS!R$12*$AM400^5+WeightSDS!S$12*$AM400^4+WeightSDS!T$12*$AM400^3+WeightSDS!U$12*$AM400^2+WeightSDS!V$12*$AM400+WeightSDS!W$12,WeightSDS!P$14*$AM400^7+WeightSDS!Q$14*$AM400^6+WeightSDS!R$14*$AM400^5+WeightSDS!S$14*$AM400^4+WeightSDS!T$14*$AM400^3+WeightSDS!U$14*$AM400^2+WeightSDS!V$14*$AM400+WeightSDS!W$14),IF($AM400&lt;156,WeightSDS!O$17*$AM400^8+WeightSDS!P$17*$AM400^7+WeightSDS!Q$17*$AM400^6+WeightSDS!R$17*$AM400^5+WeightSDS!S$17*$AM400^4+WeightSDS!T$17*$AM400^3+WeightSDS!U$17*$AM400^2+WeightSDS!V$17*$AM400+WeightSDS!W$17,IF($AM400&lt;186,WeightSDS!$U$18+(WeightSDS!$V$18-WeightSDS!$U$18)/24*($AM400-186)+WeightSDS!$W$18*(-$AM400+186)^2-0.005,WeightSDS!$U$18+(WeightSDS!$V$18-WeightSDS!$U$18)/24*($AM400-186)-0.005)))</f>
        <v>0.14604529399999999</v>
      </c>
      <c r="AT400" s="4">
        <f t="shared" si="133"/>
        <v>0.56299999999999994</v>
      </c>
      <c r="AU400" s="4">
        <f t="shared" si="134"/>
        <v>69</v>
      </c>
      <c r="AV400" s="4">
        <f t="shared" si="135"/>
        <v>0.51</v>
      </c>
    </row>
    <row r="401" spans="1:48" x14ac:dyDescent="0.15">
      <c r="A401" s="4"/>
      <c r="B401" s="21"/>
      <c r="C401" s="21"/>
      <c r="D401" s="21"/>
      <c r="E401" s="22"/>
      <c r="F401" s="22"/>
      <c r="G401" s="23"/>
      <c r="H401" s="23"/>
      <c r="I401" s="181"/>
      <c r="J401" s="8" t="str">
        <f t="shared" si="127"/>
        <v/>
      </c>
      <c r="K401" s="2" t="str">
        <f t="shared" si="136"/>
        <v/>
      </c>
      <c r="L401" s="2" t="str">
        <f t="shared" si="128"/>
        <v/>
      </c>
      <c r="M401" s="2" t="str">
        <f t="shared" si="137"/>
        <v/>
      </c>
      <c r="N401" s="2" t="str">
        <f t="shared" si="145"/>
        <v/>
      </c>
      <c r="O401" s="2" t="str">
        <f t="shared" si="138"/>
        <v/>
      </c>
      <c r="P401" s="8" t="str">
        <f t="shared" si="139"/>
        <v/>
      </c>
      <c r="Q401" s="8" t="str">
        <f t="shared" si="140"/>
        <v/>
      </c>
      <c r="R401" s="111" t="str">
        <f t="shared" si="141"/>
        <v/>
      </c>
      <c r="S401" s="44" t="str">
        <f t="shared" si="142"/>
        <v/>
      </c>
      <c r="T401" s="37" t="str">
        <f t="shared" si="143"/>
        <v/>
      </c>
      <c r="U401" s="44" t="str">
        <f t="shared" si="144"/>
        <v/>
      </c>
      <c r="V401" s="26"/>
      <c r="W401" s="26"/>
      <c r="X401" s="26"/>
      <c r="Y401" s="26"/>
      <c r="Z401" s="24"/>
      <c r="AA401" s="169">
        <f t="shared" si="129"/>
        <v>0</v>
      </c>
      <c r="AB401" s="4">
        <f t="shared" si="130"/>
        <v>0</v>
      </c>
      <c r="AC401" s="170">
        <f t="shared" si="126"/>
        <v>0</v>
      </c>
      <c r="AD401" s="58"/>
      <c r="AE401" s="58"/>
      <c r="AF401" s="58"/>
      <c r="AG401" s="59">
        <f t="shared" si="131"/>
        <v>9.0359999999999996</v>
      </c>
      <c r="AH401" s="59">
        <f t="shared" si="132"/>
        <v>-184.49199999999999</v>
      </c>
      <c r="AJ401" s="4">
        <f>IF(D401="M",IF(AM401&lt;78,BMILMS!$D$5*AM401^3+BMILMS!$E$5*AM401^2+BMILMS!$F$5*AM401+BMILMS!$G$5,IF(AM401&lt;150,BMILMS!$D$6*AM401^3+BMILMS!$E$6*AM401^2+BMILMS!$F$6*AM401+BMILMS!$G$6,BMILMS!$D$7*AM401^3+BMILMS!$E$7*AM401^2+BMILMS!$F$7*AM401+BMILMS!$G$7)),IF(AM401&lt;69,BMILMS!$D$9*AM401^3+BMILMS!$E$9*AM401^2+BMILMS!$F$9*AM401+BMILMS!$G$9,IF(AM401&lt;150,BMILMS!$D$10*AM401^3+BMILMS!$E$10*AM401^2+BMILMS!$F$10*AM401+BMILMS!$G$10,BMILMS!$D$11*AM401^3+BMILMS!$E$11*AM401^2+BMILMS!$F$11*AM401+BMILMS!$G$11)))</f>
        <v>0.79584630099999998</v>
      </c>
      <c r="AK401" s="4">
        <f>IF(D401="M",(IF(AM401&lt;2.5,BMILMS!$D$21*AM401^3+BMILMS!$E$21*AM401^2+BMILMS!$F$21*AM401+BMILMS!$G$21,IF(AM401&lt;9.5,BMILMS!$D$22*AM401^3+BMILMS!$E$22*AM401^2+BMILMS!$F$22*AM401+BMILMS!$G$22,IF(AM401&lt;26.75,BMILMS!$D$23*AM401^3+BMILMS!$E$23*AM401^2+BMILMS!$F$23*AM401+BMILMS!$G$23,IF(AM401&lt;90,BMILMS!$D$24*AM401^3+BMILMS!$E$24*AM401^2+BMILMS!$F$24*AM401+BMILMS!$G$24,BMILMS!$D$25*AM401^3+BMILMS!$E$25*AM401^2+BMILMS!$F$25*AM401+BMILMS!$G$25))))),(IF(AM401&lt;2.5,BMILMS!$D$27*AM401^3+BMILMS!$E$27*AM401^2+BMILMS!$F$27*AM401+BMILMS!$G$27,IF(AM401&lt;9.5,BMILMS!$D$28*AM401^3+BMILMS!$E$28*AM401^2+BMILMS!$F$28*AM401+BMILMS!$G$28,IF(AM401&lt;26.75,BMILMS!$D$29*AM401^3+BMILMS!$E$29*AM401^2+BMILMS!$F$29*AM401+BMILMS!$G$29,IF(AM401&lt;90,BMILMS!$D$30*AM401^3+BMILMS!$E$30*AM401^2+BMILMS!$F$30*AM401+BMILMS!$G$30,IF(AM401&lt;150,BMILMS!$D$31*AM401^3+BMILMS!$E$31*AM401^2+BMILMS!$F$31*AM401+BMILMS!$G$31,BMILMS!$D$32*AM401^3+BMILMS!$E$32*AM401^2+BMILMS!$F$32*AM401+BMILMS!$G$32)))))))</f>
        <v>12.568967990000001</v>
      </c>
      <c r="AL401" s="4">
        <f>IF(D401="M",(IF(AM401&lt;90,BMILMS!$D$14*AM401^3+BMILMS!$E$14*AM401^2+BMILMS!$F$14*AM401+BMILMS!$G$14,BMILMS!$D$15*AM401^3+BMILMS!$E$15*AM401^2+BMILMS!$F$15*AM401+BMILMS!$G$15)),(IF(AM401&lt;90,BMILMS!$D$17*AM401^3+BMILMS!$E$17*AM401^2+BMILMS!$F$17*AM401+BMILMS!$G$17,BMILMS!$D$18*AM401^3+BMILMS!$E$18*AM401^2+BMILMS!$F$18*AM401+BMILMS!$G$18)))</f>
        <v>8.8969350000000003E-2</v>
      </c>
      <c r="AM401" s="4">
        <f t="shared" si="146"/>
        <v>0</v>
      </c>
      <c r="AO401" s="56">
        <f>IF(D401="M",WeightSDS!P$5*$AM401^7+WeightSDS!Q$5*$AM401^6+WeightSDS!R$5*$AM401^5+WeightSDS!S$5*$AM401^4+WeightSDS!T$5*$AM401^3+WeightSDS!U$5*$AM401^2+WeightSDS!V$5*$AM401+WeightSDS!W$5,IF($AM401&lt;186,WeightSDS!P$8*$AM401^7+WeightSDS!Q$8*$AM401^6+WeightSDS!R$8*$AM401^5+WeightSDS!S$8*$AM401^4+WeightSDS!T$8*$AM401^3+WeightSDS!U$8*$AM401^2+WeightSDS!V$8*$AM401+WeightSDS!W$8,WeightSDS!$U$9+WeightSDS!$V$9*($AM401-WeightSDS!$W$9)))</f>
        <v>0.75407122999999998</v>
      </c>
      <c r="AP401" s="4">
        <f>IF(D401="M",IF($AM401&lt;45,WeightSDS!M$23*$AM401^10+WeightSDS!N$23*$AM401^9+WeightSDS!O$23*$AM401^8+WeightSDS!P$23*$AM401^7+WeightSDS!Q$23*$AM401^6+WeightSDS!R$23*$AM401^5+WeightSDS!S$23*$AM401^4+WeightSDS!T$23*$AM401^3+WeightSDS!U$23*$AM401^2+WeightSDS!V$23*$AM401+WeightSDS!W$23,IF($AM401&lt;153,WeightSDS!M$25*$AM401^10+WeightSDS!N$25*$AM401^9+WeightSDS!O$25*$AM401^8+WeightSDS!P$25*$AM401^7+WeightSDS!Q$25*$AM401^6+WeightSDS!R$25*$AM401^5+WeightSDS!S$25*$AM401^4+WeightSDS!T$25*$AM401^3+WeightSDS!U$25*$AM401^2+WeightSDS!V$25*$AM401+WeightSDS!W$25,WeightSDS!M$27+WeightSDS!N$27/(1+EXP(WeightSDS!O$27+WeightSDS!P$27*$AM401)))),IF($AM401&lt;43.8,WeightSDS!M$29*$AM401^10+WeightSDS!N$29*$AM401^9+WeightSDS!O$29*$AM401^8+WeightSDS!P$29*$AM401^7+WeightSDS!Q$29*$AM401^6+WeightSDS!R$29*$AM401^5+WeightSDS!S$29*$AM401^4+WeightSDS!T$29*$AM401^3+WeightSDS!U$29*$AM401^2+WeightSDS!V$29*$AM401+WeightSDS!W$29-0.010431*(1-$AM401/210),IF($AM401&lt;123,WeightSDS!M$30*$AM401^10+WeightSDS!N$30*$AM401^9+WeightSDS!O$30*$AM401^8+WeightSDS!P$30*$AM401^7+WeightSDS!Q$30*$AM401^6+WeightSDS!R$30*$AM401^5+WeightSDS!S$30*$AM401^4+WeightSDS!T$30*$AM401^3+WeightSDS!U$30*$AM401^2+WeightSDS!V$30*$AM401+WeightSDS!W$30-0.010431*(1-1/$AM401),WeightSDS!M$32+WeightSDS!N$32/(1+EXP(WeightSDS!O$32+WeightSDS!P$32*$AM401))-0.010431*(1-$AM401/210))))</f>
        <v>2.9500001032655536</v>
      </c>
      <c r="AQ401" s="4">
        <f>IF(D401="M",IF($AM401&lt;162,WeightSDS!P$12*$AM401^7+WeightSDS!Q$12*$AM401^6+WeightSDS!R$12*$AM401^5+WeightSDS!S$12*$AM401^4+WeightSDS!T$12*$AM401^3+WeightSDS!U$12*$AM401^2+WeightSDS!V$12*$AM401+WeightSDS!W$12,WeightSDS!P$14*$AM401^7+WeightSDS!Q$14*$AM401^6+WeightSDS!R$14*$AM401^5+WeightSDS!S$14*$AM401^4+WeightSDS!T$14*$AM401^3+WeightSDS!U$14*$AM401^2+WeightSDS!V$14*$AM401+WeightSDS!W$14),IF($AM401&lt;156,WeightSDS!O$17*$AM401^8+WeightSDS!P$17*$AM401^7+WeightSDS!Q$17*$AM401^6+WeightSDS!R$17*$AM401^5+WeightSDS!S$17*$AM401^4+WeightSDS!T$17*$AM401^3+WeightSDS!U$17*$AM401^2+WeightSDS!V$17*$AM401+WeightSDS!W$17,IF($AM401&lt;186,WeightSDS!$U$18+(WeightSDS!$V$18-WeightSDS!$U$18)/24*($AM401-186)+WeightSDS!$W$18*(-$AM401+186)^2-0.005,WeightSDS!$U$18+(WeightSDS!$V$18-WeightSDS!$U$18)/24*($AM401-186)-0.005)))</f>
        <v>0.14604529399999999</v>
      </c>
      <c r="AT401" s="4">
        <f t="shared" si="133"/>
        <v>0.56299999999999994</v>
      </c>
      <c r="AU401" s="4">
        <f t="shared" si="134"/>
        <v>69</v>
      </c>
      <c r="AV401" s="4">
        <f t="shared" si="135"/>
        <v>0.51</v>
      </c>
    </row>
    <row r="402" spans="1:48" x14ac:dyDescent="0.15">
      <c r="A402" s="4"/>
      <c r="B402" s="21"/>
      <c r="C402" s="21"/>
      <c r="D402" s="21"/>
      <c r="E402" s="22"/>
      <c r="F402" s="22"/>
      <c r="G402" s="23"/>
      <c r="H402" s="23"/>
      <c r="I402" s="181"/>
      <c r="J402" s="8" t="str">
        <f t="shared" si="127"/>
        <v/>
      </c>
      <c r="K402" s="2" t="str">
        <f t="shared" si="136"/>
        <v/>
      </c>
      <c r="L402" s="2" t="str">
        <f t="shared" si="128"/>
        <v/>
      </c>
      <c r="M402" s="2" t="str">
        <f t="shared" si="137"/>
        <v/>
      </c>
      <c r="N402" s="2" t="str">
        <f t="shared" si="145"/>
        <v/>
      </c>
      <c r="O402" s="2" t="str">
        <f t="shared" si="138"/>
        <v/>
      </c>
      <c r="P402" s="8" t="str">
        <f t="shared" si="139"/>
        <v/>
      </c>
      <c r="Q402" s="8" t="str">
        <f t="shared" si="140"/>
        <v/>
      </c>
      <c r="R402" s="111" t="str">
        <f t="shared" si="141"/>
        <v/>
      </c>
      <c r="S402" s="44" t="str">
        <f t="shared" si="142"/>
        <v/>
      </c>
      <c r="T402" s="37" t="str">
        <f t="shared" si="143"/>
        <v/>
      </c>
      <c r="U402" s="44" t="str">
        <f t="shared" si="144"/>
        <v/>
      </c>
      <c r="V402" s="26"/>
      <c r="W402" s="26"/>
      <c r="X402" s="26"/>
      <c r="Y402" s="26"/>
      <c r="Z402" s="24"/>
      <c r="AA402" s="169">
        <f t="shared" si="129"/>
        <v>0</v>
      </c>
      <c r="AB402" s="4">
        <f t="shared" si="130"/>
        <v>0</v>
      </c>
      <c r="AC402" s="170">
        <f t="shared" si="126"/>
        <v>0</v>
      </c>
      <c r="AD402" s="58"/>
      <c r="AE402" s="58"/>
      <c r="AF402" s="58"/>
      <c r="AG402" s="59">
        <f t="shared" si="131"/>
        <v>9.0359999999999996</v>
      </c>
      <c r="AH402" s="59">
        <f t="shared" si="132"/>
        <v>-184.49199999999999</v>
      </c>
      <c r="AJ402" s="4">
        <f>IF(D402="M",IF(AM402&lt;78,BMILMS!$D$5*AM402^3+BMILMS!$E$5*AM402^2+BMILMS!$F$5*AM402+BMILMS!$G$5,IF(AM402&lt;150,BMILMS!$D$6*AM402^3+BMILMS!$E$6*AM402^2+BMILMS!$F$6*AM402+BMILMS!$G$6,BMILMS!$D$7*AM402^3+BMILMS!$E$7*AM402^2+BMILMS!$F$7*AM402+BMILMS!$G$7)),IF(AM402&lt;69,BMILMS!$D$9*AM402^3+BMILMS!$E$9*AM402^2+BMILMS!$F$9*AM402+BMILMS!$G$9,IF(AM402&lt;150,BMILMS!$D$10*AM402^3+BMILMS!$E$10*AM402^2+BMILMS!$F$10*AM402+BMILMS!$G$10,BMILMS!$D$11*AM402^3+BMILMS!$E$11*AM402^2+BMILMS!$F$11*AM402+BMILMS!$G$11)))</f>
        <v>0.79584630099999998</v>
      </c>
      <c r="AK402" s="4">
        <f>IF(D402="M",(IF(AM402&lt;2.5,BMILMS!$D$21*AM402^3+BMILMS!$E$21*AM402^2+BMILMS!$F$21*AM402+BMILMS!$G$21,IF(AM402&lt;9.5,BMILMS!$D$22*AM402^3+BMILMS!$E$22*AM402^2+BMILMS!$F$22*AM402+BMILMS!$G$22,IF(AM402&lt;26.75,BMILMS!$D$23*AM402^3+BMILMS!$E$23*AM402^2+BMILMS!$F$23*AM402+BMILMS!$G$23,IF(AM402&lt;90,BMILMS!$D$24*AM402^3+BMILMS!$E$24*AM402^2+BMILMS!$F$24*AM402+BMILMS!$G$24,BMILMS!$D$25*AM402^3+BMILMS!$E$25*AM402^2+BMILMS!$F$25*AM402+BMILMS!$G$25))))),(IF(AM402&lt;2.5,BMILMS!$D$27*AM402^3+BMILMS!$E$27*AM402^2+BMILMS!$F$27*AM402+BMILMS!$G$27,IF(AM402&lt;9.5,BMILMS!$D$28*AM402^3+BMILMS!$E$28*AM402^2+BMILMS!$F$28*AM402+BMILMS!$G$28,IF(AM402&lt;26.75,BMILMS!$D$29*AM402^3+BMILMS!$E$29*AM402^2+BMILMS!$F$29*AM402+BMILMS!$G$29,IF(AM402&lt;90,BMILMS!$D$30*AM402^3+BMILMS!$E$30*AM402^2+BMILMS!$F$30*AM402+BMILMS!$G$30,IF(AM402&lt;150,BMILMS!$D$31*AM402^3+BMILMS!$E$31*AM402^2+BMILMS!$F$31*AM402+BMILMS!$G$31,BMILMS!$D$32*AM402^3+BMILMS!$E$32*AM402^2+BMILMS!$F$32*AM402+BMILMS!$G$32)))))))</f>
        <v>12.568967990000001</v>
      </c>
      <c r="AL402" s="4">
        <f>IF(D402="M",(IF(AM402&lt;90,BMILMS!$D$14*AM402^3+BMILMS!$E$14*AM402^2+BMILMS!$F$14*AM402+BMILMS!$G$14,BMILMS!$D$15*AM402^3+BMILMS!$E$15*AM402^2+BMILMS!$F$15*AM402+BMILMS!$G$15)),(IF(AM402&lt;90,BMILMS!$D$17*AM402^3+BMILMS!$E$17*AM402^2+BMILMS!$F$17*AM402+BMILMS!$G$17,BMILMS!$D$18*AM402^3+BMILMS!$E$18*AM402^2+BMILMS!$F$18*AM402+BMILMS!$G$18)))</f>
        <v>8.8969350000000003E-2</v>
      </c>
      <c r="AM402" s="4">
        <f t="shared" si="146"/>
        <v>0</v>
      </c>
      <c r="AO402" s="56">
        <f>IF(D402="M",WeightSDS!P$5*$AM402^7+WeightSDS!Q$5*$AM402^6+WeightSDS!R$5*$AM402^5+WeightSDS!S$5*$AM402^4+WeightSDS!T$5*$AM402^3+WeightSDS!U$5*$AM402^2+WeightSDS!V$5*$AM402+WeightSDS!W$5,IF($AM402&lt;186,WeightSDS!P$8*$AM402^7+WeightSDS!Q$8*$AM402^6+WeightSDS!R$8*$AM402^5+WeightSDS!S$8*$AM402^4+WeightSDS!T$8*$AM402^3+WeightSDS!U$8*$AM402^2+WeightSDS!V$8*$AM402+WeightSDS!W$8,WeightSDS!$U$9+WeightSDS!$V$9*($AM402-WeightSDS!$W$9)))</f>
        <v>0.75407122999999998</v>
      </c>
      <c r="AP402" s="4">
        <f>IF(D402="M",IF($AM402&lt;45,WeightSDS!M$23*$AM402^10+WeightSDS!N$23*$AM402^9+WeightSDS!O$23*$AM402^8+WeightSDS!P$23*$AM402^7+WeightSDS!Q$23*$AM402^6+WeightSDS!R$23*$AM402^5+WeightSDS!S$23*$AM402^4+WeightSDS!T$23*$AM402^3+WeightSDS!U$23*$AM402^2+WeightSDS!V$23*$AM402+WeightSDS!W$23,IF($AM402&lt;153,WeightSDS!M$25*$AM402^10+WeightSDS!N$25*$AM402^9+WeightSDS!O$25*$AM402^8+WeightSDS!P$25*$AM402^7+WeightSDS!Q$25*$AM402^6+WeightSDS!R$25*$AM402^5+WeightSDS!S$25*$AM402^4+WeightSDS!T$25*$AM402^3+WeightSDS!U$25*$AM402^2+WeightSDS!V$25*$AM402+WeightSDS!W$25,WeightSDS!M$27+WeightSDS!N$27/(1+EXP(WeightSDS!O$27+WeightSDS!P$27*$AM402)))),IF($AM402&lt;43.8,WeightSDS!M$29*$AM402^10+WeightSDS!N$29*$AM402^9+WeightSDS!O$29*$AM402^8+WeightSDS!P$29*$AM402^7+WeightSDS!Q$29*$AM402^6+WeightSDS!R$29*$AM402^5+WeightSDS!S$29*$AM402^4+WeightSDS!T$29*$AM402^3+WeightSDS!U$29*$AM402^2+WeightSDS!V$29*$AM402+WeightSDS!W$29-0.010431*(1-$AM402/210),IF($AM402&lt;123,WeightSDS!M$30*$AM402^10+WeightSDS!N$30*$AM402^9+WeightSDS!O$30*$AM402^8+WeightSDS!P$30*$AM402^7+WeightSDS!Q$30*$AM402^6+WeightSDS!R$30*$AM402^5+WeightSDS!S$30*$AM402^4+WeightSDS!T$30*$AM402^3+WeightSDS!U$30*$AM402^2+WeightSDS!V$30*$AM402+WeightSDS!W$30-0.010431*(1-1/$AM402),WeightSDS!M$32+WeightSDS!N$32/(1+EXP(WeightSDS!O$32+WeightSDS!P$32*$AM402))-0.010431*(1-$AM402/210))))</f>
        <v>2.9500001032655536</v>
      </c>
      <c r="AQ402" s="4">
        <f>IF(D402="M",IF($AM402&lt;162,WeightSDS!P$12*$AM402^7+WeightSDS!Q$12*$AM402^6+WeightSDS!R$12*$AM402^5+WeightSDS!S$12*$AM402^4+WeightSDS!T$12*$AM402^3+WeightSDS!U$12*$AM402^2+WeightSDS!V$12*$AM402+WeightSDS!W$12,WeightSDS!P$14*$AM402^7+WeightSDS!Q$14*$AM402^6+WeightSDS!R$14*$AM402^5+WeightSDS!S$14*$AM402^4+WeightSDS!T$14*$AM402^3+WeightSDS!U$14*$AM402^2+WeightSDS!V$14*$AM402+WeightSDS!W$14),IF($AM402&lt;156,WeightSDS!O$17*$AM402^8+WeightSDS!P$17*$AM402^7+WeightSDS!Q$17*$AM402^6+WeightSDS!R$17*$AM402^5+WeightSDS!S$17*$AM402^4+WeightSDS!T$17*$AM402^3+WeightSDS!U$17*$AM402^2+WeightSDS!V$17*$AM402+WeightSDS!W$17,IF($AM402&lt;186,WeightSDS!$U$18+(WeightSDS!$V$18-WeightSDS!$U$18)/24*($AM402-186)+WeightSDS!$W$18*(-$AM402+186)^2-0.005,WeightSDS!$U$18+(WeightSDS!$V$18-WeightSDS!$U$18)/24*($AM402-186)-0.005)))</f>
        <v>0.14604529399999999</v>
      </c>
      <c r="AT402" s="4">
        <f t="shared" si="133"/>
        <v>0.56299999999999994</v>
      </c>
      <c r="AU402" s="4">
        <f t="shared" si="134"/>
        <v>69</v>
      </c>
      <c r="AV402" s="4">
        <f t="shared" si="135"/>
        <v>0.51</v>
      </c>
    </row>
    <row r="403" spans="1:48" x14ac:dyDescent="0.15">
      <c r="A403" s="4"/>
      <c r="B403" s="21"/>
      <c r="C403" s="21"/>
      <c r="D403" s="21"/>
      <c r="E403" s="22"/>
      <c r="F403" s="22"/>
      <c r="G403" s="23"/>
      <c r="H403" s="23"/>
      <c r="I403" s="181"/>
      <c r="J403" s="8" t="str">
        <f t="shared" si="127"/>
        <v/>
      </c>
      <c r="K403" s="2" t="str">
        <f t="shared" si="136"/>
        <v/>
      </c>
      <c r="L403" s="2" t="str">
        <f t="shared" si="128"/>
        <v/>
      </c>
      <c r="M403" s="2" t="str">
        <f t="shared" si="137"/>
        <v/>
      </c>
      <c r="N403" s="2" t="str">
        <f t="shared" si="145"/>
        <v/>
      </c>
      <c r="O403" s="2" t="str">
        <f t="shared" si="138"/>
        <v/>
      </c>
      <c r="P403" s="8" t="str">
        <f t="shared" si="139"/>
        <v/>
      </c>
      <c r="Q403" s="8" t="str">
        <f t="shared" si="140"/>
        <v/>
      </c>
      <c r="R403" s="111" t="str">
        <f t="shared" si="141"/>
        <v/>
      </c>
      <c r="S403" s="44" t="str">
        <f t="shared" si="142"/>
        <v/>
      </c>
      <c r="T403" s="37" t="str">
        <f t="shared" si="143"/>
        <v/>
      </c>
      <c r="U403" s="44" t="str">
        <f t="shared" si="144"/>
        <v/>
      </c>
      <c r="V403" s="26"/>
      <c r="W403" s="26"/>
      <c r="X403" s="26"/>
      <c r="Y403" s="26"/>
      <c r="Z403" s="24"/>
      <c r="AA403" s="169">
        <f t="shared" si="129"/>
        <v>0</v>
      </c>
      <c r="AB403" s="4">
        <f t="shared" si="130"/>
        <v>0</v>
      </c>
      <c r="AC403" s="170">
        <f t="shared" si="126"/>
        <v>0</v>
      </c>
      <c r="AD403" s="58"/>
      <c r="AE403" s="58"/>
      <c r="AF403" s="58"/>
      <c r="AG403" s="59">
        <f t="shared" si="131"/>
        <v>9.0359999999999996</v>
      </c>
      <c r="AH403" s="59">
        <f t="shared" si="132"/>
        <v>-184.49199999999999</v>
      </c>
      <c r="AJ403" s="4">
        <f>IF(D403="M",IF(AM403&lt;78,BMILMS!$D$5*AM403^3+BMILMS!$E$5*AM403^2+BMILMS!$F$5*AM403+BMILMS!$G$5,IF(AM403&lt;150,BMILMS!$D$6*AM403^3+BMILMS!$E$6*AM403^2+BMILMS!$F$6*AM403+BMILMS!$G$6,BMILMS!$D$7*AM403^3+BMILMS!$E$7*AM403^2+BMILMS!$F$7*AM403+BMILMS!$G$7)),IF(AM403&lt;69,BMILMS!$D$9*AM403^3+BMILMS!$E$9*AM403^2+BMILMS!$F$9*AM403+BMILMS!$G$9,IF(AM403&lt;150,BMILMS!$D$10*AM403^3+BMILMS!$E$10*AM403^2+BMILMS!$F$10*AM403+BMILMS!$G$10,BMILMS!$D$11*AM403^3+BMILMS!$E$11*AM403^2+BMILMS!$F$11*AM403+BMILMS!$G$11)))</f>
        <v>0.79584630099999998</v>
      </c>
      <c r="AK403" s="4">
        <f>IF(D403="M",(IF(AM403&lt;2.5,BMILMS!$D$21*AM403^3+BMILMS!$E$21*AM403^2+BMILMS!$F$21*AM403+BMILMS!$G$21,IF(AM403&lt;9.5,BMILMS!$D$22*AM403^3+BMILMS!$E$22*AM403^2+BMILMS!$F$22*AM403+BMILMS!$G$22,IF(AM403&lt;26.75,BMILMS!$D$23*AM403^3+BMILMS!$E$23*AM403^2+BMILMS!$F$23*AM403+BMILMS!$G$23,IF(AM403&lt;90,BMILMS!$D$24*AM403^3+BMILMS!$E$24*AM403^2+BMILMS!$F$24*AM403+BMILMS!$G$24,BMILMS!$D$25*AM403^3+BMILMS!$E$25*AM403^2+BMILMS!$F$25*AM403+BMILMS!$G$25))))),(IF(AM403&lt;2.5,BMILMS!$D$27*AM403^3+BMILMS!$E$27*AM403^2+BMILMS!$F$27*AM403+BMILMS!$G$27,IF(AM403&lt;9.5,BMILMS!$D$28*AM403^3+BMILMS!$E$28*AM403^2+BMILMS!$F$28*AM403+BMILMS!$G$28,IF(AM403&lt;26.75,BMILMS!$D$29*AM403^3+BMILMS!$E$29*AM403^2+BMILMS!$F$29*AM403+BMILMS!$G$29,IF(AM403&lt;90,BMILMS!$D$30*AM403^3+BMILMS!$E$30*AM403^2+BMILMS!$F$30*AM403+BMILMS!$G$30,IF(AM403&lt;150,BMILMS!$D$31*AM403^3+BMILMS!$E$31*AM403^2+BMILMS!$F$31*AM403+BMILMS!$G$31,BMILMS!$D$32*AM403^3+BMILMS!$E$32*AM403^2+BMILMS!$F$32*AM403+BMILMS!$G$32)))))))</f>
        <v>12.568967990000001</v>
      </c>
      <c r="AL403" s="4">
        <f>IF(D403="M",(IF(AM403&lt;90,BMILMS!$D$14*AM403^3+BMILMS!$E$14*AM403^2+BMILMS!$F$14*AM403+BMILMS!$G$14,BMILMS!$D$15*AM403^3+BMILMS!$E$15*AM403^2+BMILMS!$F$15*AM403+BMILMS!$G$15)),(IF(AM403&lt;90,BMILMS!$D$17*AM403^3+BMILMS!$E$17*AM403^2+BMILMS!$F$17*AM403+BMILMS!$G$17,BMILMS!$D$18*AM403^3+BMILMS!$E$18*AM403^2+BMILMS!$F$18*AM403+BMILMS!$G$18)))</f>
        <v>8.8969350000000003E-2</v>
      </c>
      <c r="AM403" s="4">
        <f t="shared" si="146"/>
        <v>0</v>
      </c>
      <c r="AO403" s="56">
        <f>IF(D403="M",WeightSDS!P$5*$AM403^7+WeightSDS!Q$5*$AM403^6+WeightSDS!R$5*$AM403^5+WeightSDS!S$5*$AM403^4+WeightSDS!T$5*$AM403^3+WeightSDS!U$5*$AM403^2+WeightSDS!V$5*$AM403+WeightSDS!W$5,IF($AM403&lt;186,WeightSDS!P$8*$AM403^7+WeightSDS!Q$8*$AM403^6+WeightSDS!R$8*$AM403^5+WeightSDS!S$8*$AM403^4+WeightSDS!T$8*$AM403^3+WeightSDS!U$8*$AM403^2+WeightSDS!V$8*$AM403+WeightSDS!W$8,WeightSDS!$U$9+WeightSDS!$V$9*($AM403-WeightSDS!$W$9)))</f>
        <v>0.75407122999999998</v>
      </c>
      <c r="AP403" s="4">
        <f>IF(D403="M",IF($AM403&lt;45,WeightSDS!M$23*$AM403^10+WeightSDS!N$23*$AM403^9+WeightSDS!O$23*$AM403^8+WeightSDS!P$23*$AM403^7+WeightSDS!Q$23*$AM403^6+WeightSDS!R$23*$AM403^5+WeightSDS!S$23*$AM403^4+WeightSDS!T$23*$AM403^3+WeightSDS!U$23*$AM403^2+WeightSDS!V$23*$AM403+WeightSDS!W$23,IF($AM403&lt;153,WeightSDS!M$25*$AM403^10+WeightSDS!N$25*$AM403^9+WeightSDS!O$25*$AM403^8+WeightSDS!P$25*$AM403^7+WeightSDS!Q$25*$AM403^6+WeightSDS!R$25*$AM403^5+WeightSDS!S$25*$AM403^4+WeightSDS!T$25*$AM403^3+WeightSDS!U$25*$AM403^2+WeightSDS!V$25*$AM403+WeightSDS!W$25,WeightSDS!M$27+WeightSDS!N$27/(1+EXP(WeightSDS!O$27+WeightSDS!P$27*$AM403)))),IF($AM403&lt;43.8,WeightSDS!M$29*$AM403^10+WeightSDS!N$29*$AM403^9+WeightSDS!O$29*$AM403^8+WeightSDS!P$29*$AM403^7+WeightSDS!Q$29*$AM403^6+WeightSDS!R$29*$AM403^5+WeightSDS!S$29*$AM403^4+WeightSDS!T$29*$AM403^3+WeightSDS!U$29*$AM403^2+WeightSDS!V$29*$AM403+WeightSDS!W$29-0.010431*(1-$AM403/210),IF($AM403&lt;123,WeightSDS!M$30*$AM403^10+WeightSDS!N$30*$AM403^9+WeightSDS!O$30*$AM403^8+WeightSDS!P$30*$AM403^7+WeightSDS!Q$30*$AM403^6+WeightSDS!R$30*$AM403^5+WeightSDS!S$30*$AM403^4+WeightSDS!T$30*$AM403^3+WeightSDS!U$30*$AM403^2+WeightSDS!V$30*$AM403+WeightSDS!W$30-0.010431*(1-1/$AM403),WeightSDS!M$32+WeightSDS!N$32/(1+EXP(WeightSDS!O$32+WeightSDS!P$32*$AM403))-0.010431*(1-$AM403/210))))</f>
        <v>2.9500001032655536</v>
      </c>
      <c r="AQ403" s="4">
        <f>IF(D403="M",IF($AM403&lt;162,WeightSDS!P$12*$AM403^7+WeightSDS!Q$12*$AM403^6+WeightSDS!R$12*$AM403^5+WeightSDS!S$12*$AM403^4+WeightSDS!T$12*$AM403^3+WeightSDS!U$12*$AM403^2+WeightSDS!V$12*$AM403+WeightSDS!W$12,WeightSDS!P$14*$AM403^7+WeightSDS!Q$14*$AM403^6+WeightSDS!R$14*$AM403^5+WeightSDS!S$14*$AM403^4+WeightSDS!T$14*$AM403^3+WeightSDS!U$14*$AM403^2+WeightSDS!V$14*$AM403+WeightSDS!W$14),IF($AM403&lt;156,WeightSDS!O$17*$AM403^8+WeightSDS!P$17*$AM403^7+WeightSDS!Q$17*$AM403^6+WeightSDS!R$17*$AM403^5+WeightSDS!S$17*$AM403^4+WeightSDS!T$17*$AM403^3+WeightSDS!U$17*$AM403^2+WeightSDS!V$17*$AM403+WeightSDS!W$17,IF($AM403&lt;186,WeightSDS!$U$18+(WeightSDS!$V$18-WeightSDS!$U$18)/24*($AM403-186)+WeightSDS!$W$18*(-$AM403+186)^2-0.005,WeightSDS!$U$18+(WeightSDS!$V$18-WeightSDS!$U$18)/24*($AM403-186)-0.005)))</f>
        <v>0.14604529399999999</v>
      </c>
      <c r="AT403" s="4">
        <f t="shared" si="133"/>
        <v>0.56299999999999994</v>
      </c>
      <c r="AU403" s="4">
        <f t="shared" si="134"/>
        <v>69</v>
      </c>
      <c r="AV403" s="4">
        <f t="shared" si="135"/>
        <v>0.51</v>
      </c>
    </row>
    <row r="404" spans="1:48" x14ac:dyDescent="0.15">
      <c r="A404" s="4"/>
      <c r="B404" s="21"/>
      <c r="C404" s="21"/>
      <c r="D404" s="21"/>
      <c r="E404" s="22"/>
      <c r="F404" s="22"/>
      <c r="G404" s="23"/>
      <c r="H404" s="23"/>
      <c r="I404" s="181"/>
      <c r="J404" s="8" t="str">
        <f t="shared" si="127"/>
        <v/>
      </c>
      <c r="K404" s="2" t="str">
        <f t="shared" si="136"/>
        <v/>
      </c>
      <c r="L404" s="2" t="str">
        <f t="shared" si="128"/>
        <v/>
      </c>
      <c r="M404" s="2" t="str">
        <f t="shared" si="137"/>
        <v/>
      </c>
      <c r="N404" s="2" t="str">
        <f t="shared" si="145"/>
        <v/>
      </c>
      <c r="O404" s="2" t="str">
        <f t="shared" si="138"/>
        <v/>
      </c>
      <c r="P404" s="8" t="str">
        <f t="shared" si="139"/>
        <v/>
      </c>
      <c r="Q404" s="8" t="str">
        <f t="shared" si="140"/>
        <v/>
      </c>
      <c r="R404" s="111" t="str">
        <f t="shared" si="141"/>
        <v/>
      </c>
      <c r="S404" s="44" t="str">
        <f t="shared" si="142"/>
        <v/>
      </c>
      <c r="T404" s="37" t="str">
        <f t="shared" si="143"/>
        <v/>
      </c>
      <c r="U404" s="44" t="str">
        <f t="shared" si="144"/>
        <v/>
      </c>
      <c r="V404" s="26"/>
      <c r="W404" s="26"/>
      <c r="X404" s="26"/>
      <c r="Y404" s="26"/>
      <c r="Z404" s="24"/>
      <c r="AA404" s="169">
        <f t="shared" si="129"/>
        <v>0</v>
      </c>
      <c r="AB404" s="4">
        <f t="shared" si="130"/>
        <v>0</v>
      </c>
      <c r="AC404" s="170">
        <f t="shared" si="126"/>
        <v>0</v>
      </c>
      <c r="AD404" s="58"/>
      <c r="AE404" s="58"/>
      <c r="AF404" s="58"/>
      <c r="AG404" s="59">
        <f t="shared" si="131"/>
        <v>9.0359999999999996</v>
      </c>
      <c r="AH404" s="59">
        <f t="shared" si="132"/>
        <v>-184.49199999999999</v>
      </c>
      <c r="AJ404" s="4">
        <f>IF(D404="M",IF(AM404&lt;78,BMILMS!$D$5*AM404^3+BMILMS!$E$5*AM404^2+BMILMS!$F$5*AM404+BMILMS!$G$5,IF(AM404&lt;150,BMILMS!$D$6*AM404^3+BMILMS!$E$6*AM404^2+BMILMS!$F$6*AM404+BMILMS!$G$6,BMILMS!$D$7*AM404^3+BMILMS!$E$7*AM404^2+BMILMS!$F$7*AM404+BMILMS!$G$7)),IF(AM404&lt;69,BMILMS!$D$9*AM404^3+BMILMS!$E$9*AM404^2+BMILMS!$F$9*AM404+BMILMS!$G$9,IF(AM404&lt;150,BMILMS!$D$10*AM404^3+BMILMS!$E$10*AM404^2+BMILMS!$F$10*AM404+BMILMS!$G$10,BMILMS!$D$11*AM404^3+BMILMS!$E$11*AM404^2+BMILMS!$F$11*AM404+BMILMS!$G$11)))</f>
        <v>0.79584630099999998</v>
      </c>
      <c r="AK404" s="4">
        <f>IF(D404="M",(IF(AM404&lt;2.5,BMILMS!$D$21*AM404^3+BMILMS!$E$21*AM404^2+BMILMS!$F$21*AM404+BMILMS!$G$21,IF(AM404&lt;9.5,BMILMS!$D$22*AM404^3+BMILMS!$E$22*AM404^2+BMILMS!$F$22*AM404+BMILMS!$G$22,IF(AM404&lt;26.75,BMILMS!$D$23*AM404^3+BMILMS!$E$23*AM404^2+BMILMS!$F$23*AM404+BMILMS!$G$23,IF(AM404&lt;90,BMILMS!$D$24*AM404^3+BMILMS!$E$24*AM404^2+BMILMS!$F$24*AM404+BMILMS!$G$24,BMILMS!$D$25*AM404^3+BMILMS!$E$25*AM404^2+BMILMS!$F$25*AM404+BMILMS!$G$25))))),(IF(AM404&lt;2.5,BMILMS!$D$27*AM404^3+BMILMS!$E$27*AM404^2+BMILMS!$F$27*AM404+BMILMS!$G$27,IF(AM404&lt;9.5,BMILMS!$D$28*AM404^3+BMILMS!$E$28*AM404^2+BMILMS!$F$28*AM404+BMILMS!$G$28,IF(AM404&lt;26.75,BMILMS!$D$29*AM404^3+BMILMS!$E$29*AM404^2+BMILMS!$F$29*AM404+BMILMS!$G$29,IF(AM404&lt;90,BMILMS!$D$30*AM404^3+BMILMS!$E$30*AM404^2+BMILMS!$F$30*AM404+BMILMS!$G$30,IF(AM404&lt;150,BMILMS!$D$31*AM404^3+BMILMS!$E$31*AM404^2+BMILMS!$F$31*AM404+BMILMS!$G$31,BMILMS!$D$32*AM404^3+BMILMS!$E$32*AM404^2+BMILMS!$F$32*AM404+BMILMS!$G$32)))))))</f>
        <v>12.568967990000001</v>
      </c>
      <c r="AL404" s="4">
        <f>IF(D404="M",(IF(AM404&lt;90,BMILMS!$D$14*AM404^3+BMILMS!$E$14*AM404^2+BMILMS!$F$14*AM404+BMILMS!$G$14,BMILMS!$D$15*AM404^3+BMILMS!$E$15*AM404^2+BMILMS!$F$15*AM404+BMILMS!$G$15)),(IF(AM404&lt;90,BMILMS!$D$17*AM404^3+BMILMS!$E$17*AM404^2+BMILMS!$F$17*AM404+BMILMS!$G$17,BMILMS!$D$18*AM404^3+BMILMS!$E$18*AM404^2+BMILMS!$F$18*AM404+BMILMS!$G$18)))</f>
        <v>8.8969350000000003E-2</v>
      </c>
      <c r="AM404" s="4">
        <f t="shared" si="146"/>
        <v>0</v>
      </c>
      <c r="AO404" s="56">
        <f>IF(D404="M",WeightSDS!P$5*$AM404^7+WeightSDS!Q$5*$AM404^6+WeightSDS!R$5*$AM404^5+WeightSDS!S$5*$AM404^4+WeightSDS!T$5*$AM404^3+WeightSDS!U$5*$AM404^2+WeightSDS!V$5*$AM404+WeightSDS!W$5,IF($AM404&lt;186,WeightSDS!P$8*$AM404^7+WeightSDS!Q$8*$AM404^6+WeightSDS!R$8*$AM404^5+WeightSDS!S$8*$AM404^4+WeightSDS!T$8*$AM404^3+WeightSDS!U$8*$AM404^2+WeightSDS!V$8*$AM404+WeightSDS!W$8,WeightSDS!$U$9+WeightSDS!$V$9*($AM404-WeightSDS!$W$9)))</f>
        <v>0.75407122999999998</v>
      </c>
      <c r="AP404" s="4">
        <f>IF(D404="M",IF($AM404&lt;45,WeightSDS!M$23*$AM404^10+WeightSDS!N$23*$AM404^9+WeightSDS!O$23*$AM404^8+WeightSDS!P$23*$AM404^7+WeightSDS!Q$23*$AM404^6+WeightSDS!R$23*$AM404^5+WeightSDS!S$23*$AM404^4+WeightSDS!T$23*$AM404^3+WeightSDS!U$23*$AM404^2+WeightSDS!V$23*$AM404+WeightSDS!W$23,IF($AM404&lt;153,WeightSDS!M$25*$AM404^10+WeightSDS!N$25*$AM404^9+WeightSDS!O$25*$AM404^8+WeightSDS!P$25*$AM404^7+WeightSDS!Q$25*$AM404^6+WeightSDS!R$25*$AM404^5+WeightSDS!S$25*$AM404^4+WeightSDS!T$25*$AM404^3+WeightSDS!U$25*$AM404^2+WeightSDS!V$25*$AM404+WeightSDS!W$25,WeightSDS!M$27+WeightSDS!N$27/(1+EXP(WeightSDS!O$27+WeightSDS!P$27*$AM404)))),IF($AM404&lt;43.8,WeightSDS!M$29*$AM404^10+WeightSDS!N$29*$AM404^9+WeightSDS!O$29*$AM404^8+WeightSDS!P$29*$AM404^7+WeightSDS!Q$29*$AM404^6+WeightSDS!R$29*$AM404^5+WeightSDS!S$29*$AM404^4+WeightSDS!T$29*$AM404^3+WeightSDS!U$29*$AM404^2+WeightSDS!V$29*$AM404+WeightSDS!W$29-0.010431*(1-$AM404/210),IF($AM404&lt;123,WeightSDS!M$30*$AM404^10+WeightSDS!N$30*$AM404^9+WeightSDS!O$30*$AM404^8+WeightSDS!P$30*$AM404^7+WeightSDS!Q$30*$AM404^6+WeightSDS!R$30*$AM404^5+WeightSDS!S$30*$AM404^4+WeightSDS!T$30*$AM404^3+WeightSDS!U$30*$AM404^2+WeightSDS!V$30*$AM404+WeightSDS!W$30-0.010431*(1-1/$AM404),WeightSDS!M$32+WeightSDS!N$32/(1+EXP(WeightSDS!O$32+WeightSDS!P$32*$AM404))-0.010431*(1-$AM404/210))))</f>
        <v>2.9500001032655536</v>
      </c>
      <c r="AQ404" s="4">
        <f>IF(D404="M",IF($AM404&lt;162,WeightSDS!P$12*$AM404^7+WeightSDS!Q$12*$AM404^6+WeightSDS!R$12*$AM404^5+WeightSDS!S$12*$AM404^4+WeightSDS!T$12*$AM404^3+WeightSDS!U$12*$AM404^2+WeightSDS!V$12*$AM404+WeightSDS!W$12,WeightSDS!P$14*$AM404^7+WeightSDS!Q$14*$AM404^6+WeightSDS!R$14*$AM404^5+WeightSDS!S$14*$AM404^4+WeightSDS!T$14*$AM404^3+WeightSDS!U$14*$AM404^2+WeightSDS!V$14*$AM404+WeightSDS!W$14),IF($AM404&lt;156,WeightSDS!O$17*$AM404^8+WeightSDS!P$17*$AM404^7+WeightSDS!Q$17*$AM404^6+WeightSDS!R$17*$AM404^5+WeightSDS!S$17*$AM404^4+WeightSDS!T$17*$AM404^3+WeightSDS!U$17*$AM404^2+WeightSDS!V$17*$AM404+WeightSDS!W$17,IF($AM404&lt;186,WeightSDS!$U$18+(WeightSDS!$V$18-WeightSDS!$U$18)/24*($AM404-186)+WeightSDS!$W$18*(-$AM404+186)^2-0.005,WeightSDS!$U$18+(WeightSDS!$V$18-WeightSDS!$U$18)/24*($AM404-186)-0.005)))</f>
        <v>0.14604529399999999</v>
      </c>
      <c r="AT404" s="4">
        <f t="shared" si="133"/>
        <v>0.56299999999999994</v>
      </c>
      <c r="AU404" s="4">
        <f t="shared" si="134"/>
        <v>69</v>
      </c>
      <c r="AV404" s="4">
        <f t="shared" si="135"/>
        <v>0.51</v>
      </c>
    </row>
    <row r="405" spans="1:48" x14ac:dyDescent="0.15">
      <c r="A405" s="4"/>
      <c r="B405" s="21"/>
      <c r="C405" s="21"/>
      <c r="D405" s="21"/>
      <c r="E405" s="22"/>
      <c r="F405" s="22"/>
      <c r="G405" s="23"/>
      <c r="H405" s="23"/>
      <c r="I405" s="181"/>
      <c r="J405" s="8" t="str">
        <f t="shared" si="127"/>
        <v/>
      </c>
      <c r="K405" s="2" t="str">
        <f t="shared" si="136"/>
        <v/>
      </c>
      <c r="L405" s="2" t="str">
        <f t="shared" si="128"/>
        <v/>
      </c>
      <c r="M405" s="2" t="str">
        <f t="shared" si="137"/>
        <v/>
      </c>
      <c r="N405" s="2" t="str">
        <f t="shared" si="145"/>
        <v/>
      </c>
      <c r="O405" s="2" t="str">
        <f t="shared" si="138"/>
        <v/>
      </c>
      <c r="P405" s="8" t="str">
        <f t="shared" si="139"/>
        <v/>
      </c>
      <c r="Q405" s="8" t="str">
        <f t="shared" si="140"/>
        <v/>
      </c>
      <c r="R405" s="111" t="str">
        <f t="shared" si="141"/>
        <v/>
      </c>
      <c r="S405" s="44" t="str">
        <f t="shared" si="142"/>
        <v/>
      </c>
      <c r="T405" s="37" t="str">
        <f t="shared" si="143"/>
        <v/>
      </c>
      <c r="U405" s="44" t="str">
        <f t="shared" si="144"/>
        <v/>
      </c>
      <c r="V405" s="26"/>
      <c r="W405" s="26"/>
      <c r="X405" s="26"/>
      <c r="Y405" s="26"/>
      <c r="Z405" s="24"/>
      <c r="AA405" s="169">
        <f t="shared" si="129"/>
        <v>0</v>
      </c>
      <c r="AB405" s="4">
        <f t="shared" si="130"/>
        <v>0</v>
      </c>
      <c r="AC405" s="170">
        <f t="shared" si="126"/>
        <v>0</v>
      </c>
      <c r="AD405" s="58"/>
      <c r="AE405" s="58"/>
      <c r="AF405" s="58"/>
      <c r="AG405" s="59">
        <f t="shared" si="131"/>
        <v>9.0359999999999996</v>
      </c>
      <c r="AH405" s="59">
        <f t="shared" si="132"/>
        <v>-184.49199999999999</v>
      </c>
      <c r="AJ405" s="4">
        <f>IF(D405="M",IF(AM405&lt;78,BMILMS!$D$5*AM405^3+BMILMS!$E$5*AM405^2+BMILMS!$F$5*AM405+BMILMS!$G$5,IF(AM405&lt;150,BMILMS!$D$6*AM405^3+BMILMS!$E$6*AM405^2+BMILMS!$F$6*AM405+BMILMS!$G$6,BMILMS!$D$7*AM405^3+BMILMS!$E$7*AM405^2+BMILMS!$F$7*AM405+BMILMS!$G$7)),IF(AM405&lt;69,BMILMS!$D$9*AM405^3+BMILMS!$E$9*AM405^2+BMILMS!$F$9*AM405+BMILMS!$G$9,IF(AM405&lt;150,BMILMS!$D$10*AM405^3+BMILMS!$E$10*AM405^2+BMILMS!$F$10*AM405+BMILMS!$G$10,BMILMS!$D$11*AM405^3+BMILMS!$E$11*AM405^2+BMILMS!$F$11*AM405+BMILMS!$G$11)))</f>
        <v>0.79584630099999998</v>
      </c>
      <c r="AK405" s="4">
        <f>IF(D405="M",(IF(AM405&lt;2.5,BMILMS!$D$21*AM405^3+BMILMS!$E$21*AM405^2+BMILMS!$F$21*AM405+BMILMS!$G$21,IF(AM405&lt;9.5,BMILMS!$D$22*AM405^3+BMILMS!$E$22*AM405^2+BMILMS!$F$22*AM405+BMILMS!$G$22,IF(AM405&lt;26.75,BMILMS!$D$23*AM405^3+BMILMS!$E$23*AM405^2+BMILMS!$F$23*AM405+BMILMS!$G$23,IF(AM405&lt;90,BMILMS!$D$24*AM405^3+BMILMS!$E$24*AM405^2+BMILMS!$F$24*AM405+BMILMS!$G$24,BMILMS!$D$25*AM405^3+BMILMS!$E$25*AM405^2+BMILMS!$F$25*AM405+BMILMS!$G$25))))),(IF(AM405&lt;2.5,BMILMS!$D$27*AM405^3+BMILMS!$E$27*AM405^2+BMILMS!$F$27*AM405+BMILMS!$G$27,IF(AM405&lt;9.5,BMILMS!$D$28*AM405^3+BMILMS!$E$28*AM405^2+BMILMS!$F$28*AM405+BMILMS!$G$28,IF(AM405&lt;26.75,BMILMS!$D$29*AM405^3+BMILMS!$E$29*AM405^2+BMILMS!$F$29*AM405+BMILMS!$G$29,IF(AM405&lt;90,BMILMS!$D$30*AM405^3+BMILMS!$E$30*AM405^2+BMILMS!$F$30*AM405+BMILMS!$G$30,IF(AM405&lt;150,BMILMS!$D$31*AM405^3+BMILMS!$E$31*AM405^2+BMILMS!$F$31*AM405+BMILMS!$G$31,BMILMS!$D$32*AM405^3+BMILMS!$E$32*AM405^2+BMILMS!$F$32*AM405+BMILMS!$G$32)))))))</f>
        <v>12.568967990000001</v>
      </c>
      <c r="AL405" s="4">
        <f>IF(D405="M",(IF(AM405&lt;90,BMILMS!$D$14*AM405^3+BMILMS!$E$14*AM405^2+BMILMS!$F$14*AM405+BMILMS!$G$14,BMILMS!$D$15*AM405^3+BMILMS!$E$15*AM405^2+BMILMS!$F$15*AM405+BMILMS!$G$15)),(IF(AM405&lt;90,BMILMS!$D$17*AM405^3+BMILMS!$E$17*AM405^2+BMILMS!$F$17*AM405+BMILMS!$G$17,BMILMS!$D$18*AM405^3+BMILMS!$E$18*AM405^2+BMILMS!$F$18*AM405+BMILMS!$G$18)))</f>
        <v>8.8969350000000003E-2</v>
      </c>
      <c r="AM405" s="4">
        <f t="shared" si="146"/>
        <v>0</v>
      </c>
      <c r="AO405" s="56">
        <f>IF(D405="M",WeightSDS!P$5*$AM405^7+WeightSDS!Q$5*$AM405^6+WeightSDS!R$5*$AM405^5+WeightSDS!S$5*$AM405^4+WeightSDS!T$5*$AM405^3+WeightSDS!U$5*$AM405^2+WeightSDS!V$5*$AM405+WeightSDS!W$5,IF($AM405&lt;186,WeightSDS!P$8*$AM405^7+WeightSDS!Q$8*$AM405^6+WeightSDS!R$8*$AM405^5+WeightSDS!S$8*$AM405^4+WeightSDS!T$8*$AM405^3+WeightSDS!U$8*$AM405^2+WeightSDS!V$8*$AM405+WeightSDS!W$8,WeightSDS!$U$9+WeightSDS!$V$9*($AM405-WeightSDS!$W$9)))</f>
        <v>0.75407122999999998</v>
      </c>
      <c r="AP405" s="4">
        <f>IF(D405="M",IF($AM405&lt;45,WeightSDS!M$23*$AM405^10+WeightSDS!N$23*$AM405^9+WeightSDS!O$23*$AM405^8+WeightSDS!P$23*$AM405^7+WeightSDS!Q$23*$AM405^6+WeightSDS!R$23*$AM405^5+WeightSDS!S$23*$AM405^4+WeightSDS!T$23*$AM405^3+WeightSDS!U$23*$AM405^2+WeightSDS!V$23*$AM405+WeightSDS!W$23,IF($AM405&lt;153,WeightSDS!M$25*$AM405^10+WeightSDS!N$25*$AM405^9+WeightSDS!O$25*$AM405^8+WeightSDS!P$25*$AM405^7+WeightSDS!Q$25*$AM405^6+WeightSDS!R$25*$AM405^5+WeightSDS!S$25*$AM405^4+WeightSDS!T$25*$AM405^3+WeightSDS!U$25*$AM405^2+WeightSDS!V$25*$AM405+WeightSDS!W$25,WeightSDS!M$27+WeightSDS!N$27/(1+EXP(WeightSDS!O$27+WeightSDS!P$27*$AM405)))),IF($AM405&lt;43.8,WeightSDS!M$29*$AM405^10+WeightSDS!N$29*$AM405^9+WeightSDS!O$29*$AM405^8+WeightSDS!P$29*$AM405^7+WeightSDS!Q$29*$AM405^6+WeightSDS!R$29*$AM405^5+WeightSDS!S$29*$AM405^4+WeightSDS!T$29*$AM405^3+WeightSDS!U$29*$AM405^2+WeightSDS!V$29*$AM405+WeightSDS!W$29-0.010431*(1-$AM405/210),IF($AM405&lt;123,WeightSDS!M$30*$AM405^10+WeightSDS!N$30*$AM405^9+WeightSDS!O$30*$AM405^8+WeightSDS!P$30*$AM405^7+WeightSDS!Q$30*$AM405^6+WeightSDS!R$30*$AM405^5+WeightSDS!S$30*$AM405^4+WeightSDS!T$30*$AM405^3+WeightSDS!U$30*$AM405^2+WeightSDS!V$30*$AM405+WeightSDS!W$30-0.010431*(1-1/$AM405),WeightSDS!M$32+WeightSDS!N$32/(1+EXP(WeightSDS!O$32+WeightSDS!P$32*$AM405))-0.010431*(1-$AM405/210))))</f>
        <v>2.9500001032655536</v>
      </c>
      <c r="AQ405" s="4">
        <f>IF(D405="M",IF($AM405&lt;162,WeightSDS!P$12*$AM405^7+WeightSDS!Q$12*$AM405^6+WeightSDS!R$12*$AM405^5+WeightSDS!S$12*$AM405^4+WeightSDS!T$12*$AM405^3+WeightSDS!U$12*$AM405^2+WeightSDS!V$12*$AM405+WeightSDS!W$12,WeightSDS!P$14*$AM405^7+WeightSDS!Q$14*$AM405^6+WeightSDS!R$14*$AM405^5+WeightSDS!S$14*$AM405^4+WeightSDS!T$14*$AM405^3+WeightSDS!U$14*$AM405^2+WeightSDS!V$14*$AM405+WeightSDS!W$14),IF($AM405&lt;156,WeightSDS!O$17*$AM405^8+WeightSDS!P$17*$AM405^7+WeightSDS!Q$17*$AM405^6+WeightSDS!R$17*$AM405^5+WeightSDS!S$17*$AM405^4+WeightSDS!T$17*$AM405^3+WeightSDS!U$17*$AM405^2+WeightSDS!V$17*$AM405+WeightSDS!W$17,IF($AM405&lt;186,WeightSDS!$U$18+(WeightSDS!$V$18-WeightSDS!$U$18)/24*($AM405-186)+WeightSDS!$W$18*(-$AM405+186)^2-0.005,WeightSDS!$U$18+(WeightSDS!$V$18-WeightSDS!$U$18)/24*($AM405-186)-0.005)))</f>
        <v>0.14604529399999999</v>
      </c>
      <c r="AT405" s="4">
        <f t="shared" si="133"/>
        <v>0.56299999999999994</v>
      </c>
      <c r="AU405" s="4">
        <f t="shared" si="134"/>
        <v>69</v>
      </c>
      <c r="AV405" s="4">
        <f t="shared" si="135"/>
        <v>0.51</v>
      </c>
    </row>
    <row r="406" spans="1:48" x14ac:dyDescent="0.15">
      <c r="A406" s="4"/>
      <c r="B406" s="21"/>
      <c r="C406" s="21"/>
      <c r="D406" s="21"/>
      <c r="E406" s="22"/>
      <c r="F406" s="22"/>
      <c r="G406" s="23"/>
      <c r="H406" s="23"/>
      <c r="I406" s="181"/>
      <c r="J406" s="8" t="str">
        <f t="shared" si="127"/>
        <v/>
      </c>
      <c r="K406" s="2" t="str">
        <f t="shared" si="136"/>
        <v/>
      </c>
      <c r="L406" s="2" t="str">
        <f t="shared" si="128"/>
        <v/>
      </c>
      <c r="M406" s="2" t="str">
        <f t="shared" si="137"/>
        <v/>
      </c>
      <c r="N406" s="2" t="str">
        <f t="shared" si="145"/>
        <v/>
      </c>
      <c r="O406" s="2" t="str">
        <f t="shared" si="138"/>
        <v/>
      </c>
      <c r="P406" s="8" t="str">
        <f t="shared" si="139"/>
        <v/>
      </c>
      <c r="Q406" s="8" t="str">
        <f t="shared" si="140"/>
        <v/>
      </c>
      <c r="R406" s="111" t="str">
        <f t="shared" si="141"/>
        <v/>
      </c>
      <c r="S406" s="44" t="str">
        <f t="shared" si="142"/>
        <v/>
      </c>
      <c r="T406" s="37" t="str">
        <f t="shared" si="143"/>
        <v/>
      </c>
      <c r="U406" s="44" t="str">
        <f t="shared" si="144"/>
        <v/>
      </c>
      <c r="V406" s="26"/>
      <c r="W406" s="26"/>
      <c r="X406" s="26"/>
      <c r="Y406" s="26"/>
      <c r="Z406" s="24"/>
      <c r="AA406" s="169">
        <f t="shared" si="129"/>
        <v>0</v>
      </c>
      <c r="AB406" s="4">
        <f t="shared" si="130"/>
        <v>0</v>
      </c>
      <c r="AC406" s="170">
        <f t="shared" si="126"/>
        <v>0</v>
      </c>
      <c r="AD406" s="58"/>
      <c r="AE406" s="58"/>
      <c r="AF406" s="58"/>
      <c r="AG406" s="59">
        <f t="shared" si="131"/>
        <v>9.0359999999999996</v>
      </c>
      <c r="AH406" s="59">
        <f t="shared" si="132"/>
        <v>-184.49199999999999</v>
      </c>
      <c r="AJ406" s="4">
        <f>IF(D406="M",IF(AM406&lt;78,BMILMS!$D$5*AM406^3+BMILMS!$E$5*AM406^2+BMILMS!$F$5*AM406+BMILMS!$G$5,IF(AM406&lt;150,BMILMS!$D$6*AM406^3+BMILMS!$E$6*AM406^2+BMILMS!$F$6*AM406+BMILMS!$G$6,BMILMS!$D$7*AM406^3+BMILMS!$E$7*AM406^2+BMILMS!$F$7*AM406+BMILMS!$G$7)),IF(AM406&lt;69,BMILMS!$D$9*AM406^3+BMILMS!$E$9*AM406^2+BMILMS!$F$9*AM406+BMILMS!$G$9,IF(AM406&lt;150,BMILMS!$D$10*AM406^3+BMILMS!$E$10*AM406^2+BMILMS!$F$10*AM406+BMILMS!$G$10,BMILMS!$D$11*AM406^3+BMILMS!$E$11*AM406^2+BMILMS!$F$11*AM406+BMILMS!$G$11)))</f>
        <v>0.79584630099999998</v>
      </c>
      <c r="AK406" s="4">
        <f>IF(D406="M",(IF(AM406&lt;2.5,BMILMS!$D$21*AM406^3+BMILMS!$E$21*AM406^2+BMILMS!$F$21*AM406+BMILMS!$G$21,IF(AM406&lt;9.5,BMILMS!$D$22*AM406^3+BMILMS!$E$22*AM406^2+BMILMS!$F$22*AM406+BMILMS!$G$22,IF(AM406&lt;26.75,BMILMS!$D$23*AM406^3+BMILMS!$E$23*AM406^2+BMILMS!$F$23*AM406+BMILMS!$G$23,IF(AM406&lt;90,BMILMS!$D$24*AM406^3+BMILMS!$E$24*AM406^2+BMILMS!$F$24*AM406+BMILMS!$G$24,BMILMS!$D$25*AM406^3+BMILMS!$E$25*AM406^2+BMILMS!$F$25*AM406+BMILMS!$G$25))))),(IF(AM406&lt;2.5,BMILMS!$D$27*AM406^3+BMILMS!$E$27*AM406^2+BMILMS!$F$27*AM406+BMILMS!$G$27,IF(AM406&lt;9.5,BMILMS!$D$28*AM406^3+BMILMS!$E$28*AM406^2+BMILMS!$F$28*AM406+BMILMS!$G$28,IF(AM406&lt;26.75,BMILMS!$D$29*AM406^3+BMILMS!$E$29*AM406^2+BMILMS!$F$29*AM406+BMILMS!$G$29,IF(AM406&lt;90,BMILMS!$D$30*AM406^3+BMILMS!$E$30*AM406^2+BMILMS!$F$30*AM406+BMILMS!$G$30,IF(AM406&lt;150,BMILMS!$D$31*AM406^3+BMILMS!$E$31*AM406^2+BMILMS!$F$31*AM406+BMILMS!$G$31,BMILMS!$D$32*AM406^3+BMILMS!$E$32*AM406^2+BMILMS!$F$32*AM406+BMILMS!$G$32)))))))</f>
        <v>12.568967990000001</v>
      </c>
      <c r="AL406" s="4">
        <f>IF(D406="M",(IF(AM406&lt;90,BMILMS!$D$14*AM406^3+BMILMS!$E$14*AM406^2+BMILMS!$F$14*AM406+BMILMS!$G$14,BMILMS!$D$15*AM406^3+BMILMS!$E$15*AM406^2+BMILMS!$F$15*AM406+BMILMS!$G$15)),(IF(AM406&lt;90,BMILMS!$D$17*AM406^3+BMILMS!$E$17*AM406^2+BMILMS!$F$17*AM406+BMILMS!$G$17,BMILMS!$D$18*AM406^3+BMILMS!$E$18*AM406^2+BMILMS!$F$18*AM406+BMILMS!$G$18)))</f>
        <v>8.8969350000000003E-2</v>
      </c>
      <c r="AM406" s="4">
        <f t="shared" si="146"/>
        <v>0</v>
      </c>
      <c r="AO406" s="56">
        <f>IF(D406="M",WeightSDS!P$5*$AM406^7+WeightSDS!Q$5*$AM406^6+WeightSDS!R$5*$AM406^5+WeightSDS!S$5*$AM406^4+WeightSDS!T$5*$AM406^3+WeightSDS!U$5*$AM406^2+WeightSDS!V$5*$AM406+WeightSDS!W$5,IF($AM406&lt;186,WeightSDS!P$8*$AM406^7+WeightSDS!Q$8*$AM406^6+WeightSDS!R$8*$AM406^5+WeightSDS!S$8*$AM406^4+WeightSDS!T$8*$AM406^3+WeightSDS!U$8*$AM406^2+WeightSDS!V$8*$AM406+WeightSDS!W$8,WeightSDS!$U$9+WeightSDS!$V$9*($AM406-WeightSDS!$W$9)))</f>
        <v>0.75407122999999998</v>
      </c>
      <c r="AP406" s="4">
        <f>IF(D406="M",IF($AM406&lt;45,WeightSDS!M$23*$AM406^10+WeightSDS!N$23*$AM406^9+WeightSDS!O$23*$AM406^8+WeightSDS!P$23*$AM406^7+WeightSDS!Q$23*$AM406^6+WeightSDS!R$23*$AM406^5+WeightSDS!S$23*$AM406^4+WeightSDS!T$23*$AM406^3+WeightSDS!U$23*$AM406^2+WeightSDS!V$23*$AM406+WeightSDS!W$23,IF($AM406&lt;153,WeightSDS!M$25*$AM406^10+WeightSDS!N$25*$AM406^9+WeightSDS!O$25*$AM406^8+WeightSDS!P$25*$AM406^7+WeightSDS!Q$25*$AM406^6+WeightSDS!R$25*$AM406^5+WeightSDS!S$25*$AM406^4+WeightSDS!T$25*$AM406^3+WeightSDS!U$25*$AM406^2+WeightSDS!V$25*$AM406+WeightSDS!W$25,WeightSDS!M$27+WeightSDS!N$27/(1+EXP(WeightSDS!O$27+WeightSDS!P$27*$AM406)))),IF($AM406&lt;43.8,WeightSDS!M$29*$AM406^10+WeightSDS!N$29*$AM406^9+WeightSDS!O$29*$AM406^8+WeightSDS!P$29*$AM406^7+WeightSDS!Q$29*$AM406^6+WeightSDS!R$29*$AM406^5+WeightSDS!S$29*$AM406^4+WeightSDS!T$29*$AM406^3+WeightSDS!U$29*$AM406^2+WeightSDS!V$29*$AM406+WeightSDS!W$29-0.010431*(1-$AM406/210),IF($AM406&lt;123,WeightSDS!M$30*$AM406^10+WeightSDS!N$30*$AM406^9+WeightSDS!O$30*$AM406^8+WeightSDS!P$30*$AM406^7+WeightSDS!Q$30*$AM406^6+WeightSDS!R$30*$AM406^5+WeightSDS!S$30*$AM406^4+WeightSDS!T$30*$AM406^3+WeightSDS!U$30*$AM406^2+WeightSDS!V$30*$AM406+WeightSDS!W$30-0.010431*(1-1/$AM406),WeightSDS!M$32+WeightSDS!N$32/(1+EXP(WeightSDS!O$32+WeightSDS!P$32*$AM406))-0.010431*(1-$AM406/210))))</f>
        <v>2.9500001032655536</v>
      </c>
      <c r="AQ406" s="4">
        <f>IF(D406="M",IF($AM406&lt;162,WeightSDS!P$12*$AM406^7+WeightSDS!Q$12*$AM406^6+WeightSDS!R$12*$AM406^5+WeightSDS!S$12*$AM406^4+WeightSDS!T$12*$AM406^3+WeightSDS!U$12*$AM406^2+WeightSDS!V$12*$AM406+WeightSDS!W$12,WeightSDS!P$14*$AM406^7+WeightSDS!Q$14*$AM406^6+WeightSDS!R$14*$AM406^5+WeightSDS!S$14*$AM406^4+WeightSDS!T$14*$AM406^3+WeightSDS!U$14*$AM406^2+WeightSDS!V$14*$AM406+WeightSDS!W$14),IF($AM406&lt;156,WeightSDS!O$17*$AM406^8+WeightSDS!P$17*$AM406^7+WeightSDS!Q$17*$AM406^6+WeightSDS!R$17*$AM406^5+WeightSDS!S$17*$AM406^4+WeightSDS!T$17*$AM406^3+WeightSDS!U$17*$AM406^2+WeightSDS!V$17*$AM406+WeightSDS!W$17,IF($AM406&lt;186,WeightSDS!$U$18+(WeightSDS!$V$18-WeightSDS!$U$18)/24*($AM406-186)+WeightSDS!$W$18*(-$AM406+186)^2-0.005,WeightSDS!$U$18+(WeightSDS!$V$18-WeightSDS!$U$18)/24*($AM406-186)-0.005)))</f>
        <v>0.14604529399999999</v>
      </c>
      <c r="AT406" s="4">
        <f t="shared" si="133"/>
        <v>0.56299999999999994</v>
      </c>
      <c r="AU406" s="4">
        <f t="shared" si="134"/>
        <v>69</v>
      </c>
      <c r="AV406" s="4">
        <f t="shared" si="135"/>
        <v>0.51</v>
      </c>
    </row>
    <row r="407" spans="1:48" x14ac:dyDescent="0.15">
      <c r="A407" s="4"/>
      <c r="B407" s="21"/>
      <c r="C407" s="21"/>
      <c r="D407" s="21"/>
      <c r="E407" s="22"/>
      <c r="F407" s="22"/>
      <c r="G407" s="23"/>
      <c r="H407" s="23"/>
      <c r="I407" s="181"/>
      <c r="J407" s="8" t="str">
        <f t="shared" si="127"/>
        <v/>
      </c>
      <c r="K407" s="2" t="str">
        <f t="shared" si="136"/>
        <v/>
      </c>
      <c r="L407" s="2" t="str">
        <f t="shared" si="128"/>
        <v/>
      </c>
      <c r="M407" s="2" t="str">
        <f t="shared" si="137"/>
        <v/>
      </c>
      <c r="N407" s="2" t="str">
        <f t="shared" si="145"/>
        <v/>
      </c>
      <c r="O407" s="2" t="str">
        <f t="shared" si="138"/>
        <v/>
      </c>
      <c r="P407" s="8" t="str">
        <f t="shared" si="139"/>
        <v/>
      </c>
      <c r="Q407" s="8" t="str">
        <f t="shared" si="140"/>
        <v/>
      </c>
      <c r="R407" s="111" t="str">
        <f t="shared" si="141"/>
        <v/>
      </c>
      <c r="S407" s="44" t="str">
        <f t="shared" si="142"/>
        <v/>
      </c>
      <c r="T407" s="37" t="str">
        <f t="shared" si="143"/>
        <v/>
      </c>
      <c r="U407" s="44" t="str">
        <f t="shared" si="144"/>
        <v/>
      </c>
      <c r="V407" s="26"/>
      <c r="W407" s="26"/>
      <c r="X407" s="26"/>
      <c r="Y407" s="26"/>
      <c r="Z407" s="24"/>
      <c r="AA407" s="169">
        <f t="shared" si="129"/>
        <v>0</v>
      </c>
      <c r="AB407" s="4">
        <f t="shared" si="130"/>
        <v>0</v>
      </c>
      <c r="AC407" s="170">
        <f t="shared" si="126"/>
        <v>0</v>
      </c>
      <c r="AD407" s="58"/>
      <c r="AE407" s="58"/>
      <c r="AF407" s="58"/>
      <c r="AG407" s="59">
        <f t="shared" si="131"/>
        <v>9.0359999999999996</v>
      </c>
      <c r="AH407" s="59">
        <f t="shared" si="132"/>
        <v>-184.49199999999999</v>
      </c>
      <c r="AJ407" s="4">
        <f>IF(D407="M",IF(AM407&lt;78,BMILMS!$D$5*AM407^3+BMILMS!$E$5*AM407^2+BMILMS!$F$5*AM407+BMILMS!$G$5,IF(AM407&lt;150,BMILMS!$D$6*AM407^3+BMILMS!$E$6*AM407^2+BMILMS!$F$6*AM407+BMILMS!$G$6,BMILMS!$D$7*AM407^3+BMILMS!$E$7*AM407^2+BMILMS!$F$7*AM407+BMILMS!$G$7)),IF(AM407&lt;69,BMILMS!$D$9*AM407^3+BMILMS!$E$9*AM407^2+BMILMS!$F$9*AM407+BMILMS!$G$9,IF(AM407&lt;150,BMILMS!$D$10*AM407^3+BMILMS!$E$10*AM407^2+BMILMS!$F$10*AM407+BMILMS!$G$10,BMILMS!$D$11*AM407^3+BMILMS!$E$11*AM407^2+BMILMS!$F$11*AM407+BMILMS!$G$11)))</f>
        <v>0.79584630099999998</v>
      </c>
      <c r="AK407" s="4">
        <f>IF(D407="M",(IF(AM407&lt;2.5,BMILMS!$D$21*AM407^3+BMILMS!$E$21*AM407^2+BMILMS!$F$21*AM407+BMILMS!$G$21,IF(AM407&lt;9.5,BMILMS!$D$22*AM407^3+BMILMS!$E$22*AM407^2+BMILMS!$F$22*AM407+BMILMS!$G$22,IF(AM407&lt;26.75,BMILMS!$D$23*AM407^3+BMILMS!$E$23*AM407^2+BMILMS!$F$23*AM407+BMILMS!$G$23,IF(AM407&lt;90,BMILMS!$D$24*AM407^3+BMILMS!$E$24*AM407^2+BMILMS!$F$24*AM407+BMILMS!$G$24,BMILMS!$D$25*AM407^3+BMILMS!$E$25*AM407^2+BMILMS!$F$25*AM407+BMILMS!$G$25))))),(IF(AM407&lt;2.5,BMILMS!$D$27*AM407^3+BMILMS!$E$27*AM407^2+BMILMS!$F$27*AM407+BMILMS!$G$27,IF(AM407&lt;9.5,BMILMS!$D$28*AM407^3+BMILMS!$E$28*AM407^2+BMILMS!$F$28*AM407+BMILMS!$G$28,IF(AM407&lt;26.75,BMILMS!$D$29*AM407^3+BMILMS!$E$29*AM407^2+BMILMS!$F$29*AM407+BMILMS!$G$29,IF(AM407&lt;90,BMILMS!$D$30*AM407^3+BMILMS!$E$30*AM407^2+BMILMS!$F$30*AM407+BMILMS!$G$30,IF(AM407&lt;150,BMILMS!$D$31*AM407^3+BMILMS!$E$31*AM407^2+BMILMS!$F$31*AM407+BMILMS!$G$31,BMILMS!$D$32*AM407^3+BMILMS!$E$32*AM407^2+BMILMS!$F$32*AM407+BMILMS!$G$32)))))))</f>
        <v>12.568967990000001</v>
      </c>
      <c r="AL407" s="4">
        <f>IF(D407="M",(IF(AM407&lt;90,BMILMS!$D$14*AM407^3+BMILMS!$E$14*AM407^2+BMILMS!$F$14*AM407+BMILMS!$G$14,BMILMS!$D$15*AM407^3+BMILMS!$E$15*AM407^2+BMILMS!$F$15*AM407+BMILMS!$G$15)),(IF(AM407&lt;90,BMILMS!$D$17*AM407^3+BMILMS!$E$17*AM407^2+BMILMS!$F$17*AM407+BMILMS!$G$17,BMILMS!$D$18*AM407^3+BMILMS!$E$18*AM407^2+BMILMS!$F$18*AM407+BMILMS!$G$18)))</f>
        <v>8.8969350000000003E-2</v>
      </c>
      <c r="AM407" s="4">
        <f t="shared" si="146"/>
        <v>0</v>
      </c>
      <c r="AO407" s="56">
        <f>IF(D407="M",WeightSDS!P$5*$AM407^7+WeightSDS!Q$5*$AM407^6+WeightSDS!R$5*$AM407^5+WeightSDS!S$5*$AM407^4+WeightSDS!T$5*$AM407^3+WeightSDS!U$5*$AM407^2+WeightSDS!V$5*$AM407+WeightSDS!W$5,IF($AM407&lt;186,WeightSDS!P$8*$AM407^7+WeightSDS!Q$8*$AM407^6+WeightSDS!R$8*$AM407^5+WeightSDS!S$8*$AM407^4+WeightSDS!T$8*$AM407^3+WeightSDS!U$8*$AM407^2+WeightSDS!V$8*$AM407+WeightSDS!W$8,WeightSDS!$U$9+WeightSDS!$V$9*($AM407-WeightSDS!$W$9)))</f>
        <v>0.75407122999999998</v>
      </c>
      <c r="AP407" s="4">
        <f>IF(D407="M",IF($AM407&lt;45,WeightSDS!M$23*$AM407^10+WeightSDS!N$23*$AM407^9+WeightSDS!O$23*$AM407^8+WeightSDS!P$23*$AM407^7+WeightSDS!Q$23*$AM407^6+WeightSDS!R$23*$AM407^5+WeightSDS!S$23*$AM407^4+WeightSDS!T$23*$AM407^3+WeightSDS!U$23*$AM407^2+WeightSDS!V$23*$AM407+WeightSDS!W$23,IF($AM407&lt;153,WeightSDS!M$25*$AM407^10+WeightSDS!N$25*$AM407^9+WeightSDS!O$25*$AM407^8+WeightSDS!P$25*$AM407^7+WeightSDS!Q$25*$AM407^6+WeightSDS!R$25*$AM407^5+WeightSDS!S$25*$AM407^4+WeightSDS!T$25*$AM407^3+WeightSDS!U$25*$AM407^2+WeightSDS!V$25*$AM407+WeightSDS!W$25,WeightSDS!M$27+WeightSDS!N$27/(1+EXP(WeightSDS!O$27+WeightSDS!P$27*$AM407)))),IF($AM407&lt;43.8,WeightSDS!M$29*$AM407^10+WeightSDS!N$29*$AM407^9+WeightSDS!O$29*$AM407^8+WeightSDS!P$29*$AM407^7+WeightSDS!Q$29*$AM407^6+WeightSDS!R$29*$AM407^5+WeightSDS!S$29*$AM407^4+WeightSDS!T$29*$AM407^3+WeightSDS!U$29*$AM407^2+WeightSDS!V$29*$AM407+WeightSDS!W$29-0.010431*(1-$AM407/210),IF($AM407&lt;123,WeightSDS!M$30*$AM407^10+WeightSDS!N$30*$AM407^9+WeightSDS!O$30*$AM407^8+WeightSDS!P$30*$AM407^7+WeightSDS!Q$30*$AM407^6+WeightSDS!R$30*$AM407^5+WeightSDS!S$30*$AM407^4+WeightSDS!T$30*$AM407^3+WeightSDS!U$30*$AM407^2+WeightSDS!V$30*$AM407+WeightSDS!W$30-0.010431*(1-1/$AM407),WeightSDS!M$32+WeightSDS!N$32/(1+EXP(WeightSDS!O$32+WeightSDS!P$32*$AM407))-0.010431*(1-$AM407/210))))</f>
        <v>2.9500001032655536</v>
      </c>
      <c r="AQ407" s="4">
        <f>IF(D407="M",IF($AM407&lt;162,WeightSDS!P$12*$AM407^7+WeightSDS!Q$12*$AM407^6+WeightSDS!R$12*$AM407^5+WeightSDS!S$12*$AM407^4+WeightSDS!T$12*$AM407^3+WeightSDS!U$12*$AM407^2+WeightSDS!V$12*$AM407+WeightSDS!W$12,WeightSDS!P$14*$AM407^7+WeightSDS!Q$14*$AM407^6+WeightSDS!R$14*$AM407^5+WeightSDS!S$14*$AM407^4+WeightSDS!T$14*$AM407^3+WeightSDS!U$14*$AM407^2+WeightSDS!V$14*$AM407+WeightSDS!W$14),IF($AM407&lt;156,WeightSDS!O$17*$AM407^8+WeightSDS!P$17*$AM407^7+WeightSDS!Q$17*$AM407^6+WeightSDS!R$17*$AM407^5+WeightSDS!S$17*$AM407^4+WeightSDS!T$17*$AM407^3+WeightSDS!U$17*$AM407^2+WeightSDS!V$17*$AM407+WeightSDS!W$17,IF($AM407&lt;186,WeightSDS!$U$18+(WeightSDS!$V$18-WeightSDS!$U$18)/24*($AM407-186)+WeightSDS!$W$18*(-$AM407+186)^2-0.005,WeightSDS!$U$18+(WeightSDS!$V$18-WeightSDS!$U$18)/24*($AM407-186)-0.005)))</f>
        <v>0.14604529399999999</v>
      </c>
      <c r="AT407" s="4">
        <f t="shared" si="133"/>
        <v>0.56299999999999994</v>
      </c>
      <c r="AU407" s="4">
        <f t="shared" si="134"/>
        <v>69</v>
      </c>
      <c r="AV407" s="4">
        <f t="shared" si="135"/>
        <v>0.51</v>
      </c>
    </row>
    <row r="408" spans="1:48" x14ac:dyDescent="0.15">
      <c r="A408" s="4"/>
      <c r="B408" s="21"/>
      <c r="C408" s="21"/>
      <c r="D408" s="21"/>
      <c r="E408" s="22"/>
      <c r="F408" s="22"/>
      <c r="G408" s="23"/>
      <c r="H408" s="23"/>
      <c r="I408" s="181"/>
      <c r="J408" s="8" t="str">
        <f t="shared" si="127"/>
        <v/>
      </c>
      <c r="K408" s="2" t="str">
        <f t="shared" si="136"/>
        <v/>
      </c>
      <c r="L408" s="2" t="str">
        <f t="shared" si="128"/>
        <v/>
      </c>
      <c r="M408" s="2" t="str">
        <f t="shared" si="137"/>
        <v/>
      </c>
      <c r="N408" s="2" t="str">
        <f t="shared" si="145"/>
        <v/>
      </c>
      <c r="O408" s="2" t="str">
        <f t="shared" si="138"/>
        <v/>
      </c>
      <c r="P408" s="8" t="str">
        <f t="shared" si="139"/>
        <v/>
      </c>
      <c r="Q408" s="8" t="str">
        <f t="shared" si="140"/>
        <v/>
      </c>
      <c r="R408" s="111" t="str">
        <f t="shared" si="141"/>
        <v/>
      </c>
      <c r="S408" s="44" t="str">
        <f t="shared" si="142"/>
        <v/>
      </c>
      <c r="T408" s="37" t="str">
        <f t="shared" si="143"/>
        <v/>
      </c>
      <c r="U408" s="44" t="str">
        <f t="shared" si="144"/>
        <v/>
      </c>
      <c r="V408" s="26"/>
      <c r="W408" s="26"/>
      <c r="X408" s="26"/>
      <c r="Y408" s="26"/>
      <c r="Z408" s="24"/>
      <c r="AA408" s="169">
        <f t="shared" si="129"/>
        <v>0</v>
      </c>
      <c r="AB408" s="4">
        <f t="shared" si="130"/>
        <v>0</v>
      </c>
      <c r="AC408" s="170">
        <f t="shared" si="126"/>
        <v>0</v>
      </c>
      <c r="AD408" s="58"/>
      <c r="AE408" s="58"/>
      <c r="AF408" s="58"/>
      <c r="AG408" s="59">
        <f t="shared" si="131"/>
        <v>9.0359999999999996</v>
      </c>
      <c r="AH408" s="59">
        <f t="shared" si="132"/>
        <v>-184.49199999999999</v>
      </c>
      <c r="AJ408" s="4">
        <f>IF(D408="M",IF(AM408&lt;78,BMILMS!$D$5*AM408^3+BMILMS!$E$5*AM408^2+BMILMS!$F$5*AM408+BMILMS!$G$5,IF(AM408&lt;150,BMILMS!$D$6*AM408^3+BMILMS!$E$6*AM408^2+BMILMS!$F$6*AM408+BMILMS!$G$6,BMILMS!$D$7*AM408^3+BMILMS!$E$7*AM408^2+BMILMS!$F$7*AM408+BMILMS!$G$7)),IF(AM408&lt;69,BMILMS!$D$9*AM408^3+BMILMS!$E$9*AM408^2+BMILMS!$F$9*AM408+BMILMS!$G$9,IF(AM408&lt;150,BMILMS!$D$10*AM408^3+BMILMS!$E$10*AM408^2+BMILMS!$F$10*AM408+BMILMS!$G$10,BMILMS!$D$11*AM408^3+BMILMS!$E$11*AM408^2+BMILMS!$F$11*AM408+BMILMS!$G$11)))</f>
        <v>0.79584630099999998</v>
      </c>
      <c r="AK408" s="4">
        <f>IF(D408="M",(IF(AM408&lt;2.5,BMILMS!$D$21*AM408^3+BMILMS!$E$21*AM408^2+BMILMS!$F$21*AM408+BMILMS!$G$21,IF(AM408&lt;9.5,BMILMS!$D$22*AM408^3+BMILMS!$E$22*AM408^2+BMILMS!$F$22*AM408+BMILMS!$G$22,IF(AM408&lt;26.75,BMILMS!$D$23*AM408^3+BMILMS!$E$23*AM408^2+BMILMS!$F$23*AM408+BMILMS!$G$23,IF(AM408&lt;90,BMILMS!$D$24*AM408^3+BMILMS!$E$24*AM408^2+BMILMS!$F$24*AM408+BMILMS!$G$24,BMILMS!$D$25*AM408^3+BMILMS!$E$25*AM408^2+BMILMS!$F$25*AM408+BMILMS!$G$25))))),(IF(AM408&lt;2.5,BMILMS!$D$27*AM408^3+BMILMS!$E$27*AM408^2+BMILMS!$F$27*AM408+BMILMS!$G$27,IF(AM408&lt;9.5,BMILMS!$D$28*AM408^3+BMILMS!$E$28*AM408^2+BMILMS!$F$28*AM408+BMILMS!$G$28,IF(AM408&lt;26.75,BMILMS!$D$29*AM408^3+BMILMS!$E$29*AM408^2+BMILMS!$F$29*AM408+BMILMS!$G$29,IF(AM408&lt;90,BMILMS!$D$30*AM408^3+BMILMS!$E$30*AM408^2+BMILMS!$F$30*AM408+BMILMS!$G$30,IF(AM408&lt;150,BMILMS!$D$31*AM408^3+BMILMS!$E$31*AM408^2+BMILMS!$F$31*AM408+BMILMS!$G$31,BMILMS!$D$32*AM408^3+BMILMS!$E$32*AM408^2+BMILMS!$F$32*AM408+BMILMS!$G$32)))))))</f>
        <v>12.568967990000001</v>
      </c>
      <c r="AL408" s="4">
        <f>IF(D408="M",(IF(AM408&lt;90,BMILMS!$D$14*AM408^3+BMILMS!$E$14*AM408^2+BMILMS!$F$14*AM408+BMILMS!$G$14,BMILMS!$D$15*AM408^3+BMILMS!$E$15*AM408^2+BMILMS!$F$15*AM408+BMILMS!$G$15)),(IF(AM408&lt;90,BMILMS!$D$17*AM408^3+BMILMS!$E$17*AM408^2+BMILMS!$F$17*AM408+BMILMS!$G$17,BMILMS!$D$18*AM408^3+BMILMS!$E$18*AM408^2+BMILMS!$F$18*AM408+BMILMS!$G$18)))</f>
        <v>8.8969350000000003E-2</v>
      </c>
      <c r="AM408" s="4">
        <f t="shared" si="146"/>
        <v>0</v>
      </c>
      <c r="AO408" s="56">
        <f>IF(D408="M",WeightSDS!P$5*$AM408^7+WeightSDS!Q$5*$AM408^6+WeightSDS!R$5*$AM408^5+WeightSDS!S$5*$AM408^4+WeightSDS!T$5*$AM408^3+WeightSDS!U$5*$AM408^2+WeightSDS!V$5*$AM408+WeightSDS!W$5,IF($AM408&lt;186,WeightSDS!P$8*$AM408^7+WeightSDS!Q$8*$AM408^6+WeightSDS!R$8*$AM408^5+WeightSDS!S$8*$AM408^4+WeightSDS!T$8*$AM408^3+WeightSDS!U$8*$AM408^2+WeightSDS!V$8*$AM408+WeightSDS!W$8,WeightSDS!$U$9+WeightSDS!$V$9*($AM408-WeightSDS!$W$9)))</f>
        <v>0.75407122999999998</v>
      </c>
      <c r="AP408" s="4">
        <f>IF(D408="M",IF($AM408&lt;45,WeightSDS!M$23*$AM408^10+WeightSDS!N$23*$AM408^9+WeightSDS!O$23*$AM408^8+WeightSDS!P$23*$AM408^7+WeightSDS!Q$23*$AM408^6+WeightSDS!R$23*$AM408^5+WeightSDS!S$23*$AM408^4+WeightSDS!T$23*$AM408^3+WeightSDS!U$23*$AM408^2+WeightSDS!V$23*$AM408+WeightSDS!W$23,IF($AM408&lt;153,WeightSDS!M$25*$AM408^10+WeightSDS!N$25*$AM408^9+WeightSDS!O$25*$AM408^8+WeightSDS!P$25*$AM408^7+WeightSDS!Q$25*$AM408^6+WeightSDS!R$25*$AM408^5+WeightSDS!S$25*$AM408^4+WeightSDS!T$25*$AM408^3+WeightSDS!U$25*$AM408^2+WeightSDS!V$25*$AM408+WeightSDS!W$25,WeightSDS!M$27+WeightSDS!N$27/(1+EXP(WeightSDS!O$27+WeightSDS!P$27*$AM408)))),IF($AM408&lt;43.8,WeightSDS!M$29*$AM408^10+WeightSDS!N$29*$AM408^9+WeightSDS!O$29*$AM408^8+WeightSDS!P$29*$AM408^7+WeightSDS!Q$29*$AM408^6+WeightSDS!R$29*$AM408^5+WeightSDS!S$29*$AM408^4+WeightSDS!T$29*$AM408^3+WeightSDS!U$29*$AM408^2+WeightSDS!V$29*$AM408+WeightSDS!W$29-0.010431*(1-$AM408/210),IF($AM408&lt;123,WeightSDS!M$30*$AM408^10+WeightSDS!N$30*$AM408^9+WeightSDS!O$30*$AM408^8+WeightSDS!P$30*$AM408^7+WeightSDS!Q$30*$AM408^6+WeightSDS!R$30*$AM408^5+WeightSDS!S$30*$AM408^4+WeightSDS!T$30*$AM408^3+WeightSDS!U$30*$AM408^2+WeightSDS!V$30*$AM408+WeightSDS!W$30-0.010431*(1-1/$AM408),WeightSDS!M$32+WeightSDS!N$32/(1+EXP(WeightSDS!O$32+WeightSDS!P$32*$AM408))-0.010431*(1-$AM408/210))))</f>
        <v>2.9500001032655536</v>
      </c>
      <c r="AQ408" s="4">
        <f>IF(D408="M",IF($AM408&lt;162,WeightSDS!P$12*$AM408^7+WeightSDS!Q$12*$AM408^6+WeightSDS!R$12*$AM408^5+WeightSDS!S$12*$AM408^4+WeightSDS!T$12*$AM408^3+WeightSDS!U$12*$AM408^2+WeightSDS!V$12*$AM408+WeightSDS!W$12,WeightSDS!P$14*$AM408^7+WeightSDS!Q$14*$AM408^6+WeightSDS!R$14*$AM408^5+WeightSDS!S$14*$AM408^4+WeightSDS!T$14*$AM408^3+WeightSDS!U$14*$AM408^2+WeightSDS!V$14*$AM408+WeightSDS!W$14),IF($AM408&lt;156,WeightSDS!O$17*$AM408^8+WeightSDS!P$17*$AM408^7+WeightSDS!Q$17*$AM408^6+WeightSDS!R$17*$AM408^5+WeightSDS!S$17*$AM408^4+WeightSDS!T$17*$AM408^3+WeightSDS!U$17*$AM408^2+WeightSDS!V$17*$AM408+WeightSDS!W$17,IF($AM408&lt;186,WeightSDS!$U$18+(WeightSDS!$V$18-WeightSDS!$U$18)/24*($AM408-186)+WeightSDS!$W$18*(-$AM408+186)^2-0.005,WeightSDS!$U$18+(WeightSDS!$V$18-WeightSDS!$U$18)/24*($AM408-186)-0.005)))</f>
        <v>0.14604529399999999</v>
      </c>
      <c r="AT408" s="4">
        <f t="shared" si="133"/>
        <v>0.56299999999999994</v>
      </c>
      <c r="AU408" s="4">
        <f t="shared" si="134"/>
        <v>69</v>
      </c>
      <c r="AV408" s="4">
        <f t="shared" si="135"/>
        <v>0.51</v>
      </c>
    </row>
    <row r="409" spans="1:48" x14ac:dyDescent="0.15">
      <c r="A409" s="4"/>
      <c r="B409" s="21"/>
      <c r="C409" s="21"/>
      <c r="D409" s="21"/>
      <c r="E409" s="22"/>
      <c r="F409" s="22"/>
      <c r="G409" s="23"/>
      <c r="H409" s="23"/>
      <c r="I409" s="181"/>
      <c r="J409" s="8" t="str">
        <f t="shared" si="127"/>
        <v/>
      </c>
      <c r="K409" s="2" t="str">
        <f t="shared" si="136"/>
        <v/>
      </c>
      <c r="L409" s="2" t="str">
        <f t="shared" si="128"/>
        <v/>
      </c>
      <c r="M409" s="2" t="str">
        <f t="shared" si="137"/>
        <v/>
      </c>
      <c r="N409" s="2" t="str">
        <f t="shared" si="145"/>
        <v/>
      </c>
      <c r="O409" s="2" t="str">
        <f t="shared" si="138"/>
        <v/>
      </c>
      <c r="P409" s="8" t="str">
        <f t="shared" si="139"/>
        <v/>
      </c>
      <c r="Q409" s="8" t="str">
        <f t="shared" si="140"/>
        <v/>
      </c>
      <c r="R409" s="111" t="str">
        <f t="shared" si="141"/>
        <v/>
      </c>
      <c r="S409" s="44" t="str">
        <f t="shared" si="142"/>
        <v/>
      </c>
      <c r="T409" s="37" t="str">
        <f t="shared" si="143"/>
        <v/>
      </c>
      <c r="U409" s="44" t="str">
        <f t="shared" si="144"/>
        <v/>
      </c>
      <c r="V409" s="26"/>
      <c r="W409" s="26"/>
      <c r="X409" s="26"/>
      <c r="Y409" s="26"/>
      <c r="Z409" s="24"/>
      <c r="AA409" s="169">
        <f t="shared" si="129"/>
        <v>0</v>
      </c>
      <c r="AB409" s="4">
        <f t="shared" si="130"/>
        <v>0</v>
      </c>
      <c r="AC409" s="170">
        <f t="shared" si="126"/>
        <v>0</v>
      </c>
      <c r="AD409" s="58"/>
      <c r="AE409" s="58"/>
      <c r="AF409" s="58"/>
      <c r="AG409" s="59">
        <f t="shared" si="131"/>
        <v>9.0359999999999996</v>
      </c>
      <c r="AH409" s="59">
        <f t="shared" si="132"/>
        <v>-184.49199999999999</v>
      </c>
      <c r="AJ409" s="4">
        <f>IF(D409="M",IF(AM409&lt;78,BMILMS!$D$5*AM409^3+BMILMS!$E$5*AM409^2+BMILMS!$F$5*AM409+BMILMS!$G$5,IF(AM409&lt;150,BMILMS!$D$6*AM409^3+BMILMS!$E$6*AM409^2+BMILMS!$F$6*AM409+BMILMS!$G$6,BMILMS!$D$7*AM409^3+BMILMS!$E$7*AM409^2+BMILMS!$F$7*AM409+BMILMS!$G$7)),IF(AM409&lt;69,BMILMS!$D$9*AM409^3+BMILMS!$E$9*AM409^2+BMILMS!$F$9*AM409+BMILMS!$G$9,IF(AM409&lt;150,BMILMS!$D$10*AM409^3+BMILMS!$E$10*AM409^2+BMILMS!$F$10*AM409+BMILMS!$G$10,BMILMS!$D$11*AM409^3+BMILMS!$E$11*AM409^2+BMILMS!$F$11*AM409+BMILMS!$G$11)))</f>
        <v>0.79584630099999998</v>
      </c>
      <c r="AK409" s="4">
        <f>IF(D409="M",(IF(AM409&lt;2.5,BMILMS!$D$21*AM409^3+BMILMS!$E$21*AM409^2+BMILMS!$F$21*AM409+BMILMS!$G$21,IF(AM409&lt;9.5,BMILMS!$D$22*AM409^3+BMILMS!$E$22*AM409^2+BMILMS!$F$22*AM409+BMILMS!$G$22,IF(AM409&lt;26.75,BMILMS!$D$23*AM409^3+BMILMS!$E$23*AM409^2+BMILMS!$F$23*AM409+BMILMS!$G$23,IF(AM409&lt;90,BMILMS!$D$24*AM409^3+BMILMS!$E$24*AM409^2+BMILMS!$F$24*AM409+BMILMS!$G$24,BMILMS!$D$25*AM409^3+BMILMS!$E$25*AM409^2+BMILMS!$F$25*AM409+BMILMS!$G$25))))),(IF(AM409&lt;2.5,BMILMS!$D$27*AM409^3+BMILMS!$E$27*AM409^2+BMILMS!$F$27*AM409+BMILMS!$G$27,IF(AM409&lt;9.5,BMILMS!$D$28*AM409^3+BMILMS!$E$28*AM409^2+BMILMS!$F$28*AM409+BMILMS!$G$28,IF(AM409&lt;26.75,BMILMS!$D$29*AM409^3+BMILMS!$E$29*AM409^2+BMILMS!$F$29*AM409+BMILMS!$G$29,IF(AM409&lt;90,BMILMS!$D$30*AM409^3+BMILMS!$E$30*AM409^2+BMILMS!$F$30*AM409+BMILMS!$G$30,IF(AM409&lt;150,BMILMS!$D$31*AM409^3+BMILMS!$E$31*AM409^2+BMILMS!$F$31*AM409+BMILMS!$G$31,BMILMS!$D$32*AM409^3+BMILMS!$E$32*AM409^2+BMILMS!$F$32*AM409+BMILMS!$G$32)))))))</f>
        <v>12.568967990000001</v>
      </c>
      <c r="AL409" s="4">
        <f>IF(D409="M",(IF(AM409&lt;90,BMILMS!$D$14*AM409^3+BMILMS!$E$14*AM409^2+BMILMS!$F$14*AM409+BMILMS!$G$14,BMILMS!$D$15*AM409^3+BMILMS!$E$15*AM409^2+BMILMS!$F$15*AM409+BMILMS!$G$15)),(IF(AM409&lt;90,BMILMS!$D$17*AM409^3+BMILMS!$E$17*AM409^2+BMILMS!$F$17*AM409+BMILMS!$G$17,BMILMS!$D$18*AM409^3+BMILMS!$E$18*AM409^2+BMILMS!$F$18*AM409+BMILMS!$G$18)))</f>
        <v>8.8969350000000003E-2</v>
      </c>
      <c r="AM409" s="4">
        <f t="shared" si="146"/>
        <v>0</v>
      </c>
      <c r="AO409" s="56">
        <f>IF(D409="M",WeightSDS!P$5*$AM409^7+WeightSDS!Q$5*$AM409^6+WeightSDS!R$5*$AM409^5+WeightSDS!S$5*$AM409^4+WeightSDS!T$5*$AM409^3+WeightSDS!U$5*$AM409^2+WeightSDS!V$5*$AM409+WeightSDS!W$5,IF($AM409&lt;186,WeightSDS!P$8*$AM409^7+WeightSDS!Q$8*$AM409^6+WeightSDS!R$8*$AM409^5+WeightSDS!S$8*$AM409^4+WeightSDS!T$8*$AM409^3+WeightSDS!U$8*$AM409^2+WeightSDS!V$8*$AM409+WeightSDS!W$8,WeightSDS!$U$9+WeightSDS!$V$9*($AM409-WeightSDS!$W$9)))</f>
        <v>0.75407122999999998</v>
      </c>
      <c r="AP409" s="4">
        <f>IF(D409="M",IF($AM409&lt;45,WeightSDS!M$23*$AM409^10+WeightSDS!N$23*$AM409^9+WeightSDS!O$23*$AM409^8+WeightSDS!P$23*$AM409^7+WeightSDS!Q$23*$AM409^6+WeightSDS!R$23*$AM409^5+WeightSDS!S$23*$AM409^4+WeightSDS!T$23*$AM409^3+WeightSDS!U$23*$AM409^2+WeightSDS!V$23*$AM409+WeightSDS!W$23,IF($AM409&lt;153,WeightSDS!M$25*$AM409^10+WeightSDS!N$25*$AM409^9+WeightSDS!O$25*$AM409^8+WeightSDS!P$25*$AM409^7+WeightSDS!Q$25*$AM409^6+WeightSDS!R$25*$AM409^5+WeightSDS!S$25*$AM409^4+WeightSDS!T$25*$AM409^3+WeightSDS!U$25*$AM409^2+WeightSDS!V$25*$AM409+WeightSDS!W$25,WeightSDS!M$27+WeightSDS!N$27/(1+EXP(WeightSDS!O$27+WeightSDS!P$27*$AM409)))),IF($AM409&lt;43.8,WeightSDS!M$29*$AM409^10+WeightSDS!N$29*$AM409^9+WeightSDS!O$29*$AM409^8+WeightSDS!P$29*$AM409^7+WeightSDS!Q$29*$AM409^6+WeightSDS!R$29*$AM409^5+WeightSDS!S$29*$AM409^4+WeightSDS!T$29*$AM409^3+WeightSDS!U$29*$AM409^2+WeightSDS!V$29*$AM409+WeightSDS!W$29-0.010431*(1-$AM409/210),IF($AM409&lt;123,WeightSDS!M$30*$AM409^10+WeightSDS!N$30*$AM409^9+WeightSDS!O$30*$AM409^8+WeightSDS!P$30*$AM409^7+WeightSDS!Q$30*$AM409^6+WeightSDS!R$30*$AM409^5+WeightSDS!S$30*$AM409^4+WeightSDS!T$30*$AM409^3+WeightSDS!U$30*$AM409^2+WeightSDS!V$30*$AM409+WeightSDS!W$30-0.010431*(1-1/$AM409),WeightSDS!M$32+WeightSDS!N$32/(1+EXP(WeightSDS!O$32+WeightSDS!P$32*$AM409))-0.010431*(1-$AM409/210))))</f>
        <v>2.9500001032655536</v>
      </c>
      <c r="AQ409" s="4">
        <f>IF(D409="M",IF($AM409&lt;162,WeightSDS!P$12*$AM409^7+WeightSDS!Q$12*$AM409^6+WeightSDS!R$12*$AM409^5+WeightSDS!S$12*$AM409^4+WeightSDS!T$12*$AM409^3+WeightSDS!U$12*$AM409^2+WeightSDS!V$12*$AM409+WeightSDS!W$12,WeightSDS!P$14*$AM409^7+WeightSDS!Q$14*$AM409^6+WeightSDS!R$14*$AM409^5+WeightSDS!S$14*$AM409^4+WeightSDS!T$14*$AM409^3+WeightSDS!U$14*$AM409^2+WeightSDS!V$14*$AM409+WeightSDS!W$14),IF($AM409&lt;156,WeightSDS!O$17*$AM409^8+WeightSDS!P$17*$AM409^7+WeightSDS!Q$17*$AM409^6+WeightSDS!R$17*$AM409^5+WeightSDS!S$17*$AM409^4+WeightSDS!T$17*$AM409^3+WeightSDS!U$17*$AM409^2+WeightSDS!V$17*$AM409+WeightSDS!W$17,IF($AM409&lt;186,WeightSDS!$U$18+(WeightSDS!$V$18-WeightSDS!$U$18)/24*($AM409-186)+WeightSDS!$W$18*(-$AM409+186)^2-0.005,WeightSDS!$U$18+(WeightSDS!$V$18-WeightSDS!$U$18)/24*($AM409-186)-0.005)))</f>
        <v>0.14604529399999999</v>
      </c>
      <c r="AT409" s="4">
        <f t="shared" si="133"/>
        <v>0.56299999999999994</v>
      </c>
      <c r="AU409" s="4">
        <f t="shared" si="134"/>
        <v>69</v>
      </c>
      <c r="AV409" s="4">
        <f t="shared" si="135"/>
        <v>0.51</v>
      </c>
    </row>
    <row r="410" spans="1:48" x14ac:dyDescent="0.15">
      <c r="A410" s="4"/>
      <c r="B410" s="21"/>
      <c r="C410" s="21"/>
      <c r="D410" s="21"/>
      <c r="E410" s="22"/>
      <c r="F410" s="22"/>
      <c r="G410" s="23"/>
      <c r="H410" s="23"/>
      <c r="I410" s="181"/>
      <c r="J410" s="8" t="str">
        <f t="shared" si="127"/>
        <v/>
      </c>
      <c r="K410" s="2" t="str">
        <f t="shared" si="136"/>
        <v/>
      </c>
      <c r="L410" s="2" t="str">
        <f t="shared" si="128"/>
        <v/>
      </c>
      <c r="M410" s="2" t="str">
        <f t="shared" si="137"/>
        <v/>
      </c>
      <c r="N410" s="2" t="str">
        <f t="shared" si="145"/>
        <v/>
      </c>
      <c r="O410" s="2" t="str">
        <f t="shared" si="138"/>
        <v/>
      </c>
      <c r="P410" s="8" t="str">
        <f t="shared" si="139"/>
        <v/>
      </c>
      <c r="Q410" s="8" t="str">
        <f t="shared" si="140"/>
        <v/>
      </c>
      <c r="R410" s="111" t="str">
        <f t="shared" si="141"/>
        <v/>
      </c>
      <c r="S410" s="44" t="str">
        <f t="shared" si="142"/>
        <v/>
      </c>
      <c r="T410" s="37" t="str">
        <f t="shared" si="143"/>
        <v/>
      </c>
      <c r="U410" s="44" t="str">
        <f t="shared" si="144"/>
        <v/>
      </c>
      <c r="V410" s="26"/>
      <c r="W410" s="26"/>
      <c r="X410" s="26"/>
      <c r="Y410" s="26"/>
      <c r="Z410" s="24"/>
      <c r="AA410" s="169">
        <f t="shared" si="129"/>
        <v>0</v>
      </c>
      <c r="AB410" s="4">
        <f t="shared" si="130"/>
        <v>0</v>
      </c>
      <c r="AC410" s="170">
        <f t="shared" si="126"/>
        <v>0</v>
      </c>
      <c r="AD410" s="58"/>
      <c r="AE410" s="58"/>
      <c r="AF410" s="58"/>
      <c r="AG410" s="59">
        <f t="shared" si="131"/>
        <v>9.0359999999999996</v>
      </c>
      <c r="AH410" s="59">
        <f t="shared" si="132"/>
        <v>-184.49199999999999</v>
      </c>
      <c r="AJ410" s="4">
        <f>IF(D410="M",IF(AM410&lt;78,BMILMS!$D$5*AM410^3+BMILMS!$E$5*AM410^2+BMILMS!$F$5*AM410+BMILMS!$G$5,IF(AM410&lt;150,BMILMS!$D$6*AM410^3+BMILMS!$E$6*AM410^2+BMILMS!$F$6*AM410+BMILMS!$G$6,BMILMS!$D$7*AM410^3+BMILMS!$E$7*AM410^2+BMILMS!$F$7*AM410+BMILMS!$G$7)),IF(AM410&lt;69,BMILMS!$D$9*AM410^3+BMILMS!$E$9*AM410^2+BMILMS!$F$9*AM410+BMILMS!$G$9,IF(AM410&lt;150,BMILMS!$D$10*AM410^3+BMILMS!$E$10*AM410^2+BMILMS!$F$10*AM410+BMILMS!$G$10,BMILMS!$D$11*AM410^3+BMILMS!$E$11*AM410^2+BMILMS!$F$11*AM410+BMILMS!$G$11)))</f>
        <v>0.79584630099999998</v>
      </c>
      <c r="AK410" s="4">
        <f>IF(D410="M",(IF(AM410&lt;2.5,BMILMS!$D$21*AM410^3+BMILMS!$E$21*AM410^2+BMILMS!$F$21*AM410+BMILMS!$G$21,IF(AM410&lt;9.5,BMILMS!$D$22*AM410^3+BMILMS!$E$22*AM410^2+BMILMS!$F$22*AM410+BMILMS!$G$22,IF(AM410&lt;26.75,BMILMS!$D$23*AM410^3+BMILMS!$E$23*AM410^2+BMILMS!$F$23*AM410+BMILMS!$G$23,IF(AM410&lt;90,BMILMS!$D$24*AM410^3+BMILMS!$E$24*AM410^2+BMILMS!$F$24*AM410+BMILMS!$G$24,BMILMS!$D$25*AM410^3+BMILMS!$E$25*AM410^2+BMILMS!$F$25*AM410+BMILMS!$G$25))))),(IF(AM410&lt;2.5,BMILMS!$D$27*AM410^3+BMILMS!$E$27*AM410^2+BMILMS!$F$27*AM410+BMILMS!$G$27,IF(AM410&lt;9.5,BMILMS!$D$28*AM410^3+BMILMS!$E$28*AM410^2+BMILMS!$F$28*AM410+BMILMS!$G$28,IF(AM410&lt;26.75,BMILMS!$D$29*AM410^3+BMILMS!$E$29*AM410^2+BMILMS!$F$29*AM410+BMILMS!$G$29,IF(AM410&lt;90,BMILMS!$D$30*AM410^3+BMILMS!$E$30*AM410^2+BMILMS!$F$30*AM410+BMILMS!$G$30,IF(AM410&lt;150,BMILMS!$D$31*AM410^3+BMILMS!$E$31*AM410^2+BMILMS!$F$31*AM410+BMILMS!$G$31,BMILMS!$D$32*AM410^3+BMILMS!$E$32*AM410^2+BMILMS!$F$32*AM410+BMILMS!$G$32)))))))</f>
        <v>12.568967990000001</v>
      </c>
      <c r="AL410" s="4">
        <f>IF(D410="M",(IF(AM410&lt;90,BMILMS!$D$14*AM410^3+BMILMS!$E$14*AM410^2+BMILMS!$F$14*AM410+BMILMS!$G$14,BMILMS!$D$15*AM410^3+BMILMS!$E$15*AM410^2+BMILMS!$F$15*AM410+BMILMS!$G$15)),(IF(AM410&lt;90,BMILMS!$D$17*AM410^3+BMILMS!$E$17*AM410^2+BMILMS!$F$17*AM410+BMILMS!$G$17,BMILMS!$D$18*AM410^3+BMILMS!$E$18*AM410^2+BMILMS!$F$18*AM410+BMILMS!$G$18)))</f>
        <v>8.8969350000000003E-2</v>
      </c>
      <c r="AM410" s="4">
        <f t="shared" si="146"/>
        <v>0</v>
      </c>
      <c r="AO410" s="56">
        <f>IF(D410="M",WeightSDS!P$5*$AM410^7+WeightSDS!Q$5*$AM410^6+WeightSDS!R$5*$AM410^5+WeightSDS!S$5*$AM410^4+WeightSDS!T$5*$AM410^3+WeightSDS!U$5*$AM410^2+WeightSDS!V$5*$AM410+WeightSDS!W$5,IF($AM410&lt;186,WeightSDS!P$8*$AM410^7+WeightSDS!Q$8*$AM410^6+WeightSDS!R$8*$AM410^5+WeightSDS!S$8*$AM410^4+WeightSDS!T$8*$AM410^3+WeightSDS!U$8*$AM410^2+WeightSDS!V$8*$AM410+WeightSDS!W$8,WeightSDS!$U$9+WeightSDS!$V$9*($AM410-WeightSDS!$W$9)))</f>
        <v>0.75407122999999998</v>
      </c>
      <c r="AP410" s="4">
        <f>IF(D410="M",IF($AM410&lt;45,WeightSDS!M$23*$AM410^10+WeightSDS!N$23*$AM410^9+WeightSDS!O$23*$AM410^8+WeightSDS!P$23*$AM410^7+WeightSDS!Q$23*$AM410^6+WeightSDS!R$23*$AM410^5+WeightSDS!S$23*$AM410^4+WeightSDS!T$23*$AM410^3+WeightSDS!U$23*$AM410^2+WeightSDS!V$23*$AM410+WeightSDS!W$23,IF($AM410&lt;153,WeightSDS!M$25*$AM410^10+WeightSDS!N$25*$AM410^9+WeightSDS!O$25*$AM410^8+WeightSDS!P$25*$AM410^7+WeightSDS!Q$25*$AM410^6+WeightSDS!R$25*$AM410^5+WeightSDS!S$25*$AM410^4+WeightSDS!T$25*$AM410^3+WeightSDS!U$25*$AM410^2+WeightSDS!V$25*$AM410+WeightSDS!W$25,WeightSDS!M$27+WeightSDS!N$27/(1+EXP(WeightSDS!O$27+WeightSDS!P$27*$AM410)))),IF($AM410&lt;43.8,WeightSDS!M$29*$AM410^10+WeightSDS!N$29*$AM410^9+WeightSDS!O$29*$AM410^8+WeightSDS!P$29*$AM410^7+WeightSDS!Q$29*$AM410^6+WeightSDS!R$29*$AM410^5+WeightSDS!S$29*$AM410^4+WeightSDS!T$29*$AM410^3+WeightSDS!U$29*$AM410^2+WeightSDS!V$29*$AM410+WeightSDS!W$29-0.010431*(1-$AM410/210),IF($AM410&lt;123,WeightSDS!M$30*$AM410^10+WeightSDS!N$30*$AM410^9+WeightSDS!O$30*$AM410^8+WeightSDS!P$30*$AM410^7+WeightSDS!Q$30*$AM410^6+WeightSDS!R$30*$AM410^5+WeightSDS!S$30*$AM410^4+WeightSDS!T$30*$AM410^3+WeightSDS!U$30*$AM410^2+WeightSDS!V$30*$AM410+WeightSDS!W$30-0.010431*(1-1/$AM410),WeightSDS!M$32+WeightSDS!N$32/(1+EXP(WeightSDS!O$32+WeightSDS!P$32*$AM410))-0.010431*(1-$AM410/210))))</f>
        <v>2.9500001032655536</v>
      </c>
      <c r="AQ410" s="4">
        <f>IF(D410="M",IF($AM410&lt;162,WeightSDS!P$12*$AM410^7+WeightSDS!Q$12*$AM410^6+WeightSDS!R$12*$AM410^5+WeightSDS!S$12*$AM410^4+WeightSDS!T$12*$AM410^3+WeightSDS!U$12*$AM410^2+WeightSDS!V$12*$AM410+WeightSDS!W$12,WeightSDS!P$14*$AM410^7+WeightSDS!Q$14*$AM410^6+WeightSDS!R$14*$AM410^5+WeightSDS!S$14*$AM410^4+WeightSDS!T$14*$AM410^3+WeightSDS!U$14*$AM410^2+WeightSDS!V$14*$AM410+WeightSDS!W$14),IF($AM410&lt;156,WeightSDS!O$17*$AM410^8+WeightSDS!P$17*$AM410^7+WeightSDS!Q$17*$AM410^6+WeightSDS!R$17*$AM410^5+WeightSDS!S$17*$AM410^4+WeightSDS!T$17*$AM410^3+WeightSDS!U$17*$AM410^2+WeightSDS!V$17*$AM410+WeightSDS!W$17,IF($AM410&lt;186,WeightSDS!$U$18+(WeightSDS!$V$18-WeightSDS!$U$18)/24*($AM410-186)+WeightSDS!$W$18*(-$AM410+186)^2-0.005,WeightSDS!$U$18+(WeightSDS!$V$18-WeightSDS!$U$18)/24*($AM410-186)-0.005)))</f>
        <v>0.14604529399999999</v>
      </c>
      <c r="AT410" s="4">
        <f t="shared" si="133"/>
        <v>0.56299999999999994</v>
      </c>
      <c r="AU410" s="4">
        <f t="shared" si="134"/>
        <v>69</v>
      </c>
      <c r="AV410" s="4">
        <f t="shared" si="135"/>
        <v>0.51</v>
      </c>
    </row>
    <row r="411" spans="1:48" x14ac:dyDescent="0.15">
      <c r="A411" s="4"/>
      <c r="B411" s="21"/>
      <c r="C411" s="21"/>
      <c r="D411" s="21"/>
      <c r="E411" s="22"/>
      <c r="F411" s="22"/>
      <c r="G411" s="23"/>
      <c r="H411" s="23"/>
      <c r="I411" s="181"/>
      <c r="J411" s="8" t="str">
        <f t="shared" si="127"/>
        <v/>
      </c>
      <c r="K411" s="2" t="str">
        <f t="shared" si="136"/>
        <v/>
      </c>
      <c r="L411" s="2" t="str">
        <f t="shared" si="128"/>
        <v/>
      </c>
      <c r="M411" s="2" t="str">
        <f t="shared" si="137"/>
        <v/>
      </c>
      <c r="N411" s="2" t="str">
        <f t="shared" si="145"/>
        <v/>
      </c>
      <c r="O411" s="2" t="str">
        <f t="shared" si="138"/>
        <v/>
      </c>
      <c r="P411" s="8" t="str">
        <f t="shared" si="139"/>
        <v/>
      </c>
      <c r="Q411" s="8" t="str">
        <f t="shared" si="140"/>
        <v/>
      </c>
      <c r="R411" s="111" t="str">
        <f t="shared" si="141"/>
        <v/>
      </c>
      <c r="S411" s="44" t="str">
        <f t="shared" si="142"/>
        <v/>
      </c>
      <c r="T411" s="37" t="str">
        <f t="shared" si="143"/>
        <v/>
      </c>
      <c r="U411" s="44" t="str">
        <f t="shared" si="144"/>
        <v/>
      </c>
      <c r="V411" s="26"/>
      <c r="W411" s="26"/>
      <c r="X411" s="26"/>
      <c r="Y411" s="26"/>
      <c r="Z411" s="24"/>
      <c r="AA411" s="169">
        <f t="shared" si="129"/>
        <v>0</v>
      </c>
      <c r="AB411" s="4">
        <f t="shared" si="130"/>
        <v>0</v>
      </c>
      <c r="AC411" s="170">
        <f t="shared" si="126"/>
        <v>0</v>
      </c>
      <c r="AD411" s="58"/>
      <c r="AE411" s="58"/>
      <c r="AF411" s="58"/>
      <c r="AG411" s="59">
        <f t="shared" si="131"/>
        <v>9.0359999999999996</v>
      </c>
      <c r="AH411" s="59">
        <f t="shared" si="132"/>
        <v>-184.49199999999999</v>
      </c>
      <c r="AJ411" s="4">
        <f>IF(D411="M",IF(AM411&lt;78,BMILMS!$D$5*AM411^3+BMILMS!$E$5*AM411^2+BMILMS!$F$5*AM411+BMILMS!$G$5,IF(AM411&lt;150,BMILMS!$D$6*AM411^3+BMILMS!$E$6*AM411^2+BMILMS!$F$6*AM411+BMILMS!$G$6,BMILMS!$D$7*AM411^3+BMILMS!$E$7*AM411^2+BMILMS!$F$7*AM411+BMILMS!$G$7)),IF(AM411&lt;69,BMILMS!$D$9*AM411^3+BMILMS!$E$9*AM411^2+BMILMS!$F$9*AM411+BMILMS!$G$9,IF(AM411&lt;150,BMILMS!$D$10*AM411^3+BMILMS!$E$10*AM411^2+BMILMS!$F$10*AM411+BMILMS!$G$10,BMILMS!$D$11*AM411^3+BMILMS!$E$11*AM411^2+BMILMS!$F$11*AM411+BMILMS!$G$11)))</f>
        <v>0.79584630099999998</v>
      </c>
      <c r="AK411" s="4">
        <f>IF(D411="M",(IF(AM411&lt;2.5,BMILMS!$D$21*AM411^3+BMILMS!$E$21*AM411^2+BMILMS!$F$21*AM411+BMILMS!$G$21,IF(AM411&lt;9.5,BMILMS!$D$22*AM411^3+BMILMS!$E$22*AM411^2+BMILMS!$F$22*AM411+BMILMS!$G$22,IF(AM411&lt;26.75,BMILMS!$D$23*AM411^3+BMILMS!$E$23*AM411^2+BMILMS!$F$23*AM411+BMILMS!$G$23,IF(AM411&lt;90,BMILMS!$D$24*AM411^3+BMILMS!$E$24*AM411^2+BMILMS!$F$24*AM411+BMILMS!$G$24,BMILMS!$D$25*AM411^3+BMILMS!$E$25*AM411^2+BMILMS!$F$25*AM411+BMILMS!$G$25))))),(IF(AM411&lt;2.5,BMILMS!$D$27*AM411^3+BMILMS!$E$27*AM411^2+BMILMS!$F$27*AM411+BMILMS!$G$27,IF(AM411&lt;9.5,BMILMS!$D$28*AM411^3+BMILMS!$E$28*AM411^2+BMILMS!$F$28*AM411+BMILMS!$G$28,IF(AM411&lt;26.75,BMILMS!$D$29*AM411^3+BMILMS!$E$29*AM411^2+BMILMS!$F$29*AM411+BMILMS!$G$29,IF(AM411&lt;90,BMILMS!$D$30*AM411^3+BMILMS!$E$30*AM411^2+BMILMS!$F$30*AM411+BMILMS!$G$30,IF(AM411&lt;150,BMILMS!$D$31*AM411^3+BMILMS!$E$31*AM411^2+BMILMS!$F$31*AM411+BMILMS!$G$31,BMILMS!$D$32*AM411^3+BMILMS!$E$32*AM411^2+BMILMS!$F$32*AM411+BMILMS!$G$32)))))))</f>
        <v>12.568967990000001</v>
      </c>
      <c r="AL411" s="4">
        <f>IF(D411="M",(IF(AM411&lt;90,BMILMS!$D$14*AM411^3+BMILMS!$E$14*AM411^2+BMILMS!$F$14*AM411+BMILMS!$G$14,BMILMS!$D$15*AM411^3+BMILMS!$E$15*AM411^2+BMILMS!$F$15*AM411+BMILMS!$G$15)),(IF(AM411&lt;90,BMILMS!$D$17*AM411^3+BMILMS!$E$17*AM411^2+BMILMS!$F$17*AM411+BMILMS!$G$17,BMILMS!$D$18*AM411^3+BMILMS!$E$18*AM411^2+BMILMS!$F$18*AM411+BMILMS!$G$18)))</f>
        <v>8.8969350000000003E-2</v>
      </c>
      <c r="AM411" s="4">
        <f t="shared" si="146"/>
        <v>0</v>
      </c>
      <c r="AO411" s="56">
        <f>IF(D411="M",WeightSDS!P$5*$AM411^7+WeightSDS!Q$5*$AM411^6+WeightSDS!R$5*$AM411^5+WeightSDS!S$5*$AM411^4+WeightSDS!T$5*$AM411^3+WeightSDS!U$5*$AM411^2+WeightSDS!V$5*$AM411+WeightSDS!W$5,IF($AM411&lt;186,WeightSDS!P$8*$AM411^7+WeightSDS!Q$8*$AM411^6+WeightSDS!R$8*$AM411^5+WeightSDS!S$8*$AM411^4+WeightSDS!T$8*$AM411^3+WeightSDS!U$8*$AM411^2+WeightSDS!V$8*$AM411+WeightSDS!W$8,WeightSDS!$U$9+WeightSDS!$V$9*($AM411-WeightSDS!$W$9)))</f>
        <v>0.75407122999999998</v>
      </c>
      <c r="AP411" s="4">
        <f>IF(D411="M",IF($AM411&lt;45,WeightSDS!M$23*$AM411^10+WeightSDS!N$23*$AM411^9+WeightSDS!O$23*$AM411^8+WeightSDS!P$23*$AM411^7+WeightSDS!Q$23*$AM411^6+WeightSDS!R$23*$AM411^5+WeightSDS!S$23*$AM411^4+WeightSDS!T$23*$AM411^3+WeightSDS!U$23*$AM411^2+WeightSDS!V$23*$AM411+WeightSDS!W$23,IF($AM411&lt;153,WeightSDS!M$25*$AM411^10+WeightSDS!N$25*$AM411^9+WeightSDS!O$25*$AM411^8+WeightSDS!P$25*$AM411^7+WeightSDS!Q$25*$AM411^6+WeightSDS!R$25*$AM411^5+WeightSDS!S$25*$AM411^4+WeightSDS!T$25*$AM411^3+WeightSDS!U$25*$AM411^2+WeightSDS!V$25*$AM411+WeightSDS!W$25,WeightSDS!M$27+WeightSDS!N$27/(1+EXP(WeightSDS!O$27+WeightSDS!P$27*$AM411)))),IF($AM411&lt;43.8,WeightSDS!M$29*$AM411^10+WeightSDS!N$29*$AM411^9+WeightSDS!O$29*$AM411^8+WeightSDS!P$29*$AM411^7+WeightSDS!Q$29*$AM411^6+WeightSDS!R$29*$AM411^5+WeightSDS!S$29*$AM411^4+WeightSDS!T$29*$AM411^3+WeightSDS!U$29*$AM411^2+WeightSDS!V$29*$AM411+WeightSDS!W$29-0.010431*(1-$AM411/210),IF($AM411&lt;123,WeightSDS!M$30*$AM411^10+WeightSDS!N$30*$AM411^9+WeightSDS!O$30*$AM411^8+WeightSDS!P$30*$AM411^7+WeightSDS!Q$30*$AM411^6+WeightSDS!R$30*$AM411^5+WeightSDS!S$30*$AM411^4+WeightSDS!T$30*$AM411^3+WeightSDS!U$30*$AM411^2+WeightSDS!V$30*$AM411+WeightSDS!W$30-0.010431*(1-1/$AM411),WeightSDS!M$32+WeightSDS!N$32/(1+EXP(WeightSDS!O$32+WeightSDS!P$32*$AM411))-0.010431*(1-$AM411/210))))</f>
        <v>2.9500001032655536</v>
      </c>
      <c r="AQ411" s="4">
        <f>IF(D411="M",IF($AM411&lt;162,WeightSDS!P$12*$AM411^7+WeightSDS!Q$12*$AM411^6+WeightSDS!R$12*$AM411^5+WeightSDS!S$12*$AM411^4+WeightSDS!T$12*$AM411^3+WeightSDS!U$12*$AM411^2+WeightSDS!V$12*$AM411+WeightSDS!W$12,WeightSDS!P$14*$AM411^7+WeightSDS!Q$14*$AM411^6+WeightSDS!R$14*$AM411^5+WeightSDS!S$14*$AM411^4+WeightSDS!T$14*$AM411^3+WeightSDS!U$14*$AM411^2+WeightSDS!V$14*$AM411+WeightSDS!W$14),IF($AM411&lt;156,WeightSDS!O$17*$AM411^8+WeightSDS!P$17*$AM411^7+WeightSDS!Q$17*$AM411^6+WeightSDS!R$17*$AM411^5+WeightSDS!S$17*$AM411^4+WeightSDS!T$17*$AM411^3+WeightSDS!U$17*$AM411^2+WeightSDS!V$17*$AM411+WeightSDS!W$17,IF($AM411&lt;186,WeightSDS!$U$18+(WeightSDS!$V$18-WeightSDS!$U$18)/24*($AM411-186)+WeightSDS!$W$18*(-$AM411+186)^2-0.005,WeightSDS!$U$18+(WeightSDS!$V$18-WeightSDS!$U$18)/24*($AM411-186)-0.005)))</f>
        <v>0.14604529399999999</v>
      </c>
      <c r="AT411" s="4">
        <f t="shared" si="133"/>
        <v>0.56299999999999994</v>
      </c>
      <c r="AU411" s="4">
        <f t="shared" si="134"/>
        <v>69</v>
      </c>
      <c r="AV411" s="4">
        <f t="shared" si="135"/>
        <v>0.51</v>
      </c>
    </row>
    <row r="412" spans="1:48" x14ac:dyDescent="0.15">
      <c r="A412" s="4"/>
      <c r="B412" s="21"/>
      <c r="C412" s="21"/>
      <c r="D412" s="21"/>
      <c r="E412" s="22"/>
      <c r="F412" s="22"/>
      <c r="G412" s="23"/>
      <c r="H412" s="23"/>
      <c r="I412" s="181"/>
      <c r="J412" s="8" t="str">
        <f t="shared" si="127"/>
        <v/>
      </c>
      <c r="K412" s="2" t="str">
        <f t="shared" si="136"/>
        <v/>
      </c>
      <c r="L412" s="2" t="str">
        <f t="shared" si="128"/>
        <v/>
      </c>
      <c r="M412" s="2" t="str">
        <f t="shared" si="137"/>
        <v/>
      </c>
      <c r="N412" s="2" t="str">
        <f t="shared" si="145"/>
        <v/>
      </c>
      <c r="O412" s="2" t="str">
        <f t="shared" si="138"/>
        <v/>
      </c>
      <c r="P412" s="8" t="str">
        <f t="shared" si="139"/>
        <v/>
      </c>
      <c r="Q412" s="8" t="str">
        <f t="shared" si="140"/>
        <v/>
      </c>
      <c r="R412" s="111" t="str">
        <f t="shared" si="141"/>
        <v/>
      </c>
      <c r="S412" s="44" t="str">
        <f t="shared" si="142"/>
        <v/>
      </c>
      <c r="T412" s="37" t="str">
        <f t="shared" si="143"/>
        <v/>
      </c>
      <c r="U412" s="44" t="str">
        <f t="shared" si="144"/>
        <v/>
      </c>
      <c r="V412" s="26"/>
      <c r="W412" s="26"/>
      <c r="X412" s="26"/>
      <c r="Y412" s="26"/>
      <c r="Z412" s="24"/>
      <c r="AA412" s="169">
        <f t="shared" si="129"/>
        <v>0</v>
      </c>
      <c r="AB412" s="4">
        <f t="shared" si="130"/>
        <v>0</v>
      </c>
      <c r="AC412" s="170">
        <f t="shared" si="126"/>
        <v>0</v>
      </c>
      <c r="AD412" s="58"/>
      <c r="AE412" s="58"/>
      <c r="AF412" s="58"/>
      <c r="AG412" s="59">
        <f t="shared" si="131"/>
        <v>9.0359999999999996</v>
      </c>
      <c r="AH412" s="59">
        <f t="shared" si="132"/>
        <v>-184.49199999999999</v>
      </c>
      <c r="AJ412" s="4">
        <f>IF(D412="M",IF(AM412&lt;78,BMILMS!$D$5*AM412^3+BMILMS!$E$5*AM412^2+BMILMS!$F$5*AM412+BMILMS!$G$5,IF(AM412&lt;150,BMILMS!$D$6*AM412^3+BMILMS!$E$6*AM412^2+BMILMS!$F$6*AM412+BMILMS!$G$6,BMILMS!$D$7*AM412^3+BMILMS!$E$7*AM412^2+BMILMS!$F$7*AM412+BMILMS!$G$7)),IF(AM412&lt;69,BMILMS!$D$9*AM412^3+BMILMS!$E$9*AM412^2+BMILMS!$F$9*AM412+BMILMS!$G$9,IF(AM412&lt;150,BMILMS!$D$10*AM412^3+BMILMS!$E$10*AM412^2+BMILMS!$F$10*AM412+BMILMS!$G$10,BMILMS!$D$11*AM412^3+BMILMS!$E$11*AM412^2+BMILMS!$F$11*AM412+BMILMS!$G$11)))</f>
        <v>0.79584630099999998</v>
      </c>
      <c r="AK412" s="4">
        <f>IF(D412="M",(IF(AM412&lt;2.5,BMILMS!$D$21*AM412^3+BMILMS!$E$21*AM412^2+BMILMS!$F$21*AM412+BMILMS!$G$21,IF(AM412&lt;9.5,BMILMS!$D$22*AM412^3+BMILMS!$E$22*AM412^2+BMILMS!$F$22*AM412+BMILMS!$G$22,IF(AM412&lt;26.75,BMILMS!$D$23*AM412^3+BMILMS!$E$23*AM412^2+BMILMS!$F$23*AM412+BMILMS!$G$23,IF(AM412&lt;90,BMILMS!$D$24*AM412^3+BMILMS!$E$24*AM412^2+BMILMS!$F$24*AM412+BMILMS!$G$24,BMILMS!$D$25*AM412^3+BMILMS!$E$25*AM412^2+BMILMS!$F$25*AM412+BMILMS!$G$25))))),(IF(AM412&lt;2.5,BMILMS!$D$27*AM412^3+BMILMS!$E$27*AM412^2+BMILMS!$F$27*AM412+BMILMS!$G$27,IF(AM412&lt;9.5,BMILMS!$D$28*AM412^3+BMILMS!$E$28*AM412^2+BMILMS!$F$28*AM412+BMILMS!$G$28,IF(AM412&lt;26.75,BMILMS!$D$29*AM412^3+BMILMS!$E$29*AM412^2+BMILMS!$F$29*AM412+BMILMS!$G$29,IF(AM412&lt;90,BMILMS!$D$30*AM412^3+BMILMS!$E$30*AM412^2+BMILMS!$F$30*AM412+BMILMS!$G$30,IF(AM412&lt;150,BMILMS!$D$31*AM412^3+BMILMS!$E$31*AM412^2+BMILMS!$F$31*AM412+BMILMS!$G$31,BMILMS!$D$32*AM412^3+BMILMS!$E$32*AM412^2+BMILMS!$F$32*AM412+BMILMS!$G$32)))))))</f>
        <v>12.568967990000001</v>
      </c>
      <c r="AL412" s="4">
        <f>IF(D412="M",(IF(AM412&lt;90,BMILMS!$D$14*AM412^3+BMILMS!$E$14*AM412^2+BMILMS!$F$14*AM412+BMILMS!$G$14,BMILMS!$D$15*AM412^3+BMILMS!$E$15*AM412^2+BMILMS!$F$15*AM412+BMILMS!$G$15)),(IF(AM412&lt;90,BMILMS!$D$17*AM412^3+BMILMS!$E$17*AM412^2+BMILMS!$F$17*AM412+BMILMS!$G$17,BMILMS!$D$18*AM412^3+BMILMS!$E$18*AM412^2+BMILMS!$F$18*AM412+BMILMS!$G$18)))</f>
        <v>8.8969350000000003E-2</v>
      </c>
      <c r="AM412" s="4">
        <f t="shared" si="146"/>
        <v>0</v>
      </c>
      <c r="AO412" s="56">
        <f>IF(D412="M",WeightSDS!P$5*$AM412^7+WeightSDS!Q$5*$AM412^6+WeightSDS!R$5*$AM412^5+WeightSDS!S$5*$AM412^4+WeightSDS!T$5*$AM412^3+WeightSDS!U$5*$AM412^2+WeightSDS!V$5*$AM412+WeightSDS!W$5,IF($AM412&lt;186,WeightSDS!P$8*$AM412^7+WeightSDS!Q$8*$AM412^6+WeightSDS!R$8*$AM412^5+WeightSDS!S$8*$AM412^4+WeightSDS!T$8*$AM412^3+WeightSDS!U$8*$AM412^2+WeightSDS!V$8*$AM412+WeightSDS!W$8,WeightSDS!$U$9+WeightSDS!$V$9*($AM412-WeightSDS!$W$9)))</f>
        <v>0.75407122999999998</v>
      </c>
      <c r="AP412" s="4">
        <f>IF(D412="M",IF($AM412&lt;45,WeightSDS!M$23*$AM412^10+WeightSDS!N$23*$AM412^9+WeightSDS!O$23*$AM412^8+WeightSDS!P$23*$AM412^7+WeightSDS!Q$23*$AM412^6+WeightSDS!R$23*$AM412^5+WeightSDS!S$23*$AM412^4+WeightSDS!T$23*$AM412^3+WeightSDS!U$23*$AM412^2+WeightSDS!V$23*$AM412+WeightSDS!W$23,IF($AM412&lt;153,WeightSDS!M$25*$AM412^10+WeightSDS!N$25*$AM412^9+WeightSDS!O$25*$AM412^8+WeightSDS!P$25*$AM412^7+WeightSDS!Q$25*$AM412^6+WeightSDS!R$25*$AM412^5+WeightSDS!S$25*$AM412^4+WeightSDS!T$25*$AM412^3+WeightSDS!U$25*$AM412^2+WeightSDS!V$25*$AM412+WeightSDS!W$25,WeightSDS!M$27+WeightSDS!N$27/(1+EXP(WeightSDS!O$27+WeightSDS!P$27*$AM412)))),IF($AM412&lt;43.8,WeightSDS!M$29*$AM412^10+WeightSDS!N$29*$AM412^9+WeightSDS!O$29*$AM412^8+WeightSDS!P$29*$AM412^7+WeightSDS!Q$29*$AM412^6+WeightSDS!R$29*$AM412^5+WeightSDS!S$29*$AM412^4+WeightSDS!T$29*$AM412^3+WeightSDS!U$29*$AM412^2+WeightSDS!V$29*$AM412+WeightSDS!W$29-0.010431*(1-$AM412/210),IF($AM412&lt;123,WeightSDS!M$30*$AM412^10+WeightSDS!N$30*$AM412^9+WeightSDS!O$30*$AM412^8+WeightSDS!P$30*$AM412^7+WeightSDS!Q$30*$AM412^6+WeightSDS!R$30*$AM412^5+WeightSDS!S$30*$AM412^4+WeightSDS!T$30*$AM412^3+WeightSDS!U$30*$AM412^2+WeightSDS!V$30*$AM412+WeightSDS!W$30-0.010431*(1-1/$AM412),WeightSDS!M$32+WeightSDS!N$32/(1+EXP(WeightSDS!O$32+WeightSDS!P$32*$AM412))-0.010431*(1-$AM412/210))))</f>
        <v>2.9500001032655536</v>
      </c>
      <c r="AQ412" s="4">
        <f>IF(D412="M",IF($AM412&lt;162,WeightSDS!P$12*$AM412^7+WeightSDS!Q$12*$AM412^6+WeightSDS!R$12*$AM412^5+WeightSDS!S$12*$AM412^4+WeightSDS!T$12*$AM412^3+WeightSDS!U$12*$AM412^2+WeightSDS!V$12*$AM412+WeightSDS!W$12,WeightSDS!P$14*$AM412^7+WeightSDS!Q$14*$AM412^6+WeightSDS!R$14*$AM412^5+WeightSDS!S$14*$AM412^4+WeightSDS!T$14*$AM412^3+WeightSDS!U$14*$AM412^2+WeightSDS!V$14*$AM412+WeightSDS!W$14),IF($AM412&lt;156,WeightSDS!O$17*$AM412^8+WeightSDS!P$17*$AM412^7+WeightSDS!Q$17*$AM412^6+WeightSDS!R$17*$AM412^5+WeightSDS!S$17*$AM412^4+WeightSDS!T$17*$AM412^3+WeightSDS!U$17*$AM412^2+WeightSDS!V$17*$AM412+WeightSDS!W$17,IF($AM412&lt;186,WeightSDS!$U$18+(WeightSDS!$V$18-WeightSDS!$U$18)/24*($AM412-186)+WeightSDS!$W$18*(-$AM412+186)^2-0.005,WeightSDS!$U$18+(WeightSDS!$V$18-WeightSDS!$U$18)/24*($AM412-186)-0.005)))</f>
        <v>0.14604529399999999</v>
      </c>
      <c r="AT412" s="4">
        <f t="shared" si="133"/>
        <v>0.56299999999999994</v>
      </c>
      <c r="AU412" s="4">
        <f t="shared" si="134"/>
        <v>69</v>
      </c>
      <c r="AV412" s="4">
        <f t="shared" si="135"/>
        <v>0.51</v>
      </c>
    </row>
    <row r="413" spans="1:48" x14ac:dyDescent="0.15">
      <c r="A413" s="4"/>
      <c r="B413" s="21"/>
      <c r="C413" s="21"/>
      <c r="D413" s="21"/>
      <c r="E413" s="22"/>
      <c r="F413" s="22"/>
      <c r="G413" s="23"/>
      <c r="H413" s="23"/>
      <c r="I413" s="181"/>
      <c r="J413" s="8" t="str">
        <f t="shared" si="127"/>
        <v/>
      </c>
      <c r="K413" s="2" t="str">
        <f t="shared" si="136"/>
        <v/>
      </c>
      <c r="L413" s="2" t="str">
        <f t="shared" si="128"/>
        <v/>
      </c>
      <c r="M413" s="2" t="str">
        <f t="shared" si="137"/>
        <v/>
      </c>
      <c r="N413" s="2" t="str">
        <f t="shared" si="145"/>
        <v/>
      </c>
      <c r="O413" s="2" t="str">
        <f t="shared" si="138"/>
        <v/>
      </c>
      <c r="P413" s="8" t="str">
        <f t="shared" si="139"/>
        <v/>
      </c>
      <c r="Q413" s="8" t="str">
        <f t="shared" si="140"/>
        <v/>
      </c>
      <c r="R413" s="111" t="str">
        <f t="shared" si="141"/>
        <v/>
      </c>
      <c r="S413" s="44" t="str">
        <f t="shared" si="142"/>
        <v/>
      </c>
      <c r="T413" s="37" t="str">
        <f t="shared" si="143"/>
        <v/>
      </c>
      <c r="U413" s="44" t="str">
        <f t="shared" si="144"/>
        <v/>
      </c>
      <c r="V413" s="26"/>
      <c r="W413" s="26"/>
      <c r="X413" s="26"/>
      <c r="Y413" s="26"/>
      <c r="Z413" s="24"/>
      <c r="AA413" s="169">
        <f t="shared" si="129"/>
        <v>0</v>
      </c>
      <c r="AB413" s="4">
        <f t="shared" si="130"/>
        <v>0</v>
      </c>
      <c r="AC413" s="170">
        <f t="shared" si="126"/>
        <v>0</v>
      </c>
      <c r="AD413" s="58"/>
      <c r="AE413" s="58"/>
      <c r="AF413" s="58"/>
      <c r="AG413" s="59">
        <f t="shared" si="131"/>
        <v>9.0359999999999996</v>
      </c>
      <c r="AH413" s="59">
        <f t="shared" si="132"/>
        <v>-184.49199999999999</v>
      </c>
      <c r="AJ413" s="4">
        <f>IF(D413="M",IF(AM413&lt;78,BMILMS!$D$5*AM413^3+BMILMS!$E$5*AM413^2+BMILMS!$F$5*AM413+BMILMS!$G$5,IF(AM413&lt;150,BMILMS!$D$6*AM413^3+BMILMS!$E$6*AM413^2+BMILMS!$F$6*AM413+BMILMS!$G$6,BMILMS!$D$7*AM413^3+BMILMS!$E$7*AM413^2+BMILMS!$F$7*AM413+BMILMS!$G$7)),IF(AM413&lt;69,BMILMS!$D$9*AM413^3+BMILMS!$E$9*AM413^2+BMILMS!$F$9*AM413+BMILMS!$G$9,IF(AM413&lt;150,BMILMS!$D$10*AM413^3+BMILMS!$E$10*AM413^2+BMILMS!$F$10*AM413+BMILMS!$G$10,BMILMS!$D$11*AM413^3+BMILMS!$E$11*AM413^2+BMILMS!$F$11*AM413+BMILMS!$G$11)))</f>
        <v>0.79584630099999998</v>
      </c>
      <c r="AK413" s="4">
        <f>IF(D413="M",(IF(AM413&lt;2.5,BMILMS!$D$21*AM413^3+BMILMS!$E$21*AM413^2+BMILMS!$F$21*AM413+BMILMS!$G$21,IF(AM413&lt;9.5,BMILMS!$D$22*AM413^3+BMILMS!$E$22*AM413^2+BMILMS!$F$22*AM413+BMILMS!$G$22,IF(AM413&lt;26.75,BMILMS!$D$23*AM413^3+BMILMS!$E$23*AM413^2+BMILMS!$F$23*AM413+BMILMS!$G$23,IF(AM413&lt;90,BMILMS!$D$24*AM413^3+BMILMS!$E$24*AM413^2+BMILMS!$F$24*AM413+BMILMS!$G$24,BMILMS!$D$25*AM413^3+BMILMS!$E$25*AM413^2+BMILMS!$F$25*AM413+BMILMS!$G$25))))),(IF(AM413&lt;2.5,BMILMS!$D$27*AM413^3+BMILMS!$E$27*AM413^2+BMILMS!$F$27*AM413+BMILMS!$G$27,IF(AM413&lt;9.5,BMILMS!$D$28*AM413^3+BMILMS!$E$28*AM413^2+BMILMS!$F$28*AM413+BMILMS!$G$28,IF(AM413&lt;26.75,BMILMS!$D$29*AM413^3+BMILMS!$E$29*AM413^2+BMILMS!$F$29*AM413+BMILMS!$G$29,IF(AM413&lt;90,BMILMS!$D$30*AM413^3+BMILMS!$E$30*AM413^2+BMILMS!$F$30*AM413+BMILMS!$G$30,IF(AM413&lt;150,BMILMS!$D$31*AM413^3+BMILMS!$E$31*AM413^2+BMILMS!$F$31*AM413+BMILMS!$G$31,BMILMS!$D$32*AM413^3+BMILMS!$E$32*AM413^2+BMILMS!$F$32*AM413+BMILMS!$G$32)))))))</f>
        <v>12.568967990000001</v>
      </c>
      <c r="AL413" s="4">
        <f>IF(D413="M",(IF(AM413&lt;90,BMILMS!$D$14*AM413^3+BMILMS!$E$14*AM413^2+BMILMS!$F$14*AM413+BMILMS!$G$14,BMILMS!$D$15*AM413^3+BMILMS!$E$15*AM413^2+BMILMS!$F$15*AM413+BMILMS!$G$15)),(IF(AM413&lt;90,BMILMS!$D$17*AM413^3+BMILMS!$E$17*AM413^2+BMILMS!$F$17*AM413+BMILMS!$G$17,BMILMS!$D$18*AM413^3+BMILMS!$E$18*AM413^2+BMILMS!$F$18*AM413+BMILMS!$G$18)))</f>
        <v>8.8969350000000003E-2</v>
      </c>
      <c r="AM413" s="4">
        <f t="shared" si="146"/>
        <v>0</v>
      </c>
      <c r="AO413" s="56">
        <f>IF(D413="M",WeightSDS!P$5*$AM413^7+WeightSDS!Q$5*$AM413^6+WeightSDS!R$5*$AM413^5+WeightSDS!S$5*$AM413^4+WeightSDS!T$5*$AM413^3+WeightSDS!U$5*$AM413^2+WeightSDS!V$5*$AM413+WeightSDS!W$5,IF($AM413&lt;186,WeightSDS!P$8*$AM413^7+WeightSDS!Q$8*$AM413^6+WeightSDS!R$8*$AM413^5+WeightSDS!S$8*$AM413^4+WeightSDS!T$8*$AM413^3+WeightSDS!U$8*$AM413^2+WeightSDS!V$8*$AM413+WeightSDS!W$8,WeightSDS!$U$9+WeightSDS!$V$9*($AM413-WeightSDS!$W$9)))</f>
        <v>0.75407122999999998</v>
      </c>
      <c r="AP413" s="4">
        <f>IF(D413="M",IF($AM413&lt;45,WeightSDS!M$23*$AM413^10+WeightSDS!N$23*$AM413^9+WeightSDS!O$23*$AM413^8+WeightSDS!P$23*$AM413^7+WeightSDS!Q$23*$AM413^6+WeightSDS!R$23*$AM413^5+WeightSDS!S$23*$AM413^4+WeightSDS!T$23*$AM413^3+WeightSDS!U$23*$AM413^2+WeightSDS!V$23*$AM413+WeightSDS!W$23,IF($AM413&lt;153,WeightSDS!M$25*$AM413^10+WeightSDS!N$25*$AM413^9+WeightSDS!O$25*$AM413^8+WeightSDS!P$25*$AM413^7+WeightSDS!Q$25*$AM413^6+WeightSDS!R$25*$AM413^5+WeightSDS!S$25*$AM413^4+WeightSDS!T$25*$AM413^3+WeightSDS!U$25*$AM413^2+WeightSDS!V$25*$AM413+WeightSDS!W$25,WeightSDS!M$27+WeightSDS!N$27/(1+EXP(WeightSDS!O$27+WeightSDS!P$27*$AM413)))),IF($AM413&lt;43.8,WeightSDS!M$29*$AM413^10+WeightSDS!N$29*$AM413^9+WeightSDS!O$29*$AM413^8+WeightSDS!P$29*$AM413^7+WeightSDS!Q$29*$AM413^6+WeightSDS!R$29*$AM413^5+WeightSDS!S$29*$AM413^4+WeightSDS!T$29*$AM413^3+WeightSDS!U$29*$AM413^2+WeightSDS!V$29*$AM413+WeightSDS!W$29-0.010431*(1-$AM413/210),IF($AM413&lt;123,WeightSDS!M$30*$AM413^10+WeightSDS!N$30*$AM413^9+WeightSDS!O$30*$AM413^8+WeightSDS!P$30*$AM413^7+WeightSDS!Q$30*$AM413^6+WeightSDS!R$30*$AM413^5+WeightSDS!S$30*$AM413^4+WeightSDS!T$30*$AM413^3+WeightSDS!U$30*$AM413^2+WeightSDS!V$30*$AM413+WeightSDS!W$30-0.010431*(1-1/$AM413),WeightSDS!M$32+WeightSDS!N$32/(1+EXP(WeightSDS!O$32+WeightSDS!P$32*$AM413))-0.010431*(1-$AM413/210))))</f>
        <v>2.9500001032655536</v>
      </c>
      <c r="AQ413" s="4">
        <f>IF(D413="M",IF($AM413&lt;162,WeightSDS!P$12*$AM413^7+WeightSDS!Q$12*$AM413^6+WeightSDS!R$12*$AM413^5+WeightSDS!S$12*$AM413^4+WeightSDS!T$12*$AM413^3+WeightSDS!U$12*$AM413^2+WeightSDS!V$12*$AM413+WeightSDS!W$12,WeightSDS!P$14*$AM413^7+WeightSDS!Q$14*$AM413^6+WeightSDS!R$14*$AM413^5+WeightSDS!S$14*$AM413^4+WeightSDS!T$14*$AM413^3+WeightSDS!U$14*$AM413^2+WeightSDS!V$14*$AM413+WeightSDS!W$14),IF($AM413&lt;156,WeightSDS!O$17*$AM413^8+WeightSDS!P$17*$AM413^7+WeightSDS!Q$17*$AM413^6+WeightSDS!R$17*$AM413^5+WeightSDS!S$17*$AM413^4+WeightSDS!T$17*$AM413^3+WeightSDS!U$17*$AM413^2+WeightSDS!V$17*$AM413+WeightSDS!W$17,IF($AM413&lt;186,WeightSDS!$U$18+(WeightSDS!$V$18-WeightSDS!$U$18)/24*($AM413-186)+WeightSDS!$W$18*(-$AM413+186)^2-0.005,WeightSDS!$U$18+(WeightSDS!$V$18-WeightSDS!$U$18)/24*($AM413-186)-0.005)))</f>
        <v>0.14604529399999999</v>
      </c>
      <c r="AT413" s="4">
        <f t="shared" si="133"/>
        <v>0.56299999999999994</v>
      </c>
      <c r="AU413" s="4">
        <f t="shared" si="134"/>
        <v>69</v>
      </c>
      <c r="AV413" s="4">
        <f t="shared" si="135"/>
        <v>0.51</v>
      </c>
    </row>
    <row r="414" spans="1:48" x14ac:dyDescent="0.15">
      <c r="A414" s="4"/>
      <c r="B414" s="21"/>
      <c r="C414" s="21"/>
      <c r="D414" s="21"/>
      <c r="E414" s="22"/>
      <c r="F414" s="22"/>
      <c r="G414" s="23"/>
      <c r="H414" s="23"/>
      <c r="I414" s="181"/>
      <c r="J414" s="8" t="str">
        <f t="shared" si="127"/>
        <v/>
      </c>
      <c r="K414" s="2" t="str">
        <f t="shared" si="136"/>
        <v/>
      </c>
      <c r="L414" s="2" t="str">
        <f t="shared" si="128"/>
        <v/>
      </c>
      <c r="M414" s="2" t="str">
        <f t="shared" si="137"/>
        <v/>
      </c>
      <c r="N414" s="2" t="str">
        <f t="shared" si="145"/>
        <v/>
      </c>
      <c r="O414" s="2" t="str">
        <f t="shared" si="138"/>
        <v/>
      </c>
      <c r="P414" s="8" t="str">
        <f t="shared" si="139"/>
        <v/>
      </c>
      <c r="Q414" s="8" t="str">
        <f t="shared" si="140"/>
        <v/>
      </c>
      <c r="R414" s="111" t="str">
        <f t="shared" si="141"/>
        <v/>
      </c>
      <c r="S414" s="44" t="str">
        <f t="shared" si="142"/>
        <v/>
      </c>
      <c r="T414" s="37" t="str">
        <f t="shared" si="143"/>
        <v/>
      </c>
      <c r="U414" s="44" t="str">
        <f t="shared" si="144"/>
        <v/>
      </c>
      <c r="V414" s="26"/>
      <c r="W414" s="26"/>
      <c r="X414" s="26"/>
      <c r="Y414" s="26"/>
      <c r="Z414" s="24"/>
      <c r="AA414" s="169">
        <f t="shared" si="129"/>
        <v>0</v>
      </c>
      <c r="AB414" s="4">
        <f t="shared" si="130"/>
        <v>0</v>
      </c>
      <c r="AC414" s="170">
        <f t="shared" ref="AC414:AC477" si="147">DATEDIF(E414,F414,"Y")+(F414-(DATE(YEAR(E414)+DATEDIF(E414,F414,"Y"),MONTH(E414),DAY(E414))))/(365+IF(MOD(YEAR((DATE(YEAR(F414)-1,MONTH(E414),DAY(E414)))),4)=0,IF((DATE(YEAR(F414)-1,MONTH(E414),DAY(E414)))&gt;DATE(YEAR((DATE(YEAR(F414)-1,MONTH(E414),DAY(E414)))),2,29),0,1),0)+IF(MOD(YEAR(F414),4)=0,IF(F414&gt;DATE(YEAR(F414),2,29),1,0),0))</f>
        <v>0</v>
      </c>
      <c r="AD414" s="58"/>
      <c r="AE414" s="58"/>
      <c r="AF414" s="58"/>
      <c r="AG414" s="59">
        <f t="shared" si="131"/>
        <v>9.0359999999999996</v>
      </c>
      <c r="AH414" s="59">
        <f t="shared" si="132"/>
        <v>-184.49199999999999</v>
      </c>
      <c r="AJ414" s="4">
        <f>IF(D414="M",IF(AM414&lt;78,BMILMS!$D$5*AM414^3+BMILMS!$E$5*AM414^2+BMILMS!$F$5*AM414+BMILMS!$G$5,IF(AM414&lt;150,BMILMS!$D$6*AM414^3+BMILMS!$E$6*AM414^2+BMILMS!$F$6*AM414+BMILMS!$G$6,BMILMS!$D$7*AM414^3+BMILMS!$E$7*AM414^2+BMILMS!$F$7*AM414+BMILMS!$G$7)),IF(AM414&lt;69,BMILMS!$D$9*AM414^3+BMILMS!$E$9*AM414^2+BMILMS!$F$9*AM414+BMILMS!$G$9,IF(AM414&lt;150,BMILMS!$D$10*AM414^3+BMILMS!$E$10*AM414^2+BMILMS!$F$10*AM414+BMILMS!$G$10,BMILMS!$D$11*AM414^3+BMILMS!$E$11*AM414^2+BMILMS!$F$11*AM414+BMILMS!$G$11)))</f>
        <v>0.79584630099999998</v>
      </c>
      <c r="AK414" s="4">
        <f>IF(D414="M",(IF(AM414&lt;2.5,BMILMS!$D$21*AM414^3+BMILMS!$E$21*AM414^2+BMILMS!$F$21*AM414+BMILMS!$G$21,IF(AM414&lt;9.5,BMILMS!$D$22*AM414^3+BMILMS!$E$22*AM414^2+BMILMS!$F$22*AM414+BMILMS!$G$22,IF(AM414&lt;26.75,BMILMS!$D$23*AM414^3+BMILMS!$E$23*AM414^2+BMILMS!$F$23*AM414+BMILMS!$G$23,IF(AM414&lt;90,BMILMS!$D$24*AM414^3+BMILMS!$E$24*AM414^2+BMILMS!$F$24*AM414+BMILMS!$G$24,BMILMS!$D$25*AM414^3+BMILMS!$E$25*AM414^2+BMILMS!$F$25*AM414+BMILMS!$G$25))))),(IF(AM414&lt;2.5,BMILMS!$D$27*AM414^3+BMILMS!$E$27*AM414^2+BMILMS!$F$27*AM414+BMILMS!$G$27,IF(AM414&lt;9.5,BMILMS!$D$28*AM414^3+BMILMS!$E$28*AM414^2+BMILMS!$F$28*AM414+BMILMS!$G$28,IF(AM414&lt;26.75,BMILMS!$D$29*AM414^3+BMILMS!$E$29*AM414^2+BMILMS!$F$29*AM414+BMILMS!$G$29,IF(AM414&lt;90,BMILMS!$D$30*AM414^3+BMILMS!$E$30*AM414^2+BMILMS!$F$30*AM414+BMILMS!$G$30,IF(AM414&lt;150,BMILMS!$D$31*AM414^3+BMILMS!$E$31*AM414^2+BMILMS!$F$31*AM414+BMILMS!$G$31,BMILMS!$D$32*AM414^3+BMILMS!$E$32*AM414^2+BMILMS!$F$32*AM414+BMILMS!$G$32)))))))</f>
        <v>12.568967990000001</v>
      </c>
      <c r="AL414" s="4">
        <f>IF(D414="M",(IF(AM414&lt;90,BMILMS!$D$14*AM414^3+BMILMS!$E$14*AM414^2+BMILMS!$F$14*AM414+BMILMS!$G$14,BMILMS!$D$15*AM414^3+BMILMS!$E$15*AM414^2+BMILMS!$F$15*AM414+BMILMS!$G$15)),(IF(AM414&lt;90,BMILMS!$D$17*AM414^3+BMILMS!$E$17*AM414^2+BMILMS!$F$17*AM414+BMILMS!$G$17,BMILMS!$D$18*AM414^3+BMILMS!$E$18*AM414^2+BMILMS!$F$18*AM414+BMILMS!$G$18)))</f>
        <v>8.8969350000000003E-2</v>
      </c>
      <c r="AM414" s="4">
        <f t="shared" si="146"/>
        <v>0</v>
      </c>
      <c r="AO414" s="56">
        <f>IF(D414="M",WeightSDS!P$5*$AM414^7+WeightSDS!Q$5*$AM414^6+WeightSDS!R$5*$AM414^5+WeightSDS!S$5*$AM414^4+WeightSDS!T$5*$AM414^3+WeightSDS!U$5*$AM414^2+WeightSDS!V$5*$AM414+WeightSDS!W$5,IF($AM414&lt;186,WeightSDS!P$8*$AM414^7+WeightSDS!Q$8*$AM414^6+WeightSDS!R$8*$AM414^5+WeightSDS!S$8*$AM414^4+WeightSDS!T$8*$AM414^3+WeightSDS!U$8*$AM414^2+WeightSDS!V$8*$AM414+WeightSDS!W$8,WeightSDS!$U$9+WeightSDS!$V$9*($AM414-WeightSDS!$W$9)))</f>
        <v>0.75407122999999998</v>
      </c>
      <c r="AP414" s="4">
        <f>IF(D414="M",IF($AM414&lt;45,WeightSDS!M$23*$AM414^10+WeightSDS!N$23*$AM414^9+WeightSDS!O$23*$AM414^8+WeightSDS!P$23*$AM414^7+WeightSDS!Q$23*$AM414^6+WeightSDS!R$23*$AM414^5+WeightSDS!S$23*$AM414^4+WeightSDS!T$23*$AM414^3+WeightSDS!U$23*$AM414^2+WeightSDS!V$23*$AM414+WeightSDS!W$23,IF($AM414&lt;153,WeightSDS!M$25*$AM414^10+WeightSDS!N$25*$AM414^9+WeightSDS!O$25*$AM414^8+WeightSDS!P$25*$AM414^7+WeightSDS!Q$25*$AM414^6+WeightSDS!R$25*$AM414^5+WeightSDS!S$25*$AM414^4+WeightSDS!T$25*$AM414^3+WeightSDS!U$25*$AM414^2+WeightSDS!V$25*$AM414+WeightSDS!W$25,WeightSDS!M$27+WeightSDS!N$27/(1+EXP(WeightSDS!O$27+WeightSDS!P$27*$AM414)))),IF($AM414&lt;43.8,WeightSDS!M$29*$AM414^10+WeightSDS!N$29*$AM414^9+WeightSDS!O$29*$AM414^8+WeightSDS!P$29*$AM414^7+WeightSDS!Q$29*$AM414^6+WeightSDS!R$29*$AM414^5+WeightSDS!S$29*$AM414^4+WeightSDS!T$29*$AM414^3+WeightSDS!U$29*$AM414^2+WeightSDS!V$29*$AM414+WeightSDS!W$29-0.010431*(1-$AM414/210),IF($AM414&lt;123,WeightSDS!M$30*$AM414^10+WeightSDS!N$30*$AM414^9+WeightSDS!O$30*$AM414^8+WeightSDS!P$30*$AM414^7+WeightSDS!Q$30*$AM414^6+WeightSDS!R$30*$AM414^5+WeightSDS!S$30*$AM414^4+WeightSDS!T$30*$AM414^3+WeightSDS!U$30*$AM414^2+WeightSDS!V$30*$AM414+WeightSDS!W$30-0.010431*(1-1/$AM414),WeightSDS!M$32+WeightSDS!N$32/(1+EXP(WeightSDS!O$32+WeightSDS!P$32*$AM414))-0.010431*(1-$AM414/210))))</f>
        <v>2.9500001032655536</v>
      </c>
      <c r="AQ414" s="4">
        <f>IF(D414="M",IF($AM414&lt;162,WeightSDS!P$12*$AM414^7+WeightSDS!Q$12*$AM414^6+WeightSDS!R$12*$AM414^5+WeightSDS!S$12*$AM414^4+WeightSDS!T$12*$AM414^3+WeightSDS!U$12*$AM414^2+WeightSDS!V$12*$AM414+WeightSDS!W$12,WeightSDS!P$14*$AM414^7+WeightSDS!Q$14*$AM414^6+WeightSDS!R$14*$AM414^5+WeightSDS!S$14*$AM414^4+WeightSDS!T$14*$AM414^3+WeightSDS!U$14*$AM414^2+WeightSDS!V$14*$AM414+WeightSDS!W$14),IF($AM414&lt;156,WeightSDS!O$17*$AM414^8+WeightSDS!P$17*$AM414^7+WeightSDS!Q$17*$AM414^6+WeightSDS!R$17*$AM414^5+WeightSDS!S$17*$AM414^4+WeightSDS!T$17*$AM414^3+WeightSDS!U$17*$AM414^2+WeightSDS!V$17*$AM414+WeightSDS!W$17,IF($AM414&lt;186,WeightSDS!$U$18+(WeightSDS!$V$18-WeightSDS!$U$18)/24*($AM414-186)+WeightSDS!$W$18*(-$AM414+186)^2-0.005,WeightSDS!$U$18+(WeightSDS!$V$18-WeightSDS!$U$18)/24*($AM414-186)-0.005)))</f>
        <v>0.14604529399999999</v>
      </c>
      <c r="AT414" s="4">
        <f t="shared" si="133"/>
        <v>0.56299999999999994</v>
      </c>
      <c r="AU414" s="4">
        <f t="shared" si="134"/>
        <v>69</v>
      </c>
      <c r="AV414" s="4">
        <f t="shared" si="135"/>
        <v>0.51</v>
      </c>
    </row>
    <row r="415" spans="1:48" x14ac:dyDescent="0.15">
      <c r="A415" s="4"/>
      <c r="B415" s="21"/>
      <c r="C415" s="21"/>
      <c r="D415" s="21"/>
      <c r="E415" s="22"/>
      <c r="F415" s="22"/>
      <c r="G415" s="23"/>
      <c r="H415" s="23"/>
      <c r="I415" s="181"/>
      <c r="J415" s="8" t="str">
        <f t="shared" si="127"/>
        <v/>
      </c>
      <c r="K415" s="2" t="str">
        <f t="shared" si="136"/>
        <v/>
      </c>
      <c r="L415" s="2" t="str">
        <f t="shared" si="128"/>
        <v/>
      </c>
      <c r="M415" s="2" t="str">
        <f t="shared" si="137"/>
        <v/>
      </c>
      <c r="N415" s="2" t="str">
        <f t="shared" si="145"/>
        <v/>
      </c>
      <c r="O415" s="2" t="str">
        <f t="shared" si="138"/>
        <v/>
      </c>
      <c r="P415" s="8" t="str">
        <f t="shared" si="139"/>
        <v/>
      </c>
      <c r="Q415" s="8" t="str">
        <f t="shared" si="140"/>
        <v/>
      </c>
      <c r="R415" s="111" t="str">
        <f t="shared" si="141"/>
        <v/>
      </c>
      <c r="S415" s="44" t="str">
        <f t="shared" si="142"/>
        <v/>
      </c>
      <c r="T415" s="37" t="str">
        <f t="shared" si="143"/>
        <v/>
      </c>
      <c r="U415" s="44" t="str">
        <f t="shared" si="144"/>
        <v/>
      </c>
      <c r="V415" s="26"/>
      <c r="W415" s="26"/>
      <c r="X415" s="26"/>
      <c r="Y415" s="26"/>
      <c r="Z415" s="24"/>
      <c r="AA415" s="169">
        <f t="shared" si="129"/>
        <v>0</v>
      </c>
      <c r="AB415" s="4">
        <f t="shared" si="130"/>
        <v>0</v>
      </c>
      <c r="AC415" s="170">
        <f t="shared" si="147"/>
        <v>0</v>
      </c>
      <c r="AD415" s="58"/>
      <c r="AE415" s="58"/>
      <c r="AF415" s="58"/>
      <c r="AG415" s="59">
        <f t="shared" si="131"/>
        <v>9.0359999999999996</v>
      </c>
      <c r="AH415" s="59">
        <f t="shared" si="132"/>
        <v>-184.49199999999999</v>
      </c>
      <c r="AJ415" s="4">
        <f>IF(D415="M",IF(AM415&lt;78,BMILMS!$D$5*AM415^3+BMILMS!$E$5*AM415^2+BMILMS!$F$5*AM415+BMILMS!$G$5,IF(AM415&lt;150,BMILMS!$D$6*AM415^3+BMILMS!$E$6*AM415^2+BMILMS!$F$6*AM415+BMILMS!$G$6,BMILMS!$D$7*AM415^3+BMILMS!$E$7*AM415^2+BMILMS!$F$7*AM415+BMILMS!$G$7)),IF(AM415&lt;69,BMILMS!$D$9*AM415^3+BMILMS!$E$9*AM415^2+BMILMS!$F$9*AM415+BMILMS!$G$9,IF(AM415&lt;150,BMILMS!$D$10*AM415^3+BMILMS!$E$10*AM415^2+BMILMS!$F$10*AM415+BMILMS!$G$10,BMILMS!$D$11*AM415^3+BMILMS!$E$11*AM415^2+BMILMS!$F$11*AM415+BMILMS!$G$11)))</f>
        <v>0.79584630099999998</v>
      </c>
      <c r="AK415" s="4">
        <f>IF(D415="M",(IF(AM415&lt;2.5,BMILMS!$D$21*AM415^3+BMILMS!$E$21*AM415^2+BMILMS!$F$21*AM415+BMILMS!$G$21,IF(AM415&lt;9.5,BMILMS!$D$22*AM415^3+BMILMS!$E$22*AM415^2+BMILMS!$F$22*AM415+BMILMS!$G$22,IF(AM415&lt;26.75,BMILMS!$D$23*AM415^3+BMILMS!$E$23*AM415^2+BMILMS!$F$23*AM415+BMILMS!$G$23,IF(AM415&lt;90,BMILMS!$D$24*AM415^3+BMILMS!$E$24*AM415^2+BMILMS!$F$24*AM415+BMILMS!$G$24,BMILMS!$D$25*AM415^3+BMILMS!$E$25*AM415^2+BMILMS!$F$25*AM415+BMILMS!$G$25))))),(IF(AM415&lt;2.5,BMILMS!$D$27*AM415^3+BMILMS!$E$27*AM415^2+BMILMS!$F$27*AM415+BMILMS!$G$27,IF(AM415&lt;9.5,BMILMS!$D$28*AM415^3+BMILMS!$E$28*AM415^2+BMILMS!$F$28*AM415+BMILMS!$G$28,IF(AM415&lt;26.75,BMILMS!$D$29*AM415^3+BMILMS!$E$29*AM415^2+BMILMS!$F$29*AM415+BMILMS!$G$29,IF(AM415&lt;90,BMILMS!$D$30*AM415^3+BMILMS!$E$30*AM415^2+BMILMS!$F$30*AM415+BMILMS!$G$30,IF(AM415&lt;150,BMILMS!$D$31*AM415^3+BMILMS!$E$31*AM415^2+BMILMS!$F$31*AM415+BMILMS!$G$31,BMILMS!$D$32*AM415^3+BMILMS!$E$32*AM415^2+BMILMS!$F$32*AM415+BMILMS!$G$32)))))))</f>
        <v>12.568967990000001</v>
      </c>
      <c r="AL415" s="4">
        <f>IF(D415="M",(IF(AM415&lt;90,BMILMS!$D$14*AM415^3+BMILMS!$E$14*AM415^2+BMILMS!$F$14*AM415+BMILMS!$G$14,BMILMS!$D$15*AM415^3+BMILMS!$E$15*AM415^2+BMILMS!$F$15*AM415+BMILMS!$G$15)),(IF(AM415&lt;90,BMILMS!$D$17*AM415^3+BMILMS!$E$17*AM415^2+BMILMS!$F$17*AM415+BMILMS!$G$17,BMILMS!$D$18*AM415^3+BMILMS!$E$18*AM415^2+BMILMS!$F$18*AM415+BMILMS!$G$18)))</f>
        <v>8.8969350000000003E-2</v>
      </c>
      <c r="AM415" s="4">
        <f t="shared" si="146"/>
        <v>0</v>
      </c>
      <c r="AO415" s="56">
        <f>IF(D415="M",WeightSDS!P$5*$AM415^7+WeightSDS!Q$5*$AM415^6+WeightSDS!R$5*$AM415^5+WeightSDS!S$5*$AM415^4+WeightSDS!T$5*$AM415^3+WeightSDS!U$5*$AM415^2+WeightSDS!V$5*$AM415+WeightSDS!W$5,IF($AM415&lt;186,WeightSDS!P$8*$AM415^7+WeightSDS!Q$8*$AM415^6+WeightSDS!R$8*$AM415^5+WeightSDS!S$8*$AM415^4+WeightSDS!T$8*$AM415^3+WeightSDS!U$8*$AM415^2+WeightSDS!V$8*$AM415+WeightSDS!W$8,WeightSDS!$U$9+WeightSDS!$V$9*($AM415-WeightSDS!$W$9)))</f>
        <v>0.75407122999999998</v>
      </c>
      <c r="AP415" s="4">
        <f>IF(D415="M",IF($AM415&lt;45,WeightSDS!M$23*$AM415^10+WeightSDS!N$23*$AM415^9+WeightSDS!O$23*$AM415^8+WeightSDS!P$23*$AM415^7+WeightSDS!Q$23*$AM415^6+WeightSDS!R$23*$AM415^5+WeightSDS!S$23*$AM415^4+WeightSDS!T$23*$AM415^3+WeightSDS!U$23*$AM415^2+WeightSDS!V$23*$AM415+WeightSDS!W$23,IF($AM415&lt;153,WeightSDS!M$25*$AM415^10+WeightSDS!N$25*$AM415^9+WeightSDS!O$25*$AM415^8+WeightSDS!P$25*$AM415^7+WeightSDS!Q$25*$AM415^6+WeightSDS!R$25*$AM415^5+WeightSDS!S$25*$AM415^4+WeightSDS!T$25*$AM415^3+WeightSDS!U$25*$AM415^2+WeightSDS!V$25*$AM415+WeightSDS!W$25,WeightSDS!M$27+WeightSDS!N$27/(1+EXP(WeightSDS!O$27+WeightSDS!P$27*$AM415)))),IF($AM415&lt;43.8,WeightSDS!M$29*$AM415^10+WeightSDS!N$29*$AM415^9+WeightSDS!O$29*$AM415^8+WeightSDS!P$29*$AM415^7+WeightSDS!Q$29*$AM415^6+WeightSDS!R$29*$AM415^5+WeightSDS!S$29*$AM415^4+WeightSDS!T$29*$AM415^3+WeightSDS!U$29*$AM415^2+WeightSDS!V$29*$AM415+WeightSDS!W$29-0.010431*(1-$AM415/210),IF($AM415&lt;123,WeightSDS!M$30*$AM415^10+WeightSDS!N$30*$AM415^9+WeightSDS!O$30*$AM415^8+WeightSDS!P$30*$AM415^7+WeightSDS!Q$30*$AM415^6+WeightSDS!R$30*$AM415^5+WeightSDS!S$30*$AM415^4+WeightSDS!T$30*$AM415^3+WeightSDS!U$30*$AM415^2+WeightSDS!V$30*$AM415+WeightSDS!W$30-0.010431*(1-1/$AM415),WeightSDS!M$32+WeightSDS!N$32/(1+EXP(WeightSDS!O$32+WeightSDS!P$32*$AM415))-0.010431*(1-$AM415/210))))</f>
        <v>2.9500001032655536</v>
      </c>
      <c r="AQ415" s="4">
        <f>IF(D415="M",IF($AM415&lt;162,WeightSDS!P$12*$AM415^7+WeightSDS!Q$12*$AM415^6+WeightSDS!R$12*$AM415^5+WeightSDS!S$12*$AM415^4+WeightSDS!T$12*$AM415^3+WeightSDS!U$12*$AM415^2+WeightSDS!V$12*$AM415+WeightSDS!W$12,WeightSDS!P$14*$AM415^7+WeightSDS!Q$14*$AM415^6+WeightSDS!R$14*$AM415^5+WeightSDS!S$14*$AM415^4+WeightSDS!T$14*$AM415^3+WeightSDS!U$14*$AM415^2+WeightSDS!V$14*$AM415+WeightSDS!W$14),IF($AM415&lt;156,WeightSDS!O$17*$AM415^8+WeightSDS!P$17*$AM415^7+WeightSDS!Q$17*$AM415^6+WeightSDS!R$17*$AM415^5+WeightSDS!S$17*$AM415^4+WeightSDS!T$17*$AM415^3+WeightSDS!U$17*$AM415^2+WeightSDS!V$17*$AM415+WeightSDS!W$17,IF($AM415&lt;186,WeightSDS!$U$18+(WeightSDS!$V$18-WeightSDS!$U$18)/24*($AM415-186)+WeightSDS!$W$18*(-$AM415+186)^2-0.005,WeightSDS!$U$18+(WeightSDS!$V$18-WeightSDS!$U$18)/24*($AM415-186)-0.005)))</f>
        <v>0.14604529399999999</v>
      </c>
      <c r="AT415" s="4">
        <f t="shared" si="133"/>
        <v>0.56299999999999994</v>
      </c>
      <c r="AU415" s="4">
        <f t="shared" si="134"/>
        <v>69</v>
      </c>
      <c r="AV415" s="4">
        <f t="shared" si="135"/>
        <v>0.51</v>
      </c>
    </row>
    <row r="416" spans="1:48" x14ac:dyDescent="0.15">
      <c r="A416" s="4"/>
      <c r="B416" s="21"/>
      <c r="C416" s="21"/>
      <c r="D416" s="21"/>
      <c r="E416" s="22"/>
      <c r="F416" s="22"/>
      <c r="G416" s="23"/>
      <c r="H416" s="23"/>
      <c r="I416" s="181"/>
      <c r="J416" s="8" t="str">
        <f t="shared" si="127"/>
        <v/>
      </c>
      <c r="K416" s="2" t="str">
        <f t="shared" si="136"/>
        <v/>
      </c>
      <c r="L416" s="2" t="str">
        <f t="shared" si="128"/>
        <v/>
      </c>
      <c r="M416" s="2" t="str">
        <f t="shared" si="137"/>
        <v/>
      </c>
      <c r="N416" s="2" t="str">
        <f t="shared" si="145"/>
        <v/>
      </c>
      <c r="O416" s="2" t="str">
        <f t="shared" si="138"/>
        <v/>
      </c>
      <c r="P416" s="8" t="str">
        <f t="shared" si="139"/>
        <v/>
      </c>
      <c r="Q416" s="8" t="str">
        <f t="shared" si="140"/>
        <v/>
      </c>
      <c r="R416" s="111" t="str">
        <f t="shared" si="141"/>
        <v/>
      </c>
      <c r="S416" s="44" t="str">
        <f t="shared" si="142"/>
        <v/>
      </c>
      <c r="T416" s="37" t="str">
        <f t="shared" si="143"/>
        <v/>
      </c>
      <c r="U416" s="44" t="str">
        <f t="shared" si="144"/>
        <v/>
      </c>
      <c r="V416" s="26"/>
      <c r="W416" s="26"/>
      <c r="X416" s="26"/>
      <c r="Y416" s="26"/>
      <c r="Z416" s="24"/>
      <c r="AA416" s="169">
        <f t="shared" si="129"/>
        <v>0</v>
      </c>
      <c r="AB416" s="4">
        <f t="shared" si="130"/>
        <v>0</v>
      </c>
      <c r="AC416" s="170">
        <f t="shared" si="147"/>
        <v>0</v>
      </c>
      <c r="AD416" s="58"/>
      <c r="AE416" s="58"/>
      <c r="AF416" s="58"/>
      <c r="AG416" s="59">
        <f t="shared" si="131"/>
        <v>9.0359999999999996</v>
      </c>
      <c r="AH416" s="59">
        <f t="shared" si="132"/>
        <v>-184.49199999999999</v>
      </c>
      <c r="AJ416" s="4">
        <f>IF(D416="M",IF(AM416&lt;78,BMILMS!$D$5*AM416^3+BMILMS!$E$5*AM416^2+BMILMS!$F$5*AM416+BMILMS!$G$5,IF(AM416&lt;150,BMILMS!$D$6*AM416^3+BMILMS!$E$6*AM416^2+BMILMS!$F$6*AM416+BMILMS!$G$6,BMILMS!$D$7*AM416^3+BMILMS!$E$7*AM416^2+BMILMS!$F$7*AM416+BMILMS!$G$7)),IF(AM416&lt;69,BMILMS!$D$9*AM416^3+BMILMS!$E$9*AM416^2+BMILMS!$F$9*AM416+BMILMS!$G$9,IF(AM416&lt;150,BMILMS!$D$10*AM416^3+BMILMS!$E$10*AM416^2+BMILMS!$F$10*AM416+BMILMS!$G$10,BMILMS!$D$11*AM416^3+BMILMS!$E$11*AM416^2+BMILMS!$F$11*AM416+BMILMS!$G$11)))</f>
        <v>0.79584630099999998</v>
      </c>
      <c r="AK416" s="4">
        <f>IF(D416="M",(IF(AM416&lt;2.5,BMILMS!$D$21*AM416^3+BMILMS!$E$21*AM416^2+BMILMS!$F$21*AM416+BMILMS!$G$21,IF(AM416&lt;9.5,BMILMS!$D$22*AM416^3+BMILMS!$E$22*AM416^2+BMILMS!$F$22*AM416+BMILMS!$G$22,IF(AM416&lt;26.75,BMILMS!$D$23*AM416^3+BMILMS!$E$23*AM416^2+BMILMS!$F$23*AM416+BMILMS!$G$23,IF(AM416&lt;90,BMILMS!$D$24*AM416^3+BMILMS!$E$24*AM416^2+BMILMS!$F$24*AM416+BMILMS!$G$24,BMILMS!$D$25*AM416^3+BMILMS!$E$25*AM416^2+BMILMS!$F$25*AM416+BMILMS!$G$25))))),(IF(AM416&lt;2.5,BMILMS!$D$27*AM416^3+BMILMS!$E$27*AM416^2+BMILMS!$F$27*AM416+BMILMS!$G$27,IF(AM416&lt;9.5,BMILMS!$D$28*AM416^3+BMILMS!$E$28*AM416^2+BMILMS!$F$28*AM416+BMILMS!$G$28,IF(AM416&lt;26.75,BMILMS!$D$29*AM416^3+BMILMS!$E$29*AM416^2+BMILMS!$F$29*AM416+BMILMS!$G$29,IF(AM416&lt;90,BMILMS!$D$30*AM416^3+BMILMS!$E$30*AM416^2+BMILMS!$F$30*AM416+BMILMS!$G$30,IF(AM416&lt;150,BMILMS!$D$31*AM416^3+BMILMS!$E$31*AM416^2+BMILMS!$F$31*AM416+BMILMS!$G$31,BMILMS!$D$32*AM416^3+BMILMS!$E$32*AM416^2+BMILMS!$F$32*AM416+BMILMS!$G$32)))))))</f>
        <v>12.568967990000001</v>
      </c>
      <c r="AL416" s="4">
        <f>IF(D416="M",(IF(AM416&lt;90,BMILMS!$D$14*AM416^3+BMILMS!$E$14*AM416^2+BMILMS!$F$14*AM416+BMILMS!$G$14,BMILMS!$D$15*AM416^3+BMILMS!$E$15*AM416^2+BMILMS!$F$15*AM416+BMILMS!$G$15)),(IF(AM416&lt;90,BMILMS!$D$17*AM416^3+BMILMS!$E$17*AM416^2+BMILMS!$F$17*AM416+BMILMS!$G$17,BMILMS!$D$18*AM416^3+BMILMS!$E$18*AM416^2+BMILMS!$F$18*AM416+BMILMS!$G$18)))</f>
        <v>8.8969350000000003E-2</v>
      </c>
      <c r="AM416" s="4">
        <f t="shared" si="146"/>
        <v>0</v>
      </c>
      <c r="AO416" s="56">
        <f>IF(D416="M",WeightSDS!P$5*$AM416^7+WeightSDS!Q$5*$AM416^6+WeightSDS!R$5*$AM416^5+WeightSDS!S$5*$AM416^4+WeightSDS!T$5*$AM416^3+WeightSDS!U$5*$AM416^2+WeightSDS!V$5*$AM416+WeightSDS!W$5,IF($AM416&lt;186,WeightSDS!P$8*$AM416^7+WeightSDS!Q$8*$AM416^6+WeightSDS!R$8*$AM416^5+WeightSDS!S$8*$AM416^4+WeightSDS!T$8*$AM416^3+WeightSDS!U$8*$AM416^2+WeightSDS!V$8*$AM416+WeightSDS!W$8,WeightSDS!$U$9+WeightSDS!$V$9*($AM416-WeightSDS!$W$9)))</f>
        <v>0.75407122999999998</v>
      </c>
      <c r="AP416" s="4">
        <f>IF(D416="M",IF($AM416&lt;45,WeightSDS!M$23*$AM416^10+WeightSDS!N$23*$AM416^9+WeightSDS!O$23*$AM416^8+WeightSDS!P$23*$AM416^7+WeightSDS!Q$23*$AM416^6+WeightSDS!R$23*$AM416^5+WeightSDS!S$23*$AM416^4+WeightSDS!T$23*$AM416^3+WeightSDS!U$23*$AM416^2+WeightSDS!V$23*$AM416+WeightSDS!W$23,IF($AM416&lt;153,WeightSDS!M$25*$AM416^10+WeightSDS!N$25*$AM416^9+WeightSDS!O$25*$AM416^8+WeightSDS!P$25*$AM416^7+WeightSDS!Q$25*$AM416^6+WeightSDS!R$25*$AM416^5+WeightSDS!S$25*$AM416^4+WeightSDS!T$25*$AM416^3+WeightSDS!U$25*$AM416^2+WeightSDS!V$25*$AM416+WeightSDS!W$25,WeightSDS!M$27+WeightSDS!N$27/(1+EXP(WeightSDS!O$27+WeightSDS!P$27*$AM416)))),IF($AM416&lt;43.8,WeightSDS!M$29*$AM416^10+WeightSDS!N$29*$AM416^9+WeightSDS!O$29*$AM416^8+WeightSDS!P$29*$AM416^7+WeightSDS!Q$29*$AM416^6+WeightSDS!R$29*$AM416^5+WeightSDS!S$29*$AM416^4+WeightSDS!T$29*$AM416^3+WeightSDS!U$29*$AM416^2+WeightSDS!V$29*$AM416+WeightSDS!W$29-0.010431*(1-$AM416/210),IF($AM416&lt;123,WeightSDS!M$30*$AM416^10+WeightSDS!N$30*$AM416^9+WeightSDS!O$30*$AM416^8+WeightSDS!P$30*$AM416^7+WeightSDS!Q$30*$AM416^6+WeightSDS!R$30*$AM416^5+WeightSDS!S$30*$AM416^4+WeightSDS!T$30*$AM416^3+WeightSDS!U$30*$AM416^2+WeightSDS!V$30*$AM416+WeightSDS!W$30-0.010431*(1-1/$AM416),WeightSDS!M$32+WeightSDS!N$32/(1+EXP(WeightSDS!O$32+WeightSDS!P$32*$AM416))-0.010431*(1-$AM416/210))))</f>
        <v>2.9500001032655536</v>
      </c>
      <c r="AQ416" s="4">
        <f>IF(D416="M",IF($AM416&lt;162,WeightSDS!P$12*$AM416^7+WeightSDS!Q$12*$AM416^6+WeightSDS!R$12*$AM416^5+WeightSDS!S$12*$AM416^4+WeightSDS!T$12*$AM416^3+WeightSDS!U$12*$AM416^2+WeightSDS!V$12*$AM416+WeightSDS!W$12,WeightSDS!P$14*$AM416^7+WeightSDS!Q$14*$AM416^6+WeightSDS!R$14*$AM416^5+WeightSDS!S$14*$AM416^4+WeightSDS!T$14*$AM416^3+WeightSDS!U$14*$AM416^2+WeightSDS!V$14*$AM416+WeightSDS!W$14),IF($AM416&lt;156,WeightSDS!O$17*$AM416^8+WeightSDS!P$17*$AM416^7+WeightSDS!Q$17*$AM416^6+WeightSDS!R$17*$AM416^5+WeightSDS!S$17*$AM416^4+WeightSDS!T$17*$AM416^3+WeightSDS!U$17*$AM416^2+WeightSDS!V$17*$AM416+WeightSDS!W$17,IF($AM416&lt;186,WeightSDS!$U$18+(WeightSDS!$V$18-WeightSDS!$U$18)/24*($AM416-186)+WeightSDS!$W$18*(-$AM416+186)^2-0.005,WeightSDS!$U$18+(WeightSDS!$V$18-WeightSDS!$U$18)/24*($AM416-186)-0.005)))</f>
        <v>0.14604529399999999</v>
      </c>
      <c r="AT416" s="4">
        <f t="shared" si="133"/>
        <v>0.56299999999999994</v>
      </c>
      <c r="AU416" s="4">
        <f t="shared" si="134"/>
        <v>69</v>
      </c>
      <c r="AV416" s="4">
        <f t="shared" si="135"/>
        <v>0.51</v>
      </c>
    </row>
    <row r="417" spans="1:48" x14ac:dyDescent="0.15">
      <c r="A417" s="4"/>
      <c r="B417" s="21"/>
      <c r="C417" s="21"/>
      <c r="D417" s="21"/>
      <c r="E417" s="22"/>
      <c r="F417" s="22"/>
      <c r="G417" s="23"/>
      <c r="H417" s="23"/>
      <c r="I417" s="181"/>
      <c r="J417" s="8" t="str">
        <f t="shared" si="127"/>
        <v/>
      </c>
      <c r="K417" s="2" t="str">
        <f t="shared" si="136"/>
        <v/>
      </c>
      <c r="L417" s="2" t="str">
        <f t="shared" si="128"/>
        <v/>
      </c>
      <c r="M417" s="2" t="str">
        <f t="shared" si="137"/>
        <v/>
      </c>
      <c r="N417" s="2" t="str">
        <f t="shared" si="145"/>
        <v/>
      </c>
      <c r="O417" s="2" t="str">
        <f t="shared" si="138"/>
        <v/>
      </c>
      <c r="P417" s="8" t="str">
        <f t="shared" si="139"/>
        <v/>
      </c>
      <c r="Q417" s="8" t="str">
        <f t="shared" si="140"/>
        <v/>
      </c>
      <c r="R417" s="111" t="str">
        <f t="shared" si="141"/>
        <v/>
      </c>
      <c r="S417" s="44" t="str">
        <f t="shared" si="142"/>
        <v/>
      </c>
      <c r="T417" s="37" t="str">
        <f t="shared" si="143"/>
        <v/>
      </c>
      <c r="U417" s="44" t="str">
        <f t="shared" si="144"/>
        <v/>
      </c>
      <c r="V417" s="26"/>
      <c r="W417" s="26"/>
      <c r="X417" s="26"/>
      <c r="Y417" s="26"/>
      <c r="Z417" s="24"/>
      <c r="AA417" s="169">
        <f t="shared" si="129"/>
        <v>0</v>
      </c>
      <c r="AB417" s="4">
        <f t="shared" si="130"/>
        <v>0</v>
      </c>
      <c r="AC417" s="170">
        <f t="shared" si="147"/>
        <v>0</v>
      </c>
      <c r="AD417" s="58"/>
      <c r="AE417" s="58"/>
      <c r="AF417" s="58"/>
      <c r="AG417" s="59">
        <f t="shared" si="131"/>
        <v>9.0359999999999996</v>
      </c>
      <c r="AH417" s="59">
        <f t="shared" si="132"/>
        <v>-184.49199999999999</v>
      </c>
      <c r="AJ417" s="4">
        <f>IF(D417="M",IF(AM417&lt;78,BMILMS!$D$5*AM417^3+BMILMS!$E$5*AM417^2+BMILMS!$F$5*AM417+BMILMS!$G$5,IF(AM417&lt;150,BMILMS!$D$6*AM417^3+BMILMS!$E$6*AM417^2+BMILMS!$F$6*AM417+BMILMS!$G$6,BMILMS!$D$7*AM417^3+BMILMS!$E$7*AM417^2+BMILMS!$F$7*AM417+BMILMS!$G$7)),IF(AM417&lt;69,BMILMS!$D$9*AM417^3+BMILMS!$E$9*AM417^2+BMILMS!$F$9*AM417+BMILMS!$G$9,IF(AM417&lt;150,BMILMS!$D$10*AM417^3+BMILMS!$E$10*AM417^2+BMILMS!$F$10*AM417+BMILMS!$G$10,BMILMS!$D$11*AM417^3+BMILMS!$E$11*AM417^2+BMILMS!$F$11*AM417+BMILMS!$G$11)))</f>
        <v>0.79584630099999998</v>
      </c>
      <c r="AK417" s="4">
        <f>IF(D417="M",(IF(AM417&lt;2.5,BMILMS!$D$21*AM417^3+BMILMS!$E$21*AM417^2+BMILMS!$F$21*AM417+BMILMS!$G$21,IF(AM417&lt;9.5,BMILMS!$D$22*AM417^3+BMILMS!$E$22*AM417^2+BMILMS!$F$22*AM417+BMILMS!$G$22,IF(AM417&lt;26.75,BMILMS!$D$23*AM417^3+BMILMS!$E$23*AM417^2+BMILMS!$F$23*AM417+BMILMS!$G$23,IF(AM417&lt;90,BMILMS!$D$24*AM417^3+BMILMS!$E$24*AM417^2+BMILMS!$F$24*AM417+BMILMS!$G$24,BMILMS!$D$25*AM417^3+BMILMS!$E$25*AM417^2+BMILMS!$F$25*AM417+BMILMS!$G$25))))),(IF(AM417&lt;2.5,BMILMS!$D$27*AM417^3+BMILMS!$E$27*AM417^2+BMILMS!$F$27*AM417+BMILMS!$G$27,IF(AM417&lt;9.5,BMILMS!$D$28*AM417^3+BMILMS!$E$28*AM417^2+BMILMS!$F$28*AM417+BMILMS!$G$28,IF(AM417&lt;26.75,BMILMS!$D$29*AM417^3+BMILMS!$E$29*AM417^2+BMILMS!$F$29*AM417+BMILMS!$G$29,IF(AM417&lt;90,BMILMS!$D$30*AM417^3+BMILMS!$E$30*AM417^2+BMILMS!$F$30*AM417+BMILMS!$G$30,IF(AM417&lt;150,BMILMS!$D$31*AM417^3+BMILMS!$E$31*AM417^2+BMILMS!$F$31*AM417+BMILMS!$G$31,BMILMS!$D$32*AM417^3+BMILMS!$E$32*AM417^2+BMILMS!$F$32*AM417+BMILMS!$G$32)))))))</f>
        <v>12.568967990000001</v>
      </c>
      <c r="AL417" s="4">
        <f>IF(D417="M",(IF(AM417&lt;90,BMILMS!$D$14*AM417^3+BMILMS!$E$14*AM417^2+BMILMS!$F$14*AM417+BMILMS!$G$14,BMILMS!$D$15*AM417^3+BMILMS!$E$15*AM417^2+BMILMS!$F$15*AM417+BMILMS!$G$15)),(IF(AM417&lt;90,BMILMS!$D$17*AM417^3+BMILMS!$E$17*AM417^2+BMILMS!$F$17*AM417+BMILMS!$G$17,BMILMS!$D$18*AM417^3+BMILMS!$E$18*AM417^2+BMILMS!$F$18*AM417+BMILMS!$G$18)))</f>
        <v>8.8969350000000003E-2</v>
      </c>
      <c r="AM417" s="4">
        <f t="shared" si="146"/>
        <v>0</v>
      </c>
      <c r="AO417" s="56">
        <f>IF(D417="M",WeightSDS!P$5*$AM417^7+WeightSDS!Q$5*$AM417^6+WeightSDS!R$5*$AM417^5+WeightSDS!S$5*$AM417^4+WeightSDS!T$5*$AM417^3+WeightSDS!U$5*$AM417^2+WeightSDS!V$5*$AM417+WeightSDS!W$5,IF($AM417&lt;186,WeightSDS!P$8*$AM417^7+WeightSDS!Q$8*$AM417^6+WeightSDS!R$8*$AM417^5+WeightSDS!S$8*$AM417^4+WeightSDS!T$8*$AM417^3+WeightSDS!U$8*$AM417^2+WeightSDS!V$8*$AM417+WeightSDS!W$8,WeightSDS!$U$9+WeightSDS!$V$9*($AM417-WeightSDS!$W$9)))</f>
        <v>0.75407122999999998</v>
      </c>
      <c r="AP417" s="4">
        <f>IF(D417="M",IF($AM417&lt;45,WeightSDS!M$23*$AM417^10+WeightSDS!N$23*$AM417^9+WeightSDS!O$23*$AM417^8+WeightSDS!P$23*$AM417^7+WeightSDS!Q$23*$AM417^6+WeightSDS!R$23*$AM417^5+WeightSDS!S$23*$AM417^4+WeightSDS!T$23*$AM417^3+WeightSDS!U$23*$AM417^2+WeightSDS!V$23*$AM417+WeightSDS!W$23,IF($AM417&lt;153,WeightSDS!M$25*$AM417^10+WeightSDS!N$25*$AM417^9+WeightSDS!O$25*$AM417^8+WeightSDS!P$25*$AM417^7+WeightSDS!Q$25*$AM417^6+WeightSDS!R$25*$AM417^5+WeightSDS!S$25*$AM417^4+WeightSDS!T$25*$AM417^3+WeightSDS!U$25*$AM417^2+WeightSDS!V$25*$AM417+WeightSDS!W$25,WeightSDS!M$27+WeightSDS!N$27/(1+EXP(WeightSDS!O$27+WeightSDS!P$27*$AM417)))),IF($AM417&lt;43.8,WeightSDS!M$29*$AM417^10+WeightSDS!N$29*$AM417^9+WeightSDS!O$29*$AM417^8+WeightSDS!P$29*$AM417^7+WeightSDS!Q$29*$AM417^6+WeightSDS!R$29*$AM417^5+WeightSDS!S$29*$AM417^4+WeightSDS!T$29*$AM417^3+WeightSDS!U$29*$AM417^2+WeightSDS!V$29*$AM417+WeightSDS!W$29-0.010431*(1-$AM417/210),IF($AM417&lt;123,WeightSDS!M$30*$AM417^10+WeightSDS!N$30*$AM417^9+WeightSDS!O$30*$AM417^8+WeightSDS!P$30*$AM417^7+WeightSDS!Q$30*$AM417^6+WeightSDS!R$30*$AM417^5+WeightSDS!S$30*$AM417^4+WeightSDS!T$30*$AM417^3+WeightSDS!U$30*$AM417^2+WeightSDS!V$30*$AM417+WeightSDS!W$30-0.010431*(1-1/$AM417),WeightSDS!M$32+WeightSDS!N$32/(1+EXP(WeightSDS!O$32+WeightSDS!P$32*$AM417))-0.010431*(1-$AM417/210))))</f>
        <v>2.9500001032655536</v>
      </c>
      <c r="AQ417" s="4">
        <f>IF(D417="M",IF($AM417&lt;162,WeightSDS!P$12*$AM417^7+WeightSDS!Q$12*$AM417^6+WeightSDS!R$12*$AM417^5+WeightSDS!S$12*$AM417^4+WeightSDS!T$12*$AM417^3+WeightSDS!U$12*$AM417^2+WeightSDS!V$12*$AM417+WeightSDS!W$12,WeightSDS!P$14*$AM417^7+WeightSDS!Q$14*$AM417^6+WeightSDS!R$14*$AM417^5+WeightSDS!S$14*$AM417^4+WeightSDS!T$14*$AM417^3+WeightSDS!U$14*$AM417^2+WeightSDS!V$14*$AM417+WeightSDS!W$14),IF($AM417&lt;156,WeightSDS!O$17*$AM417^8+WeightSDS!P$17*$AM417^7+WeightSDS!Q$17*$AM417^6+WeightSDS!R$17*$AM417^5+WeightSDS!S$17*$AM417^4+WeightSDS!T$17*$AM417^3+WeightSDS!U$17*$AM417^2+WeightSDS!V$17*$AM417+WeightSDS!W$17,IF($AM417&lt;186,WeightSDS!$U$18+(WeightSDS!$V$18-WeightSDS!$U$18)/24*($AM417-186)+WeightSDS!$W$18*(-$AM417+186)^2-0.005,WeightSDS!$U$18+(WeightSDS!$V$18-WeightSDS!$U$18)/24*($AM417-186)-0.005)))</f>
        <v>0.14604529399999999</v>
      </c>
      <c r="AT417" s="4">
        <f t="shared" si="133"/>
        <v>0.56299999999999994</v>
      </c>
      <c r="AU417" s="4">
        <f t="shared" si="134"/>
        <v>69</v>
      </c>
      <c r="AV417" s="4">
        <f t="shared" si="135"/>
        <v>0.51</v>
      </c>
    </row>
    <row r="418" spans="1:48" x14ac:dyDescent="0.15">
      <c r="A418" s="4"/>
      <c r="B418" s="21"/>
      <c r="C418" s="21"/>
      <c r="D418" s="21"/>
      <c r="E418" s="22"/>
      <c r="F418" s="22"/>
      <c r="G418" s="23"/>
      <c r="H418" s="23"/>
      <c r="I418" s="181"/>
      <c r="J418" s="8" t="str">
        <f t="shared" si="127"/>
        <v/>
      </c>
      <c r="K418" s="2" t="str">
        <f t="shared" si="136"/>
        <v/>
      </c>
      <c r="L418" s="2" t="str">
        <f t="shared" si="128"/>
        <v/>
      </c>
      <c r="M418" s="2" t="str">
        <f t="shared" si="137"/>
        <v/>
      </c>
      <c r="N418" s="2" t="str">
        <f t="shared" si="145"/>
        <v/>
      </c>
      <c r="O418" s="2" t="str">
        <f t="shared" si="138"/>
        <v/>
      </c>
      <c r="P418" s="8" t="str">
        <f t="shared" si="139"/>
        <v/>
      </c>
      <c r="Q418" s="8" t="str">
        <f t="shared" si="140"/>
        <v/>
      </c>
      <c r="R418" s="111" t="str">
        <f t="shared" si="141"/>
        <v/>
      </c>
      <c r="S418" s="44" t="str">
        <f t="shared" si="142"/>
        <v/>
      </c>
      <c r="T418" s="37" t="str">
        <f t="shared" si="143"/>
        <v/>
      </c>
      <c r="U418" s="44" t="str">
        <f t="shared" si="144"/>
        <v/>
      </c>
      <c r="V418" s="26"/>
      <c r="W418" s="26"/>
      <c r="X418" s="26"/>
      <c r="Y418" s="26"/>
      <c r="Z418" s="24"/>
      <c r="AA418" s="169">
        <f t="shared" si="129"/>
        <v>0</v>
      </c>
      <c r="AB418" s="4">
        <f t="shared" si="130"/>
        <v>0</v>
      </c>
      <c r="AC418" s="170">
        <f t="shared" si="147"/>
        <v>0</v>
      </c>
      <c r="AD418" s="58"/>
      <c r="AE418" s="58"/>
      <c r="AF418" s="58"/>
      <c r="AG418" s="59">
        <f t="shared" si="131"/>
        <v>9.0359999999999996</v>
      </c>
      <c r="AH418" s="59">
        <f t="shared" si="132"/>
        <v>-184.49199999999999</v>
      </c>
      <c r="AJ418" s="4">
        <f>IF(D418="M",IF(AM418&lt;78,BMILMS!$D$5*AM418^3+BMILMS!$E$5*AM418^2+BMILMS!$F$5*AM418+BMILMS!$G$5,IF(AM418&lt;150,BMILMS!$D$6*AM418^3+BMILMS!$E$6*AM418^2+BMILMS!$F$6*AM418+BMILMS!$G$6,BMILMS!$D$7*AM418^3+BMILMS!$E$7*AM418^2+BMILMS!$F$7*AM418+BMILMS!$G$7)),IF(AM418&lt;69,BMILMS!$D$9*AM418^3+BMILMS!$E$9*AM418^2+BMILMS!$F$9*AM418+BMILMS!$G$9,IF(AM418&lt;150,BMILMS!$D$10*AM418^3+BMILMS!$E$10*AM418^2+BMILMS!$F$10*AM418+BMILMS!$G$10,BMILMS!$D$11*AM418^3+BMILMS!$E$11*AM418^2+BMILMS!$F$11*AM418+BMILMS!$G$11)))</f>
        <v>0.79584630099999998</v>
      </c>
      <c r="AK418" s="4">
        <f>IF(D418="M",(IF(AM418&lt;2.5,BMILMS!$D$21*AM418^3+BMILMS!$E$21*AM418^2+BMILMS!$F$21*AM418+BMILMS!$G$21,IF(AM418&lt;9.5,BMILMS!$D$22*AM418^3+BMILMS!$E$22*AM418^2+BMILMS!$F$22*AM418+BMILMS!$G$22,IF(AM418&lt;26.75,BMILMS!$D$23*AM418^3+BMILMS!$E$23*AM418^2+BMILMS!$F$23*AM418+BMILMS!$G$23,IF(AM418&lt;90,BMILMS!$D$24*AM418^3+BMILMS!$E$24*AM418^2+BMILMS!$F$24*AM418+BMILMS!$G$24,BMILMS!$D$25*AM418^3+BMILMS!$E$25*AM418^2+BMILMS!$F$25*AM418+BMILMS!$G$25))))),(IF(AM418&lt;2.5,BMILMS!$D$27*AM418^3+BMILMS!$E$27*AM418^2+BMILMS!$F$27*AM418+BMILMS!$G$27,IF(AM418&lt;9.5,BMILMS!$D$28*AM418^3+BMILMS!$E$28*AM418^2+BMILMS!$F$28*AM418+BMILMS!$G$28,IF(AM418&lt;26.75,BMILMS!$D$29*AM418^3+BMILMS!$E$29*AM418^2+BMILMS!$F$29*AM418+BMILMS!$G$29,IF(AM418&lt;90,BMILMS!$D$30*AM418^3+BMILMS!$E$30*AM418^2+BMILMS!$F$30*AM418+BMILMS!$G$30,IF(AM418&lt;150,BMILMS!$D$31*AM418^3+BMILMS!$E$31*AM418^2+BMILMS!$F$31*AM418+BMILMS!$G$31,BMILMS!$D$32*AM418^3+BMILMS!$E$32*AM418^2+BMILMS!$F$32*AM418+BMILMS!$G$32)))))))</f>
        <v>12.568967990000001</v>
      </c>
      <c r="AL418" s="4">
        <f>IF(D418="M",(IF(AM418&lt;90,BMILMS!$D$14*AM418^3+BMILMS!$E$14*AM418^2+BMILMS!$F$14*AM418+BMILMS!$G$14,BMILMS!$D$15*AM418^3+BMILMS!$E$15*AM418^2+BMILMS!$F$15*AM418+BMILMS!$G$15)),(IF(AM418&lt;90,BMILMS!$D$17*AM418^3+BMILMS!$E$17*AM418^2+BMILMS!$F$17*AM418+BMILMS!$G$17,BMILMS!$D$18*AM418^3+BMILMS!$E$18*AM418^2+BMILMS!$F$18*AM418+BMILMS!$G$18)))</f>
        <v>8.8969350000000003E-2</v>
      </c>
      <c r="AM418" s="4">
        <f t="shared" si="146"/>
        <v>0</v>
      </c>
      <c r="AO418" s="56">
        <f>IF(D418="M",WeightSDS!P$5*$AM418^7+WeightSDS!Q$5*$AM418^6+WeightSDS!R$5*$AM418^5+WeightSDS!S$5*$AM418^4+WeightSDS!T$5*$AM418^3+WeightSDS!U$5*$AM418^2+WeightSDS!V$5*$AM418+WeightSDS!W$5,IF($AM418&lt;186,WeightSDS!P$8*$AM418^7+WeightSDS!Q$8*$AM418^6+WeightSDS!R$8*$AM418^5+WeightSDS!S$8*$AM418^4+WeightSDS!T$8*$AM418^3+WeightSDS!U$8*$AM418^2+WeightSDS!V$8*$AM418+WeightSDS!W$8,WeightSDS!$U$9+WeightSDS!$V$9*($AM418-WeightSDS!$W$9)))</f>
        <v>0.75407122999999998</v>
      </c>
      <c r="AP418" s="4">
        <f>IF(D418="M",IF($AM418&lt;45,WeightSDS!M$23*$AM418^10+WeightSDS!N$23*$AM418^9+WeightSDS!O$23*$AM418^8+WeightSDS!P$23*$AM418^7+WeightSDS!Q$23*$AM418^6+WeightSDS!R$23*$AM418^5+WeightSDS!S$23*$AM418^4+WeightSDS!T$23*$AM418^3+WeightSDS!U$23*$AM418^2+WeightSDS!V$23*$AM418+WeightSDS!W$23,IF($AM418&lt;153,WeightSDS!M$25*$AM418^10+WeightSDS!N$25*$AM418^9+WeightSDS!O$25*$AM418^8+WeightSDS!P$25*$AM418^7+WeightSDS!Q$25*$AM418^6+WeightSDS!R$25*$AM418^5+WeightSDS!S$25*$AM418^4+WeightSDS!T$25*$AM418^3+WeightSDS!U$25*$AM418^2+WeightSDS!V$25*$AM418+WeightSDS!W$25,WeightSDS!M$27+WeightSDS!N$27/(1+EXP(WeightSDS!O$27+WeightSDS!P$27*$AM418)))),IF($AM418&lt;43.8,WeightSDS!M$29*$AM418^10+WeightSDS!N$29*$AM418^9+WeightSDS!O$29*$AM418^8+WeightSDS!P$29*$AM418^7+WeightSDS!Q$29*$AM418^6+WeightSDS!R$29*$AM418^5+WeightSDS!S$29*$AM418^4+WeightSDS!T$29*$AM418^3+WeightSDS!U$29*$AM418^2+WeightSDS!V$29*$AM418+WeightSDS!W$29-0.010431*(1-$AM418/210),IF($AM418&lt;123,WeightSDS!M$30*$AM418^10+WeightSDS!N$30*$AM418^9+WeightSDS!O$30*$AM418^8+WeightSDS!P$30*$AM418^7+WeightSDS!Q$30*$AM418^6+WeightSDS!R$30*$AM418^5+WeightSDS!S$30*$AM418^4+WeightSDS!T$30*$AM418^3+WeightSDS!U$30*$AM418^2+WeightSDS!V$30*$AM418+WeightSDS!W$30-0.010431*(1-1/$AM418),WeightSDS!M$32+WeightSDS!N$32/(1+EXP(WeightSDS!O$32+WeightSDS!P$32*$AM418))-0.010431*(1-$AM418/210))))</f>
        <v>2.9500001032655536</v>
      </c>
      <c r="AQ418" s="4">
        <f>IF(D418="M",IF($AM418&lt;162,WeightSDS!P$12*$AM418^7+WeightSDS!Q$12*$AM418^6+WeightSDS!R$12*$AM418^5+WeightSDS!S$12*$AM418^4+WeightSDS!T$12*$AM418^3+WeightSDS!U$12*$AM418^2+WeightSDS!V$12*$AM418+WeightSDS!W$12,WeightSDS!P$14*$AM418^7+WeightSDS!Q$14*$AM418^6+WeightSDS!R$14*$AM418^5+WeightSDS!S$14*$AM418^4+WeightSDS!T$14*$AM418^3+WeightSDS!U$14*$AM418^2+WeightSDS!V$14*$AM418+WeightSDS!W$14),IF($AM418&lt;156,WeightSDS!O$17*$AM418^8+WeightSDS!P$17*$AM418^7+WeightSDS!Q$17*$AM418^6+WeightSDS!R$17*$AM418^5+WeightSDS!S$17*$AM418^4+WeightSDS!T$17*$AM418^3+WeightSDS!U$17*$AM418^2+WeightSDS!V$17*$AM418+WeightSDS!W$17,IF($AM418&lt;186,WeightSDS!$U$18+(WeightSDS!$V$18-WeightSDS!$U$18)/24*($AM418-186)+WeightSDS!$W$18*(-$AM418+186)^2-0.005,WeightSDS!$U$18+(WeightSDS!$V$18-WeightSDS!$U$18)/24*($AM418-186)-0.005)))</f>
        <v>0.14604529399999999</v>
      </c>
      <c r="AT418" s="4">
        <f t="shared" si="133"/>
        <v>0.56299999999999994</v>
      </c>
      <c r="AU418" s="4">
        <f t="shared" si="134"/>
        <v>69</v>
      </c>
      <c r="AV418" s="4">
        <f t="shared" si="135"/>
        <v>0.51</v>
      </c>
    </row>
    <row r="419" spans="1:48" x14ac:dyDescent="0.15">
      <c r="A419" s="4"/>
      <c r="B419" s="21"/>
      <c r="C419" s="21"/>
      <c r="D419" s="21"/>
      <c r="E419" s="22"/>
      <c r="F419" s="22"/>
      <c r="G419" s="23"/>
      <c r="H419" s="23"/>
      <c r="I419" s="181"/>
      <c r="J419" s="8" t="str">
        <f t="shared" si="127"/>
        <v/>
      </c>
      <c r="K419" s="2" t="str">
        <f t="shared" si="136"/>
        <v/>
      </c>
      <c r="L419" s="2" t="str">
        <f t="shared" si="128"/>
        <v/>
      </c>
      <c r="M419" s="2" t="str">
        <f t="shared" si="137"/>
        <v/>
      </c>
      <c r="N419" s="2" t="str">
        <f t="shared" si="145"/>
        <v/>
      </c>
      <c r="O419" s="2" t="str">
        <f t="shared" si="138"/>
        <v/>
      </c>
      <c r="P419" s="8" t="str">
        <f t="shared" si="139"/>
        <v/>
      </c>
      <c r="Q419" s="8" t="str">
        <f t="shared" si="140"/>
        <v/>
      </c>
      <c r="R419" s="111" t="str">
        <f t="shared" si="141"/>
        <v/>
      </c>
      <c r="S419" s="44" t="str">
        <f t="shared" si="142"/>
        <v/>
      </c>
      <c r="T419" s="37" t="str">
        <f t="shared" si="143"/>
        <v/>
      </c>
      <c r="U419" s="44" t="str">
        <f t="shared" si="144"/>
        <v/>
      </c>
      <c r="V419" s="26"/>
      <c r="W419" s="26"/>
      <c r="X419" s="26"/>
      <c r="Y419" s="26"/>
      <c r="Z419" s="24"/>
      <c r="AA419" s="169">
        <f t="shared" si="129"/>
        <v>0</v>
      </c>
      <c r="AB419" s="4">
        <f t="shared" si="130"/>
        <v>0</v>
      </c>
      <c r="AC419" s="170">
        <f t="shared" si="147"/>
        <v>0</v>
      </c>
      <c r="AD419" s="58"/>
      <c r="AE419" s="58"/>
      <c r="AF419" s="58"/>
      <c r="AG419" s="59">
        <f t="shared" si="131"/>
        <v>9.0359999999999996</v>
      </c>
      <c r="AH419" s="59">
        <f t="shared" si="132"/>
        <v>-184.49199999999999</v>
      </c>
      <c r="AJ419" s="4">
        <f>IF(D419="M",IF(AM419&lt;78,BMILMS!$D$5*AM419^3+BMILMS!$E$5*AM419^2+BMILMS!$F$5*AM419+BMILMS!$G$5,IF(AM419&lt;150,BMILMS!$D$6*AM419^3+BMILMS!$E$6*AM419^2+BMILMS!$F$6*AM419+BMILMS!$G$6,BMILMS!$D$7*AM419^3+BMILMS!$E$7*AM419^2+BMILMS!$F$7*AM419+BMILMS!$G$7)),IF(AM419&lt;69,BMILMS!$D$9*AM419^3+BMILMS!$E$9*AM419^2+BMILMS!$F$9*AM419+BMILMS!$G$9,IF(AM419&lt;150,BMILMS!$D$10*AM419^3+BMILMS!$E$10*AM419^2+BMILMS!$F$10*AM419+BMILMS!$G$10,BMILMS!$D$11*AM419^3+BMILMS!$E$11*AM419^2+BMILMS!$F$11*AM419+BMILMS!$G$11)))</f>
        <v>0.79584630099999998</v>
      </c>
      <c r="AK419" s="4">
        <f>IF(D419="M",(IF(AM419&lt;2.5,BMILMS!$D$21*AM419^3+BMILMS!$E$21*AM419^2+BMILMS!$F$21*AM419+BMILMS!$G$21,IF(AM419&lt;9.5,BMILMS!$D$22*AM419^3+BMILMS!$E$22*AM419^2+BMILMS!$F$22*AM419+BMILMS!$G$22,IF(AM419&lt;26.75,BMILMS!$D$23*AM419^3+BMILMS!$E$23*AM419^2+BMILMS!$F$23*AM419+BMILMS!$G$23,IF(AM419&lt;90,BMILMS!$D$24*AM419^3+BMILMS!$E$24*AM419^2+BMILMS!$F$24*AM419+BMILMS!$G$24,BMILMS!$D$25*AM419^3+BMILMS!$E$25*AM419^2+BMILMS!$F$25*AM419+BMILMS!$G$25))))),(IF(AM419&lt;2.5,BMILMS!$D$27*AM419^3+BMILMS!$E$27*AM419^2+BMILMS!$F$27*AM419+BMILMS!$G$27,IF(AM419&lt;9.5,BMILMS!$D$28*AM419^3+BMILMS!$E$28*AM419^2+BMILMS!$F$28*AM419+BMILMS!$G$28,IF(AM419&lt;26.75,BMILMS!$D$29*AM419^3+BMILMS!$E$29*AM419^2+BMILMS!$F$29*AM419+BMILMS!$G$29,IF(AM419&lt;90,BMILMS!$D$30*AM419^3+BMILMS!$E$30*AM419^2+BMILMS!$F$30*AM419+BMILMS!$G$30,IF(AM419&lt;150,BMILMS!$D$31*AM419^3+BMILMS!$E$31*AM419^2+BMILMS!$F$31*AM419+BMILMS!$G$31,BMILMS!$D$32*AM419^3+BMILMS!$E$32*AM419^2+BMILMS!$F$32*AM419+BMILMS!$G$32)))))))</f>
        <v>12.568967990000001</v>
      </c>
      <c r="AL419" s="4">
        <f>IF(D419="M",(IF(AM419&lt;90,BMILMS!$D$14*AM419^3+BMILMS!$E$14*AM419^2+BMILMS!$F$14*AM419+BMILMS!$G$14,BMILMS!$D$15*AM419^3+BMILMS!$E$15*AM419^2+BMILMS!$F$15*AM419+BMILMS!$G$15)),(IF(AM419&lt;90,BMILMS!$D$17*AM419^3+BMILMS!$E$17*AM419^2+BMILMS!$F$17*AM419+BMILMS!$G$17,BMILMS!$D$18*AM419^3+BMILMS!$E$18*AM419^2+BMILMS!$F$18*AM419+BMILMS!$G$18)))</f>
        <v>8.8969350000000003E-2</v>
      </c>
      <c r="AM419" s="4">
        <f t="shared" si="146"/>
        <v>0</v>
      </c>
      <c r="AO419" s="56">
        <f>IF(D419="M",WeightSDS!P$5*$AM419^7+WeightSDS!Q$5*$AM419^6+WeightSDS!R$5*$AM419^5+WeightSDS!S$5*$AM419^4+WeightSDS!T$5*$AM419^3+WeightSDS!U$5*$AM419^2+WeightSDS!V$5*$AM419+WeightSDS!W$5,IF($AM419&lt;186,WeightSDS!P$8*$AM419^7+WeightSDS!Q$8*$AM419^6+WeightSDS!R$8*$AM419^5+WeightSDS!S$8*$AM419^4+WeightSDS!T$8*$AM419^3+WeightSDS!U$8*$AM419^2+WeightSDS!V$8*$AM419+WeightSDS!W$8,WeightSDS!$U$9+WeightSDS!$V$9*($AM419-WeightSDS!$W$9)))</f>
        <v>0.75407122999999998</v>
      </c>
      <c r="AP419" s="4">
        <f>IF(D419="M",IF($AM419&lt;45,WeightSDS!M$23*$AM419^10+WeightSDS!N$23*$AM419^9+WeightSDS!O$23*$AM419^8+WeightSDS!P$23*$AM419^7+WeightSDS!Q$23*$AM419^6+WeightSDS!R$23*$AM419^5+WeightSDS!S$23*$AM419^4+WeightSDS!T$23*$AM419^3+WeightSDS!U$23*$AM419^2+WeightSDS!V$23*$AM419+WeightSDS!W$23,IF($AM419&lt;153,WeightSDS!M$25*$AM419^10+WeightSDS!N$25*$AM419^9+WeightSDS!O$25*$AM419^8+WeightSDS!P$25*$AM419^7+WeightSDS!Q$25*$AM419^6+WeightSDS!R$25*$AM419^5+WeightSDS!S$25*$AM419^4+WeightSDS!T$25*$AM419^3+WeightSDS!U$25*$AM419^2+WeightSDS!V$25*$AM419+WeightSDS!W$25,WeightSDS!M$27+WeightSDS!N$27/(1+EXP(WeightSDS!O$27+WeightSDS!P$27*$AM419)))),IF($AM419&lt;43.8,WeightSDS!M$29*$AM419^10+WeightSDS!N$29*$AM419^9+WeightSDS!O$29*$AM419^8+WeightSDS!P$29*$AM419^7+WeightSDS!Q$29*$AM419^6+WeightSDS!R$29*$AM419^5+WeightSDS!S$29*$AM419^4+WeightSDS!T$29*$AM419^3+WeightSDS!U$29*$AM419^2+WeightSDS!V$29*$AM419+WeightSDS!W$29-0.010431*(1-$AM419/210),IF($AM419&lt;123,WeightSDS!M$30*$AM419^10+WeightSDS!N$30*$AM419^9+WeightSDS!O$30*$AM419^8+WeightSDS!P$30*$AM419^7+WeightSDS!Q$30*$AM419^6+WeightSDS!R$30*$AM419^5+WeightSDS!S$30*$AM419^4+WeightSDS!T$30*$AM419^3+WeightSDS!U$30*$AM419^2+WeightSDS!V$30*$AM419+WeightSDS!W$30-0.010431*(1-1/$AM419),WeightSDS!M$32+WeightSDS!N$32/(1+EXP(WeightSDS!O$32+WeightSDS!P$32*$AM419))-0.010431*(1-$AM419/210))))</f>
        <v>2.9500001032655536</v>
      </c>
      <c r="AQ419" s="4">
        <f>IF(D419="M",IF($AM419&lt;162,WeightSDS!P$12*$AM419^7+WeightSDS!Q$12*$AM419^6+WeightSDS!R$12*$AM419^5+WeightSDS!S$12*$AM419^4+WeightSDS!T$12*$AM419^3+WeightSDS!U$12*$AM419^2+WeightSDS!V$12*$AM419+WeightSDS!W$12,WeightSDS!P$14*$AM419^7+WeightSDS!Q$14*$AM419^6+WeightSDS!R$14*$AM419^5+WeightSDS!S$14*$AM419^4+WeightSDS!T$14*$AM419^3+WeightSDS!U$14*$AM419^2+WeightSDS!V$14*$AM419+WeightSDS!W$14),IF($AM419&lt;156,WeightSDS!O$17*$AM419^8+WeightSDS!P$17*$AM419^7+WeightSDS!Q$17*$AM419^6+WeightSDS!R$17*$AM419^5+WeightSDS!S$17*$AM419^4+WeightSDS!T$17*$AM419^3+WeightSDS!U$17*$AM419^2+WeightSDS!V$17*$AM419+WeightSDS!W$17,IF($AM419&lt;186,WeightSDS!$U$18+(WeightSDS!$V$18-WeightSDS!$U$18)/24*($AM419-186)+WeightSDS!$W$18*(-$AM419+186)^2-0.005,WeightSDS!$U$18+(WeightSDS!$V$18-WeightSDS!$U$18)/24*($AM419-186)-0.005)))</f>
        <v>0.14604529399999999</v>
      </c>
      <c r="AT419" s="4">
        <f t="shared" si="133"/>
        <v>0.56299999999999994</v>
      </c>
      <c r="AU419" s="4">
        <f t="shared" si="134"/>
        <v>69</v>
      </c>
      <c r="AV419" s="4">
        <f t="shared" si="135"/>
        <v>0.51</v>
      </c>
    </row>
    <row r="420" spans="1:48" x14ac:dyDescent="0.15">
      <c r="A420" s="4"/>
      <c r="B420" s="21"/>
      <c r="C420" s="21"/>
      <c r="D420" s="21"/>
      <c r="E420" s="22"/>
      <c r="F420" s="22"/>
      <c r="G420" s="23"/>
      <c r="H420" s="23"/>
      <c r="I420" s="181"/>
      <c r="J420" s="8" t="str">
        <f t="shared" si="127"/>
        <v/>
      </c>
      <c r="K420" s="2" t="str">
        <f t="shared" si="136"/>
        <v/>
      </c>
      <c r="L420" s="2" t="str">
        <f t="shared" si="128"/>
        <v/>
      </c>
      <c r="M420" s="2" t="str">
        <f t="shared" si="137"/>
        <v/>
      </c>
      <c r="N420" s="2" t="str">
        <f t="shared" si="145"/>
        <v/>
      </c>
      <c r="O420" s="2" t="str">
        <f t="shared" si="138"/>
        <v/>
      </c>
      <c r="P420" s="8" t="str">
        <f t="shared" si="139"/>
        <v/>
      </c>
      <c r="Q420" s="8" t="str">
        <f t="shared" si="140"/>
        <v/>
      </c>
      <c r="R420" s="111" t="str">
        <f t="shared" si="141"/>
        <v/>
      </c>
      <c r="S420" s="44" t="str">
        <f t="shared" si="142"/>
        <v/>
      </c>
      <c r="T420" s="37" t="str">
        <f t="shared" si="143"/>
        <v/>
      </c>
      <c r="U420" s="44" t="str">
        <f t="shared" si="144"/>
        <v/>
      </c>
      <c r="V420" s="26"/>
      <c r="W420" s="26"/>
      <c r="X420" s="26"/>
      <c r="Y420" s="26"/>
      <c r="Z420" s="24"/>
      <c r="AA420" s="169">
        <f t="shared" si="129"/>
        <v>0</v>
      </c>
      <c r="AB420" s="4">
        <f t="shared" si="130"/>
        <v>0</v>
      </c>
      <c r="AC420" s="170">
        <f t="shared" si="147"/>
        <v>0</v>
      </c>
      <c r="AD420" s="58"/>
      <c r="AE420" s="58"/>
      <c r="AF420" s="58"/>
      <c r="AG420" s="59">
        <f t="shared" si="131"/>
        <v>9.0359999999999996</v>
      </c>
      <c r="AH420" s="59">
        <f t="shared" si="132"/>
        <v>-184.49199999999999</v>
      </c>
      <c r="AJ420" s="4">
        <f>IF(D420="M",IF(AM420&lt;78,BMILMS!$D$5*AM420^3+BMILMS!$E$5*AM420^2+BMILMS!$F$5*AM420+BMILMS!$G$5,IF(AM420&lt;150,BMILMS!$D$6*AM420^3+BMILMS!$E$6*AM420^2+BMILMS!$F$6*AM420+BMILMS!$G$6,BMILMS!$D$7*AM420^3+BMILMS!$E$7*AM420^2+BMILMS!$F$7*AM420+BMILMS!$G$7)),IF(AM420&lt;69,BMILMS!$D$9*AM420^3+BMILMS!$E$9*AM420^2+BMILMS!$F$9*AM420+BMILMS!$G$9,IF(AM420&lt;150,BMILMS!$D$10*AM420^3+BMILMS!$E$10*AM420^2+BMILMS!$F$10*AM420+BMILMS!$G$10,BMILMS!$D$11*AM420^3+BMILMS!$E$11*AM420^2+BMILMS!$F$11*AM420+BMILMS!$G$11)))</f>
        <v>0.79584630099999998</v>
      </c>
      <c r="AK420" s="4">
        <f>IF(D420="M",(IF(AM420&lt;2.5,BMILMS!$D$21*AM420^3+BMILMS!$E$21*AM420^2+BMILMS!$F$21*AM420+BMILMS!$G$21,IF(AM420&lt;9.5,BMILMS!$D$22*AM420^3+BMILMS!$E$22*AM420^2+BMILMS!$F$22*AM420+BMILMS!$G$22,IF(AM420&lt;26.75,BMILMS!$D$23*AM420^3+BMILMS!$E$23*AM420^2+BMILMS!$F$23*AM420+BMILMS!$G$23,IF(AM420&lt;90,BMILMS!$D$24*AM420^3+BMILMS!$E$24*AM420^2+BMILMS!$F$24*AM420+BMILMS!$G$24,BMILMS!$D$25*AM420^3+BMILMS!$E$25*AM420^2+BMILMS!$F$25*AM420+BMILMS!$G$25))))),(IF(AM420&lt;2.5,BMILMS!$D$27*AM420^3+BMILMS!$E$27*AM420^2+BMILMS!$F$27*AM420+BMILMS!$G$27,IF(AM420&lt;9.5,BMILMS!$D$28*AM420^3+BMILMS!$E$28*AM420^2+BMILMS!$F$28*AM420+BMILMS!$G$28,IF(AM420&lt;26.75,BMILMS!$D$29*AM420^3+BMILMS!$E$29*AM420^2+BMILMS!$F$29*AM420+BMILMS!$G$29,IF(AM420&lt;90,BMILMS!$D$30*AM420^3+BMILMS!$E$30*AM420^2+BMILMS!$F$30*AM420+BMILMS!$G$30,IF(AM420&lt;150,BMILMS!$D$31*AM420^3+BMILMS!$E$31*AM420^2+BMILMS!$F$31*AM420+BMILMS!$G$31,BMILMS!$D$32*AM420^3+BMILMS!$E$32*AM420^2+BMILMS!$F$32*AM420+BMILMS!$G$32)))))))</f>
        <v>12.568967990000001</v>
      </c>
      <c r="AL420" s="4">
        <f>IF(D420="M",(IF(AM420&lt;90,BMILMS!$D$14*AM420^3+BMILMS!$E$14*AM420^2+BMILMS!$F$14*AM420+BMILMS!$G$14,BMILMS!$D$15*AM420^3+BMILMS!$E$15*AM420^2+BMILMS!$F$15*AM420+BMILMS!$G$15)),(IF(AM420&lt;90,BMILMS!$D$17*AM420^3+BMILMS!$E$17*AM420^2+BMILMS!$F$17*AM420+BMILMS!$G$17,BMILMS!$D$18*AM420^3+BMILMS!$E$18*AM420^2+BMILMS!$F$18*AM420+BMILMS!$G$18)))</f>
        <v>8.8969350000000003E-2</v>
      </c>
      <c r="AM420" s="4">
        <f t="shared" si="146"/>
        <v>0</v>
      </c>
      <c r="AO420" s="56">
        <f>IF(D420="M",WeightSDS!P$5*$AM420^7+WeightSDS!Q$5*$AM420^6+WeightSDS!R$5*$AM420^5+WeightSDS!S$5*$AM420^4+WeightSDS!T$5*$AM420^3+WeightSDS!U$5*$AM420^2+WeightSDS!V$5*$AM420+WeightSDS!W$5,IF($AM420&lt;186,WeightSDS!P$8*$AM420^7+WeightSDS!Q$8*$AM420^6+WeightSDS!R$8*$AM420^5+WeightSDS!S$8*$AM420^4+WeightSDS!T$8*$AM420^3+WeightSDS!U$8*$AM420^2+WeightSDS!V$8*$AM420+WeightSDS!W$8,WeightSDS!$U$9+WeightSDS!$V$9*($AM420-WeightSDS!$W$9)))</f>
        <v>0.75407122999999998</v>
      </c>
      <c r="AP420" s="4">
        <f>IF(D420="M",IF($AM420&lt;45,WeightSDS!M$23*$AM420^10+WeightSDS!N$23*$AM420^9+WeightSDS!O$23*$AM420^8+WeightSDS!P$23*$AM420^7+WeightSDS!Q$23*$AM420^6+WeightSDS!R$23*$AM420^5+WeightSDS!S$23*$AM420^4+WeightSDS!T$23*$AM420^3+WeightSDS!U$23*$AM420^2+WeightSDS!V$23*$AM420+WeightSDS!W$23,IF($AM420&lt;153,WeightSDS!M$25*$AM420^10+WeightSDS!N$25*$AM420^9+WeightSDS!O$25*$AM420^8+WeightSDS!P$25*$AM420^7+WeightSDS!Q$25*$AM420^6+WeightSDS!R$25*$AM420^5+WeightSDS!S$25*$AM420^4+WeightSDS!T$25*$AM420^3+WeightSDS!U$25*$AM420^2+WeightSDS!V$25*$AM420+WeightSDS!W$25,WeightSDS!M$27+WeightSDS!N$27/(1+EXP(WeightSDS!O$27+WeightSDS!P$27*$AM420)))),IF($AM420&lt;43.8,WeightSDS!M$29*$AM420^10+WeightSDS!N$29*$AM420^9+WeightSDS!O$29*$AM420^8+WeightSDS!P$29*$AM420^7+WeightSDS!Q$29*$AM420^6+WeightSDS!R$29*$AM420^5+WeightSDS!S$29*$AM420^4+WeightSDS!T$29*$AM420^3+WeightSDS!U$29*$AM420^2+WeightSDS!V$29*$AM420+WeightSDS!W$29-0.010431*(1-$AM420/210),IF($AM420&lt;123,WeightSDS!M$30*$AM420^10+WeightSDS!N$30*$AM420^9+WeightSDS!O$30*$AM420^8+WeightSDS!P$30*$AM420^7+WeightSDS!Q$30*$AM420^6+WeightSDS!R$30*$AM420^5+WeightSDS!S$30*$AM420^4+WeightSDS!T$30*$AM420^3+WeightSDS!U$30*$AM420^2+WeightSDS!V$30*$AM420+WeightSDS!W$30-0.010431*(1-1/$AM420),WeightSDS!M$32+WeightSDS!N$32/(1+EXP(WeightSDS!O$32+WeightSDS!P$32*$AM420))-0.010431*(1-$AM420/210))))</f>
        <v>2.9500001032655536</v>
      </c>
      <c r="AQ420" s="4">
        <f>IF(D420="M",IF($AM420&lt;162,WeightSDS!P$12*$AM420^7+WeightSDS!Q$12*$AM420^6+WeightSDS!R$12*$AM420^5+WeightSDS!S$12*$AM420^4+WeightSDS!T$12*$AM420^3+WeightSDS!U$12*$AM420^2+WeightSDS!V$12*$AM420+WeightSDS!W$12,WeightSDS!P$14*$AM420^7+WeightSDS!Q$14*$AM420^6+WeightSDS!R$14*$AM420^5+WeightSDS!S$14*$AM420^4+WeightSDS!T$14*$AM420^3+WeightSDS!U$14*$AM420^2+WeightSDS!V$14*$AM420+WeightSDS!W$14),IF($AM420&lt;156,WeightSDS!O$17*$AM420^8+WeightSDS!P$17*$AM420^7+WeightSDS!Q$17*$AM420^6+WeightSDS!R$17*$AM420^5+WeightSDS!S$17*$AM420^4+WeightSDS!T$17*$AM420^3+WeightSDS!U$17*$AM420^2+WeightSDS!V$17*$AM420+WeightSDS!W$17,IF($AM420&lt;186,WeightSDS!$U$18+(WeightSDS!$V$18-WeightSDS!$U$18)/24*($AM420-186)+WeightSDS!$W$18*(-$AM420+186)^2-0.005,WeightSDS!$U$18+(WeightSDS!$V$18-WeightSDS!$U$18)/24*($AM420-186)-0.005)))</f>
        <v>0.14604529399999999</v>
      </c>
      <c r="AT420" s="4">
        <f t="shared" si="133"/>
        <v>0.56299999999999994</v>
      </c>
      <c r="AU420" s="4">
        <f t="shared" si="134"/>
        <v>69</v>
      </c>
      <c r="AV420" s="4">
        <f t="shared" si="135"/>
        <v>0.51</v>
      </c>
    </row>
    <row r="421" spans="1:48" x14ac:dyDescent="0.15">
      <c r="A421" s="4"/>
      <c r="B421" s="21"/>
      <c r="C421" s="21"/>
      <c r="D421" s="21"/>
      <c r="E421" s="22"/>
      <c r="F421" s="22"/>
      <c r="G421" s="23"/>
      <c r="H421" s="23"/>
      <c r="I421" s="181"/>
      <c r="J421" s="8" t="str">
        <f t="shared" si="127"/>
        <v/>
      </c>
      <c r="K421" s="2" t="str">
        <f t="shared" si="136"/>
        <v/>
      </c>
      <c r="L421" s="2" t="str">
        <f t="shared" si="128"/>
        <v/>
      </c>
      <c r="M421" s="2" t="str">
        <f t="shared" si="137"/>
        <v/>
      </c>
      <c r="N421" s="2" t="str">
        <f t="shared" si="145"/>
        <v/>
      </c>
      <c r="O421" s="2" t="str">
        <f t="shared" si="138"/>
        <v/>
      </c>
      <c r="P421" s="8" t="str">
        <f t="shared" si="139"/>
        <v/>
      </c>
      <c r="Q421" s="8" t="str">
        <f t="shared" si="140"/>
        <v/>
      </c>
      <c r="R421" s="111" t="str">
        <f t="shared" si="141"/>
        <v/>
      </c>
      <c r="S421" s="44" t="str">
        <f t="shared" si="142"/>
        <v/>
      </c>
      <c r="T421" s="37" t="str">
        <f t="shared" si="143"/>
        <v/>
      </c>
      <c r="U421" s="44" t="str">
        <f t="shared" si="144"/>
        <v/>
      </c>
      <c r="V421" s="26"/>
      <c r="W421" s="26"/>
      <c r="X421" s="26"/>
      <c r="Y421" s="26"/>
      <c r="Z421" s="24"/>
      <c r="AA421" s="169">
        <f t="shared" si="129"/>
        <v>0</v>
      </c>
      <c r="AB421" s="4">
        <f t="shared" si="130"/>
        <v>0</v>
      </c>
      <c r="AC421" s="170">
        <f t="shared" si="147"/>
        <v>0</v>
      </c>
      <c r="AD421" s="58"/>
      <c r="AE421" s="58"/>
      <c r="AF421" s="58"/>
      <c r="AG421" s="59">
        <f t="shared" si="131"/>
        <v>9.0359999999999996</v>
      </c>
      <c r="AH421" s="59">
        <f t="shared" si="132"/>
        <v>-184.49199999999999</v>
      </c>
      <c r="AJ421" s="4">
        <f>IF(D421="M",IF(AM421&lt;78,BMILMS!$D$5*AM421^3+BMILMS!$E$5*AM421^2+BMILMS!$F$5*AM421+BMILMS!$G$5,IF(AM421&lt;150,BMILMS!$D$6*AM421^3+BMILMS!$E$6*AM421^2+BMILMS!$F$6*AM421+BMILMS!$G$6,BMILMS!$D$7*AM421^3+BMILMS!$E$7*AM421^2+BMILMS!$F$7*AM421+BMILMS!$G$7)),IF(AM421&lt;69,BMILMS!$D$9*AM421^3+BMILMS!$E$9*AM421^2+BMILMS!$F$9*AM421+BMILMS!$G$9,IF(AM421&lt;150,BMILMS!$D$10*AM421^3+BMILMS!$E$10*AM421^2+BMILMS!$F$10*AM421+BMILMS!$G$10,BMILMS!$D$11*AM421^3+BMILMS!$E$11*AM421^2+BMILMS!$F$11*AM421+BMILMS!$G$11)))</f>
        <v>0.79584630099999998</v>
      </c>
      <c r="AK421" s="4">
        <f>IF(D421="M",(IF(AM421&lt;2.5,BMILMS!$D$21*AM421^3+BMILMS!$E$21*AM421^2+BMILMS!$F$21*AM421+BMILMS!$G$21,IF(AM421&lt;9.5,BMILMS!$D$22*AM421^3+BMILMS!$E$22*AM421^2+BMILMS!$F$22*AM421+BMILMS!$G$22,IF(AM421&lt;26.75,BMILMS!$D$23*AM421^3+BMILMS!$E$23*AM421^2+BMILMS!$F$23*AM421+BMILMS!$G$23,IF(AM421&lt;90,BMILMS!$D$24*AM421^3+BMILMS!$E$24*AM421^2+BMILMS!$F$24*AM421+BMILMS!$G$24,BMILMS!$D$25*AM421^3+BMILMS!$E$25*AM421^2+BMILMS!$F$25*AM421+BMILMS!$G$25))))),(IF(AM421&lt;2.5,BMILMS!$D$27*AM421^3+BMILMS!$E$27*AM421^2+BMILMS!$F$27*AM421+BMILMS!$G$27,IF(AM421&lt;9.5,BMILMS!$D$28*AM421^3+BMILMS!$E$28*AM421^2+BMILMS!$F$28*AM421+BMILMS!$G$28,IF(AM421&lt;26.75,BMILMS!$D$29*AM421^3+BMILMS!$E$29*AM421^2+BMILMS!$F$29*AM421+BMILMS!$G$29,IF(AM421&lt;90,BMILMS!$D$30*AM421^3+BMILMS!$E$30*AM421^2+BMILMS!$F$30*AM421+BMILMS!$G$30,IF(AM421&lt;150,BMILMS!$D$31*AM421^3+BMILMS!$E$31*AM421^2+BMILMS!$F$31*AM421+BMILMS!$G$31,BMILMS!$D$32*AM421^3+BMILMS!$E$32*AM421^2+BMILMS!$F$32*AM421+BMILMS!$G$32)))))))</f>
        <v>12.568967990000001</v>
      </c>
      <c r="AL421" s="4">
        <f>IF(D421="M",(IF(AM421&lt;90,BMILMS!$D$14*AM421^3+BMILMS!$E$14*AM421^2+BMILMS!$F$14*AM421+BMILMS!$G$14,BMILMS!$D$15*AM421^3+BMILMS!$E$15*AM421^2+BMILMS!$F$15*AM421+BMILMS!$G$15)),(IF(AM421&lt;90,BMILMS!$D$17*AM421^3+BMILMS!$E$17*AM421^2+BMILMS!$F$17*AM421+BMILMS!$G$17,BMILMS!$D$18*AM421^3+BMILMS!$E$18*AM421^2+BMILMS!$F$18*AM421+BMILMS!$G$18)))</f>
        <v>8.8969350000000003E-2</v>
      </c>
      <c r="AM421" s="4">
        <f t="shared" si="146"/>
        <v>0</v>
      </c>
      <c r="AO421" s="56">
        <f>IF(D421="M",WeightSDS!P$5*$AM421^7+WeightSDS!Q$5*$AM421^6+WeightSDS!R$5*$AM421^5+WeightSDS!S$5*$AM421^4+WeightSDS!T$5*$AM421^3+WeightSDS!U$5*$AM421^2+WeightSDS!V$5*$AM421+WeightSDS!W$5,IF($AM421&lt;186,WeightSDS!P$8*$AM421^7+WeightSDS!Q$8*$AM421^6+WeightSDS!R$8*$AM421^5+WeightSDS!S$8*$AM421^4+WeightSDS!T$8*$AM421^3+WeightSDS!U$8*$AM421^2+WeightSDS!V$8*$AM421+WeightSDS!W$8,WeightSDS!$U$9+WeightSDS!$V$9*($AM421-WeightSDS!$W$9)))</f>
        <v>0.75407122999999998</v>
      </c>
      <c r="AP421" s="4">
        <f>IF(D421="M",IF($AM421&lt;45,WeightSDS!M$23*$AM421^10+WeightSDS!N$23*$AM421^9+WeightSDS!O$23*$AM421^8+WeightSDS!P$23*$AM421^7+WeightSDS!Q$23*$AM421^6+WeightSDS!R$23*$AM421^5+WeightSDS!S$23*$AM421^4+WeightSDS!T$23*$AM421^3+WeightSDS!U$23*$AM421^2+WeightSDS!V$23*$AM421+WeightSDS!W$23,IF($AM421&lt;153,WeightSDS!M$25*$AM421^10+WeightSDS!N$25*$AM421^9+WeightSDS!O$25*$AM421^8+WeightSDS!P$25*$AM421^7+WeightSDS!Q$25*$AM421^6+WeightSDS!R$25*$AM421^5+WeightSDS!S$25*$AM421^4+WeightSDS!T$25*$AM421^3+WeightSDS!U$25*$AM421^2+WeightSDS!V$25*$AM421+WeightSDS!W$25,WeightSDS!M$27+WeightSDS!N$27/(1+EXP(WeightSDS!O$27+WeightSDS!P$27*$AM421)))),IF($AM421&lt;43.8,WeightSDS!M$29*$AM421^10+WeightSDS!N$29*$AM421^9+WeightSDS!O$29*$AM421^8+WeightSDS!P$29*$AM421^7+WeightSDS!Q$29*$AM421^6+WeightSDS!R$29*$AM421^5+WeightSDS!S$29*$AM421^4+WeightSDS!T$29*$AM421^3+WeightSDS!U$29*$AM421^2+WeightSDS!V$29*$AM421+WeightSDS!W$29-0.010431*(1-$AM421/210),IF($AM421&lt;123,WeightSDS!M$30*$AM421^10+WeightSDS!N$30*$AM421^9+WeightSDS!O$30*$AM421^8+WeightSDS!P$30*$AM421^7+WeightSDS!Q$30*$AM421^6+WeightSDS!R$30*$AM421^5+WeightSDS!S$30*$AM421^4+WeightSDS!T$30*$AM421^3+WeightSDS!U$30*$AM421^2+WeightSDS!V$30*$AM421+WeightSDS!W$30-0.010431*(1-1/$AM421),WeightSDS!M$32+WeightSDS!N$32/(1+EXP(WeightSDS!O$32+WeightSDS!P$32*$AM421))-0.010431*(1-$AM421/210))))</f>
        <v>2.9500001032655536</v>
      </c>
      <c r="AQ421" s="4">
        <f>IF(D421="M",IF($AM421&lt;162,WeightSDS!P$12*$AM421^7+WeightSDS!Q$12*$AM421^6+WeightSDS!R$12*$AM421^5+WeightSDS!S$12*$AM421^4+WeightSDS!T$12*$AM421^3+WeightSDS!U$12*$AM421^2+WeightSDS!V$12*$AM421+WeightSDS!W$12,WeightSDS!P$14*$AM421^7+WeightSDS!Q$14*$AM421^6+WeightSDS!R$14*$AM421^5+WeightSDS!S$14*$AM421^4+WeightSDS!T$14*$AM421^3+WeightSDS!U$14*$AM421^2+WeightSDS!V$14*$AM421+WeightSDS!W$14),IF($AM421&lt;156,WeightSDS!O$17*$AM421^8+WeightSDS!P$17*$AM421^7+WeightSDS!Q$17*$AM421^6+WeightSDS!R$17*$AM421^5+WeightSDS!S$17*$AM421^4+WeightSDS!T$17*$AM421^3+WeightSDS!U$17*$AM421^2+WeightSDS!V$17*$AM421+WeightSDS!W$17,IF($AM421&lt;186,WeightSDS!$U$18+(WeightSDS!$V$18-WeightSDS!$U$18)/24*($AM421-186)+WeightSDS!$W$18*(-$AM421+186)^2-0.005,WeightSDS!$U$18+(WeightSDS!$V$18-WeightSDS!$U$18)/24*($AM421-186)-0.005)))</f>
        <v>0.14604529399999999</v>
      </c>
      <c r="AT421" s="4">
        <f t="shared" si="133"/>
        <v>0.56299999999999994</v>
      </c>
      <c r="AU421" s="4">
        <f t="shared" si="134"/>
        <v>69</v>
      </c>
      <c r="AV421" s="4">
        <f t="shared" si="135"/>
        <v>0.51</v>
      </c>
    </row>
    <row r="422" spans="1:48" x14ac:dyDescent="0.15">
      <c r="A422" s="4"/>
      <c r="B422" s="21"/>
      <c r="C422" s="21"/>
      <c r="D422" s="21"/>
      <c r="E422" s="22"/>
      <c r="F422" s="22"/>
      <c r="G422" s="23"/>
      <c r="H422" s="23"/>
      <c r="I422" s="181"/>
      <c r="J422" s="8" t="str">
        <f t="shared" si="127"/>
        <v/>
      </c>
      <c r="K422" s="2" t="str">
        <f t="shared" si="136"/>
        <v/>
      </c>
      <c r="L422" s="2" t="str">
        <f t="shared" si="128"/>
        <v/>
      </c>
      <c r="M422" s="2" t="str">
        <f t="shared" si="137"/>
        <v/>
      </c>
      <c r="N422" s="2" t="str">
        <f t="shared" si="145"/>
        <v/>
      </c>
      <c r="O422" s="2" t="str">
        <f t="shared" si="138"/>
        <v/>
      </c>
      <c r="P422" s="8" t="str">
        <f t="shared" si="139"/>
        <v/>
      </c>
      <c r="Q422" s="8" t="str">
        <f t="shared" si="140"/>
        <v/>
      </c>
      <c r="R422" s="111" t="str">
        <f t="shared" si="141"/>
        <v/>
      </c>
      <c r="S422" s="44" t="str">
        <f t="shared" si="142"/>
        <v/>
      </c>
      <c r="T422" s="37" t="str">
        <f t="shared" si="143"/>
        <v/>
      </c>
      <c r="U422" s="44" t="str">
        <f t="shared" si="144"/>
        <v/>
      </c>
      <c r="V422" s="26"/>
      <c r="W422" s="26"/>
      <c r="X422" s="26"/>
      <c r="Y422" s="26"/>
      <c r="Z422" s="24"/>
      <c r="AA422" s="169">
        <f t="shared" si="129"/>
        <v>0</v>
      </c>
      <c r="AB422" s="4">
        <f t="shared" si="130"/>
        <v>0</v>
      </c>
      <c r="AC422" s="170">
        <f t="shared" si="147"/>
        <v>0</v>
      </c>
      <c r="AD422" s="58"/>
      <c r="AE422" s="58"/>
      <c r="AF422" s="58"/>
      <c r="AG422" s="59">
        <f t="shared" si="131"/>
        <v>9.0359999999999996</v>
      </c>
      <c r="AH422" s="59">
        <f t="shared" si="132"/>
        <v>-184.49199999999999</v>
      </c>
      <c r="AJ422" s="4">
        <f>IF(D422="M",IF(AM422&lt;78,BMILMS!$D$5*AM422^3+BMILMS!$E$5*AM422^2+BMILMS!$F$5*AM422+BMILMS!$G$5,IF(AM422&lt;150,BMILMS!$D$6*AM422^3+BMILMS!$E$6*AM422^2+BMILMS!$F$6*AM422+BMILMS!$G$6,BMILMS!$D$7*AM422^3+BMILMS!$E$7*AM422^2+BMILMS!$F$7*AM422+BMILMS!$G$7)),IF(AM422&lt;69,BMILMS!$D$9*AM422^3+BMILMS!$E$9*AM422^2+BMILMS!$F$9*AM422+BMILMS!$G$9,IF(AM422&lt;150,BMILMS!$D$10*AM422^3+BMILMS!$E$10*AM422^2+BMILMS!$F$10*AM422+BMILMS!$G$10,BMILMS!$D$11*AM422^3+BMILMS!$E$11*AM422^2+BMILMS!$F$11*AM422+BMILMS!$G$11)))</f>
        <v>0.79584630099999998</v>
      </c>
      <c r="AK422" s="4">
        <f>IF(D422="M",(IF(AM422&lt;2.5,BMILMS!$D$21*AM422^3+BMILMS!$E$21*AM422^2+BMILMS!$F$21*AM422+BMILMS!$G$21,IF(AM422&lt;9.5,BMILMS!$D$22*AM422^3+BMILMS!$E$22*AM422^2+BMILMS!$F$22*AM422+BMILMS!$G$22,IF(AM422&lt;26.75,BMILMS!$D$23*AM422^3+BMILMS!$E$23*AM422^2+BMILMS!$F$23*AM422+BMILMS!$G$23,IF(AM422&lt;90,BMILMS!$D$24*AM422^3+BMILMS!$E$24*AM422^2+BMILMS!$F$24*AM422+BMILMS!$G$24,BMILMS!$D$25*AM422^3+BMILMS!$E$25*AM422^2+BMILMS!$F$25*AM422+BMILMS!$G$25))))),(IF(AM422&lt;2.5,BMILMS!$D$27*AM422^3+BMILMS!$E$27*AM422^2+BMILMS!$F$27*AM422+BMILMS!$G$27,IF(AM422&lt;9.5,BMILMS!$D$28*AM422^3+BMILMS!$E$28*AM422^2+BMILMS!$F$28*AM422+BMILMS!$G$28,IF(AM422&lt;26.75,BMILMS!$D$29*AM422^3+BMILMS!$E$29*AM422^2+BMILMS!$F$29*AM422+BMILMS!$G$29,IF(AM422&lt;90,BMILMS!$D$30*AM422^3+BMILMS!$E$30*AM422^2+BMILMS!$F$30*AM422+BMILMS!$G$30,IF(AM422&lt;150,BMILMS!$D$31*AM422^3+BMILMS!$E$31*AM422^2+BMILMS!$F$31*AM422+BMILMS!$G$31,BMILMS!$D$32*AM422^3+BMILMS!$E$32*AM422^2+BMILMS!$F$32*AM422+BMILMS!$G$32)))))))</f>
        <v>12.568967990000001</v>
      </c>
      <c r="AL422" s="4">
        <f>IF(D422="M",(IF(AM422&lt;90,BMILMS!$D$14*AM422^3+BMILMS!$E$14*AM422^2+BMILMS!$F$14*AM422+BMILMS!$G$14,BMILMS!$D$15*AM422^3+BMILMS!$E$15*AM422^2+BMILMS!$F$15*AM422+BMILMS!$G$15)),(IF(AM422&lt;90,BMILMS!$D$17*AM422^3+BMILMS!$E$17*AM422^2+BMILMS!$F$17*AM422+BMILMS!$G$17,BMILMS!$D$18*AM422^3+BMILMS!$E$18*AM422^2+BMILMS!$F$18*AM422+BMILMS!$G$18)))</f>
        <v>8.8969350000000003E-2</v>
      </c>
      <c r="AM422" s="4">
        <f t="shared" si="146"/>
        <v>0</v>
      </c>
      <c r="AO422" s="56">
        <f>IF(D422="M",WeightSDS!P$5*$AM422^7+WeightSDS!Q$5*$AM422^6+WeightSDS!R$5*$AM422^5+WeightSDS!S$5*$AM422^4+WeightSDS!T$5*$AM422^3+WeightSDS!U$5*$AM422^2+WeightSDS!V$5*$AM422+WeightSDS!W$5,IF($AM422&lt;186,WeightSDS!P$8*$AM422^7+WeightSDS!Q$8*$AM422^6+WeightSDS!R$8*$AM422^5+WeightSDS!S$8*$AM422^4+WeightSDS!T$8*$AM422^3+WeightSDS!U$8*$AM422^2+WeightSDS!V$8*$AM422+WeightSDS!W$8,WeightSDS!$U$9+WeightSDS!$V$9*($AM422-WeightSDS!$W$9)))</f>
        <v>0.75407122999999998</v>
      </c>
      <c r="AP422" s="4">
        <f>IF(D422="M",IF($AM422&lt;45,WeightSDS!M$23*$AM422^10+WeightSDS!N$23*$AM422^9+WeightSDS!O$23*$AM422^8+WeightSDS!P$23*$AM422^7+WeightSDS!Q$23*$AM422^6+WeightSDS!R$23*$AM422^5+WeightSDS!S$23*$AM422^4+WeightSDS!T$23*$AM422^3+WeightSDS!U$23*$AM422^2+WeightSDS!V$23*$AM422+WeightSDS!W$23,IF($AM422&lt;153,WeightSDS!M$25*$AM422^10+WeightSDS!N$25*$AM422^9+WeightSDS!O$25*$AM422^8+WeightSDS!P$25*$AM422^7+WeightSDS!Q$25*$AM422^6+WeightSDS!R$25*$AM422^5+WeightSDS!S$25*$AM422^4+WeightSDS!T$25*$AM422^3+WeightSDS!U$25*$AM422^2+WeightSDS!V$25*$AM422+WeightSDS!W$25,WeightSDS!M$27+WeightSDS!N$27/(1+EXP(WeightSDS!O$27+WeightSDS!P$27*$AM422)))),IF($AM422&lt;43.8,WeightSDS!M$29*$AM422^10+WeightSDS!N$29*$AM422^9+WeightSDS!O$29*$AM422^8+WeightSDS!P$29*$AM422^7+WeightSDS!Q$29*$AM422^6+WeightSDS!R$29*$AM422^5+WeightSDS!S$29*$AM422^4+WeightSDS!T$29*$AM422^3+WeightSDS!U$29*$AM422^2+WeightSDS!V$29*$AM422+WeightSDS!W$29-0.010431*(1-$AM422/210),IF($AM422&lt;123,WeightSDS!M$30*$AM422^10+WeightSDS!N$30*$AM422^9+WeightSDS!O$30*$AM422^8+WeightSDS!P$30*$AM422^7+WeightSDS!Q$30*$AM422^6+WeightSDS!R$30*$AM422^5+WeightSDS!S$30*$AM422^4+WeightSDS!T$30*$AM422^3+WeightSDS!U$30*$AM422^2+WeightSDS!V$30*$AM422+WeightSDS!W$30-0.010431*(1-1/$AM422),WeightSDS!M$32+WeightSDS!N$32/(1+EXP(WeightSDS!O$32+WeightSDS!P$32*$AM422))-0.010431*(1-$AM422/210))))</f>
        <v>2.9500001032655536</v>
      </c>
      <c r="AQ422" s="4">
        <f>IF(D422="M",IF($AM422&lt;162,WeightSDS!P$12*$AM422^7+WeightSDS!Q$12*$AM422^6+WeightSDS!R$12*$AM422^5+WeightSDS!S$12*$AM422^4+WeightSDS!T$12*$AM422^3+WeightSDS!U$12*$AM422^2+WeightSDS!V$12*$AM422+WeightSDS!W$12,WeightSDS!P$14*$AM422^7+WeightSDS!Q$14*$AM422^6+WeightSDS!R$14*$AM422^5+WeightSDS!S$14*$AM422^4+WeightSDS!T$14*$AM422^3+WeightSDS!U$14*$AM422^2+WeightSDS!V$14*$AM422+WeightSDS!W$14),IF($AM422&lt;156,WeightSDS!O$17*$AM422^8+WeightSDS!P$17*$AM422^7+WeightSDS!Q$17*$AM422^6+WeightSDS!R$17*$AM422^5+WeightSDS!S$17*$AM422^4+WeightSDS!T$17*$AM422^3+WeightSDS!U$17*$AM422^2+WeightSDS!V$17*$AM422+WeightSDS!W$17,IF($AM422&lt;186,WeightSDS!$U$18+(WeightSDS!$V$18-WeightSDS!$U$18)/24*($AM422-186)+WeightSDS!$W$18*(-$AM422+186)^2-0.005,WeightSDS!$U$18+(WeightSDS!$V$18-WeightSDS!$U$18)/24*($AM422-186)-0.005)))</f>
        <v>0.14604529399999999</v>
      </c>
      <c r="AT422" s="4">
        <f t="shared" si="133"/>
        <v>0.56299999999999994</v>
      </c>
      <c r="AU422" s="4">
        <f t="shared" si="134"/>
        <v>69</v>
      </c>
      <c r="AV422" s="4">
        <f t="shared" si="135"/>
        <v>0.51</v>
      </c>
    </row>
    <row r="423" spans="1:48" x14ac:dyDescent="0.15">
      <c r="A423" s="4"/>
      <c r="B423" s="21"/>
      <c r="C423" s="21"/>
      <c r="D423" s="21"/>
      <c r="E423" s="22"/>
      <c r="F423" s="22"/>
      <c r="G423" s="23"/>
      <c r="H423" s="23"/>
      <c r="I423" s="181"/>
      <c r="J423" s="8" t="str">
        <f t="shared" si="127"/>
        <v/>
      </c>
      <c r="K423" s="2" t="str">
        <f t="shared" si="136"/>
        <v/>
      </c>
      <c r="L423" s="2" t="str">
        <f t="shared" si="128"/>
        <v/>
      </c>
      <c r="M423" s="2" t="str">
        <f t="shared" si="137"/>
        <v/>
      </c>
      <c r="N423" s="2" t="str">
        <f t="shared" si="145"/>
        <v/>
      </c>
      <c r="O423" s="2" t="str">
        <f t="shared" si="138"/>
        <v/>
      </c>
      <c r="P423" s="8" t="str">
        <f t="shared" si="139"/>
        <v/>
      </c>
      <c r="Q423" s="8" t="str">
        <f t="shared" si="140"/>
        <v/>
      </c>
      <c r="R423" s="111" t="str">
        <f t="shared" si="141"/>
        <v/>
      </c>
      <c r="S423" s="44" t="str">
        <f t="shared" si="142"/>
        <v/>
      </c>
      <c r="T423" s="37" t="str">
        <f t="shared" si="143"/>
        <v/>
      </c>
      <c r="U423" s="44" t="str">
        <f t="shared" si="144"/>
        <v/>
      </c>
      <c r="V423" s="26"/>
      <c r="W423" s="26"/>
      <c r="X423" s="26"/>
      <c r="Y423" s="26"/>
      <c r="Z423" s="24"/>
      <c r="AA423" s="169">
        <f t="shared" si="129"/>
        <v>0</v>
      </c>
      <c r="AB423" s="4">
        <f t="shared" si="130"/>
        <v>0</v>
      </c>
      <c r="AC423" s="170">
        <f t="shared" si="147"/>
        <v>0</v>
      </c>
      <c r="AD423" s="58"/>
      <c r="AE423" s="58"/>
      <c r="AF423" s="58"/>
      <c r="AG423" s="59">
        <f t="shared" si="131"/>
        <v>9.0359999999999996</v>
      </c>
      <c r="AH423" s="59">
        <f t="shared" si="132"/>
        <v>-184.49199999999999</v>
      </c>
      <c r="AJ423" s="4">
        <f>IF(D423="M",IF(AM423&lt;78,BMILMS!$D$5*AM423^3+BMILMS!$E$5*AM423^2+BMILMS!$F$5*AM423+BMILMS!$G$5,IF(AM423&lt;150,BMILMS!$D$6*AM423^3+BMILMS!$E$6*AM423^2+BMILMS!$F$6*AM423+BMILMS!$G$6,BMILMS!$D$7*AM423^3+BMILMS!$E$7*AM423^2+BMILMS!$F$7*AM423+BMILMS!$G$7)),IF(AM423&lt;69,BMILMS!$D$9*AM423^3+BMILMS!$E$9*AM423^2+BMILMS!$F$9*AM423+BMILMS!$G$9,IF(AM423&lt;150,BMILMS!$D$10*AM423^3+BMILMS!$E$10*AM423^2+BMILMS!$F$10*AM423+BMILMS!$G$10,BMILMS!$D$11*AM423^3+BMILMS!$E$11*AM423^2+BMILMS!$F$11*AM423+BMILMS!$G$11)))</f>
        <v>0.79584630099999998</v>
      </c>
      <c r="AK423" s="4">
        <f>IF(D423="M",(IF(AM423&lt;2.5,BMILMS!$D$21*AM423^3+BMILMS!$E$21*AM423^2+BMILMS!$F$21*AM423+BMILMS!$G$21,IF(AM423&lt;9.5,BMILMS!$D$22*AM423^3+BMILMS!$E$22*AM423^2+BMILMS!$F$22*AM423+BMILMS!$G$22,IF(AM423&lt;26.75,BMILMS!$D$23*AM423^3+BMILMS!$E$23*AM423^2+BMILMS!$F$23*AM423+BMILMS!$G$23,IF(AM423&lt;90,BMILMS!$D$24*AM423^3+BMILMS!$E$24*AM423^2+BMILMS!$F$24*AM423+BMILMS!$G$24,BMILMS!$D$25*AM423^3+BMILMS!$E$25*AM423^2+BMILMS!$F$25*AM423+BMILMS!$G$25))))),(IF(AM423&lt;2.5,BMILMS!$D$27*AM423^3+BMILMS!$E$27*AM423^2+BMILMS!$F$27*AM423+BMILMS!$G$27,IF(AM423&lt;9.5,BMILMS!$D$28*AM423^3+BMILMS!$E$28*AM423^2+BMILMS!$F$28*AM423+BMILMS!$G$28,IF(AM423&lt;26.75,BMILMS!$D$29*AM423^3+BMILMS!$E$29*AM423^2+BMILMS!$F$29*AM423+BMILMS!$G$29,IF(AM423&lt;90,BMILMS!$D$30*AM423^3+BMILMS!$E$30*AM423^2+BMILMS!$F$30*AM423+BMILMS!$G$30,IF(AM423&lt;150,BMILMS!$D$31*AM423^3+BMILMS!$E$31*AM423^2+BMILMS!$F$31*AM423+BMILMS!$G$31,BMILMS!$D$32*AM423^3+BMILMS!$E$32*AM423^2+BMILMS!$F$32*AM423+BMILMS!$G$32)))))))</f>
        <v>12.568967990000001</v>
      </c>
      <c r="AL423" s="4">
        <f>IF(D423="M",(IF(AM423&lt;90,BMILMS!$D$14*AM423^3+BMILMS!$E$14*AM423^2+BMILMS!$F$14*AM423+BMILMS!$G$14,BMILMS!$D$15*AM423^3+BMILMS!$E$15*AM423^2+BMILMS!$F$15*AM423+BMILMS!$G$15)),(IF(AM423&lt;90,BMILMS!$D$17*AM423^3+BMILMS!$E$17*AM423^2+BMILMS!$F$17*AM423+BMILMS!$G$17,BMILMS!$D$18*AM423^3+BMILMS!$E$18*AM423^2+BMILMS!$F$18*AM423+BMILMS!$G$18)))</f>
        <v>8.8969350000000003E-2</v>
      </c>
      <c r="AM423" s="4">
        <f t="shared" si="146"/>
        <v>0</v>
      </c>
      <c r="AO423" s="56">
        <f>IF(D423="M",WeightSDS!P$5*$AM423^7+WeightSDS!Q$5*$AM423^6+WeightSDS!R$5*$AM423^5+WeightSDS!S$5*$AM423^4+WeightSDS!T$5*$AM423^3+WeightSDS!U$5*$AM423^2+WeightSDS!V$5*$AM423+WeightSDS!W$5,IF($AM423&lt;186,WeightSDS!P$8*$AM423^7+WeightSDS!Q$8*$AM423^6+WeightSDS!R$8*$AM423^5+WeightSDS!S$8*$AM423^4+WeightSDS!T$8*$AM423^3+WeightSDS!U$8*$AM423^2+WeightSDS!V$8*$AM423+WeightSDS!W$8,WeightSDS!$U$9+WeightSDS!$V$9*($AM423-WeightSDS!$W$9)))</f>
        <v>0.75407122999999998</v>
      </c>
      <c r="AP423" s="4">
        <f>IF(D423="M",IF($AM423&lt;45,WeightSDS!M$23*$AM423^10+WeightSDS!N$23*$AM423^9+WeightSDS!O$23*$AM423^8+WeightSDS!P$23*$AM423^7+WeightSDS!Q$23*$AM423^6+WeightSDS!R$23*$AM423^5+WeightSDS!S$23*$AM423^4+WeightSDS!T$23*$AM423^3+WeightSDS!U$23*$AM423^2+WeightSDS!V$23*$AM423+WeightSDS!W$23,IF($AM423&lt;153,WeightSDS!M$25*$AM423^10+WeightSDS!N$25*$AM423^9+WeightSDS!O$25*$AM423^8+WeightSDS!P$25*$AM423^7+WeightSDS!Q$25*$AM423^6+WeightSDS!R$25*$AM423^5+WeightSDS!S$25*$AM423^4+WeightSDS!T$25*$AM423^3+WeightSDS!U$25*$AM423^2+WeightSDS!V$25*$AM423+WeightSDS!W$25,WeightSDS!M$27+WeightSDS!N$27/(1+EXP(WeightSDS!O$27+WeightSDS!P$27*$AM423)))),IF($AM423&lt;43.8,WeightSDS!M$29*$AM423^10+WeightSDS!N$29*$AM423^9+WeightSDS!O$29*$AM423^8+WeightSDS!P$29*$AM423^7+WeightSDS!Q$29*$AM423^6+WeightSDS!R$29*$AM423^5+WeightSDS!S$29*$AM423^4+WeightSDS!T$29*$AM423^3+WeightSDS!U$29*$AM423^2+WeightSDS!V$29*$AM423+WeightSDS!W$29-0.010431*(1-$AM423/210),IF($AM423&lt;123,WeightSDS!M$30*$AM423^10+WeightSDS!N$30*$AM423^9+WeightSDS!O$30*$AM423^8+WeightSDS!P$30*$AM423^7+WeightSDS!Q$30*$AM423^6+WeightSDS!R$30*$AM423^5+WeightSDS!S$30*$AM423^4+WeightSDS!T$30*$AM423^3+WeightSDS!U$30*$AM423^2+WeightSDS!V$30*$AM423+WeightSDS!W$30-0.010431*(1-1/$AM423),WeightSDS!M$32+WeightSDS!N$32/(1+EXP(WeightSDS!O$32+WeightSDS!P$32*$AM423))-0.010431*(1-$AM423/210))))</f>
        <v>2.9500001032655536</v>
      </c>
      <c r="AQ423" s="4">
        <f>IF(D423="M",IF($AM423&lt;162,WeightSDS!P$12*$AM423^7+WeightSDS!Q$12*$AM423^6+WeightSDS!R$12*$AM423^5+WeightSDS!S$12*$AM423^4+WeightSDS!T$12*$AM423^3+WeightSDS!U$12*$AM423^2+WeightSDS!V$12*$AM423+WeightSDS!W$12,WeightSDS!P$14*$AM423^7+WeightSDS!Q$14*$AM423^6+WeightSDS!R$14*$AM423^5+WeightSDS!S$14*$AM423^4+WeightSDS!T$14*$AM423^3+WeightSDS!U$14*$AM423^2+WeightSDS!V$14*$AM423+WeightSDS!W$14),IF($AM423&lt;156,WeightSDS!O$17*$AM423^8+WeightSDS!P$17*$AM423^7+WeightSDS!Q$17*$AM423^6+WeightSDS!R$17*$AM423^5+WeightSDS!S$17*$AM423^4+WeightSDS!T$17*$AM423^3+WeightSDS!U$17*$AM423^2+WeightSDS!V$17*$AM423+WeightSDS!W$17,IF($AM423&lt;186,WeightSDS!$U$18+(WeightSDS!$V$18-WeightSDS!$U$18)/24*($AM423-186)+WeightSDS!$W$18*(-$AM423+186)^2-0.005,WeightSDS!$U$18+(WeightSDS!$V$18-WeightSDS!$U$18)/24*($AM423-186)-0.005)))</f>
        <v>0.14604529399999999</v>
      </c>
      <c r="AT423" s="4">
        <f t="shared" si="133"/>
        <v>0.56299999999999994</v>
      </c>
      <c r="AU423" s="4">
        <f t="shared" si="134"/>
        <v>69</v>
      </c>
      <c r="AV423" s="4">
        <f t="shared" si="135"/>
        <v>0.51</v>
      </c>
    </row>
    <row r="424" spans="1:48" x14ac:dyDescent="0.15">
      <c r="A424" s="4"/>
      <c r="B424" s="21"/>
      <c r="C424" s="21"/>
      <c r="D424" s="21"/>
      <c r="E424" s="22"/>
      <c r="F424" s="22"/>
      <c r="G424" s="23"/>
      <c r="H424" s="23"/>
      <c r="I424" s="181"/>
      <c r="J424" s="8" t="str">
        <f t="shared" si="127"/>
        <v/>
      </c>
      <c r="K424" s="2" t="str">
        <f t="shared" si="136"/>
        <v/>
      </c>
      <c r="L424" s="2" t="str">
        <f t="shared" si="128"/>
        <v/>
      </c>
      <c r="M424" s="2" t="str">
        <f t="shared" si="137"/>
        <v/>
      </c>
      <c r="N424" s="2" t="str">
        <f t="shared" si="145"/>
        <v/>
      </c>
      <c r="O424" s="2" t="str">
        <f t="shared" si="138"/>
        <v/>
      </c>
      <c r="P424" s="8" t="str">
        <f t="shared" si="139"/>
        <v/>
      </c>
      <c r="Q424" s="8" t="str">
        <f t="shared" si="140"/>
        <v/>
      </c>
      <c r="R424" s="111" t="str">
        <f t="shared" si="141"/>
        <v/>
      </c>
      <c r="S424" s="44" t="str">
        <f t="shared" si="142"/>
        <v/>
      </c>
      <c r="T424" s="37" t="str">
        <f t="shared" si="143"/>
        <v/>
      </c>
      <c r="U424" s="44" t="str">
        <f t="shared" si="144"/>
        <v/>
      </c>
      <c r="V424" s="26"/>
      <c r="W424" s="26"/>
      <c r="X424" s="26"/>
      <c r="Y424" s="26"/>
      <c r="Z424" s="24"/>
      <c r="AA424" s="169">
        <f t="shared" si="129"/>
        <v>0</v>
      </c>
      <c r="AB424" s="4">
        <f t="shared" si="130"/>
        <v>0</v>
      </c>
      <c r="AC424" s="170">
        <f t="shared" si="147"/>
        <v>0</v>
      </c>
      <c r="AD424" s="58"/>
      <c r="AE424" s="58"/>
      <c r="AF424" s="58"/>
      <c r="AG424" s="59">
        <f t="shared" si="131"/>
        <v>9.0359999999999996</v>
      </c>
      <c r="AH424" s="59">
        <f t="shared" si="132"/>
        <v>-184.49199999999999</v>
      </c>
      <c r="AJ424" s="4">
        <f>IF(D424="M",IF(AM424&lt;78,BMILMS!$D$5*AM424^3+BMILMS!$E$5*AM424^2+BMILMS!$F$5*AM424+BMILMS!$G$5,IF(AM424&lt;150,BMILMS!$D$6*AM424^3+BMILMS!$E$6*AM424^2+BMILMS!$F$6*AM424+BMILMS!$G$6,BMILMS!$D$7*AM424^3+BMILMS!$E$7*AM424^2+BMILMS!$F$7*AM424+BMILMS!$G$7)),IF(AM424&lt;69,BMILMS!$D$9*AM424^3+BMILMS!$E$9*AM424^2+BMILMS!$F$9*AM424+BMILMS!$G$9,IF(AM424&lt;150,BMILMS!$D$10*AM424^3+BMILMS!$E$10*AM424^2+BMILMS!$F$10*AM424+BMILMS!$G$10,BMILMS!$D$11*AM424^3+BMILMS!$E$11*AM424^2+BMILMS!$F$11*AM424+BMILMS!$G$11)))</f>
        <v>0.79584630099999998</v>
      </c>
      <c r="AK424" s="4">
        <f>IF(D424="M",(IF(AM424&lt;2.5,BMILMS!$D$21*AM424^3+BMILMS!$E$21*AM424^2+BMILMS!$F$21*AM424+BMILMS!$G$21,IF(AM424&lt;9.5,BMILMS!$D$22*AM424^3+BMILMS!$E$22*AM424^2+BMILMS!$F$22*AM424+BMILMS!$G$22,IF(AM424&lt;26.75,BMILMS!$D$23*AM424^3+BMILMS!$E$23*AM424^2+BMILMS!$F$23*AM424+BMILMS!$G$23,IF(AM424&lt;90,BMILMS!$D$24*AM424^3+BMILMS!$E$24*AM424^2+BMILMS!$F$24*AM424+BMILMS!$G$24,BMILMS!$D$25*AM424^3+BMILMS!$E$25*AM424^2+BMILMS!$F$25*AM424+BMILMS!$G$25))))),(IF(AM424&lt;2.5,BMILMS!$D$27*AM424^3+BMILMS!$E$27*AM424^2+BMILMS!$F$27*AM424+BMILMS!$G$27,IF(AM424&lt;9.5,BMILMS!$D$28*AM424^3+BMILMS!$E$28*AM424^2+BMILMS!$F$28*AM424+BMILMS!$G$28,IF(AM424&lt;26.75,BMILMS!$D$29*AM424^3+BMILMS!$E$29*AM424^2+BMILMS!$F$29*AM424+BMILMS!$G$29,IF(AM424&lt;90,BMILMS!$D$30*AM424^3+BMILMS!$E$30*AM424^2+BMILMS!$F$30*AM424+BMILMS!$G$30,IF(AM424&lt;150,BMILMS!$D$31*AM424^3+BMILMS!$E$31*AM424^2+BMILMS!$F$31*AM424+BMILMS!$G$31,BMILMS!$D$32*AM424^3+BMILMS!$E$32*AM424^2+BMILMS!$F$32*AM424+BMILMS!$G$32)))))))</f>
        <v>12.568967990000001</v>
      </c>
      <c r="AL424" s="4">
        <f>IF(D424="M",(IF(AM424&lt;90,BMILMS!$D$14*AM424^3+BMILMS!$E$14*AM424^2+BMILMS!$F$14*AM424+BMILMS!$G$14,BMILMS!$D$15*AM424^3+BMILMS!$E$15*AM424^2+BMILMS!$F$15*AM424+BMILMS!$G$15)),(IF(AM424&lt;90,BMILMS!$D$17*AM424^3+BMILMS!$E$17*AM424^2+BMILMS!$F$17*AM424+BMILMS!$G$17,BMILMS!$D$18*AM424^3+BMILMS!$E$18*AM424^2+BMILMS!$F$18*AM424+BMILMS!$G$18)))</f>
        <v>8.8969350000000003E-2</v>
      </c>
      <c r="AM424" s="4">
        <f t="shared" si="146"/>
        <v>0</v>
      </c>
      <c r="AO424" s="56">
        <f>IF(D424="M",WeightSDS!P$5*$AM424^7+WeightSDS!Q$5*$AM424^6+WeightSDS!R$5*$AM424^5+WeightSDS!S$5*$AM424^4+WeightSDS!T$5*$AM424^3+WeightSDS!U$5*$AM424^2+WeightSDS!V$5*$AM424+WeightSDS!W$5,IF($AM424&lt;186,WeightSDS!P$8*$AM424^7+WeightSDS!Q$8*$AM424^6+WeightSDS!R$8*$AM424^5+WeightSDS!S$8*$AM424^4+WeightSDS!T$8*$AM424^3+WeightSDS!U$8*$AM424^2+WeightSDS!V$8*$AM424+WeightSDS!W$8,WeightSDS!$U$9+WeightSDS!$V$9*($AM424-WeightSDS!$W$9)))</f>
        <v>0.75407122999999998</v>
      </c>
      <c r="AP424" s="4">
        <f>IF(D424="M",IF($AM424&lt;45,WeightSDS!M$23*$AM424^10+WeightSDS!N$23*$AM424^9+WeightSDS!O$23*$AM424^8+WeightSDS!P$23*$AM424^7+WeightSDS!Q$23*$AM424^6+WeightSDS!R$23*$AM424^5+WeightSDS!S$23*$AM424^4+WeightSDS!T$23*$AM424^3+WeightSDS!U$23*$AM424^2+WeightSDS!V$23*$AM424+WeightSDS!W$23,IF($AM424&lt;153,WeightSDS!M$25*$AM424^10+WeightSDS!N$25*$AM424^9+WeightSDS!O$25*$AM424^8+WeightSDS!P$25*$AM424^7+WeightSDS!Q$25*$AM424^6+WeightSDS!R$25*$AM424^5+WeightSDS!S$25*$AM424^4+WeightSDS!T$25*$AM424^3+WeightSDS!U$25*$AM424^2+WeightSDS!V$25*$AM424+WeightSDS!W$25,WeightSDS!M$27+WeightSDS!N$27/(1+EXP(WeightSDS!O$27+WeightSDS!P$27*$AM424)))),IF($AM424&lt;43.8,WeightSDS!M$29*$AM424^10+WeightSDS!N$29*$AM424^9+WeightSDS!O$29*$AM424^8+WeightSDS!P$29*$AM424^7+WeightSDS!Q$29*$AM424^6+WeightSDS!R$29*$AM424^5+WeightSDS!S$29*$AM424^4+WeightSDS!T$29*$AM424^3+WeightSDS!U$29*$AM424^2+WeightSDS!V$29*$AM424+WeightSDS!W$29-0.010431*(1-$AM424/210),IF($AM424&lt;123,WeightSDS!M$30*$AM424^10+WeightSDS!N$30*$AM424^9+WeightSDS!O$30*$AM424^8+WeightSDS!P$30*$AM424^7+WeightSDS!Q$30*$AM424^6+WeightSDS!R$30*$AM424^5+WeightSDS!S$30*$AM424^4+WeightSDS!T$30*$AM424^3+WeightSDS!U$30*$AM424^2+WeightSDS!V$30*$AM424+WeightSDS!W$30-0.010431*(1-1/$AM424),WeightSDS!M$32+WeightSDS!N$32/(1+EXP(WeightSDS!O$32+WeightSDS!P$32*$AM424))-0.010431*(1-$AM424/210))))</f>
        <v>2.9500001032655536</v>
      </c>
      <c r="AQ424" s="4">
        <f>IF(D424="M",IF($AM424&lt;162,WeightSDS!P$12*$AM424^7+WeightSDS!Q$12*$AM424^6+WeightSDS!R$12*$AM424^5+WeightSDS!S$12*$AM424^4+WeightSDS!T$12*$AM424^3+WeightSDS!U$12*$AM424^2+WeightSDS!V$12*$AM424+WeightSDS!W$12,WeightSDS!P$14*$AM424^7+WeightSDS!Q$14*$AM424^6+WeightSDS!R$14*$AM424^5+WeightSDS!S$14*$AM424^4+WeightSDS!T$14*$AM424^3+WeightSDS!U$14*$AM424^2+WeightSDS!V$14*$AM424+WeightSDS!W$14),IF($AM424&lt;156,WeightSDS!O$17*$AM424^8+WeightSDS!P$17*$AM424^7+WeightSDS!Q$17*$AM424^6+WeightSDS!R$17*$AM424^5+WeightSDS!S$17*$AM424^4+WeightSDS!T$17*$AM424^3+WeightSDS!U$17*$AM424^2+WeightSDS!V$17*$AM424+WeightSDS!W$17,IF($AM424&lt;186,WeightSDS!$U$18+(WeightSDS!$V$18-WeightSDS!$U$18)/24*($AM424-186)+WeightSDS!$W$18*(-$AM424+186)^2-0.005,WeightSDS!$U$18+(WeightSDS!$V$18-WeightSDS!$U$18)/24*($AM424-186)-0.005)))</f>
        <v>0.14604529399999999</v>
      </c>
      <c r="AT424" s="4">
        <f t="shared" si="133"/>
        <v>0.56299999999999994</v>
      </c>
      <c r="AU424" s="4">
        <f t="shared" si="134"/>
        <v>69</v>
      </c>
      <c r="AV424" s="4">
        <f t="shared" si="135"/>
        <v>0.51</v>
      </c>
    </row>
    <row r="425" spans="1:48" x14ac:dyDescent="0.15">
      <c r="A425" s="4"/>
      <c r="B425" s="21"/>
      <c r="C425" s="21"/>
      <c r="D425" s="21"/>
      <c r="E425" s="22"/>
      <c r="F425" s="22"/>
      <c r="G425" s="23"/>
      <c r="H425" s="23"/>
      <c r="I425" s="181"/>
      <c r="J425" s="8" t="str">
        <f t="shared" si="127"/>
        <v/>
      </c>
      <c r="K425" s="2" t="str">
        <f t="shared" si="136"/>
        <v/>
      </c>
      <c r="L425" s="2" t="str">
        <f t="shared" si="128"/>
        <v/>
      </c>
      <c r="M425" s="2" t="str">
        <f t="shared" si="137"/>
        <v/>
      </c>
      <c r="N425" s="2" t="str">
        <f t="shared" si="145"/>
        <v/>
      </c>
      <c r="O425" s="2" t="str">
        <f t="shared" si="138"/>
        <v/>
      </c>
      <c r="P425" s="8" t="str">
        <f t="shared" si="139"/>
        <v/>
      </c>
      <c r="Q425" s="8" t="str">
        <f t="shared" si="140"/>
        <v/>
      </c>
      <c r="R425" s="111" t="str">
        <f t="shared" si="141"/>
        <v/>
      </c>
      <c r="S425" s="44" t="str">
        <f t="shared" si="142"/>
        <v/>
      </c>
      <c r="T425" s="37" t="str">
        <f t="shared" si="143"/>
        <v/>
      </c>
      <c r="U425" s="44" t="str">
        <f t="shared" si="144"/>
        <v/>
      </c>
      <c r="V425" s="26"/>
      <c r="W425" s="26"/>
      <c r="X425" s="26"/>
      <c r="Y425" s="26"/>
      <c r="Z425" s="24"/>
      <c r="AA425" s="169">
        <f t="shared" si="129"/>
        <v>0</v>
      </c>
      <c r="AB425" s="4">
        <f t="shared" si="130"/>
        <v>0</v>
      </c>
      <c r="AC425" s="170">
        <f t="shared" si="147"/>
        <v>0</v>
      </c>
      <c r="AD425" s="58"/>
      <c r="AE425" s="58"/>
      <c r="AF425" s="58"/>
      <c r="AG425" s="59">
        <f t="shared" si="131"/>
        <v>9.0359999999999996</v>
      </c>
      <c r="AH425" s="59">
        <f t="shared" si="132"/>
        <v>-184.49199999999999</v>
      </c>
      <c r="AJ425" s="4">
        <f>IF(D425="M",IF(AM425&lt;78,BMILMS!$D$5*AM425^3+BMILMS!$E$5*AM425^2+BMILMS!$F$5*AM425+BMILMS!$G$5,IF(AM425&lt;150,BMILMS!$D$6*AM425^3+BMILMS!$E$6*AM425^2+BMILMS!$F$6*AM425+BMILMS!$G$6,BMILMS!$D$7*AM425^3+BMILMS!$E$7*AM425^2+BMILMS!$F$7*AM425+BMILMS!$G$7)),IF(AM425&lt;69,BMILMS!$D$9*AM425^3+BMILMS!$E$9*AM425^2+BMILMS!$F$9*AM425+BMILMS!$G$9,IF(AM425&lt;150,BMILMS!$D$10*AM425^3+BMILMS!$E$10*AM425^2+BMILMS!$F$10*AM425+BMILMS!$G$10,BMILMS!$D$11*AM425^3+BMILMS!$E$11*AM425^2+BMILMS!$F$11*AM425+BMILMS!$G$11)))</f>
        <v>0.79584630099999998</v>
      </c>
      <c r="AK425" s="4">
        <f>IF(D425="M",(IF(AM425&lt;2.5,BMILMS!$D$21*AM425^3+BMILMS!$E$21*AM425^2+BMILMS!$F$21*AM425+BMILMS!$G$21,IF(AM425&lt;9.5,BMILMS!$D$22*AM425^3+BMILMS!$E$22*AM425^2+BMILMS!$F$22*AM425+BMILMS!$G$22,IF(AM425&lt;26.75,BMILMS!$D$23*AM425^3+BMILMS!$E$23*AM425^2+BMILMS!$F$23*AM425+BMILMS!$G$23,IF(AM425&lt;90,BMILMS!$D$24*AM425^3+BMILMS!$E$24*AM425^2+BMILMS!$F$24*AM425+BMILMS!$G$24,BMILMS!$D$25*AM425^3+BMILMS!$E$25*AM425^2+BMILMS!$F$25*AM425+BMILMS!$G$25))))),(IF(AM425&lt;2.5,BMILMS!$D$27*AM425^3+BMILMS!$E$27*AM425^2+BMILMS!$F$27*AM425+BMILMS!$G$27,IF(AM425&lt;9.5,BMILMS!$D$28*AM425^3+BMILMS!$E$28*AM425^2+BMILMS!$F$28*AM425+BMILMS!$G$28,IF(AM425&lt;26.75,BMILMS!$D$29*AM425^3+BMILMS!$E$29*AM425^2+BMILMS!$F$29*AM425+BMILMS!$G$29,IF(AM425&lt;90,BMILMS!$D$30*AM425^3+BMILMS!$E$30*AM425^2+BMILMS!$F$30*AM425+BMILMS!$G$30,IF(AM425&lt;150,BMILMS!$D$31*AM425^3+BMILMS!$E$31*AM425^2+BMILMS!$F$31*AM425+BMILMS!$G$31,BMILMS!$D$32*AM425^3+BMILMS!$E$32*AM425^2+BMILMS!$F$32*AM425+BMILMS!$G$32)))))))</f>
        <v>12.568967990000001</v>
      </c>
      <c r="AL425" s="4">
        <f>IF(D425="M",(IF(AM425&lt;90,BMILMS!$D$14*AM425^3+BMILMS!$E$14*AM425^2+BMILMS!$F$14*AM425+BMILMS!$G$14,BMILMS!$D$15*AM425^3+BMILMS!$E$15*AM425^2+BMILMS!$F$15*AM425+BMILMS!$G$15)),(IF(AM425&lt;90,BMILMS!$D$17*AM425^3+BMILMS!$E$17*AM425^2+BMILMS!$F$17*AM425+BMILMS!$G$17,BMILMS!$D$18*AM425^3+BMILMS!$E$18*AM425^2+BMILMS!$F$18*AM425+BMILMS!$G$18)))</f>
        <v>8.8969350000000003E-2</v>
      </c>
      <c r="AM425" s="4">
        <f t="shared" si="146"/>
        <v>0</v>
      </c>
      <c r="AO425" s="56">
        <f>IF(D425="M",WeightSDS!P$5*$AM425^7+WeightSDS!Q$5*$AM425^6+WeightSDS!R$5*$AM425^5+WeightSDS!S$5*$AM425^4+WeightSDS!T$5*$AM425^3+WeightSDS!U$5*$AM425^2+WeightSDS!V$5*$AM425+WeightSDS!W$5,IF($AM425&lt;186,WeightSDS!P$8*$AM425^7+WeightSDS!Q$8*$AM425^6+WeightSDS!R$8*$AM425^5+WeightSDS!S$8*$AM425^4+WeightSDS!T$8*$AM425^3+WeightSDS!U$8*$AM425^2+WeightSDS!V$8*$AM425+WeightSDS!W$8,WeightSDS!$U$9+WeightSDS!$V$9*($AM425-WeightSDS!$W$9)))</f>
        <v>0.75407122999999998</v>
      </c>
      <c r="AP425" s="4">
        <f>IF(D425="M",IF($AM425&lt;45,WeightSDS!M$23*$AM425^10+WeightSDS!N$23*$AM425^9+WeightSDS!O$23*$AM425^8+WeightSDS!P$23*$AM425^7+WeightSDS!Q$23*$AM425^6+WeightSDS!R$23*$AM425^5+WeightSDS!S$23*$AM425^4+WeightSDS!T$23*$AM425^3+WeightSDS!U$23*$AM425^2+WeightSDS!V$23*$AM425+WeightSDS!W$23,IF($AM425&lt;153,WeightSDS!M$25*$AM425^10+WeightSDS!N$25*$AM425^9+WeightSDS!O$25*$AM425^8+WeightSDS!P$25*$AM425^7+WeightSDS!Q$25*$AM425^6+WeightSDS!R$25*$AM425^5+WeightSDS!S$25*$AM425^4+WeightSDS!T$25*$AM425^3+WeightSDS!U$25*$AM425^2+WeightSDS!V$25*$AM425+WeightSDS!W$25,WeightSDS!M$27+WeightSDS!N$27/(1+EXP(WeightSDS!O$27+WeightSDS!P$27*$AM425)))),IF($AM425&lt;43.8,WeightSDS!M$29*$AM425^10+WeightSDS!N$29*$AM425^9+WeightSDS!O$29*$AM425^8+WeightSDS!P$29*$AM425^7+WeightSDS!Q$29*$AM425^6+WeightSDS!R$29*$AM425^5+WeightSDS!S$29*$AM425^4+WeightSDS!T$29*$AM425^3+WeightSDS!U$29*$AM425^2+WeightSDS!V$29*$AM425+WeightSDS!W$29-0.010431*(1-$AM425/210),IF($AM425&lt;123,WeightSDS!M$30*$AM425^10+WeightSDS!N$30*$AM425^9+WeightSDS!O$30*$AM425^8+WeightSDS!P$30*$AM425^7+WeightSDS!Q$30*$AM425^6+WeightSDS!R$30*$AM425^5+WeightSDS!S$30*$AM425^4+WeightSDS!T$30*$AM425^3+WeightSDS!U$30*$AM425^2+WeightSDS!V$30*$AM425+WeightSDS!W$30-0.010431*(1-1/$AM425),WeightSDS!M$32+WeightSDS!N$32/(1+EXP(WeightSDS!O$32+WeightSDS!P$32*$AM425))-0.010431*(1-$AM425/210))))</f>
        <v>2.9500001032655536</v>
      </c>
      <c r="AQ425" s="4">
        <f>IF(D425="M",IF($AM425&lt;162,WeightSDS!P$12*$AM425^7+WeightSDS!Q$12*$AM425^6+WeightSDS!R$12*$AM425^5+WeightSDS!S$12*$AM425^4+WeightSDS!T$12*$AM425^3+WeightSDS!U$12*$AM425^2+WeightSDS!V$12*$AM425+WeightSDS!W$12,WeightSDS!P$14*$AM425^7+WeightSDS!Q$14*$AM425^6+WeightSDS!R$14*$AM425^5+WeightSDS!S$14*$AM425^4+WeightSDS!T$14*$AM425^3+WeightSDS!U$14*$AM425^2+WeightSDS!V$14*$AM425+WeightSDS!W$14),IF($AM425&lt;156,WeightSDS!O$17*$AM425^8+WeightSDS!P$17*$AM425^7+WeightSDS!Q$17*$AM425^6+WeightSDS!R$17*$AM425^5+WeightSDS!S$17*$AM425^4+WeightSDS!T$17*$AM425^3+WeightSDS!U$17*$AM425^2+WeightSDS!V$17*$AM425+WeightSDS!W$17,IF($AM425&lt;186,WeightSDS!$U$18+(WeightSDS!$V$18-WeightSDS!$U$18)/24*($AM425-186)+WeightSDS!$W$18*(-$AM425+186)^2-0.005,WeightSDS!$U$18+(WeightSDS!$V$18-WeightSDS!$U$18)/24*($AM425-186)-0.005)))</f>
        <v>0.14604529399999999</v>
      </c>
      <c r="AT425" s="4">
        <f t="shared" si="133"/>
        <v>0.56299999999999994</v>
      </c>
      <c r="AU425" s="4">
        <f t="shared" si="134"/>
        <v>69</v>
      </c>
      <c r="AV425" s="4">
        <f t="shared" si="135"/>
        <v>0.51</v>
      </c>
    </row>
    <row r="426" spans="1:48" x14ac:dyDescent="0.15">
      <c r="A426" s="4"/>
      <c r="B426" s="21"/>
      <c r="C426" s="21"/>
      <c r="D426" s="21"/>
      <c r="E426" s="22"/>
      <c r="F426" s="22"/>
      <c r="G426" s="23"/>
      <c r="H426" s="23"/>
      <c r="I426" s="181"/>
      <c r="J426" s="8" t="str">
        <f t="shared" si="127"/>
        <v/>
      </c>
      <c r="K426" s="2" t="str">
        <f t="shared" si="136"/>
        <v/>
      </c>
      <c r="L426" s="2" t="str">
        <f t="shared" si="128"/>
        <v/>
      </c>
      <c r="M426" s="2" t="str">
        <f t="shared" si="137"/>
        <v/>
      </c>
      <c r="N426" s="2" t="str">
        <f t="shared" si="145"/>
        <v/>
      </c>
      <c r="O426" s="2" t="str">
        <f t="shared" si="138"/>
        <v/>
      </c>
      <c r="P426" s="8" t="str">
        <f t="shared" si="139"/>
        <v/>
      </c>
      <c r="Q426" s="8" t="str">
        <f t="shared" si="140"/>
        <v/>
      </c>
      <c r="R426" s="111" t="str">
        <f t="shared" si="141"/>
        <v/>
      </c>
      <c r="S426" s="44" t="str">
        <f t="shared" si="142"/>
        <v/>
      </c>
      <c r="T426" s="37" t="str">
        <f t="shared" si="143"/>
        <v/>
      </c>
      <c r="U426" s="44" t="str">
        <f t="shared" si="144"/>
        <v/>
      </c>
      <c r="V426" s="26"/>
      <c r="W426" s="26"/>
      <c r="X426" s="26"/>
      <c r="Y426" s="26"/>
      <c r="Z426" s="24"/>
      <c r="AA426" s="169">
        <f t="shared" si="129"/>
        <v>0</v>
      </c>
      <c r="AB426" s="4">
        <f t="shared" si="130"/>
        <v>0</v>
      </c>
      <c r="AC426" s="170">
        <f t="shared" si="147"/>
        <v>0</v>
      </c>
      <c r="AD426" s="58"/>
      <c r="AE426" s="58"/>
      <c r="AF426" s="58"/>
      <c r="AG426" s="59">
        <f t="shared" si="131"/>
        <v>9.0359999999999996</v>
      </c>
      <c r="AH426" s="59">
        <f t="shared" si="132"/>
        <v>-184.49199999999999</v>
      </c>
      <c r="AJ426" s="4">
        <f>IF(D426="M",IF(AM426&lt;78,BMILMS!$D$5*AM426^3+BMILMS!$E$5*AM426^2+BMILMS!$F$5*AM426+BMILMS!$G$5,IF(AM426&lt;150,BMILMS!$D$6*AM426^3+BMILMS!$E$6*AM426^2+BMILMS!$F$6*AM426+BMILMS!$G$6,BMILMS!$D$7*AM426^3+BMILMS!$E$7*AM426^2+BMILMS!$F$7*AM426+BMILMS!$G$7)),IF(AM426&lt;69,BMILMS!$D$9*AM426^3+BMILMS!$E$9*AM426^2+BMILMS!$F$9*AM426+BMILMS!$G$9,IF(AM426&lt;150,BMILMS!$D$10*AM426^3+BMILMS!$E$10*AM426^2+BMILMS!$F$10*AM426+BMILMS!$G$10,BMILMS!$D$11*AM426^3+BMILMS!$E$11*AM426^2+BMILMS!$F$11*AM426+BMILMS!$G$11)))</f>
        <v>0.79584630099999998</v>
      </c>
      <c r="AK426" s="4">
        <f>IF(D426="M",(IF(AM426&lt;2.5,BMILMS!$D$21*AM426^3+BMILMS!$E$21*AM426^2+BMILMS!$F$21*AM426+BMILMS!$G$21,IF(AM426&lt;9.5,BMILMS!$D$22*AM426^3+BMILMS!$E$22*AM426^2+BMILMS!$F$22*AM426+BMILMS!$G$22,IF(AM426&lt;26.75,BMILMS!$D$23*AM426^3+BMILMS!$E$23*AM426^2+BMILMS!$F$23*AM426+BMILMS!$G$23,IF(AM426&lt;90,BMILMS!$D$24*AM426^3+BMILMS!$E$24*AM426^2+BMILMS!$F$24*AM426+BMILMS!$G$24,BMILMS!$D$25*AM426^3+BMILMS!$E$25*AM426^2+BMILMS!$F$25*AM426+BMILMS!$G$25))))),(IF(AM426&lt;2.5,BMILMS!$D$27*AM426^3+BMILMS!$E$27*AM426^2+BMILMS!$F$27*AM426+BMILMS!$G$27,IF(AM426&lt;9.5,BMILMS!$D$28*AM426^3+BMILMS!$E$28*AM426^2+BMILMS!$F$28*AM426+BMILMS!$G$28,IF(AM426&lt;26.75,BMILMS!$D$29*AM426^3+BMILMS!$E$29*AM426^2+BMILMS!$F$29*AM426+BMILMS!$G$29,IF(AM426&lt;90,BMILMS!$D$30*AM426^3+BMILMS!$E$30*AM426^2+BMILMS!$F$30*AM426+BMILMS!$G$30,IF(AM426&lt;150,BMILMS!$D$31*AM426^3+BMILMS!$E$31*AM426^2+BMILMS!$F$31*AM426+BMILMS!$G$31,BMILMS!$D$32*AM426^3+BMILMS!$E$32*AM426^2+BMILMS!$F$32*AM426+BMILMS!$G$32)))))))</f>
        <v>12.568967990000001</v>
      </c>
      <c r="AL426" s="4">
        <f>IF(D426="M",(IF(AM426&lt;90,BMILMS!$D$14*AM426^3+BMILMS!$E$14*AM426^2+BMILMS!$F$14*AM426+BMILMS!$G$14,BMILMS!$D$15*AM426^3+BMILMS!$E$15*AM426^2+BMILMS!$F$15*AM426+BMILMS!$G$15)),(IF(AM426&lt;90,BMILMS!$D$17*AM426^3+BMILMS!$E$17*AM426^2+BMILMS!$F$17*AM426+BMILMS!$G$17,BMILMS!$D$18*AM426^3+BMILMS!$E$18*AM426^2+BMILMS!$F$18*AM426+BMILMS!$G$18)))</f>
        <v>8.8969350000000003E-2</v>
      </c>
      <c r="AM426" s="4">
        <f t="shared" si="146"/>
        <v>0</v>
      </c>
      <c r="AO426" s="56">
        <f>IF(D426="M",WeightSDS!P$5*$AM426^7+WeightSDS!Q$5*$AM426^6+WeightSDS!R$5*$AM426^5+WeightSDS!S$5*$AM426^4+WeightSDS!T$5*$AM426^3+WeightSDS!U$5*$AM426^2+WeightSDS!V$5*$AM426+WeightSDS!W$5,IF($AM426&lt;186,WeightSDS!P$8*$AM426^7+WeightSDS!Q$8*$AM426^6+WeightSDS!R$8*$AM426^5+WeightSDS!S$8*$AM426^4+WeightSDS!T$8*$AM426^3+WeightSDS!U$8*$AM426^2+WeightSDS!V$8*$AM426+WeightSDS!W$8,WeightSDS!$U$9+WeightSDS!$V$9*($AM426-WeightSDS!$W$9)))</f>
        <v>0.75407122999999998</v>
      </c>
      <c r="AP426" s="4">
        <f>IF(D426="M",IF($AM426&lt;45,WeightSDS!M$23*$AM426^10+WeightSDS!N$23*$AM426^9+WeightSDS!O$23*$AM426^8+WeightSDS!P$23*$AM426^7+WeightSDS!Q$23*$AM426^6+WeightSDS!R$23*$AM426^5+WeightSDS!S$23*$AM426^4+WeightSDS!T$23*$AM426^3+WeightSDS!U$23*$AM426^2+WeightSDS!V$23*$AM426+WeightSDS!W$23,IF($AM426&lt;153,WeightSDS!M$25*$AM426^10+WeightSDS!N$25*$AM426^9+WeightSDS!O$25*$AM426^8+WeightSDS!P$25*$AM426^7+WeightSDS!Q$25*$AM426^6+WeightSDS!R$25*$AM426^5+WeightSDS!S$25*$AM426^4+WeightSDS!T$25*$AM426^3+WeightSDS!U$25*$AM426^2+WeightSDS!V$25*$AM426+WeightSDS!W$25,WeightSDS!M$27+WeightSDS!N$27/(1+EXP(WeightSDS!O$27+WeightSDS!P$27*$AM426)))),IF($AM426&lt;43.8,WeightSDS!M$29*$AM426^10+WeightSDS!N$29*$AM426^9+WeightSDS!O$29*$AM426^8+WeightSDS!P$29*$AM426^7+WeightSDS!Q$29*$AM426^6+WeightSDS!R$29*$AM426^5+WeightSDS!S$29*$AM426^4+WeightSDS!T$29*$AM426^3+WeightSDS!U$29*$AM426^2+WeightSDS!V$29*$AM426+WeightSDS!W$29-0.010431*(1-$AM426/210),IF($AM426&lt;123,WeightSDS!M$30*$AM426^10+WeightSDS!N$30*$AM426^9+WeightSDS!O$30*$AM426^8+WeightSDS!P$30*$AM426^7+WeightSDS!Q$30*$AM426^6+WeightSDS!R$30*$AM426^5+WeightSDS!S$30*$AM426^4+WeightSDS!T$30*$AM426^3+WeightSDS!U$30*$AM426^2+WeightSDS!V$30*$AM426+WeightSDS!W$30-0.010431*(1-1/$AM426),WeightSDS!M$32+WeightSDS!N$32/(1+EXP(WeightSDS!O$32+WeightSDS!P$32*$AM426))-0.010431*(1-$AM426/210))))</f>
        <v>2.9500001032655536</v>
      </c>
      <c r="AQ426" s="4">
        <f>IF(D426="M",IF($AM426&lt;162,WeightSDS!P$12*$AM426^7+WeightSDS!Q$12*$AM426^6+WeightSDS!R$12*$AM426^5+WeightSDS!S$12*$AM426^4+WeightSDS!T$12*$AM426^3+WeightSDS!U$12*$AM426^2+WeightSDS!V$12*$AM426+WeightSDS!W$12,WeightSDS!P$14*$AM426^7+WeightSDS!Q$14*$AM426^6+WeightSDS!R$14*$AM426^5+WeightSDS!S$14*$AM426^4+WeightSDS!T$14*$AM426^3+WeightSDS!U$14*$AM426^2+WeightSDS!V$14*$AM426+WeightSDS!W$14),IF($AM426&lt;156,WeightSDS!O$17*$AM426^8+WeightSDS!P$17*$AM426^7+WeightSDS!Q$17*$AM426^6+WeightSDS!R$17*$AM426^5+WeightSDS!S$17*$AM426^4+WeightSDS!T$17*$AM426^3+WeightSDS!U$17*$AM426^2+WeightSDS!V$17*$AM426+WeightSDS!W$17,IF($AM426&lt;186,WeightSDS!$U$18+(WeightSDS!$V$18-WeightSDS!$U$18)/24*($AM426-186)+WeightSDS!$W$18*(-$AM426+186)^2-0.005,WeightSDS!$U$18+(WeightSDS!$V$18-WeightSDS!$U$18)/24*($AM426-186)-0.005)))</f>
        <v>0.14604529399999999</v>
      </c>
      <c r="AT426" s="4">
        <f t="shared" si="133"/>
        <v>0.56299999999999994</v>
      </c>
      <c r="AU426" s="4">
        <f t="shared" si="134"/>
        <v>69</v>
      </c>
      <c r="AV426" s="4">
        <f t="shared" si="135"/>
        <v>0.51</v>
      </c>
    </row>
    <row r="427" spans="1:48" x14ac:dyDescent="0.15">
      <c r="A427" s="4"/>
      <c r="B427" s="21"/>
      <c r="C427" s="21"/>
      <c r="D427" s="21"/>
      <c r="E427" s="22"/>
      <c r="F427" s="22"/>
      <c r="G427" s="23"/>
      <c r="H427" s="23"/>
      <c r="I427" s="181"/>
      <c r="J427" s="8" t="str">
        <f t="shared" si="127"/>
        <v/>
      </c>
      <c r="K427" s="2" t="str">
        <f t="shared" si="136"/>
        <v/>
      </c>
      <c r="L427" s="2" t="str">
        <f t="shared" si="128"/>
        <v/>
      </c>
      <c r="M427" s="2" t="str">
        <f t="shared" si="137"/>
        <v/>
      </c>
      <c r="N427" s="2" t="str">
        <f t="shared" si="145"/>
        <v/>
      </c>
      <c r="O427" s="2" t="str">
        <f t="shared" si="138"/>
        <v/>
      </c>
      <c r="P427" s="8" t="str">
        <f t="shared" si="139"/>
        <v/>
      </c>
      <c r="Q427" s="8" t="str">
        <f t="shared" si="140"/>
        <v/>
      </c>
      <c r="R427" s="111" t="str">
        <f t="shared" si="141"/>
        <v/>
      </c>
      <c r="S427" s="44" t="str">
        <f t="shared" si="142"/>
        <v/>
      </c>
      <c r="T427" s="37" t="str">
        <f t="shared" si="143"/>
        <v/>
      </c>
      <c r="U427" s="44" t="str">
        <f t="shared" si="144"/>
        <v/>
      </c>
      <c r="V427" s="26"/>
      <c r="W427" s="26"/>
      <c r="X427" s="26"/>
      <c r="Y427" s="26"/>
      <c r="Z427" s="24"/>
      <c r="AA427" s="169">
        <f t="shared" si="129"/>
        <v>0</v>
      </c>
      <c r="AB427" s="4">
        <f t="shared" si="130"/>
        <v>0</v>
      </c>
      <c r="AC427" s="170">
        <f t="shared" si="147"/>
        <v>0</v>
      </c>
      <c r="AD427" s="58"/>
      <c r="AE427" s="58"/>
      <c r="AF427" s="58"/>
      <c r="AG427" s="59">
        <f t="shared" si="131"/>
        <v>9.0359999999999996</v>
      </c>
      <c r="AH427" s="59">
        <f t="shared" si="132"/>
        <v>-184.49199999999999</v>
      </c>
      <c r="AJ427" s="4">
        <f>IF(D427="M",IF(AM427&lt;78,BMILMS!$D$5*AM427^3+BMILMS!$E$5*AM427^2+BMILMS!$F$5*AM427+BMILMS!$G$5,IF(AM427&lt;150,BMILMS!$D$6*AM427^3+BMILMS!$E$6*AM427^2+BMILMS!$F$6*AM427+BMILMS!$G$6,BMILMS!$D$7*AM427^3+BMILMS!$E$7*AM427^2+BMILMS!$F$7*AM427+BMILMS!$G$7)),IF(AM427&lt;69,BMILMS!$D$9*AM427^3+BMILMS!$E$9*AM427^2+BMILMS!$F$9*AM427+BMILMS!$G$9,IF(AM427&lt;150,BMILMS!$D$10*AM427^3+BMILMS!$E$10*AM427^2+BMILMS!$F$10*AM427+BMILMS!$G$10,BMILMS!$D$11*AM427^3+BMILMS!$E$11*AM427^2+BMILMS!$F$11*AM427+BMILMS!$G$11)))</f>
        <v>0.79584630099999998</v>
      </c>
      <c r="AK427" s="4">
        <f>IF(D427="M",(IF(AM427&lt;2.5,BMILMS!$D$21*AM427^3+BMILMS!$E$21*AM427^2+BMILMS!$F$21*AM427+BMILMS!$G$21,IF(AM427&lt;9.5,BMILMS!$D$22*AM427^3+BMILMS!$E$22*AM427^2+BMILMS!$F$22*AM427+BMILMS!$G$22,IF(AM427&lt;26.75,BMILMS!$D$23*AM427^3+BMILMS!$E$23*AM427^2+BMILMS!$F$23*AM427+BMILMS!$G$23,IF(AM427&lt;90,BMILMS!$D$24*AM427^3+BMILMS!$E$24*AM427^2+BMILMS!$F$24*AM427+BMILMS!$G$24,BMILMS!$D$25*AM427^3+BMILMS!$E$25*AM427^2+BMILMS!$F$25*AM427+BMILMS!$G$25))))),(IF(AM427&lt;2.5,BMILMS!$D$27*AM427^3+BMILMS!$E$27*AM427^2+BMILMS!$F$27*AM427+BMILMS!$G$27,IF(AM427&lt;9.5,BMILMS!$D$28*AM427^3+BMILMS!$E$28*AM427^2+BMILMS!$F$28*AM427+BMILMS!$G$28,IF(AM427&lt;26.75,BMILMS!$D$29*AM427^3+BMILMS!$E$29*AM427^2+BMILMS!$F$29*AM427+BMILMS!$G$29,IF(AM427&lt;90,BMILMS!$D$30*AM427^3+BMILMS!$E$30*AM427^2+BMILMS!$F$30*AM427+BMILMS!$G$30,IF(AM427&lt;150,BMILMS!$D$31*AM427^3+BMILMS!$E$31*AM427^2+BMILMS!$F$31*AM427+BMILMS!$G$31,BMILMS!$D$32*AM427^3+BMILMS!$E$32*AM427^2+BMILMS!$F$32*AM427+BMILMS!$G$32)))))))</f>
        <v>12.568967990000001</v>
      </c>
      <c r="AL427" s="4">
        <f>IF(D427="M",(IF(AM427&lt;90,BMILMS!$D$14*AM427^3+BMILMS!$E$14*AM427^2+BMILMS!$F$14*AM427+BMILMS!$G$14,BMILMS!$D$15*AM427^3+BMILMS!$E$15*AM427^2+BMILMS!$F$15*AM427+BMILMS!$G$15)),(IF(AM427&lt;90,BMILMS!$D$17*AM427^3+BMILMS!$E$17*AM427^2+BMILMS!$F$17*AM427+BMILMS!$G$17,BMILMS!$D$18*AM427^3+BMILMS!$E$18*AM427^2+BMILMS!$F$18*AM427+BMILMS!$G$18)))</f>
        <v>8.8969350000000003E-2</v>
      </c>
      <c r="AM427" s="4">
        <f t="shared" si="146"/>
        <v>0</v>
      </c>
      <c r="AO427" s="56">
        <f>IF(D427="M",WeightSDS!P$5*$AM427^7+WeightSDS!Q$5*$AM427^6+WeightSDS!R$5*$AM427^5+WeightSDS!S$5*$AM427^4+WeightSDS!T$5*$AM427^3+WeightSDS!U$5*$AM427^2+WeightSDS!V$5*$AM427+WeightSDS!W$5,IF($AM427&lt;186,WeightSDS!P$8*$AM427^7+WeightSDS!Q$8*$AM427^6+WeightSDS!R$8*$AM427^5+WeightSDS!S$8*$AM427^4+WeightSDS!T$8*$AM427^3+WeightSDS!U$8*$AM427^2+WeightSDS!V$8*$AM427+WeightSDS!W$8,WeightSDS!$U$9+WeightSDS!$V$9*($AM427-WeightSDS!$W$9)))</f>
        <v>0.75407122999999998</v>
      </c>
      <c r="AP427" s="4">
        <f>IF(D427="M",IF($AM427&lt;45,WeightSDS!M$23*$AM427^10+WeightSDS!N$23*$AM427^9+WeightSDS!O$23*$AM427^8+WeightSDS!P$23*$AM427^7+WeightSDS!Q$23*$AM427^6+WeightSDS!R$23*$AM427^5+WeightSDS!S$23*$AM427^4+WeightSDS!T$23*$AM427^3+WeightSDS!U$23*$AM427^2+WeightSDS!V$23*$AM427+WeightSDS!W$23,IF($AM427&lt;153,WeightSDS!M$25*$AM427^10+WeightSDS!N$25*$AM427^9+WeightSDS!O$25*$AM427^8+WeightSDS!P$25*$AM427^7+WeightSDS!Q$25*$AM427^6+WeightSDS!R$25*$AM427^5+WeightSDS!S$25*$AM427^4+WeightSDS!T$25*$AM427^3+WeightSDS!U$25*$AM427^2+WeightSDS!V$25*$AM427+WeightSDS!W$25,WeightSDS!M$27+WeightSDS!N$27/(1+EXP(WeightSDS!O$27+WeightSDS!P$27*$AM427)))),IF($AM427&lt;43.8,WeightSDS!M$29*$AM427^10+WeightSDS!N$29*$AM427^9+WeightSDS!O$29*$AM427^8+WeightSDS!P$29*$AM427^7+WeightSDS!Q$29*$AM427^6+WeightSDS!R$29*$AM427^5+WeightSDS!S$29*$AM427^4+WeightSDS!T$29*$AM427^3+WeightSDS!U$29*$AM427^2+WeightSDS!V$29*$AM427+WeightSDS!W$29-0.010431*(1-$AM427/210),IF($AM427&lt;123,WeightSDS!M$30*$AM427^10+WeightSDS!N$30*$AM427^9+WeightSDS!O$30*$AM427^8+WeightSDS!P$30*$AM427^7+WeightSDS!Q$30*$AM427^6+WeightSDS!R$30*$AM427^5+WeightSDS!S$30*$AM427^4+WeightSDS!T$30*$AM427^3+WeightSDS!U$30*$AM427^2+WeightSDS!V$30*$AM427+WeightSDS!W$30-0.010431*(1-1/$AM427),WeightSDS!M$32+WeightSDS!N$32/(1+EXP(WeightSDS!O$32+WeightSDS!P$32*$AM427))-0.010431*(1-$AM427/210))))</f>
        <v>2.9500001032655536</v>
      </c>
      <c r="AQ427" s="4">
        <f>IF(D427="M",IF($AM427&lt;162,WeightSDS!P$12*$AM427^7+WeightSDS!Q$12*$AM427^6+WeightSDS!R$12*$AM427^5+WeightSDS!S$12*$AM427^4+WeightSDS!T$12*$AM427^3+WeightSDS!U$12*$AM427^2+WeightSDS!V$12*$AM427+WeightSDS!W$12,WeightSDS!P$14*$AM427^7+WeightSDS!Q$14*$AM427^6+WeightSDS!R$14*$AM427^5+WeightSDS!S$14*$AM427^4+WeightSDS!T$14*$AM427^3+WeightSDS!U$14*$AM427^2+WeightSDS!V$14*$AM427+WeightSDS!W$14),IF($AM427&lt;156,WeightSDS!O$17*$AM427^8+WeightSDS!P$17*$AM427^7+WeightSDS!Q$17*$AM427^6+WeightSDS!R$17*$AM427^5+WeightSDS!S$17*$AM427^4+WeightSDS!T$17*$AM427^3+WeightSDS!U$17*$AM427^2+WeightSDS!V$17*$AM427+WeightSDS!W$17,IF($AM427&lt;186,WeightSDS!$U$18+(WeightSDS!$V$18-WeightSDS!$U$18)/24*($AM427-186)+WeightSDS!$W$18*(-$AM427+186)^2-0.005,WeightSDS!$U$18+(WeightSDS!$V$18-WeightSDS!$U$18)/24*($AM427-186)-0.005)))</f>
        <v>0.14604529399999999</v>
      </c>
      <c r="AT427" s="4">
        <f t="shared" si="133"/>
        <v>0.56299999999999994</v>
      </c>
      <c r="AU427" s="4">
        <f t="shared" si="134"/>
        <v>69</v>
      </c>
      <c r="AV427" s="4">
        <f t="shared" si="135"/>
        <v>0.51</v>
      </c>
    </row>
    <row r="428" spans="1:48" x14ac:dyDescent="0.15">
      <c r="A428" s="4"/>
      <c r="B428" s="21"/>
      <c r="C428" s="21"/>
      <c r="D428" s="21"/>
      <c r="E428" s="22"/>
      <c r="F428" s="22"/>
      <c r="G428" s="23"/>
      <c r="H428" s="23"/>
      <c r="I428" s="181"/>
      <c r="J428" s="8" t="str">
        <f t="shared" si="127"/>
        <v/>
      </c>
      <c r="K428" s="2" t="str">
        <f t="shared" si="136"/>
        <v/>
      </c>
      <c r="L428" s="2" t="str">
        <f t="shared" si="128"/>
        <v/>
      </c>
      <c r="M428" s="2" t="str">
        <f t="shared" si="137"/>
        <v/>
      </c>
      <c r="N428" s="2" t="str">
        <f t="shared" si="145"/>
        <v/>
      </c>
      <c r="O428" s="2" t="str">
        <f t="shared" si="138"/>
        <v/>
      </c>
      <c r="P428" s="8" t="str">
        <f t="shared" si="139"/>
        <v/>
      </c>
      <c r="Q428" s="8" t="str">
        <f t="shared" si="140"/>
        <v/>
      </c>
      <c r="R428" s="111" t="str">
        <f t="shared" si="141"/>
        <v/>
      </c>
      <c r="S428" s="44" t="str">
        <f t="shared" si="142"/>
        <v/>
      </c>
      <c r="T428" s="37" t="str">
        <f t="shared" si="143"/>
        <v/>
      </c>
      <c r="U428" s="44" t="str">
        <f t="shared" si="144"/>
        <v/>
      </c>
      <c r="V428" s="26"/>
      <c r="W428" s="26"/>
      <c r="X428" s="26"/>
      <c r="Y428" s="26"/>
      <c r="Z428" s="24"/>
      <c r="AA428" s="169">
        <f t="shared" si="129"/>
        <v>0</v>
      </c>
      <c r="AB428" s="4">
        <f t="shared" si="130"/>
        <v>0</v>
      </c>
      <c r="AC428" s="170">
        <f t="shared" si="147"/>
        <v>0</v>
      </c>
      <c r="AD428" s="58"/>
      <c r="AE428" s="58"/>
      <c r="AF428" s="58"/>
      <c r="AG428" s="59">
        <f t="shared" si="131"/>
        <v>9.0359999999999996</v>
      </c>
      <c r="AH428" s="59">
        <f t="shared" si="132"/>
        <v>-184.49199999999999</v>
      </c>
      <c r="AJ428" s="4">
        <f>IF(D428="M",IF(AM428&lt;78,BMILMS!$D$5*AM428^3+BMILMS!$E$5*AM428^2+BMILMS!$F$5*AM428+BMILMS!$G$5,IF(AM428&lt;150,BMILMS!$D$6*AM428^3+BMILMS!$E$6*AM428^2+BMILMS!$F$6*AM428+BMILMS!$G$6,BMILMS!$D$7*AM428^3+BMILMS!$E$7*AM428^2+BMILMS!$F$7*AM428+BMILMS!$G$7)),IF(AM428&lt;69,BMILMS!$D$9*AM428^3+BMILMS!$E$9*AM428^2+BMILMS!$F$9*AM428+BMILMS!$G$9,IF(AM428&lt;150,BMILMS!$D$10*AM428^3+BMILMS!$E$10*AM428^2+BMILMS!$F$10*AM428+BMILMS!$G$10,BMILMS!$D$11*AM428^3+BMILMS!$E$11*AM428^2+BMILMS!$F$11*AM428+BMILMS!$G$11)))</f>
        <v>0.79584630099999998</v>
      </c>
      <c r="AK428" s="4">
        <f>IF(D428="M",(IF(AM428&lt;2.5,BMILMS!$D$21*AM428^3+BMILMS!$E$21*AM428^2+BMILMS!$F$21*AM428+BMILMS!$G$21,IF(AM428&lt;9.5,BMILMS!$D$22*AM428^3+BMILMS!$E$22*AM428^2+BMILMS!$F$22*AM428+BMILMS!$G$22,IF(AM428&lt;26.75,BMILMS!$D$23*AM428^3+BMILMS!$E$23*AM428^2+BMILMS!$F$23*AM428+BMILMS!$G$23,IF(AM428&lt;90,BMILMS!$D$24*AM428^3+BMILMS!$E$24*AM428^2+BMILMS!$F$24*AM428+BMILMS!$G$24,BMILMS!$D$25*AM428^3+BMILMS!$E$25*AM428^2+BMILMS!$F$25*AM428+BMILMS!$G$25))))),(IF(AM428&lt;2.5,BMILMS!$D$27*AM428^3+BMILMS!$E$27*AM428^2+BMILMS!$F$27*AM428+BMILMS!$G$27,IF(AM428&lt;9.5,BMILMS!$D$28*AM428^3+BMILMS!$E$28*AM428^2+BMILMS!$F$28*AM428+BMILMS!$G$28,IF(AM428&lt;26.75,BMILMS!$D$29*AM428^3+BMILMS!$E$29*AM428^2+BMILMS!$F$29*AM428+BMILMS!$G$29,IF(AM428&lt;90,BMILMS!$D$30*AM428^3+BMILMS!$E$30*AM428^2+BMILMS!$F$30*AM428+BMILMS!$G$30,IF(AM428&lt;150,BMILMS!$D$31*AM428^3+BMILMS!$E$31*AM428^2+BMILMS!$F$31*AM428+BMILMS!$G$31,BMILMS!$D$32*AM428^3+BMILMS!$E$32*AM428^2+BMILMS!$F$32*AM428+BMILMS!$G$32)))))))</f>
        <v>12.568967990000001</v>
      </c>
      <c r="AL428" s="4">
        <f>IF(D428="M",(IF(AM428&lt;90,BMILMS!$D$14*AM428^3+BMILMS!$E$14*AM428^2+BMILMS!$F$14*AM428+BMILMS!$G$14,BMILMS!$D$15*AM428^3+BMILMS!$E$15*AM428^2+BMILMS!$F$15*AM428+BMILMS!$G$15)),(IF(AM428&lt;90,BMILMS!$D$17*AM428^3+BMILMS!$E$17*AM428^2+BMILMS!$F$17*AM428+BMILMS!$G$17,BMILMS!$D$18*AM428^3+BMILMS!$E$18*AM428^2+BMILMS!$F$18*AM428+BMILMS!$G$18)))</f>
        <v>8.8969350000000003E-2</v>
      </c>
      <c r="AM428" s="4">
        <f t="shared" si="146"/>
        <v>0</v>
      </c>
      <c r="AO428" s="56">
        <f>IF(D428="M",WeightSDS!P$5*$AM428^7+WeightSDS!Q$5*$AM428^6+WeightSDS!R$5*$AM428^5+WeightSDS!S$5*$AM428^4+WeightSDS!T$5*$AM428^3+WeightSDS!U$5*$AM428^2+WeightSDS!V$5*$AM428+WeightSDS!W$5,IF($AM428&lt;186,WeightSDS!P$8*$AM428^7+WeightSDS!Q$8*$AM428^6+WeightSDS!R$8*$AM428^5+WeightSDS!S$8*$AM428^4+WeightSDS!T$8*$AM428^3+WeightSDS!U$8*$AM428^2+WeightSDS!V$8*$AM428+WeightSDS!W$8,WeightSDS!$U$9+WeightSDS!$V$9*($AM428-WeightSDS!$W$9)))</f>
        <v>0.75407122999999998</v>
      </c>
      <c r="AP428" s="4">
        <f>IF(D428="M",IF($AM428&lt;45,WeightSDS!M$23*$AM428^10+WeightSDS!N$23*$AM428^9+WeightSDS!O$23*$AM428^8+WeightSDS!P$23*$AM428^7+WeightSDS!Q$23*$AM428^6+WeightSDS!R$23*$AM428^5+WeightSDS!S$23*$AM428^4+WeightSDS!T$23*$AM428^3+WeightSDS!U$23*$AM428^2+WeightSDS!V$23*$AM428+WeightSDS!W$23,IF($AM428&lt;153,WeightSDS!M$25*$AM428^10+WeightSDS!N$25*$AM428^9+WeightSDS!O$25*$AM428^8+WeightSDS!P$25*$AM428^7+WeightSDS!Q$25*$AM428^6+WeightSDS!R$25*$AM428^5+WeightSDS!S$25*$AM428^4+WeightSDS!T$25*$AM428^3+WeightSDS!U$25*$AM428^2+WeightSDS!V$25*$AM428+WeightSDS!W$25,WeightSDS!M$27+WeightSDS!N$27/(1+EXP(WeightSDS!O$27+WeightSDS!P$27*$AM428)))),IF($AM428&lt;43.8,WeightSDS!M$29*$AM428^10+WeightSDS!N$29*$AM428^9+WeightSDS!O$29*$AM428^8+WeightSDS!P$29*$AM428^7+WeightSDS!Q$29*$AM428^6+WeightSDS!R$29*$AM428^5+WeightSDS!S$29*$AM428^4+WeightSDS!T$29*$AM428^3+WeightSDS!U$29*$AM428^2+WeightSDS!V$29*$AM428+WeightSDS!W$29-0.010431*(1-$AM428/210),IF($AM428&lt;123,WeightSDS!M$30*$AM428^10+WeightSDS!N$30*$AM428^9+WeightSDS!O$30*$AM428^8+WeightSDS!P$30*$AM428^7+WeightSDS!Q$30*$AM428^6+WeightSDS!R$30*$AM428^5+WeightSDS!S$30*$AM428^4+WeightSDS!T$30*$AM428^3+WeightSDS!U$30*$AM428^2+WeightSDS!V$30*$AM428+WeightSDS!W$30-0.010431*(1-1/$AM428),WeightSDS!M$32+WeightSDS!N$32/(1+EXP(WeightSDS!O$32+WeightSDS!P$32*$AM428))-0.010431*(1-$AM428/210))))</f>
        <v>2.9500001032655536</v>
      </c>
      <c r="AQ428" s="4">
        <f>IF(D428="M",IF($AM428&lt;162,WeightSDS!P$12*$AM428^7+WeightSDS!Q$12*$AM428^6+WeightSDS!R$12*$AM428^5+WeightSDS!S$12*$AM428^4+WeightSDS!T$12*$AM428^3+WeightSDS!U$12*$AM428^2+WeightSDS!V$12*$AM428+WeightSDS!W$12,WeightSDS!P$14*$AM428^7+WeightSDS!Q$14*$AM428^6+WeightSDS!R$14*$AM428^5+WeightSDS!S$14*$AM428^4+WeightSDS!T$14*$AM428^3+WeightSDS!U$14*$AM428^2+WeightSDS!V$14*$AM428+WeightSDS!W$14),IF($AM428&lt;156,WeightSDS!O$17*$AM428^8+WeightSDS!P$17*$AM428^7+WeightSDS!Q$17*$AM428^6+WeightSDS!R$17*$AM428^5+WeightSDS!S$17*$AM428^4+WeightSDS!T$17*$AM428^3+WeightSDS!U$17*$AM428^2+WeightSDS!V$17*$AM428+WeightSDS!W$17,IF($AM428&lt;186,WeightSDS!$U$18+(WeightSDS!$V$18-WeightSDS!$U$18)/24*($AM428-186)+WeightSDS!$W$18*(-$AM428+186)^2-0.005,WeightSDS!$U$18+(WeightSDS!$V$18-WeightSDS!$U$18)/24*($AM428-186)-0.005)))</f>
        <v>0.14604529399999999</v>
      </c>
      <c r="AT428" s="4">
        <f t="shared" si="133"/>
        <v>0.56299999999999994</v>
      </c>
      <c r="AU428" s="4">
        <f t="shared" si="134"/>
        <v>69</v>
      </c>
      <c r="AV428" s="4">
        <f t="shared" si="135"/>
        <v>0.51</v>
      </c>
    </row>
    <row r="429" spans="1:48" x14ac:dyDescent="0.15">
      <c r="A429" s="4"/>
      <c r="B429" s="21"/>
      <c r="C429" s="21"/>
      <c r="D429" s="21"/>
      <c r="E429" s="22"/>
      <c r="F429" s="22"/>
      <c r="G429" s="23"/>
      <c r="H429" s="23"/>
      <c r="I429" s="181"/>
      <c r="J429" s="8" t="str">
        <f t="shared" si="127"/>
        <v/>
      </c>
      <c r="K429" s="2" t="str">
        <f t="shared" si="136"/>
        <v/>
      </c>
      <c r="L429" s="2" t="str">
        <f t="shared" si="128"/>
        <v/>
      </c>
      <c r="M429" s="2" t="str">
        <f t="shared" si="137"/>
        <v/>
      </c>
      <c r="N429" s="2" t="str">
        <f t="shared" si="145"/>
        <v/>
      </c>
      <c r="O429" s="2" t="str">
        <f t="shared" si="138"/>
        <v/>
      </c>
      <c r="P429" s="8" t="str">
        <f t="shared" si="139"/>
        <v/>
      </c>
      <c r="Q429" s="8" t="str">
        <f t="shared" si="140"/>
        <v/>
      </c>
      <c r="R429" s="111" t="str">
        <f t="shared" si="141"/>
        <v/>
      </c>
      <c r="S429" s="44" t="str">
        <f t="shared" si="142"/>
        <v/>
      </c>
      <c r="T429" s="37" t="str">
        <f t="shared" si="143"/>
        <v/>
      </c>
      <c r="U429" s="44" t="str">
        <f t="shared" si="144"/>
        <v/>
      </c>
      <c r="V429" s="26"/>
      <c r="W429" s="26"/>
      <c r="X429" s="26"/>
      <c r="Y429" s="26"/>
      <c r="Z429" s="24"/>
      <c r="AA429" s="169">
        <f t="shared" si="129"/>
        <v>0</v>
      </c>
      <c r="AB429" s="4">
        <f t="shared" si="130"/>
        <v>0</v>
      </c>
      <c r="AC429" s="170">
        <f t="shared" si="147"/>
        <v>0</v>
      </c>
      <c r="AD429" s="58"/>
      <c r="AE429" s="58"/>
      <c r="AF429" s="58"/>
      <c r="AG429" s="59">
        <f t="shared" si="131"/>
        <v>9.0359999999999996</v>
      </c>
      <c r="AH429" s="59">
        <f t="shared" si="132"/>
        <v>-184.49199999999999</v>
      </c>
      <c r="AJ429" s="4">
        <f>IF(D429="M",IF(AM429&lt;78,BMILMS!$D$5*AM429^3+BMILMS!$E$5*AM429^2+BMILMS!$F$5*AM429+BMILMS!$G$5,IF(AM429&lt;150,BMILMS!$D$6*AM429^3+BMILMS!$E$6*AM429^2+BMILMS!$F$6*AM429+BMILMS!$G$6,BMILMS!$D$7*AM429^3+BMILMS!$E$7*AM429^2+BMILMS!$F$7*AM429+BMILMS!$G$7)),IF(AM429&lt;69,BMILMS!$D$9*AM429^3+BMILMS!$E$9*AM429^2+BMILMS!$F$9*AM429+BMILMS!$G$9,IF(AM429&lt;150,BMILMS!$D$10*AM429^3+BMILMS!$E$10*AM429^2+BMILMS!$F$10*AM429+BMILMS!$G$10,BMILMS!$D$11*AM429^3+BMILMS!$E$11*AM429^2+BMILMS!$F$11*AM429+BMILMS!$G$11)))</f>
        <v>0.79584630099999998</v>
      </c>
      <c r="AK429" s="4">
        <f>IF(D429="M",(IF(AM429&lt;2.5,BMILMS!$D$21*AM429^3+BMILMS!$E$21*AM429^2+BMILMS!$F$21*AM429+BMILMS!$G$21,IF(AM429&lt;9.5,BMILMS!$D$22*AM429^3+BMILMS!$E$22*AM429^2+BMILMS!$F$22*AM429+BMILMS!$G$22,IF(AM429&lt;26.75,BMILMS!$D$23*AM429^3+BMILMS!$E$23*AM429^2+BMILMS!$F$23*AM429+BMILMS!$G$23,IF(AM429&lt;90,BMILMS!$D$24*AM429^3+BMILMS!$E$24*AM429^2+BMILMS!$F$24*AM429+BMILMS!$G$24,BMILMS!$D$25*AM429^3+BMILMS!$E$25*AM429^2+BMILMS!$F$25*AM429+BMILMS!$G$25))))),(IF(AM429&lt;2.5,BMILMS!$D$27*AM429^3+BMILMS!$E$27*AM429^2+BMILMS!$F$27*AM429+BMILMS!$G$27,IF(AM429&lt;9.5,BMILMS!$D$28*AM429^3+BMILMS!$E$28*AM429^2+BMILMS!$F$28*AM429+BMILMS!$G$28,IF(AM429&lt;26.75,BMILMS!$D$29*AM429^3+BMILMS!$E$29*AM429^2+BMILMS!$F$29*AM429+BMILMS!$G$29,IF(AM429&lt;90,BMILMS!$D$30*AM429^3+BMILMS!$E$30*AM429^2+BMILMS!$F$30*AM429+BMILMS!$G$30,IF(AM429&lt;150,BMILMS!$D$31*AM429^3+BMILMS!$E$31*AM429^2+BMILMS!$F$31*AM429+BMILMS!$G$31,BMILMS!$D$32*AM429^3+BMILMS!$E$32*AM429^2+BMILMS!$F$32*AM429+BMILMS!$G$32)))))))</f>
        <v>12.568967990000001</v>
      </c>
      <c r="AL429" s="4">
        <f>IF(D429="M",(IF(AM429&lt;90,BMILMS!$D$14*AM429^3+BMILMS!$E$14*AM429^2+BMILMS!$F$14*AM429+BMILMS!$G$14,BMILMS!$D$15*AM429^3+BMILMS!$E$15*AM429^2+BMILMS!$F$15*AM429+BMILMS!$G$15)),(IF(AM429&lt;90,BMILMS!$D$17*AM429^3+BMILMS!$E$17*AM429^2+BMILMS!$F$17*AM429+BMILMS!$G$17,BMILMS!$D$18*AM429^3+BMILMS!$E$18*AM429^2+BMILMS!$F$18*AM429+BMILMS!$G$18)))</f>
        <v>8.8969350000000003E-2</v>
      </c>
      <c r="AM429" s="4">
        <f t="shared" si="146"/>
        <v>0</v>
      </c>
      <c r="AO429" s="56">
        <f>IF(D429="M",WeightSDS!P$5*$AM429^7+WeightSDS!Q$5*$AM429^6+WeightSDS!R$5*$AM429^5+WeightSDS!S$5*$AM429^4+WeightSDS!T$5*$AM429^3+WeightSDS!U$5*$AM429^2+WeightSDS!V$5*$AM429+WeightSDS!W$5,IF($AM429&lt;186,WeightSDS!P$8*$AM429^7+WeightSDS!Q$8*$AM429^6+WeightSDS!R$8*$AM429^5+WeightSDS!S$8*$AM429^4+WeightSDS!T$8*$AM429^3+WeightSDS!U$8*$AM429^2+WeightSDS!V$8*$AM429+WeightSDS!W$8,WeightSDS!$U$9+WeightSDS!$V$9*($AM429-WeightSDS!$W$9)))</f>
        <v>0.75407122999999998</v>
      </c>
      <c r="AP429" s="4">
        <f>IF(D429="M",IF($AM429&lt;45,WeightSDS!M$23*$AM429^10+WeightSDS!N$23*$AM429^9+WeightSDS!O$23*$AM429^8+WeightSDS!P$23*$AM429^7+WeightSDS!Q$23*$AM429^6+WeightSDS!R$23*$AM429^5+WeightSDS!S$23*$AM429^4+WeightSDS!T$23*$AM429^3+WeightSDS!U$23*$AM429^2+WeightSDS!V$23*$AM429+WeightSDS!W$23,IF($AM429&lt;153,WeightSDS!M$25*$AM429^10+WeightSDS!N$25*$AM429^9+WeightSDS!O$25*$AM429^8+WeightSDS!P$25*$AM429^7+WeightSDS!Q$25*$AM429^6+WeightSDS!R$25*$AM429^5+WeightSDS!S$25*$AM429^4+WeightSDS!T$25*$AM429^3+WeightSDS!U$25*$AM429^2+WeightSDS!V$25*$AM429+WeightSDS!W$25,WeightSDS!M$27+WeightSDS!N$27/(1+EXP(WeightSDS!O$27+WeightSDS!P$27*$AM429)))),IF($AM429&lt;43.8,WeightSDS!M$29*$AM429^10+WeightSDS!N$29*$AM429^9+WeightSDS!O$29*$AM429^8+WeightSDS!P$29*$AM429^7+WeightSDS!Q$29*$AM429^6+WeightSDS!R$29*$AM429^5+WeightSDS!S$29*$AM429^4+WeightSDS!T$29*$AM429^3+WeightSDS!U$29*$AM429^2+WeightSDS!V$29*$AM429+WeightSDS!W$29-0.010431*(1-$AM429/210),IF($AM429&lt;123,WeightSDS!M$30*$AM429^10+WeightSDS!N$30*$AM429^9+WeightSDS!O$30*$AM429^8+WeightSDS!P$30*$AM429^7+WeightSDS!Q$30*$AM429^6+WeightSDS!R$30*$AM429^5+WeightSDS!S$30*$AM429^4+WeightSDS!T$30*$AM429^3+WeightSDS!U$30*$AM429^2+WeightSDS!V$30*$AM429+WeightSDS!W$30-0.010431*(1-1/$AM429),WeightSDS!M$32+WeightSDS!N$32/(1+EXP(WeightSDS!O$32+WeightSDS!P$32*$AM429))-0.010431*(1-$AM429/210))))</f>
        <v>2.9500001032655536</v>
      </c>
      <c r="AQ429" s="4">
        <f>IF(D429="M",IF($AM429&lt;162,WeightSDS!P$12*$AM429^7+WeightSDS!Q$12*$AM429^6+WeightSDS!R$12*$AM429^5+WeightSDS!S$12*$AM429^4+WeightSDS!T$12*$AM429^3+WeightSDS!U$12*$AM429^2+WeightSDS!V$12*$AM429+WeightSDS!W$12,WeightSDS!P$14*$AM429^7+WeightSDS!Q$14*$AM429^6+WeightSDS!R$14*$AM429^5+WeightSDS!S$14*$AM429^4+WeightSDS!T$14*$AM429^3+WeightSDS!U$14*$AM429^2+WeightSDS!V$14*$AM429+WeightSDS!W$14),IF($AM429&lt;156,WeightSDS!O$17*$AM429^8+WeightSDS!P$17*$AM429^7+WeightSDS!Q$17*$AM429^6+WeightSDS!R$17*$AM429^5+WeightSDS!S$17*$AM429^4+WeightSDS!T$17*$AM429^3+WeightSDS!U$17*$AM429^2+WeightSDS!V$17*$AM429+WeightSDS!W$17,IF($AM429&lt;186,WeightSDS!$U$18+(WeightSDS!$V$18-WeightSDS!$U$18)/24*($AM429-186)+WeightSDS!$W$18*(-$AM429+186)^2-0.005,WeightSDS!$U$18+(WeightSDS!$V$18-WeightSDS!$U$18)/24*($AM429-186)-0.005)))</f>
        <v>0.14604529399999999</v>
      </c>
      <c r="AT429" s="4">
        <f t="shared" si="133"/>
        <v>0.56299999999999994</v>
      </c>
      <c r="AU429" s="4">
        <f t="shared" si="134"/>
        <v>69</v>
      </c>
      <c r="AV429" s="4">
        <f t="shared" si="135"/>
        <v>0.51</v>
      </c>
    </row>
    <row r="430" spans="1:48" x14ac:dyDescent="0.15">
      <c r="A430" s="4"/>
      <c r="B430" s="21"/>
      <c r="C430" s="21"/>
      <c r="D430" s="21"/>
      <c r="E430" s="22"/>
      <c r="F430" s="22"/>
      <c r="G430" s="23"/>
      <c r="H430" s="23"/>
      <c r="I430" s="181"/>
      <c r="J430" s="8" t="str">
        <f t="shared" si="127"/>
        <v/>
      </c>
      <c r="K430" s="2" t="str">
        <f t="shared" si="136"/>
        <v/>
      </c>
      <c r="L430" s="2" t="str">
        <f t="shared" si="128"/>
        <v/>
      </c>
      <c r="M430" s="2" t="str">
        <f t="shared" si="137"/>
        <v/>
      </c>
      <c r="N430" s="2" t="str">
        <f t="shared" si="145"/>
        <v/>
      </c>
      <c r="O430" s="2" t="str">
        <f t="shared" si="138"/>
        <v/>
      </c>
      <c r="P430" s="8" t="str">
        <f t="shared" si="139"/>
        <v/>
      </c>
      <c r="Q430" s="8" t="str">
        <f t="shared" si="140"/>
        <v/>
      </c>
      <c r="R430" s="111" t="str">
        <f t="shared" si="141"/>
        <v/>
      </c>
      <c r="S430" s="44" t="str">
        <f t="shared" si="142"/>
        <v/>
      </c>
      <c r="T430" s="37" t="str">
        <f t="shared" si="143"/>
        <v/>
      </c>
      <c r="U430" s="44" t="str">
        <f t="shared" si="144"/>
        <v/>
      </c>
      <c r="V430" s="26"/>
      <c r="W430" s="26"/>
      <c r="X430" s="26"/>
      <c r="Y430" s="26"/>
      <c r="Z430" s="24"/>
      <c r="AA430" s="169">
        <f t="shared" si="129"/>
        <v>0</v>
      </c>
      <c r="AB430" s="4">
        <f t="shared" si="130"/>
        <v>0</v>
      </c>
      <c r="AC430" s="170">
        <f t="shared" si="147"/>
        <v>0</v>
      </c>
      <c r="AD430" s="58"/>
      <c r="AE430" s="58"/>
      <c r="AF430" s="58"/>
      <c r="AG430" s="59">
        <f t="shared" si="131"/>
        <v>9.0359999999999996</v>
      </c>
      <c r="AH430" s="59">
        <f t="shared" si="132"/>
        <v>-184.49199999999999</v>
      </c>
      <c r="AJ430" s="4">
        <f>IF(D430="M",IF(AM430&lt;78,BMILMS!$D$5*AM430^3+BMILMS!$E$5*AM430^2+BMILMS!$F$5*AM430+BMILMS!$G$5,IF(AM430&lt;150,BMILMS!$D$6*AM430^3+BMILMS!$E$6*AM430^2+BMILMS!$F$6*AM430+BMILMS!$G$6,BMILMS!$D$7*AM430^3+BMILMS!$E$7*AM430^2+BMILMS!$F$7*AM430+BMILMS!$G$7)),IF(AM430&lt;69,BMILMS!$D$9*AM430^3+BMILMS!$E$9*AM430^2+BMILMS!$F$9*AM430+BMILMS!$G$9,IF(AM430&lt;150,BMILMS!$D$10*AM430^3+BMILMS!$E$10*AM430^2+BMILMS!$F$10*AM430+BMILMS!$G$10,BMILMS!$D$11*AM430^3+BMILMS!$E$11*AM430^2+BMILMS!$F$11*AM430+BMILMS!$G$11)))</f>
        <v>0.79584630099999998</v>
      </c>
      <c r="AK430" s="4">
        <f>IF(D430="M",(IF(AM430&lt;2.5,BMILMS!$D$21*AM430^3+BMILMS!$E$21*AM430^2+BMILMS!$F$21*AM430+BMILMS!$G$21,IF(AM430&lt;9.5,BMILMS!$D$22*AM430^3+BMILMS!$E$22*AM430^2+BMILMS!$F$22*AM430+BMILMS!$G$22,IF(AM430&lt;26.75,BMILMS!$D$23*AM430^3+BMILMS!$E$23*AM430^2+BMILMS!$F$23*AM430+BMILMS!$G$23,IF(AM430&lt;90,BMILMS!$D$24*AM430^3+BMILMS!$E$24*AM430^2+BMILMS!$F$24*AM430+BMILMS!$G$24,BMILMS!$D$25*AM430^3+BMILMS!$E$25*AM430^2+BMILMS!$F$25*AM430+BMILMS!$G$25))))),(IF(AM430&lt;2.5,BMILMS!$D$27*AM430^3+BMILMS!$E$27*AM430^2+BMILMS!$F$27*AM430+BMILMS!$G$27,IF(AM430&lt;9.5,BMILMS!$D$28*AM430^3+BMILMS!$E$28*AM430^2+BMILMS!$F$28*AM430+BMILMS!$G$28,IF(AM430&lt;26.75,BMILMS!$D$29*AM430^3+BMILMS!$E$29*AM430^2+BMILMS!$F$29*AM430+BMILMS!$G$29,IF(AM430&lt;90,BMILMS!$D$30*AM430^3+BMILMS!$E$30*AM430^2+BMILMS!$F$30*AM430+BMILMS!$G$30,IF(AM430&lt;150,BMILMS!$D$31*AM430^3+BMILMS!$E$31*AM430^2+BMILMS!$F$31*AM430+BMILMS!$G$31,BMILMS!$D$32*AM430^3+BMILMS!$E$32*AM430^2+BMILMS!$F$32*AM430+BMILMS!$G$32)))))))</f>
        <v>12.568967990000001</v>
      </c>
      <c r="AL430" s="4">
        <f>IF(D430="M",(IF(AM430&lt;90,BMILMS!$D$14*AM430^3+BMILMS!$E$14*AM430^2+BMILMS!$F$14*AM430+BMILMS!$G$14,BMILMS!$D$15*AM430^3+BMILMS!$E$15*AM430^2+BMILMS!$F$15*AM430+BMILMS!$G$15)),(IF(AM430&lt;90,BMILMS!$D$17*AM430^3+BMILMS!$E$17*AM430^2+BMILMS!$F$17*AM430+BMILMS!$G$17,BMILMS!$D$18*AM430^3+BMILMS!$E$18*AM430^2+BMILMS!$F$18*AM430+BMILMS!$G$18)))</f>
        <v>8.8969350000000003E-2</v>
      </c>
      <c r="AM430" s="4">
        <f t="shared" si="146"/>
        <v>0</v>
      </c>
      <c r="AO430" s="56">
        <f>IF(D430="M",WeightSDS!P$5*$AM430^7+WeightSDS!Q$5*$AM430^6+WeightSDS!R$5*$AM430^5+WeightSDS!S$5*$AM430^4+WeightSDS!T$5*$AM430^3+WeightSDS!U$5*$AM430^2+WeightSDS!V$5*$AM430+WeightSDS!W$5,IF($AM430&lt;186,WeightSDS!P$8*$AM430^7+WeightSDS!Q$8*$AM430^6+WeightSDS!R$8*$AM430^5+WeightSDS!S$8*$AM430^4+WeightSDS!T$8*$AM430^3+WeightSDS!U$8*$AM430^2+WeightSDS!V$8*$AM430+WeightSDS!W$8,WeightSDS!$U$9+WeightSDS!$V$9*($AM430-WeightSDS!$W$9)))</f>
        <v>0.75407122999999998</v>
      </c>
      <c r="AP430" s="4">
        <f>IF(D430="M",IF($AM430&lt;45,WeightSDS!M$23*$AM430^10+WeightSDS!N$23*$AM430^9+WeightSDS!O$23*$AM430^8+WeightSDS!P$23*$AM430^7+WeightSDS!Q$23*$AM430^6+WeightSDS!R$23*$AM430^5+WeightSDS!S$23*$AM430^4+WeightSDS!T$23*$AM430^3+WeightSDS!U$23*$AM430^2+WeightSDS!V$23*$AM430+WeightSDS!W$23,IF($AM430&lt;153,WeightSDS!M$25*$AM430^10+WeightSDS!N$25*$AM430^9+WeightSDS!O$25*$AM430^8+WeightSDS!P$25*$AM430^7+WeightSDS!Q$25*$AM430^6+WeightSDS!R$25*$AM430^5+WeightSDS!S$25*$AM430^4+WeightSDS!T$25*$AM430^3+WeightSDS!U$25*$AM430^2+WeightSDS!V$25*$AM430+WeightSDS!W$25,WeightSDS!M$27+WeightSDS!N$27/(1+EXP(WeightSDS!O$27+WeightSDS!P$27*$AM430)))),IF($AM430&lt;43.8,WeightSDS!M$29*$AM430^10+WeightSDS!N$29*$AM430^9+WeightSDS!O$29*$AM430^8+WeightSDS!P$29*$AM430^7+WeightSDS!Q$29*$AM430^6+WeightSDS!R$29*$AM430^5+WeightSDS!S$29*$AM430^4+WeightSDS!T$29*$AM430^3+WeightSDS!U$29*$AM430^2+WeightSDS!V$29*$AM430+WeightSDS!W$29-0.010431*(1-$AM430/210),IF($AM430&lt;123,WeightSDS!M$30*$AM430^10+WeightSDS!N$30*$AM430^9+WeightSDS!O$30*$AM430^8+WeightSDS!P$30*$AM430^7+WeightSDS!Q$30*$AM430^6+WeightSDS!R$30*$AM430^5+WeightSDS!S$30*$AM430^4+WeightSDS!T$30*$AM430^3+WeightSDS!U$30*$AM430^2+WeightSDS!V$30*$AM430+WeightSDS!W$30-0.010431*(1-1/$AM430),WeightSDS!M$32+WeightSDS!N$32/(1+EXP(WeightSDS!O$32+WeightSDS!P$32*$AM430))-0.010431*(1-$AM430/210))))</f>
        <v>2.9500001032655536</v>
      </c>
      <c r="AQ430" s="4">
        <f>IF(D430="M",IF($AM430&lt;162,WeightSDS!P$12*$AM430^7+WeightSDS!Q$12*$AM430^6+WeightSDS!R$12*$AM430^5+WeightSDS!S$12*$AM430^4+WeightSDS!T$12*$AM430^3+WeightSDS!U$12*$AM430^2+WeightSDS!V$12*$AM430+WeightSDS!W$12,WeightSDS!P$14*$AM430^7+WeightSDS!Q$14*$AM430^6+WeightSDS!R$14*$AM430^5+WeightSDS!S$14*$AM430^4+WeightSDS!T$14*$AM430^3+WeightSDS!U$14*$AM430^2+WeightSDS!V$14*$AM430+WeightSDS!W$14),IF($AM430&lt;156,WeightSDS!O$17*$AM430^8+WeightSDS!P$17*$AM430^7+WeightSDS!Q$17*$AM430^6+WeightSDS!R$17*$AM430^5+WeightSDS!S$17*$AM430^4+WeightSDS!T$17*$AM430^3+WeightSDS!U$17*$AM430^2+WeightSDS!V$17*$AM430+WeightSDS!W$17,IF($AM430&lt;186,WeightSDS!$U$18+(WeightSDS!$V$18-WeightSDS!$U$18)/24*($AM430-186)+WeightSDS!$W$18*(-$AM430+186)^2-0.005,WeightSDS!$U$18+(WeightSDS!$V$18-WeightSDS!$U$18)/24*($AM430-186)-0.005)))</f>
        <v>0.14604529399999999</v>
      </c>
      <c r="AT430" s="4">
        <f t="shared" si="133"/>
        <v>0.56299999999999994</v>
      </c>
      <c r="AU430" s="4">
        <f t="shared" si="134"/>
        <v>69</v>
      </c>
      <c r="AV430" s="4">
        <f t="shared" si="135"/>
        <v>0.51</v>
      </c>
    </row>
    <row r="431" spans="1:48" x14ac:dyDescent="0.15">
      <c r="A431" s="4"/>
      <c r="B431" s="21"/>
      <c r="C431" s="21"/>
      <c r="D431" s="21"/>
      <c r="E431" s="22"/>
      <c r="F431" s="22"/>
      <c r="G431" s="23"/>
      <c r="H431" s="23"/>
      <c r="I431" s="181"/>
      <c r="J431" s="8" t="str">
        <f t="shared" si="127"/>
        <v/>
      </c>
      <c r="K431" s="2" t="str">
        <f t="shared" si="136"/>
        <v/>
      </c>
      <c r="L431" s="2" t="str">
        <f t="shared" si="128"/>
        <v/>
      </c>
      <c r="M431" s="2" t="str">
        <f t="shared" si="137"/>
        <v/>
      </c>
      <c r="N431" s="2" t="str">
        <f t="shared" si="145"/>
        <v/>
      </c>
      <c r="O431" s="2" t="str">
        <f t="shared" si="138"/>
        <v/>
      </c>
      <c r="P431" s="8" t="str">
        <f t="shared" si="139"/>
        <v/>
      </c>
      <c r="Q431" s="8" t="str">
        <f t="shared" si="140"/>
        <v/>
      </c>
      <c r="R431" s="111" t="str">
        <f t="shared" si="141"/>
        <v/>
      </c>
      <c r="S431" s="44" t="str">
        <f t="shared" si="142"/>
        <v/>
      </c>
      <c r="T431" s="37" t="str">
        <f t="shared" si="143"/>
        <v/>
      </c>
      <c r="U431" s="44" t="str">
        <f t="shared" si="144"/>
        <v/>
      </c>
      <c r="V431" s="26"/>
      <c r="W431" s="26"/>
      <c r="X431" s="26"/>
      <c r="Y431" s="26"/>
      <c r="Z431" s="24"/>
      <c r="AA431" s="169">
        <f t="shared" si="129"/>
        <v>0</v>
      </c>
      <c r="AB431" s="4">
        <f t="shared" si="130"/>
        <v>0</v>
      </c>
      <c r="AC431" s="170">
        <f t="shared" si="147"/>
        <v>0</v>
      </c>
      <c r="AD431" s="58"/>
      <c r="AE431" s="58"/>
      <c r="AF431" s="58"/>
      <c r="AG431" s="59">
        <f t="shared" si="131"/>
        <v>9.0359999999999996</v>
      </c>
      <c r="AH431" s="59">
        <f t="shared" si="132"/>
        <v>-184.49199999999999</v>
      </c>
      <c r="AJ431" s="4">
        <f>IF(D431="M",IF(AM431&lt;78,BMILMS!$D$5*AM431^3+BMILMS!$E$5*AM431^2+BMILMS!$F$5*AM431+BMILMS!$G$5,IF(AM431&lt;150,BMILMS!$D$6*AM431^3+BMILMS!$E$6*AM431^2+BMILMS!$F$6*AM431+BMILMS!$G$6,BMILMS!$D$7*AM431^3+BMILMS!$E$7*AM431^2+BMILMS!$F$7*AM431+BMILMS!$G$7)),IF(AM431&lt;69,BMILMS!$D$9*AM431^3+BMILMS!$E$9*AM431^2+BMILMS!$F$9*AM431+BMILMS!$G$9,IF(AM431&lt;150,BMILMS!$D$10*AM431^3+BMILMS!$E$10*AM431^2+BMILMS!$F$10*AM431+BMILMS!$G$10,BMILMS!$D$11*AM431^3+BMILMS!$E$11*AM431^2+BMILMS!$F$11*AM431+BMILMS!$G$11)))</f>
        <v>0.79584630099999998</v>
      </c>
      <c r="AK431" s="4">
        <f>IF(D431="M",(IF(AM431&lt;2.5,BMILMS!$D$21*AM431^3+BMILMS!$E$21*AM431^2+BMILMS!$F$21*AM431+BMILMS!$G$21,IF(AM431&lt;9.5,BMILMS!$D$22*AM431^3+BMILMS!$E$22*AM431^2+BMILMS!$F$22*AM431+BMILMS!$G$22,IF(AM431&lt;26.75,BMILMS!$D$23*AM431^3+BMILMS!$E$23*AM431^2+BMILMS!$F$23*AM431+BMILMS!$G$23,IF(AM431&lt;90,BMILMS!$D$24*AM431^3+BMILMS!$E$24*AM431^2+BMILMS!$F$24*AM431+BMILMS!$G$24,BMILMS!$D$25*AM431^3+BMILMS!$E$25*AM431^2+BMILMS!$F$25*AM431+BMILMS!$G$25))))),(IF(AM431&lt;2.5,BMILMS!$D$27*AM431^3+BMILMS!$E$27*AM431^2+BMILMS!$F$27*AM431+BMILMS!$G$27,IF(AM431&lt;9.5,BMILMS!$D$28*AM431^3+BMILMS!$E$28*AM431^2+BMILMS!$F$28*AM431+BMILMS!$G$28,IF(AM431&lt;26.75,BMILMS!$D$29*AM431^3+BMILMS!$E$29*AM431^2+BMILMS!$F$29*AM431+BMILMS!$G$29,IF(AM431&lt;90,BMILMS!$D$30*AM431^3+BMILMS!$E$30*AM431^2+BMILMS!$F$30*AM431+BMILMS!$G$30,IF(AM431&lt;150,BMILMS!$D$31*AM431^3+BMILMS!$E$31*AM431^2+BMILMS!$F$31*AM431+BMILMS!$G$31,BMILMS!$D$32*AM431^3+BMILMS!$E$32*AM431^2+BMILMS!$F$32*AM431+BMILMS!$G$32)))))))</f>
        <v>12.568967990000001</v>
      </c>
      <c r="AL431" s="4">
        <f>IF(D431="M",(IF(AM431&lt;90,BMILMS!$D$14*AM431^3+BMILMS!$E$14*AM431^2+BMILMS!$F$14*AM431+BMILMS!$G$14,BMILMS!$D$15*AM431^3+BMILMS!$E$15*AM431^2+BMILMS!$F$15*AM431+BMILMS!$G$15)),(IF(AM431&lt;90,BMILMS!$D$17*AM431^3+BMILMS!$E$17*AM431^2+BMILMS!$F$17*AM431+BMILMS!$G$17,BMILMS!$D$18*AM431^3+BMILMS!$E$18*AM431^2+BMILMS!$F$18*AM431+BMILMS!$G$18)))</f>
        <v>8.8969350000000003E-2</v>
      </c>
      <c r="AM431" s="4">
        <f t="shared" si="146"/>
        <v>0</v>
      </c>
      <c r="AO431" s="56">
        <f>IF(D431="M",WeightSDS!P$5*$AM431^7+WeightSDS!Q$5*$AM431^6+WeightSDS!R$5*$AM431^5+WeightSDS!S$5*$AM431^4+WeightSDS!T$5*$AM431^3+WeightSDS!U$5*$AM431^2+WeightSDS!V$5*$AM431+WeightSDS!W$5,IF($AM431&lt;186,WeightSDS!P$8*$AM431^7+WeightSDS!Q$8*$AM431^6+WeightSDS!R$8*$AM431^5+WeightSDS!S$8*$AM431^4+WeightSDS!T$8*$AM431^3+WeightSDS!U$8*$AM431^2+WeightSDS!V$8*$AM431+WeightSDS!W$8,WeightSDS!$U$9+WeightSDS!$V$9*($AM431-WeightSDS!$W$9)))</f>
        <v>0.75407122999999998</v>
      </c>
      <c r="AP431" s="4">
        <f>IF(D431="M",IF($AM431&lt;45,WeightSDS!M$23*$AM431^10+WeightSDS!N$23*$AM431^9+WeightSDS!O$23*$AM431^8+WeightSDS!P$23*$AM431^7+WeightSDS!Q$23*$AM431^6+WeightSDS!R$23*$AM431^5+WeightSDS!S$23*$AM431^4+WeightSDS!T$23*$AM431^3+WeightSDS!U$23*$AM431^2+WeightSDS!V$23*$AM431+WeightSDS!W$23,IF($AM431&lt;153,WeightSDS!M$25*$AM431^10+WeightSDS!N$25*$AM431^9+WeightSDS!O$25*$AM431^8+WeightSDS!P$25*$AM431^7+WeightSDS!Q$25*$AM431^6+WeightSDS!R$25*$AM431^5+WeightSDS!S$25*$AM431^4+WeightSDS!T$25*$AM431^3+WeightSDS!U$25*$AM431^2+WeightSDS!V$25*$AM431+WeightSDS!W$25,WeightSDS!M$27+WeightSDS!N$27/(1+EXP(WeightSDS!O$27+WeightSDS!P$27*$AM431)))),IF($AM431&lt;43.8,WeightSDS!M$29*$AM431^10+WeightSDS!N$29*$AM431^9+WeightSDS!O$29*$AM431^8+WeightSDS!P$29*$AM431^7+WeightSDS!Q$29*$AM431^6+WeightSDS!R$29*$AM431^5+WeightSDS!S$29*$AM431^4+WeightSDS!T$29*$AM431^3+WeightSDS!U$29*$AM431^2+WeightSDS!V$29*$AM431+WeightSDS!W$29-0.010431*(1-$AM431/210),IF($AM431&lt;123,WeightSDS!M$30*$AM431^10+WeightSDS!N$30*$AM431^9+WeightSDS!O$30*$AM431^8+WeightSDS!P$30*$AM431^7+WeightSDS!Q$30*$AM431^6+WeightSDS!R$30*$AM431^5+WeightSDS!S$30*$AM431^4+WeightSDS!T$30*$AM431^3+WeightSDS!U$30*$AM431^2+WeightSDS!V$30*$AM431+WeightSDS!W$30-0.010431*(1-1/$AM431),WeightSDS!M$32+WeightSDS!N$32/(1+EXP(WeightSDS!O$32+WeightSDS!P$32*$AM431))-0.010431*(1-$AM431/210))))</f>
        <v>2.9500001032655536</v>
      </c>
      <c r="AQ431" s="4">
        <f>IF(D431="M",IF($AM431&lt;162,WeightSDS!P$12*$AM431^7+WeightSDS!Q$12*$AM431^6+WeightSDS!R$12*$AM431^5+WeightSDS!S$12*$AM431^4+WeightSDS!T$12*$AM431^3+WeightSDS!U$12*$AM431^2+WeightSDS!V$12*$AM431+WeightSDS!W$12,WeightSDS!P$14*$AM431^7+WeightSDS!Q$14*$AM431^6+WeightSDS!R$14*$AM431^5+WeightSDS!S$14*$AM431^4+WeightSDS!T$14*$AM431^3+WeightSDS!U$14*$AM431^2+WeightSDS!V$14*$AM431+WeightSDS!W$14),IF($AM431&lt;156,WeightSDS!O$17*$AM431^8+WeightSDS!P$17*$AM431^7+WeightSDS!Q$17*$AM431^6+WeightSDS!R$17*$AM431^5+WeightSDS!S$17*$AM431^4+WeightSDS!T$17*$AM431^3+WeightSDS!U$17*$AM431^2+WeightSDS!V$17*$AM431+WeightSDS!W$17,IF($AM431&lt;186,WeightSDS!$U$18+(WeightSDS!$V$18-WeightSDS!$U$18)/24*($AM431-186)+WeightSDS!$W$18*(-$AM431+186)^2-0.005,WeightSDS!$U$18+(WeightSDS!$V$18-WeightSDS!$U$18)/24*($AM431-186)-0.005)))</f>
        <v>0.14604529399999999</v>
      </c>
      <c r="AT431" s="4">
        <f t="shared" si="133"/>
        <v>0.56299999999999994</v>
      </c>
      <c r="AU431" s="4">
        <f t="shared" si="134"/>
        <v>69</v>
      </c>
      <c r="AV431" s="4">
        <f t="shared" si="135"/>
        <v>0.51</v>
      </c>
    </row>
    <row r="432" spans="1:48" x14ac:dyDescent="0.15">
      <c r="A432" s="4"/>
      <c r="B432" s="21"/>
      <c r="C432" s="21"/>
      <c r="D432" s="21"/>
      <c r="E432" s="22"/>
      <c r="F432" s="22"/>
      <c r="G432" s="23"/>
      <c r="H432" s="23"/>
      <c r="I432" s="181"/>
      <c r="J432" s="8" t="str">
        <f t="shared" si="127"/>
        <v/>
      </c>
      <c r="K432" s="2" t="str">
        <f t="shared" si="136"/>
        <v/>
      </c>
      <c r="L432" s="2" t="str">
        <f t="shared" si="128"/>
        <v/>
      </c>
      <c r="M432" s="2" t="str">
        <f t="shared" si="137"/>
        <v/>
      </c>
      <c r="N432" s="2" t="str">
        <f t="shared" si="145"/>
        <v/>
      </c>
      <c r="O432" s="2" t="str">
        <f t="shared" si="138"/>
        <v/>
      </c>
      <c r="P432" s="8" t="str">
        <f t="shared" si="139"/>
        <v/>
      </c>
      <c r="Q432" s="8" t="str">
        <f t="shared" si="140"/>
        <v/>
      </c>
      <c r="R432" s="111" t="str">
        <f t="shared" si="141"/>
        <v/>
      </c>
      <c r="S432" s="44" t="str">
        <f t="shared" si="142"/>
        <v/>
      </c>
      <c r="T432" s="37" t="str">
        <f t="shared" si="143"/>
        <v/>
      </c>
      <c r="U432" s="44" t="str">
        <f t="shared" si="144"/>
        <v/>
      </c>
      <c r="V432" s="26"/>
      <c r="W432" s="26"/>
      <c r="X432" s="26"/>
      <c r="Y432" s="26"/>
      <c r="Z432" s="24"/>
      <c r="AA432" s="169">
        <f t="shared" si="129"/>
        <v>0</v>
      </c>
      <c r="AB432" s="4">
        <f t="shared" si="130"/>
        <v>0</v>
      </c>
      <c r="AC432" s="170">
        <f t="shared" si="147"/>
        <v>0</v>
      </c>
      <c r="AD432" s="58"/>
      <c r="AE432" s="58"/>
      <c r="AF432" s="58"/>
      <c r="AG432" s="59">
        <f t="shared" si="131"/>
        <v>9.0359999999999996</v>
      </c>
      <c r="AH432" s="59">
        <f t="shared" si="132"/>
        <v>-184.49199999999999</v>
      </c>
      <c r="AJ432" s="4">
        <f>IF(D432="M",IF(AM432&lt;78,BMILMS!$D$5*AM432^3+BMILMS!$E$5*AM432^2+BMILMS!$F$5*AM432+BMILMS!$G$5,IF(AM432&lt;150,BMILMS!$D$6*AM432^3+BMILMS!$E$6*AM432^2+BMILMS!$F$6*AM432+BMILMS!$G$6,BMILMS!$D$7*AM432^3+BMILMS!$E$7*AM432^2+BMILMS!$F$7*AM432+BMILMS!$G$7)),IF(AM432&lt;69,BMILMS!$D$9*AM432^3+BMILMS!$E$9*AM432^2+BMILMS!$F$9*AM432+BMILMS!$G$9,IF(AM432&lt;150,BMILMS!$D$10*AM432^3+BMILMS!$E$10*AM432^2+BMILMS!$F$10*AM432+BMILMS!$G$10,BMILMS!$D$11*AM432^3+BMILMS!$E$11*AM432^2+BMILMS!$F$11*AM432+BMILMS!$G$11)))</f>
        <v>0.79584630099999998</v>
      </c>
      <c r="AK432" s="4">
        <f>IF(D432="M",(IF(AM432&lt;2.5,BMILMS!$D$21*AM432^3+BMILMS!$E$21*AM432^2+BMILMS!$F$21*AM432+BMILMS!$G$21,IF(AM432&lt;9.5,BMILMS!$D$22*AM432^3+BMILMS!$E$22*AM432^2+BMILMS!$F$22*AM432+BMILMS!$G$22,IF(AM432&lt;26.75,BMILMS!$D$23*AM432^3+BMILMS!$E$23*AM432^2+BMILMS!$F$23*AM432+BMILMS!$G$23,IF(AM432&lt;90,BMILMS!$D$24*AM432^3+BMILMS!$E$24*AM432^2+BMILMS!$F$24*AM432+BMILMS!$G$24,BMILMS!$D$25*AM432^3+BMILMS!$E$25*AM432^2+BMILMS!$F$25*AM432+BMILMS!$G$25))))),(IF(AM432&lt;2.5,BMILMS!$D$27*AM432^3+BMILMS!$E$27*AM432^2+BMILMS!$F$27*AM432+BMILMS!$G$27,IF(AM432&lt;9.5,BMILMS!$D$28*AM432^3+BMILMS!$E$28*AM432^2+BMILMS!$F$28*AM432+BMILMS!$G$28,IF(AM432&lt;26.75,BMILMS!$D$29*AM432^3+BMILMS!$E$29*AM432^2+BMILMS!$F$29*AM432+BMILMS!$G$29,IF(AM432&lt;90,BMILMS!$D$30*AM432^3+BMILMS!$E$30*AM432^2+BMILMS!$F$30*AM432+BMILMS!$G$30,IF(AM432&lt;150,BMILMS!$D$31*AM432^3+BMILMS!$E$31*AM432^2+BMILMS!$F$31*AM432+BMILMS!$G$31,BMILMS!$D$32*AM432^3+BMILMS!$E$32*AM432^2+BMILMS!$F$32*AM432+BMILMS!$G$32)))))))</f>
        <v>12.568967990000001</v>
      </c>
      <c r="AL432" s="4">
        <f>IF(D432="M",(IF(AM432&lt;90,BMILMS!$D$14*AM432^3+BMILMS!$E$14*AM432^2+BMILMS!$F$14*AM432+BMILMS!$G$14,BMILMS!$D$15*AM432^3+BMILMS!$E$15*AM432^2+BMILMS!$F$15*AM432+BMILMS!$G$15)),(IF(AM432&lt;90,BMILMS!$D$17*AM432^3+BMILMS!$E$17*AM432^2+BMILMS!$F$17*AM432+BMILMS!$G$17,BMILMS!$D$18*AM432^3+BMILMS!$E$18*AM432^2+BMILMS!$F$18*AM432+BMILMS!$G$18)))</f>
        <v>8.8969350000000003E-2</v>
      </c>
      <c r="AM432" s="4">
        <f t="shared" si="146"/>
        <v>0</v>
      </c>
      <c r="AO432" s="56">
        <f>IF(D432="M",WeightSDS!P$5*$AM432^7+WeightSDS!Q$5*$AM432^6+WeightSDS!R$5*$AM432^5+WeightSDS!S$5*$AM432^4+WeightSDS!T$5*$AM432^3+WeightSDS!U$5*$AM432^2+WeightSDS!V$5*$AM432+WeightSDS!W$5,IF($AM432&lt;186,WeightSDS!P$8*$AM432^7+WeightSDS!Q$8*$AM432^6+WeightSDS!R$8*$AM432^5+WeightSDS!S$8*$AM432^4+WeightSDS!T$8*$AM432^3+WeightSDS!U$8*$AM432^2+WeightSDS!V$8*$AM432+WeightSDS!W$8,WeightSDS!$U$9+WeightSDS!$V$9*($AM432-WeightSDS!$W$9)))</f>
        <v>0.75407122999999998</v>
      </c>
      <c r="AP432" s="4">
        <f>IF(D432="M",IF($AM432&lt;45,WeightSDS!M$23*$AM432^10+WeightSDS!N$23*$AM432^9+WeightSDS!O$23*$AM432^8+WeightSDS!P$23*$AM432^7+WeightSDS!Q$23*$AM432^6+WeightSDS!R$23*$AM432^5+WeightSDS!S$23*$AM432^4+WeightSDS!T$23*$AM432^3+WeightSDS!U$23*$AM432^2+WeightSDS!V$23*$AM432+WeightSDS!W$23,IF($AM432&lt;153,WeightSDS!M$25*$AM432^10+WeightSDS!N$25*$AM432^9+WeightSDS!O$25*$AM432^8+WeightSDS!P$25*$AM432^7+WeightSDS!Q$25*$AM432^6+WeightSDS!R$25*$AM432^5+WeightSDS!S$25*$AM432^4+WeightSDS!T$25*$AM432^3+WeightSDS!U$25*$AM432^2+WeightSDS!V$25*$AM432+WeightSDS!W$25,WeightSDS!M$27+WeightSDS!N$27/(1+EXP(WeightSDS!O$27+WeightSDS!P$27*$AM432)))),IF($AM432&lt;43.8,WeightSDS!M$29*$AM432^10+WeightSDS!N$29*$AM432^9+WeightSDS!O$29*$AM432^8+WeightSDS!P$29*$AM432^7+WeightSDS!Q$29*$AM432^6+WeightSDS!R$29*$AM432^5+WeightSDS!S$29*$AM432^4+WeightSDS!T$29*$AM432^3+WeightSDS!U$29*$AM432^2+WeightSDS!V$29*$AM432+WeightSDS!W$29-0.010431*(1-$AM432/210),IF($AM432&lt;123,WeightSDS!M$30*$AM432^10+WeightSDS!N$30*$AM432^9+WeightSDS!O$30*$AM432^8+WeightSDS!P$30*$AM432^7+WeightSDS!Q$30*$AM432^6+WeightSDS!R$30*$AM432^5+WeightSDS!S$30*$AM432^4+WeightSDS!T$30*$AM432^3+WeightSDS!U$30*$AM432^2+WeightSDS!V$30*$AM432+WeightSDS!W$30-0.010431*(1-1/$AM432),WeightSDS!M$32+WeightSDS!N$32/(1+EXP(WeightSDS!O$32+WeightSDS!P$32*$AM432))-0.010431*(1-$AM432/210))))</f>
        <v>2.9500001032655536</v>
      </c>
      <c r="AQ432" s="4">
        <f>IF(D432="M",IF($AM432&lt;162,WeightSDS!P$12*$AM432^7+WeightSDS!Q$12*$AM432^6+WeightSDS!R$12*$AM432^5+WeightSDS!S$12*$AM432^4+WeightSDS!T$12*$AM432^3+WeightSDS!U$12*$AM432^2+WeightSDS!V$12*$AM432+WeightSDS!W$12,WeightSDS!P$14*$AM432^7+WeightSDS!Q$14*$AM432^6+WeightSDS!R$14*$AM432^5+WeightSDS!S$14*$AM432^4+WeightSDS!T$14*$AM432^3+WeightSDS!U$14*$AM432^2+WeightSDS!V$14*$AM432+WeightSDS!W$14),IF($AM432&lt;156,WeightSDS!O$17*$AM432^8+WeightSDS!P$17*$AM432^7+WeightSDS!Q$17*$AM432^6+WeightSDS!R$17*$AM432^5+WeightSDS!S$17*$AM432^4+WeightSDS!T$17*$AM432^3+WeightSDS!U$17*$AM432^2+WeightSDS!V$17*$AM432+WeightSDS!W$17,IF($AM432&lt;186,WeightSDS!$U$18+(WeightSDS!$V$18-WeightSDS!$U$18)/24*($AM432-186)+WeightSDS!$W$18*(-$AM432+186)^2-0.005,WeightSDS!$U$18+(WeightSDS!$V$18-WeightSDS!$U$18)/24*($AM432-186)-0.005)))</f>
        <v>0.14604529399999999</v>
      </c>
      <c r="AT432" s="4">
        <f t="shared" si="133"/>
        <v>0.56299999999999994</v>
      </c>
      <c r="AU432" s="4">
        <f t="shared" si="134"/>
        <v>69</v>
      </c>
      <c r="AV432" s="4">
        <f t="shared" si="135"/>
        <v>0.51</v>
      </c>
    </row>
    <row r="433" spans="1:48" x14ac:dyDescent="0.15">
      <c r="A433" s="4"/>
      <c r="B433" s="21"/>
      <c r="C433" s="21"/>
      <c r="D433" s="21"/>
      <c r="E433" s="22"/>
      <c r="F433" s="22"/>
      <c r="G433" s="23"/>
      <c r="H433" s="23"/>
      <c r="I433" s="181"/>
      <c r="J433" s="8" t="str">
        <f t="shared" si="127"/>
        <v/>
      </c>
      <c r="K433" s="2" t="str">
        <f t="shared" si="136"/>
        <v/>
      </c>
      <c r="L433" s="2" t="str">
        <f t="shared" si="128"/>
        <v/>
      </c>
      <c r="M433" s="2" t="str">
        <f t="shared" si="137"/>
        <v/>
      </c>
      <c r="N433" s="2" t="str">
        <f t="shared" si="145"/>
        <v/>
      </c>
      <c r="O433" s="2" t="str">
        <f t="shared" si="138"/>
        <v/>
      </c>
      <c r="P433" s="8" t="str">
        <f t="shared" si="139"/>
        <v/>
      </c>
      <c r="Q433" s="8" t="str">
        <f t="shared" si="140"/>
        <v/>
      </c>
      <c r="R433" s="111" t="str">
        <f t="shared" si="141"/>
        <v/>
      </c>
      <c r="S433" s="44" t="str">
        <f t="shared" si="142"/>
        <v/>
      </c>
      <c r="T433" s="37" t="str">
        <f t="shared" si="143"/>
        <v/>
      </c>
      <c r="U433" s="44" t="str">
        <f t="shared" si="144"/>
        <v/>
      </c>
      <c r="V433" s="26"/>
      <c r="W433" s="26"/>
      <c r="X433" s="26"/>
      <c r="Y433" s="26"/>
      <c r="Z433" s="24"/>
      <c r="AA433" s="169">
        <f t="shared" si="129"/>
        <v>0</v>
      </c>
      <c r="AB433" s="4">
        <f t="shared" si="130"/>
        <v>0</v>
      </c>
      <c r="AC433" s="170">
        <f t="shared" si="147"/>
        <v>0</v>
      </c>
      <c r="AD433" s="58"/>
      <c r="AE433" s="58"/>
      <c r="AF433" s="58"/>
      <c r="AG433" s="59">
        <f t="shared" si="131"/>
        <v>9.0359999999999996</v>
      </c>
      <c r="AH433" s="59">
        <f t="shared" si="132"/>
        <v>-184.49199999999999</v>
      </c>
      <c r="AJ433" s="4">
        <f>IF(D433="M",IF(AM433&lt;78,BMILMS!$D$5*AM433^3+BMILMS!$E$5*AM433^2+BMILMS!$F$5*AM433+BMILMS!$G$5,IF(AM433&lt;150,BMILMS!$D$6*AM433^3+BMILMS!$E$6*AM433^2+BMILMS!$F$6*AM433+BMILMS!$G$6,BMILMS!$D$7*AM433^3+BMILMS!$E$7*AM433^2+BMILMS!$F$7*AM433+BMILMS!$G$7)),IF(AM433&lt;69,BMILMS!$D$9*AM433^3+BMILMS!$E$9*AM433^2+BMILMS!$F$9*AM433+BMILMS!$G$9,IF(AM433&lt;150,BMILMS!$D$10*AM433^3+BMILMS!$E$10*AM433^2+BMILMS!$F$10*AM433+BMILMS!$G$10,BMILMS!$D$11*AM433^3+BMILMS!$E$11*AM433^2+BMILMS!$F$11*AM433+BMILMS!$G$11)))</f>
        <v>0.79584630099999998</v>
      </c>
      <c r="AK433" s="4">
        <f>IF(D433="M",(IF(AM433&lt;2.5,BMILMS!$D$21*AM433^3+BMILMS!$E$21*AM433^2+BMILMS!$F$21*AM433+BMILMS!$G$21,IF(AM433&lt;9.5,BMILMS!$D$22*AM433^3+BMILMS!$E$22*AM433^2+BMILMS!$F$22*AM433+BMILMS!$G$22,IF(AM433&lt;26.75,BMILMS!$D$23*AM433^3+BMILMS!$E$23*AM433^2+BMILMS!$F$23*AM433+BMILMS!$G$23,IF(AM433&lt;90,BMILMS!$D$24*AM433^3+BMILMS!$E$24*AM433^2+BMILMS!$F$24*AM433+BMILMS!$G$24,BMILMS!$D$25*AM433^3+BMILMS!$E$25*AM433^2+BMILMS!$F$25*AM433+BMILMS!$G$25))))),(IF(AM433&lt;2.5,BMILMS!$D$27*AM433^3+BMILMS!$E$27*AM433^2+BMILMS!$F$27*AM433+BMILMS!$G$27,IF(AM433&lt;9.5,BMILMS!$D$28*AM433^3+BMILMS!$E$28*AM433^2+BMILMS!$F$28*AM433+BMILMS!$G$28,IF(AM433&lt;26.75,BMILMS!$D$29*AM433^3+BMILMS!$E$29*AM433^2+BMILMS!$F$29*AM433+BMILMS!$G$29,IF(AM433&lt;90,BMILMS!$D$30*AM433^3+BMILMS!$E$30*AM433^2+BMILMS!$F$30*AM433+BMILMS!$G$30,IF(AM433&lt;150,BMILMS!$D$31*AM433^3+BMILMS!$E$31*AM433^2+BMILMS!$F$31*AM433+BMILMS!$G$31,BMILMS!$D$32*AM433^3+BMILMS!$E$32*AM433^2+BMILMS!$F$32*AM433+BMILMS!$G$32)))))))</f>
        <v>12.568967990000001</v>
      </c>
      <c r="AL433" s="4">
        <f>IF(D433="M",(IF(AM433&lt;90,BMILMS!$D$14*AM433^3+BMILMS!$E$14*AM433^2+BMILMS!$F$14*AM433+BMILMS!$G$14,BMILMS!$D$15*AM433^3+BMILMS!$E$15*AM433^2+BMILMS!$F$15*AM433+BMILMS!$G$15)),(IF(AM433&lt;90,BMILMS!$D$17*AM433^3+BMILMS!$E$17*AM433^2+BMILMS!$F$17*AM433+BMILMS!$G$17,BMILMS!$D$18*AM433^3+BMILMS!$E$18*AM433^2+BMILMS!$F$18*AM433+BMILMS!$G$18)))</f>
        <v>8.8969350000000003E-2</v>
      </c>
      <c r="AM433" s="4">
        <f t="shared" si="146"/>
        <v>0</v>
      </c>
      <c r="AO433" s="56">
        <f>IF(D433="M",WeightSDS!P$5*$AM433^7+WeightSDS!Q$5*$AM433^6+WeightSDS!R$5*$AM433^5+WeightSDS!S$5*$AM433^4+WeightSDS!T$5*$AM433^3+WeightSDS!U$5*$AM433^2+WeightSDS!V$5*$AM433+WeightSDS!W$5,IF($AM433&lt;186,WeightSDS!P$8*$AM433^7+WeightSDS!Q$8*$AM433^6+WeightSDS!R$8*$AM433^5+WeightSDS!S$8*$AM433^4+WeightSDS!T$8*$AM433^3+WeightSDS!U$8*$AM433^2+WeightSDS!V$8*$AM433+WeightSDS!W$8,WeightSDS!$U$9+WeightSDS!$V$9*($AM433-WeightSDS!$W$9)))</f>
        <v>0.75407122999999998</v>
      </c>
      <c r="AP433" s="4">
        <f>IF(D433="M",IF($AM433&lt;45,WeightSDS!M$23*$AM433^10+WeightSDS!N$23*$AM433^9+WeightSDS!O$23*$AM433^8+WeightSDS!P$23*$AM433^7+WeightSDS!Q$23*$AM433^6+WeightSDS!R$23*$AM433^5+WeightSDS!S$23*$AM433^4+WeightSDS!T$23*$AM433^3+WeightSDS!U$23*$AM433^2+WeightSDS!V$23*$AM433+WeightSDS!W$23,IF($AM433&lt;153,WeightSDS!M$25*$AM433^10+WeightSDS!N$25*$AM433^9+WeightSDS!O$25*$AM433^8+WeightSDS!P$25*$AM433^7+WeightSDS!Q$25*$AM433^6+WeightSDS!R$25*$AM433^5+WeightSDS!S$25*$AM433^4+WeightSDS!T$25*$AM433^3+WeightSDS!U$25*$AM433^2+WeightSDS!V$25*$AM433+WeightSDS!W$25,WeightSDS!M$27+WeightSDS!N$27/(1+EXP(WeightSDS!O$27+WeightSDS!P$27*$AM433)))),IF($AM433&lt;43.8,WeightSDS!M$29*$AM433^10+WeightSDS!N$29*$AM433^9+WeightSDS!O$29*$AM433^8+WeightSDS!P$29*$AM433^7+WeightSDS!Q$29*$AM433^6+WeightSDS!R$29*$AM433^5+WeightSDS!S$29*$AM433^4+WeightSDS!T$29*$AM433^3+WeightSDS!U$29*$AM433^2+WeightSDS!V$29*$AM433+WeightSDS!W$29-0.010431*(1-$AM433/210),IF($AM433&lt;123,WeightSDS!M$30*$AM433^10+WeightSDS!N$30*$AM433^9+WeightSDS!O$30*$AM433^8+WeightSDS!P$30*$AM433^7+WeightSDS!Q$30*$AM433^6+WeightSDS!R$30*$AM433^5+WeightSDS!S$30*$AM433^4+WeightSDS!T$30*$AM433^3+WeightSDS!U$30*$AM433^2+WeightSDS!V$30*$AM433+WeightSDS!W$30-0.010431*(1-1/$AM433),WeightSDS!M$32+WeightSDS!N$32/(1+EXP(WeightSDS!O$32+WeightSDS!P$32*$AM433))-0.010431*(1-$AM433/210))))</f>
        <v>2.9500001032655536</v>
      </c>
      <c r="AQ433" s="4">
        <f>IF(D433="M",IF($AM433&lt;162,WeightSDS!P$12*$AM433^7+WeightSDS!Q$12*$AM433^6+WeightSDS!R$12*$AM433^5+WeightSDS!S$12*$AM433^4+WeightSDS!T$12*$AM433^3+WeightSDS!U$12*$AM433^2+WeightSDS!V$12*$AM433+WeightSDS!W$12,WeightSDS!P$14*$AM433^7+WeightSDS!Q$14*$AM433^6+WeightSDS!R$14*$AM433^5+WeightSDS!S$14*$AM433^4+WeightSDS!T$14*$AM433^3+WeightSDS!U$14*$AM433^2+WeightSDS!V$14*$AM433+WeightSDS!W$14),IF($AM433&lt;156,WeightSDS!O$17*$AM433^8+WeightSDS!P$17*$AM433^7+WeightSDS!Q$17*$AM433^6+WeightSDS!R$17*$AM433^5+WeightSDS!S$17*$AM433^4+WeightSDS!T$17*$AM433^3+WeightSDS!U$17*$AM433^2+WeightSDS!V$17*$AM433+WeightSDS!W$17,IF($AM433&lt;186,WeightSDS!$U$18+(WeightSDS!$V$18-WeightSDS!$U$18)/24*($AM433-186)+WeightSDS!$W$18*(-$AM433+186)^2-0.005,WeightSDS!$U$18+(WeightSDS!$V$18-WeightSDS!$U$18)/24*($AM433-186)-0.005)))</f>
        <v>0.14604529399999999</v>
      </c>
      <c r="AT433" s="4">
        <f t="shared" si="133"/>
        <v>0.56299999999999994</v>
      </c>
      <c r="AU433" s="4">
        <f t="shared" si="134"/>
        <v>69</v>
      </c>
      <c r="AV433" s="4">
        <f t="shared" si="135"/>
        <v>0.51</v>
      </c>
    </row>
    <row r="434" spans="1:48" x14ac:dyDescent="0.15">
      <c r="A434" s="4"/>
      <c r="B434" s="21"/>
      <c r="C434" s="21"/>
      <c r="D434" s="21"/>
      <c r="E434" s="22"/>
      <c r="F434" s="22"/>
      <c r="G434" s="23"/>
      <c r="H434" s="23"/>
      <c r="I434" s="181"/>
      <c r="J434" s="8" t="str">
        <f t="shared" si="127"/>
        <v/>
      </c>
      <c r="K434" s="2" t="str">
        <f t="shared" si="136"/>
        <v/>
      </c>
      <c r="L434" s="2" t="str">
        <f t="shared" si="128"/>
        <v/>
      </c>
      <c r="M434" s="2" t="str">
        <f t="shared" si="137"/>
        <v/>
      </c>
      <c r="N434" s="2" t="str">
        <f t="shared" si="145"/>
        <v/>
      </c>
      <c r="O434" s="2" t="str">
        <f t="shared" si="138"/>
        <v/>
      </c>
      <c r="P434" s="8" t="str">
        <f t="shared" si="139"/>
        <v/>
      </c>
      <c r="Q434" s="8" t="str">
        <f t="shared" si="140"/>
        <v/>
      </c>
      <c r="R434" s="111" t="str">
        <f t="shared" si="141"/>
        <v/>
      </c>
      <c r="S434" s="44" t="str">
        <f t="shared" si="142"/>
        <v/>
      </c>
      <c r="T434" s="37" t="str">
        <f t="shared" si="143"/>
        <v/>
      </c>
      <c r="U434" s="44" t="str">
        <f t="shared" si="144"/>
        <v/>
      </c>
      <c r="V434" s="26"/>
      <c r="W434" s="26"/>
      <c r="X434" s="26"/>
      <c r="Y434" s="26"/>
      <c r="Z434" s="24"/>
      <c r="AA434" s="169">
        <f t="shared" si="129"/>
        <v>0</v>
      </c>
      <c r="AB434" s="4">
        <f t="shared" si="130"/>
        <v>0</v>
      </c>
      <c r="AC434" s="170">
        <f t="shared" si="147"/>
        <v>0</v>
      </c>
      <c r="AD434" s="58"/>
      <c r="AE434" s="58"/>
      <c r="AF434" s="58"/>
      <c r="AG434" s="59">
        <f t="shared" si="131"/>
        <v>9.0359999999999996</v>
      </c>
      <c r="AH434" s="59">
        <f t="shared" si="132"/>
        <v>-184.49199999999999</v>
      </c>
      <c r="AJ434" s="4">
        <f>IF(D434="M",IF(AM434&lt;78,BMILMS!$D$5*AM434^3+BMILMS!$E$5*AM434^2+BMILMS!$F$5*AM434+BMILMS!$G$5,IF(AM434&lt;150,BMILMS!$D$6*AM434^3+BMILMS!$E$6*AM434^2+BMILMS!$F$6*AM434+BMILMS!$G$6,BMILMS!$D$7*AM434^3+BMILMS!$E$7*AM434^2+BMILMS!$F$7*AM434+BMILMS!$G$7)),IF(AM434&lt;69,BMILMS!$D$9*AM434^3+BMILMS!$E$9*AM434^2+BMILMS!$F$9*AM434+BMILMS!$G$9,IF(AM434&lt;150,BMILMS!$D$10*AM434^3+BMILMS!$E$10*AM434^2+BMILMS!$F$10*AM434+BMILMS!$G$10,BMILMS!$D$11*AM434^3+BMILMS!$E$11*AM434^2+BMILMS!$F$11*AM434+BMILMS!$G$11)))</f>
        <v>0.79584630099999998</v>
      </c>
      <c r="AK434" s="4">
        <f>IF(D434="M",(IF(AM434&lt;2.5,BMILMS!$D$21*AM434^3+BMILMS!$E$21*AM434^2+BMILMS!$F$21*AM434+BMILMS!$G$21,IF(AM434&lt;9.5,BMILMS!$D$22*AM434^3+BMILMS!$E$22*AM434^2+BMILMS!$F$22*AM434+BMILMS!$G$22,IF(AM434&lt;26.75,BMILMS!$D$23*AM434^3+BMILMS!$E$23*AM434^2+BMILMS!$F$23*AM434+BMILMS!$G$23,IF(AM434&lt;90,BMILMS!$D$24*AM434^3+BMILMS!$E$24*AM434^2+BMILMS!$F$24*AM434+BMILMS!$G$24,BMILMS!$D$25*AM434^3+BMILMS!$E$25*AM434^2+BMILMS!$F$25*AM434+BMILMS!$G$25))))),(IF(AM434&lt;2.5,BMILMS!$D$27*AM434^3+BMILMS!$E$27*AM434^2+BMILMS!$F$27*AM434+BMILMS!$G$27,IF(AM434&lt;9.5,BMILMS!$D$28*AM434^3+BMILMS!$E$28*AM434^2+BMILMS!$F$28*AM434+BMILMS!$G$28,IF(AM434&lt;26.75,BMILMS!$D$29*AM434^3+BMILMS!$E$29*AM434^2+BMILMS!$F$29*AM434+BMILMS!$G$29,IF(AM434&lt;90,BMILMS!$D$30*AM434^3+BMILMS!$E$30*AM434^2+BMILMS!$F$30*AM434+BMILMS!$G$30,IF(AM434&lt;150,BMILMS!$D$31*AM434^3+BMILMS!$E$31*AM434^2+BMILMS!$F$31*AM434+BMILMS!$G$31,BMILMS!$D$32*AM434^3+BMILMS!$E$32*AM434^2+BMILMS!$F$32*AM434+BMILMS!$G$32)))))))</f>
        <v>12.568967990000001</v>
      </c>
      <c r="AL434" s="4">
        <f>IF(D434="M",(IF(AM434&lt;90,BMILMS!$D$14*AM434^3+BMILMS!$E$14*AM434^2+BMILMS!$F$14*AM434+BMILMS!$G$14,BMILMS!$D$15*AM434^3+BMILMS!$E$15*AM434^2+BMILMS!$F$15*AM434+BMILMS!$G$15)),(IF(AM434&lt;90,BMILMS!$D$17*AM434^3+BMILMS!$E$17*AM434^2+BMILMS!$F$17*AM434+BMILMS!$G$17,BMILMS!$D$18*AM434^3+BMILMS!$E$18*AM434^2+BMILMS!$F$18*AM434+BMILMS!$G$18)))</f>
        <v>8.8969350000000003E-2</v>
      </c>
      <c r="AM434" s="4">
        <f t="shared" si="146"/>
        <v>0</v>
      </c>
      <c r="AO434" s="56">
        <f>IF(D434="M",WeightSDS!P$5*$AM434^7+WeightSDS!Q$5*$AM434^6+WeightSDS!R$5*$AM434^5+WeightSDS!S$5*$AM434^4+WeightSDS!T$5*$AM434^3+WeightSDS!U$5*$AM434^2+WeightSDS!V$5*$AM434+WeightSDS!W$5,IF($AM434&lt;186,WeightSDS!P$8*$AM434^7+WeightSDS!Q$8*$AM434^6+WeightSDS!R$8*$AM434^5+WeightSDS!S$8*$AM434^4+WeightSDS!T$8*$AM434^3+WeightSDS!U$8*$AM434^2+WeightSDS!V$8*$AM434+WeightSDS!W$8,WeightSDS!$U$9+WeightSDS!$V$9*($AM434-WeightSDS!$W$9)))</f>
        <v>0.75407122999999998</v>
      </c>
      <c r="AP434" s="4">
        <f>IF(D434="M",IF($AM434&lt;45,WeightSDS!M$23*$AM434^10+WeightSDS!N$23*$AM434^9+WeightSDS!O$23*$AM434^8+WeightSDS!P$23*$AM434^7+WeightSDS!Q$23*$AM434^6+WeightSDS!R$23*$AM434^5+WeightSDS!S$23*$AM434^4+WeightSDS!T$23*$AM434^3+WeightSDS!U$23*$AM434^2+WeightSDS!V$23*$AM434+WeightSDS!W$23,IF($AM434&lt;153,WeightSDS!M$25*$AM434^10+WeightSDS!N$25*$AM434^9+WeightSDS!O$25*$AM434^8+WeightSDS!P$25*$AM434^7+WeightSDS!Q$25*$AM434^6+WeightSDS!R$25*$AM434^5+WeightSDS!S$25*$AM434^4+WeightSDS!T$25*$AM434^3+WeightSDS!U$25*$AM434^2+WeightSDS!V$25*$AM434+WeightSDS!W$25,WeightSDS!M$27+WeightSDS!N$27/(1+EXP(WeightSDS!O$27+WeightSDS!P$27*$AM434)))),IF($AM434&lt;43.8,WeightSDS!M$29*$AM434^10+WeightSDS!N$29*$AM434^9+WeightSDS!O$29*$AM434^8+WeightSDS!P$29*$AM434^7+WeightSDS!Q$29*$AM434^6+WeightSDS!R$29*$AM434^5+WeightSDS!S$29*$AM434^4+WeightSDS!T$29*$AM434^3+WeightSDS!U$29*$AM434^2+WeightSDS!V$29*$AM434+WeightSDS!W$29-0.010431*(1-$AM434/210),IF($AM434&lt;123,WeightSDS!M$30*$AM434^10+WeightSDS!N$30*$AM434^9+WeightSDS!O$30*$AM434^8+WeightSDS!P$30*$AM434^7+WeightSDS!Q$30*$AM434^6+WeightSDS!R$30*$AM434^5+WeightSDS!S$30*$AM434^4+WeightSDS!T$30*$AM434^3+WeightSDS!U$30*$AM434^2+WeightSDS!V$30*$AM434+WeightSDS!W$30-0.010431*(1-1/$AM434),WeightSDS!M$32+WeightSDS!N$32/(1+EXP(WeightSDS!O$32+WeightSDS!P$32*$AM434))-0.010431*(1-$AM434/210))))</f>
        <v>2.9500001032655536</v>
      </c>
      <c r="AQ434" s="4">
        <f>IF(D434="M",IF($AM434&lt;162,WeightSDS!P$12*$AM434^7+WeightSDS!Q$12*$AM434^6+WeightSDS!R$12*$AM434^5+WeightSDS!S$12*$AM434^4+WeightSDS!T$12*$AM434^3+WeightSDS!U$12*$AM434^2+WeightSDS!V$12*$AM434+WeightSDS!W$12,WeightSDS!P$14*$AM434^7+WeightSDS!Q$14*$AM434^6+WeightSDS!R$14*$AM434^5+WeightSDS!S$14*$AM434^4+WeightSDS!T$14*$AM434^3+WeightSDS!U$14*$AM434^2+WeightSDS!V$14*$AM434+WeightSDS!W$14),IF($AM434&lt;156,WeightSDS!O$17*$AM434^8+WeightSDS!P$17*$AM434^7+WeightSDS!Q$17*$AM434^6+WeightSDS!R$17*$AM434^5+WeightSDS!S$17*$AM434^4+WeightSDS!T$17*$AM434^3+WeightSDS!U$17*$AM434^2+WeightSDS!V$17*$AM434+WeightSDS!W$17,IF($AM434&lt;186,WeightSDS!$U$18+(WeightSDS!$V$18-WeightSDS!$U$18)/24*($AM434-186)+WeightSDS!$W$18*(-$AM434+186)^2-0.005,WeightSDS!$U$18+(WeightSDS!$V$18-WeightSDS!$U$18)/24*($AM434-186)-0.005)))</f>
        <v>0.14604529399999999</v>
      </c>
      <c r="AT434" s="4">
        <f t="shared" si="133"/>
        <v>0.56299999999999994</v>
      </c>
      <c r="AU434" s="4">
        <f t="shared" si="134"/>
        <v>69</v>
      </c>
      <c r="AV434" s="4">
        <f t="shared" si="135"/>
        <v>0.51</v>
      </c>
    </row>
    <row r="435" spans="1:48" x14ac:dyDescent="0.15">
      <c r="A435" s="4"/>
      <c r="B435" s="21"/>
      <c r="C435" s="21"/>
      <c r="D435" s="21"/>
      <c r="E435" s="22"/>
      <c r="F435" s="22"/>
      <c r="G435" s="23"/>
      <c r="H435" s="23"/>
      <c r="I435" s="181"/>
      <c r="J435" s="8" t="str">
        <f t="shared" si="127"/>
        <v/>
      </c>
      <c r="K435" s="2" t="str">
        <f t="shared" si="136"/>
        <v/>
      </c>
      <c r="L435" s="2" t="str">
        <f t="shared" si="128"/>
        <v/>
      </c>
      <c r="M435" s="2" t="str">
        <f t="shared" si="137"/>
        <v/>
      </c>
      <c r="N435" s="2" t="str">
        <f t="shared" si="145"/>
        <v/>
      </c>
      <c r="O435" s="2" t="str">
        <f t="shared" si="138"/>
        <v/>
      </c>
      <c r="P435" s="8" t="str">
        <f t="shared" si="139"/>
        <v/>
      </c>
      <c r="Q435" s="8" t="str">
        <f t="shared" si="140"/>
        <v/>
      </c>
      <c r="R435" s="111" t="str">
        <f t="shared" si="141"/>
        <v/>
      </c>
      <c r="S435" s="44" t="str">
        <f t="shared" si="142"/>
        <v/>
      </c>
      <c r="T435" s="37" t="str">
        <f t="shared" si="143"/>
        <v/>
      </c>
      <c r="U435" s="44" t="str">
        <f t="shared" si="144"/>
        <v/>
      </c>
      <c r="V435" s="26"/>
      <c r="W435" s="26"/>
      <c r="X435" s="26"/>
      <c r="Y435" s="26"/>
      <c r="Z435" s="24"/>
      <c r="AA435" s="169">
        <f t="shared" si="129"/>
        <v>0</v>
      </c>
      <c r="AB435" s="4">
        <f t="shared" si="130"/>
        <v>0</v>
      </c>
      <c r="AC435" s="170">
        <f t="shared" si="147"/>
        <v>0</v>
      </c>
      <c r="AD435" s="58"/>
      <c r="AE435" s="58"/>
      <c r="AF435" s="58"/>
      <c r="AG435" s="59">
        <f t="shared" si="131"/>
        <v>9.0359999999999996</v>
      </c>
      <c r="AH435" s="59">
        <f t="shared" si="132"/>
        <v>-184.49199999999999</v>
      </c>
      <c r="AJ435" s="4">
        <f>IF(D435="M",IF(AM435&lt;78,BMILMS!$D$5*AM435^3+BMILMS!$E$5*AM435^2+BMILMS!$F$5*AM435+BMILMS!$G$5,IF(AM435&lt;150,BMILMS!$D$6*AM435^3+BMILMS!$E$6*AM435^2+BMILMS!$F$6*AM435+BMILMS!$G$6,BMILMS!$D$7*AM435^3+BMILMS!$E$7*AM435^2+BMILMS!$F$7*AM435+BMILMS!$G$7)),IF(AM435&lt;69,BMILMS!$D$9*AM435^3+BMILMS!$E$9*AM435^2+BMILMS!$F$9*AM435+BMILMS!$G$9,IF(AM435&lt;150,BMILMS!$D$10*AM435^3+BMILMS!$E$10*AM435^2+BMILMS!$F$10*AM435+BMILMS!$G$10,BMILMS!$D$11*AM435^3+BMILMS!$E$11*AM435^2+BMILMS!$F$11*AM435+BMILMS!$G$11)))</f>
        <v>0.79584630099999998</v>
      </c>
      <c r="AK435" s="4">
        <f>IF(D435="M",(IF(AM435&lt;2.5,BMILMS!$D$21*AM435^3+BMILMS!$E$21*AM435^2+BMILMS!$F$21*AM435+BMILMS!$G$21,IF(AM435&lt;9.5,BMILMS!$D$22*AM435^3+BMILMS!$E$22*AM435^2+BMILMS!$F$22*AM435+BMILMS!$G$22,IF(AM435&lt;26.75,BMILMS!$D$23*AM435^3+BMILMS!$E$23*AM435^2+BMILMS!$F$23*AM435+BMILMS!$G$23,IF(AM435&lt;90,BMILMS!$D$24*AM435^3+BMILMS!$E$24*AM435^2+BMILMS!$F$24*AM435+BMILMS!$G$24,BMILMS!$D$25*AM435^3+BMILMS!$E$25*AM435^2+BMILMS!$F$25*AM435+BMILMS!$G$25))))),(IF(AM435&lt;2.5,BMILMS!$D$27*AM435^3+BMILMS!$E$27*AM435^2+BMILMS!$F$27*AM435+BMILMS!$G$27,IF(AM435&lt;9.5,BMILMS!$D$28*AM435^3+BMILMS!$E$28*AM435^2+BMILMS!$F$28*AM435+BMILMS!$G$28,IF(AM435&lt;26.75,BMILMS!$D$29*AM435^3+BMILMS!$E$29*AM435^2+BMILMS!$F$29*AM435+BMILMS!$G$29,IF(AM435&lt;90,BMILMS!$D$30*AM435^3+BMILMS!$E$30*AM435^2+BMILMS!$F$30*AM435+BMILMS!$G$30,IF(AM435&lt;150,BMILMS!$D$31*AM435^3+BMILMS!$E$31*AM435^2+BMILMS!$F$31*AM435+BMILMS!$G$31,BMILMS!$D$32*AM435^3+BMILMS!$E$32*AM435^2+BMILMS!$F$32*AM435+BMILMS!$G$32)))))))</f>
        <v>12.568967990000001</v>
      </c>
      <c r="AL435" s="4">
        <f>IF(D435="M",(IF(AM435&lt;90,BMILMS!$D$14*AM435^3+BMILMS!$E$14*AM435^2+BMILMS!$F$14*AM435+BMILMS!$G$14,BMILMS!$D$15*AM435^3+BMILMS!$E$15*AM435^2+BMILMS!$F$15*AM435+BMILMS!$G$15)),(IF(AM435&lt;90,BMILMS!$D$17*AM435^3+BMILMS!$E$17*AM435^2+BMILMS!$F$17*AM435+BMILMS!$G$17,BMILMS!$D$18*AM435^3+BMILMS!$E$18*AM435^2+BMILMS!$F$18*AM435+BMILMS!$G$18)))</f>
        <v>8.8969350000000003E-2</v>
      </c>
      <c r="AM435" s="4">
        <f t="shared" si="146"/>
        <v>0</v>
      </c>
      <c r="AO435" s="56">
        <f>IF(D435="M",WeightSDS!P$5*$AM435^7+WeightSDS!Q$5*$AM435^6+WeightSDS!R$5*$AM435^5+WeightSDS!S$5*$AM435^4+WeightSDS!T$5*$AM435^3+WeightSDS!U$5*$AM435^2+WeightSDS!V$5*$AM435+WeightSDS!W$5,IF($AM435&lt;186,WeightSDS!P$8*$AM435^7+WeightSDS!Q$8*$AM435^6+WeightSDS!R$8*$AM435^5+WeightSDS!S$8*$AM435^4+WeightSDS!T$8*$AM435^3+WeightSDS!U$8*$AM435^2+WeightSDS!V$8*$AM435+WeightSDS!W$8,WeightSDS!$U$9+WeightSDS!$V$9*($AM435-WeightSDS!$W$9)))</f>
        <v>0.75407122999999998</v>
      </c>
      <c r="AP435" s="4">
        <f>IF(D435="M",IF($AM435&lt;45,WeightSDS!M$23*$AM435^10+WeightSDS!N$23*$AM435^9+WeightSDS!O$23*$AM435^8+WeightSDS!P$23*$AM435^7+WeightSDS!Q$23*$AM435^6+WeightSDS!R$23*$AM435^5+WeightSDS!S$23*$AM435^4+WeightSDS!T$23*$AM435^3+WeightSDS!U$23*$AM435^2+WeightSDS!V$23*$AM435+WeightSDS!W$23,IF($AM435&lt;153,WeightSDS!M$25*$AM435^10+WeightSDS!N$25*$AM435^9+WeightSDS!O$25*$AM435^8+WeightSDS!P$25*$AM435^7+WeightSDS!Q$25*$AM435^6+WeightSDS!R$25*$AM435^5+WeightSDS!S$25*$AM435^4+WeightSDS!T$25*$AM435^3+WeightSDS!U$25*$AM435^2+WeightSDS!V$25*$AM435+WeightSDS!W$25,WeightSDS!M$27+WeightSDS!N$27/(1+EXP(WeightSDS!O$27+WeightSDS!P$27*$AM435)))),IF($AM435&lt;43.8,WeightSDS!M$29*$AM435^10+WeightSDS!N$29*$AM435^9+WeightSDS!O$29*$AM435^8+WeightSDS!P$29*$AM435^7+WeightSDS!Q$29*$AM435^6+WeightSDS!R$29*$AM435^5+WeightSDS!S$29*$AM435^4+WeightSDS!T$29*$AM435^3+WeightSDS!U$29*$AM435^2+WeightSDS!V$29*$AM435+WeightSDS!W$29-0.010431*(1-$AM435/210),IF($AM435&lt;123,WeightSDS!M$30*$AM435^10+WeightSDS!N$30*$AM435^9+WeightSDS!O$30*$AM435^8+WeightSDS!P$30*$AM435^7+WeightSDS!Q$30*$AM435^6+WeightSDS!R$30*$AM435^5+WeightSDS!S$30*$AM435^4+WeightSDS!T$30*$AM435^3+WeightSDS!U$30*$AM435^2+WeightSDS!V$30*$AM435+WeightSDS!W$30-0.010431*(1-1/$AM435),WeightSDS!M$32+WeightSDS!N$32/(1+EXP(WeightSDS!O$32+WeightSDS!P$32*$AM435))-0.010431*(1-$AM435/210))))</f>
        <v>2.9500001032655536</v>
      </c>
      <c r="AQ435" s="4">
        <f>IF(D435="M",IF($AM435&lt;162,WeightSDS!P$12*$AM435^7+WeightSDS!Q$12*$AM435^6+WeightSDS!R$12*$AM435^5+WeightSDS!S$12*$AM435^4+WeightSDS!T$12*$AM435^3+WeightSDS!U$12*$AM435^2+WeightSDS!V$12*$AM435+WeightSDS!W$12,WeightSDS!P$14*$AM435^7+WeightSDS!Q$14*$AM435^6+WeightSDS!R$14*$AM435^5+WeightSDS!S$14*$AM435^4+WeightSDS!T$14*$AM435^3+WeightSDS!U$14*$AM435^2+WeightSDS!V$14*$AM435+WeightSDS!W$14),IF($AM435&lt;156,WeightSDS!O$17*$AM435^8+WeightSDS!P$17*$AM435^7+WeightSDS!Q$17*$AM435^6+WeightSDS!R$17*$AM435^5+WeightSDS!S$17*$AM435^4+WeightSDS!T$17*$AM435^3+WeightSDS!U$17*$AM435^2+WeightSDS!V$17*$AM435+WeightSDS!W$17,IF($AM435&lt;186,WeightSDS!$U$18+(WeightSDS!$V$18-WeightSDS!$U$18)/24*($AM435-186)+WeightSDS!$W$18*(-$AM435+186)^2-0.005,WeightSDS!$U$18+(WeightSDS!$V$18-WeightSDS!$U$18)/24*($AM435-186)-0.005)))</f>
        <v>0.14604529399999999</v>
      </c>
      <c r="AT435" s="4">
        <f t="shared" si="133"/>
        <v>0.56299999999999994</v>
      </c>
      <c r="AU435" s="4">
        <f t="shared" si="134"/>
        <v>69</v>
      </c>
      <c r="AV435" s="4">
        <f t="shared" si="135"/>
        <v>0.51</v>
      </c>
    </row>
    <row r="436" spans="1:48" x14ac:dyDescent="0.15">
      <c r="A436" s="4"/>
      <c r="B436" s="21"/>
      <c r="C436" s="21"/>
      <c r="D436" s="21"/>
      <c r="E436" s="22"/>
      <c r="F436" s="22"/>
      <c r="G436" s="23"/>
      <c r="H436" s="23"/>
      <c r="I436" s="181"/>
      <c r="J436" s="8" t="str">
        <f t="shared" si="127"/>
        <v/>
      </c>
      <c r="K436" s="2" t="str">
        <f t="shared" si="136"/>
        <v/>
      </c>
      <c r="L436" s="2" t="str">
        <f t="shared" si="128"/>
        <v/>
      </c>
      <c r="M436" s="2" t="str">
        <f t="shared" si="137"/>
        <v/>
      </c>
      <c r="N436" s="2" t="str">
        <f t="shared" si="145"/>
        <v/>
      </c>
      <c r="O436" s="2" t="str">
        <f t="shared" si="138"/>
        <v/>
      </c>
      <c r="P436" s="8" t="str">
        <f t="shared" si="139"/>
        <v/>
      </c>
      <c r="Q436" s="8" t="str">
        <f t="shared" si="140"/>
        <v/>
      </c>
      <c r="R436" s="111" t="str">
        <f t="shared" si="141"/>
        <v/>
      </c>
      <c r="S436" s="44" t="str">
        <f t="shared" si="142"/>
        <v/>
      </c>
      <c r="T436" s="37" t="str">
        <f t="shared" si="143"/>
        <v/>
      </c>
      <c r="U436" s="44" t="str">
        <f t="shared" si="144"/>
        <v/>
      </c>
      <c r="V436" s="26"/>
      <c r="W436" s="26"/>
      <c r="X436" s="26"/>
      <c r="Y436" s="26"/>
      <c r="Z436" s="24"/>
      <c r="AA436" s="169">
        <f t="shared" si="129"/>
        <v>0</v>
      </c>
      <c r="AB436" s="4">
        <f t="shared" si="130"/>
        <v>0</v>
      </c>
      <c r="AC436" s="170">
        <f t="shared" si="147"/>
        <v>0</v>
      </c>
      <c r="AD436" s="58"/>
      <c r="AE436" s="58"/>
      <c r="AF436" s="58"/>
      <c r="AG436" s="59">
        <f t="shared" si="131"/>
        <v>9.0359999999999996</v>
      </c>
      <c r="AH436" s="59">
        <f t="shared" si="132"/>
        <v>-184.49199999999999</v>
      </c>
      <c r="AJ436" s="4">
        <f>IF(D436="M",IF(AM436&lt;78,BMILMS!$D$5*AM436^3+BMILMS!$E$5*AM436^2+BMILMS!$F$5*AM436+BMILMS!$G$5,IF(AM436&lt;150,BMILMS!$D$6*AM436^3+BMILMS!$E$6*AM436^2+BMILMS!$F$6*AM436+BMILMS!$G$6,BMILMS!$D$7*AM436^3+BMILMS!$E$7*AM436^2+BMILMS!$F$7*AM436+BMILMS!$G$7)),IF(AM436&lt;69,BMILMS!$D$9*AM436^3+BMILMS!$E$9*AM436^2+BMILMS!$F$9*AM436+BMILMS!$G$9,IF(AM436&lt;150,BMILMS!$D$10*AM436^3+BMILMS!$E$10*AM436^2+BMILMS!$F$10*AM436+BMILMS!$G$10,BMILMS!$D$11*AM436^3+BMILMS!$E$11*AM436^2+BMILMS!$F$11*AM436+BMILMS!$G$11)))</f>
        <v>0.79584630099999998</v>
      </c>
      <c r="AK436" s="4">
        <f>IF(D436="M",(IF(AM436&lt;2.5,BMILMS!$D$21*AM436^3+BMILMS!$E$21*AM436^2+BMILMS!$F$21*AM436+BMILMS!$G$21,IF(AM436&lt;9.5,BMILMS!$D$22*AM436^3+BMILMS!$E$22*AM436^2+BMILMS!$F$22*AM436+BMILMS!$G$22,IF(AM436&lt;26.75,BMILMS!$D$23*AM436^3+BMILMS!$E$23*AM436^2+BMILMS!$F$23*AM436+BMILMS!$G$23,IF(AM436&lt;90,BMILMS!$D$24*AM436^3+BMILMS!$E$24*AM436^2+BMILMS!$F$24*AM436+BMILMS!$G$24,BMILMS!$D$25*AM436^3+BMILMS!$E$25*AM436^2+BMILMS!$F$25*AM436+BMILMS!$G$25))))),(IF(AM436&lt;2.5,BMILMS!$D$27*AM436^3+BMILMS!$E$27*AM436^2+BMILMS!$F$27*AM436+BMILMS!$G$27,IF(AM436&lt;9.5,BMILMS!$D$28*AM436^3+BMILMS!$E$28*AM436^2+BMILMS!$F$28*AM436+BMILMS!$G$28,IF(AM436&lt;26.75,BMILMS!$D$29*AM436^3+BMILMS!$E$29*AM436^2+BMILMS!$F$29*AM436+BMILMS!$G$29,IF(AM436&lt;90,BMILMS!$D$30*AM436^3+BMILMS!$E$30*AM436^2+BMILMS!$F$30*AM436+BMILMS!$G$30,IF(AM436&lt;150,BMILMS!$D$31*AM436^3+BMILMS!$E$31*AM436^2+BMILMS!$F$31*AM436+BMILMS!$G$31,BMILMS!$D$32*AM436^3+BMILMS!$E$32*AM436^2+BMILMS!$F$32*AM436+BMILMS!$G$32)))))))</f>
        <v>12.568967990000001</v>
      </c>
      <c r="AL436" s="4">
        <f>IF(D436="M",(IF(AM436&lt;90,BMILMS!$D$14*AM436^3+BMILMS!$E$14*AM436^2+BMILMS!$F$14*AM436+BMILMS!$G$14,BMILMS!$D$15*AM436^3+BMILMS!$E$15*AM436^2+BMILMS!$F$15*AM436+BMILMS!$G$15)),(IF(AM436&lt;90,BMILMS!$D$17*AM436^3+BMILMS!$E$17*AM436^2+BMILMS!$F$17*AM436+BMILMS!$G$17,BMILMS!$D$18*AM436^3+BMILMS!$E$18*AM436^2+BMILMS!$F$18*AM436+BMILMS!$G$18)))</f>
        <v>8.8969350000000003E-2</v>
      </c>
      <c r="AM436" s="4">
        <f t="shared" si="146"/>
        <v>0</v>
      </c>
      <c r="AO436" s="56">
        <f>IF(D436="M",WeightSDS!P$5*$AM436^7+WeightSDS!Q$5*$AM436^6+WeightSDS!R$5*$AM436^5+WeightSDS!S$5*$AM436^4+WeightSDS!T$5*$AM436^3+WeightSDS!U$5*$AM436^2+WeightSDS!V$5*$AM436+WeightSDS!W$5,IF($AM436&lt;186,WeightSDS!P$8*$AM436^7+WeightSDS!Q$8*$AM436^6+WeightSDS!R$8*$AM436^5+WeightSDS!S$8*$AM436^4+WeightSDS!T$8*$AM436^3+WeightSDS!U$8*$AM436^2+WeightSDS!V$8*$AM436+WeightSDS!W$8,WeightSDS!$U$9+WeightSDS!$V$9*($AM436-WeightSDS!$W$9)))</f>
        <v>0.75407122999999998</v>
      </c>
      <c r="AP436" s="4">
        <f>IF(D436="M",IF($AM436&lt;45,WeightSDS!M$23*$AM436^10+WeightSDS!N$23*$AM436^9+WeightSDS!O$23*$AM436^8+WeightSDS!P$23*$AM436^7+WeightSDS!Q$23*$AM436^6+WeightSDS!R$23*$AM436^5+WeightSDS!S$23*$AM436^4+WeightSDS!T$23*$AM436^3+WeightSDS!U$23*$AM436^2+WeightSDS!V$23*$AM436+WeightSDS!W$23,IF($AM436&lt;153,WeightSDS!M$25*$AM436^10+WeightSDS!N$25*$AM436^9+WeightSDS!O$25*$AM436^8+WeightSDS!P$25*$AM436^7+WeightSDS!Q$25*$AM436^6+WeightSDS!R$25*$AM436^5+WeightSDS!S$25*$AM436^4+WeightSDS!T$25*$AM436^3+WeightSDS!U$25*$AM436^2+WeightSDS!V$25*$AM436+WeightSDS!W$25,WeightSDS!M$27+WeightSDS!N$27/(1+EXP(WeightSDS!O$27+WeightSDS!P$27*$AM436)))),IF($AM436&lt;43.8,WeightSDS!M$29*$AM436^10+WeightSDS!N$29*$AM436^9+WeightSDS!O$29*$AM436^8+WeightSDS!P$29*$AM436^7+WeightSDS!Q$29*$AM436^6+WeightSDS!R$29*$AM436^5+WeightSDS!S$29*$AM436^4+WeightSDS!T$29*$AM436^3+WeightSDS!U$29*$AM436^2+WeightSDS!V$29*$AM436+WeightSDS!W$29-0.010431*(1-$AM436/210),IF($AM436&lt;123,WeightSDS!M$30*$AM436^10+WeightSDS!N$30*$AM436^9+WeightSDS!O$30*$AM436^8+WeightSDS!P$30*$AM436^7+WeightSDS!Q$30*$AM436^6+WeightSDS!R$30*$AM436^5+WeightSDS!S$30*$AM436^4+WeightSDS!T$30*$AM436^3+WeightSDS!U$30*$AM436^2+WeightSDS!V$30*$AM436+WeightSDS!W$30-0.010431*(1-1/$AM436),WeightSDS!M$32+WeightSDS!N$32/(1+EXP(WeightSDS!O$32+WeightSDS!P$32*$AM436))-0.010431*(1-$AM436/210))))</f>
        <v>2.9500001032655536</v>
      </c>
      <c r="AQ436" s="4">
        <f>IF(D436="M",IF($AM436&lt;162,WeightSDS!P$12*$AM436^7+WeightSDS!Q$12*$AM436^6+WeightSDS!R$12*$AM436^5+WeightSDS!S$12*$AM436^4+WeightSDS!T$12*$AM436^3+WeightSDS!U$12*$AM436^2+WeightSDS!V$12*$AM436+WeightSDS!W$12,WeightSDS!P$14*$AM436^7+WeightSDS!Q$14*$AM436^6+WeightSDS!R$14*$AM436^5+WeightSDS!S$14*$AM436^4+WeightSDS!T$14*$AM436^3+WeightSDS!U$14*$AM436^2+WeightSDS!V$14*$AM436+WeightSDS!W$14),IF($AM436&lt;156,WeightSDS!O$17*$AM436^8+WeightSDS!P$17*$AM436^7+WeightSDS!Q$17*$AM436^6+WeightSDS!R$17*$AM436^5+WeightSDS!S$17*$AM436^4+WeightSDS!T$17*$AM436^3+WeightSDS!U$17*$AM436^2+WeightSDS!V$17*$AM436+WeightSDS!W$17,IF($AM436&lt;186,WeightSDS!$U$18+(WeightSDS!$V$18-WeightSDS!$U$18)/24*($AM436-186)+WeightSDS!$W$18*(-$AM436+186)^2-0.005,WeightSDS!$U$18+(WeightSDS!$V$18-WeightSDS!$U$18)/24*($AM436-186)-0.005)))</f>
        <v>0.14604529399999999</v>
      </c>
      <c r="AT436" s="4">
        <f t="shared" si="133"/>
        <v>0.56299999999999994</v>
      </c>
      <c r="AU436" s="4">
        <f t="shared" si="134"/>
        <v>69</v>
      </c>
      <c r="AV436" s="4">
        <f t="shared" si="135"/>
        <v>0.51</v>
      </c>
    </row>
    <row r="437" spans="1:48" x14ac:dyDescent="0.15">
      <c r="A437" s="4"/>
      <c r="B437" s="21"/>
      <c r="C437" s="21"/>
      <c r="D437" s="21"/>
      <c r="E437" s="22"/>
      <c r="F437" s="22"/>
      <c r="G437" s="23"/>
      <c r="H437" s="23"/>
      <c r="I437" s="181"/>
      <c r="J437" s="8" t="str">
        <f t="shared" si="127"/>
        <v/>
      </c>
      <c r="K437" s="2" t="str">
        <f t="shared" si="136"/>
        <v/>
      </c>
      <c r="L437" s="2" t="str">
        <f t="shared" si="128"/>
        <v/>
      </c>
      <c r="M437" s="2" t="str">
        <f t="shared" si="137"/>
        <v/>
      </c>
      <c r="N437" s="2" t="str">
        <f t="shared" si="145"/>
        <v/>
      </c>
      <c r="O437" s="2" t="str">
        <f t="shared" si="138"/>
        <v/>
      </c>
      <c r="P437" s="8" t="str">
        <f t="shared" si="139"/>
        <v/>
      </c>
      <c r="Q437" s="8" t="str">
        <f t="shared" si="140"/>
        <v/>
      </c>
      <c r="R437" s="111" t="str">
        <f t="shared" si="141"/>
        <v/>
      </c>
      <c r="S437" s="44" t="str">
        <f t="shared" si="142"/>
        <v/>
      </c>
      <c r="T437" s="37" t="str">
        <f t="shared" si="143"/>
        <v/>
      </c>
      <c r="U437" s="44" t="str">
        <f t="shared" si="144"/>
        <v/>
      </c>
      <c r="V437" s="26"/>
      <c r="W437" s="26"/>
      <c r="X437" s="26"/>
      <c r="Y437" s="26"/>
      <c r="Z437" s="24"/>
      <c r="AA437" s="169">
        <f t="shared" si="129"/>
        <v>0</v>
      </c>
      <c r="AB437" s="4">
        <f t="shared" si="130"/>
        <v>0</v>
      </c>
      <c r="AC437" s="170">
        <f t="shared" si="147"/>
        <v>0</v>
      </c>
      <c r="AD437" s="58"/>
      <c r="AE437" s="58"/>
      <c r="AF437" s="58"/>
      <c r="AG437" s="59">
        <f t="shared" si="131"/>
        <v>9.0359999999999996</v>
      </c>
      <c r="AH437" s="59">
        <f t="shared" si="132"/>
        <v>-184.49199999999999</v>
      </c>
      <c r="AJ437" s="4">
        <f>IF(D437="M",IF(AM437&lt;78,BMILMS!$D$5*AM437^3+BMILMS!$E$5*AM437^2+BMILMS!$F$5*AM437+BMILMS!$G$5,IF(AM437&lt;150,BMILMS!$D$6*AM437^3+BMILMS!$E$6*AM437^2+BMILMS!$F$6*AM437+BMILMS!$G$6,BMILMS!$D$7*AM437^3+BMILMS!$E$7*AM437^2+BMILMS!$F$7*AM437+BMILMS!$G$7)),IF(AM437&lt;69,BMILMS!$D$9*AM437^3+BMILMS!$E$9*AM437^2+BMILMS!$F$9*AM437+BMILMS!$G$9,IF(AM437&lt;150,BMILMS!$D$10*AM437^3+BMILMS!$E$10*AM437^2+BMILMS!$F$10*AM437+BMILMS!$G$10,BMILMS!$D$11*AM437^3+BMILMS!$E$11*AM437^2+BMILMS!$F$11*AM437+BMILMS!$G$11)))</f>
        <v>0.79584630099999998</v>
      </c>
      <c r="AK437" s="4">
        <f>IF(D437="M",(IF(AM437&lt;2.5,BMILMS!$D$21*AM437^3+BMILMS!$E$21*AM437^2+BMILMS!$F$21*AM437+BMILMS!$G$21,IF(AM437&lt;9.5,BMILMS!$D$22*AM437^3+BMILMS!$E$22*AM437^2+BMILMS!$F$22*AM437+BMILMS!$G$22,IF(AM437&lt;26.75,BMILMS!$D$23*AM437^3+BMILMS!$E$23*AM437^2+BMILMS!$F$23*AM437+BMILMS!$G$23,IF(AM437&lt;90,BMILMS!$D$24*AM437^3+BMILMS!$E$24*AM437^2+BMILMS!$F$24*AM437+BMILMS!$G$24,BMILMS!$D$25*AM437^3+BMILMS!$E$25*AM437^2+BMILMS!$F$25*AM437+BMILMS!$G$25))))),(IF(AM437&lt;2.5,BMILMS!$D$27*AM437^3+BMILMS!$E$27*AM437^2+BMILMS!$F$27*AM437+BMILMS!$G$27,IF(AM437&lt;9.5,BMILMS!$D$28*AM437^3+BMILMS!$E$28*AM437^2+BMILMS!$F$28*AM437+BMILMS!$G$28,IF(AM437&lt;26.75,BMILMS!$D$29*AM437^3+BMILMS!$E$29*AM437^2+BMILMS!$F$29*AM437+BMILMS!$G$29,IF(AM437&lt;90,BMILMS!$D$30*AM437^3+BMILMS!$E$30*AM437^2+BMILMS!$F$30*AM437+BMILMS!$G$30,IF(AM437&lt;150,BMILMS!$D$31*AM437^3+BMILMS!$E$31*AM437^2+BMILMS!$F$31*AM437+BMILMS!$G$31,BMILMS!$D$32*AM437^3+BMILMS!$E$32*AM437^2+BMILMS!$F$32*AM437+BMILMS!$G$32)))))))</f>
        <v>12.568967990000001</v>
      </c>
      <c r="AL437" s="4">
        <f>IF(D437="M",(IF(AM437&lt;90,BMILMS!$D$14*AM437^3+BMILMS!$E$14*AM437^2+BMILMS!$F$14*AM437+BMILMS!$G$14,BMILMS!$D$15*AM437^3+BMILMS!$E$15*AM437^2+BMILMS!$F$15*AM437+BMILMS!$G$15)),(IF(AM437&lt;90,BMILMS!$D$17*AM437^3+BMILMS!$E$17*AM437^2+BMILMS!$F$17*AM437+BMILMS!$G$17,BMILMS!$D$18*AM437^3+BMILMS!$E$18*AM437^2+BMILMS!$F$18*AM437+BMILMS!$G$18)))</f>
        <v>8.8969350000000003E-2</v>
      </c>
      <c r="AM437" s="4">
        <f t="shared" si="146"/>
        <v>0</v>
      </c>
      <c r="AO437" s="56">
        <f>IF(D437="M",WeightSDS!P$5*$AM437^7+WeightSDS!Q$5*$AM437^6+WeightSDS!R$5*$AM437^5+WeightSDS!S$5*$AM437^4+WeightSDS!T$5*$AM437^3+WeightSDS!U$5*$AM437^2+WeightSDS!V$5*$AM437+WeightSDS!W$5,IF($AM437&lt;186,WeightSDS!P$8*$AM437^7+WeightSDS!Q$8*$AM437^6+WeightSDS!R$8*$AM437^5+WeightSDS!S$8*$AM437^4+WeightSDS!T$8*$AM437^3+WeightSDS!U$8*$AM437^2+WeightSDS!V$8*$AM437+WeightSDS!W$8,WeightSDS!$U$9+WeightSDS!$V$9*($AM437-WeightSDS!$W$9)))</f>
        <v>0.75407122999999998</v>
      </c>
      <c r="AP437" s="4">
        <f>IF(D437="M",IF($AM437&lt;45,WeightSDS!M$23*$AM437^10+WeightSDS!N$23*$AM437^9+WeightSDS!O$23*$AM437^8+WeightSDS!P$23*$AM437^7+WeightSDS!Q$23*$AM437^6+WeightSDS!R$23*$AM437^5+WeightSDS!S$23*$AM437^4+WeightSDS!T$23*$AM437^3+WeightSDS!U$23*$AM437^2+WeightSDS!V$23*$AM437+WeightSDS!W$23,IF($AM437&lt;153,WeightSDS!M$25*$AM437^10+WeightSDS!N$25*$AM437^9+WeightSDS!O$25*$AM437^8+WeightSDS!P$25*$AM437^7+WeightSDS!Q$25*$AM437^6+WeightSDS!R$25*$AM437^5+WeightSDS!S$25*$AM437^4+WeightSDS!T$25*$AM437^3+WeightSDS!U$25*$AM437^2+WeightSDS!V$25*$AM437+WeightSDS!W$25,WeightSDS!M$27+WeightSDS!N$27/(1+EXP(WeightSDS!O$27+WeightSDS!P$27*$AM437)))),IF($AM437&lt;43.8,WeightSDS!M$29*$AM437^10+WeightSDS!N$29*$AM437^9+WeightSDS!O$29*$AM437^8+WeightSDS!P$29*$AM437^7+WeightSDS!Q$29*$AM437^6+WeightSDS!R$29*$AM437^5+WeightSDS!S$29*$AM437^4+WeightSDS!T$29*$AM437^3+WeightSDS!U$29*$AM437^2+WeightSDS!V$29*$AM437+WeightSDS!W$29-0.010431*(1-$AM437/210),IF($AM437&lt;123,WeightSDS!M$30*$AM437^10+WeightSDS!N$30*$AM437^9+WeightSDS!O$30*$AM437^8+WeightSDS!P$30*$AM437^7+WeightSDS!Q$30*$AM437^6+WeightSDS!R$30*$AM437^5+WeightSDS!S$30*$AM437^4+WeightSDS!T$30*$AM437^3+WeightSDS!U$30*$AM437^2+WeightSDS!V$30*$AM437+WeightSDS!W$30-0.010431*(1-1/$AM437),WeightSDS!M$32+WeightSDS!N$32/(1+EXP(WeightSDS!O$32+WeightSDS!P$32*$AM437))-0.010431*(1-$AM437/210))))</f>
        <v>2.9500001032655536</v>
      </c>
      <c r="AQ437" s="4">
        <f>IF(D437="M",IF($AM437&lt;162,WeightSDS!P$12*$AM437^7+WeightSDS!Q$12*$AM437^6+WeightSDS!R$12*$AM437^5+WeightSDS!S$12*$AM437^4+WeightSDS!T$12*$AM437^3+WeightSDS!U$12*$AM437^2+WeightSDS!V$12*$AM437+WeightSDS!W$12,WeightSDS!P$14*$AM437^7+WeightSDS!Q$14*$AM437^6+WeightSDS!R$14*$AM437^5+WeightSDS!S$14*$AM437^4+WeightSDS!T$14*$AM437^3+WeightSDS!U$14*$AM437^2+WeightSDS!V$14*$AM437+WeightSDS!W$14),IF($AM437&lt;156,WeightSDS!O$17*$AM437^8+WeightSDS!P$17*$AM437^7+WeightSDS!Q$17*$AM437^6+WeightSDS!R$17*$AM437^5+WeightSDS!S$17*$AM437^4+WeightSDS!T$17*$AM437^3+WeightSDS!U$17*$AM437^2+WeightSDS!V$17*$AM437+WeightSDS!W$17,IF($AM437&lt;186,WeightSDS!$U$18+(WeightSDS!$V$18-WeightSDS!$U$18)/24*($AM437-186)+WeightSDS!$W$18*(-$AM437+186)^2-0.005,WeightSDS!$U$18+(WeightSDS!$V$18-WeightSDS!$U$18)/24*($AM437-186)-0.005)))</f>
        <v>0.14604529399999999</v>
      </c>
      <c r="AT437" s="4">
        <f t="shared" si="133"/>
        <v>0.56299999999999994</v>
      </c>
      <c r="AU437" s="4">
        <f t="shared" si="134"/>
        <v>69</v>
      </c>
      <c r="AV437" s="4">
        <f t="shared" si="135"/>
        <v>0.51</v>
      </c>
    </row>
    <row r="438" spans="1:48" x14ac:dyDescent="0.15">
      <c r="A438" s="4"/>
      <c r="B438" s="21"/>
      <c r="C438" s="21"/>
      <c r="D438" s="21"/>
      <c r="E438" s="22"/>
      <c r="F438" s="22"/>
      <c r="G438" s="23"/>
      <c r="H438" s="23"/>
      <c r="I438" s="181"/>
      <c r="J438" s="8" t="str">
        <f t="shared" si="127"/>
        <v/>
      </c>
      <c r="K438" s="2" t="str">
        <f t="shared" si="136"/>
        <v/>
      </c>
      <c r="L438" s="2" t="str">
        <f t="shared" si="128"/>
        <v/>
      </c>
      <c r="M438" s="2" t="str">
        <f t="shared" si="137"/>
        <v/>
      </c>
      <c r="N438" s="2" t="str">
        <f t="shared" si="145"/>
        <v/>
      </c>
      <c r="O438" s="2" t="str">
        <f t="shared" si="138"/>
        <v/>
      </c>
      <c r="P438" s="8" t="str">
        <f t="shared" si="139"/>
        <v/>
      </c>
      <c r="Q438" s="8" t="str">
        <f t="shared" si="140"/>
        <v/>
      </c>
      <c r="R438" s="111" t="str">
        <f t="shared" si="141"/>
        <v/>
      </c>
      <c r="S438" s="44" t="str">
        <f t="shared" si="142"/>
        <v/>
      </c>
      <c r="T438" s="37" t="str">
        <f t="shared" si="143"/>
        <v/>
      </c>
      <c r="U438" s="44" t="str">
        <f t="shared" si="144"/>
        <v/>
      </c>
      <c r="V438" s="26"/>
      <c r="W438" s="26"/>
      <c r="X438" s="26"/>
      <c r="Y438" s="26"/>
      <c r="Z438" s="24"/>
      <c r="AA438" s="169">
        <f t="shared" si="129"/>
        <v>0</v>
      </c>
      <c r="AB438" s="4">
        <f t="shared" si="130"/>
        <v>0</v>
      </c>
      <c r="AC438" s="170">
        <f t="shared" si="147"/>
        <v>0</v>
      </c>
      <c r="AD438" s="58"/>
      <c r="AE438" s="58"/>
      <c r="AF438" s="58"/>
      <c r="AG438" s="59">
        <f t="shared" si="131"/>
        <v>9.0359999999999996</v>
      </c>
      <c r="AH438" s="59">
        <f t="shared" si="132"/>
        <v>-184.49199999999999</v>
      </c>
      <c r="AJ438" s="4">
        <f>IF(D438="M",IF(AM438&lt;78,BMILMS!$D$5*AM438^3+BMILMS!$E$5*AM438^2+BMILMS!$F$5*AM438+BMILMS!$G$5,IF(AM438&lt;150,BMILMS!$D$6*AM438^3+BMILMS!$E$6*AM438^2+BMILMS!$F$6*AM438+BMILMS!$G$6,BMILMS!$D$7*AM438^3+BMILMS!$E$7*AM438^2+BMILMS!$F$7*AM438+BMILMS!$G$7)),IF(AM438&lt;69,BMILMS!$D$9*AM438^3+BMILMS!$E$9*AM438^2+BMILMS!$F$9*AM438+BMILMS!$G$9,IF(AM438&lt;150,BMILMS!$D$10*AM438^3+BMILMS!$E$10*AM438^2+BMILMS!$F$10*AM438+BMILMS!$G$10,BMILMS!$D$11*AM438^3+BMILMS!$E$11*AM438^2+BMILMS!$F$11*AM438+BMILMS!$G$11)))</f>
        <v>0.79584630099999998</v>
      </c>
      <c r="AK438" s="4">
        <f>IF(D438="M",(IF(AM438&lt;2.5,BMILMS!$D$21*AM438^3+BMILMS!$E$21*AM438^2+BMILMS!$F$21*AM438+BMILMS!$G$21,IF(AM438&lt;9.5,BMILMS!$D$22*AM438^3+BMILMS!$E$22*AM438^2+BMILMS!$F$22*AM438+BMILMS!$G$22,IF(AM438&lt;26.75,BMILMS!$D$23*AM438^3+BMILMS!$E$23*AM438^2+BMILMS!$F$23*AM438+BMILMS!$G$23,IF(AM438&lt;90,BMILMS!$D$24*AM438^3+BMILMS!$E$24*AM438^2+BMILMS!$F$24*AM438+BMILMS!$G$24,BMILMS!$D$25*AM438^3+BMILMS!$E$25*AM438^2+BMILMS!$F$25*AM438+BMILMS!$G$25))))),(IF(AM438&lt;2.5,BMILMS!$D$27*AM438^3+BMILMS!$E$27*AM438^2+BMILMS!$F$27*AM438+BMILMS!$G$27,IF(AM438&lt;9.5,BMILMS!$D$28*AM438^3+BMILMS!$E$28*AM438^2+BMILMS!$F$28*AM438+BMILMS!$G$28,IF(AM438&lt;26.75,BMILMS!$D$29*AM438^3+BMILMS!$E$29*AM438^2+BMILMS!$F$29*AM438+BMILMS!$G$29,IF(AM438&lt;90,BMILMS!$D$30*AM438^3+BMILMS!$E$30*AM438^2+BMILMS!$F$30*AM438+BMILMS!$G$30,IF(AM438&lt;150,BMILMS!$D$31*AM438^3+BMILMS!$E$31*AM438^2+BMILMS!$F$31*AM438+BMILMS!$G$31,BMILMS!$D$32*AM438^3+BMILMS!$E$32*AM438^2+BMILMS!$F$32*AM438+BMILMS!$G$32)))))))</f>
        <v>12.568967990000001</v>
      </c>
      <c r="AL438" s="4">
        <f>IF(D438="M",(IF(AM438&lt;90,BMILMS!$D$14*AM438^3+BMILMS!$E$14*AM438^2+BMILMS!$F$14*AM438+BMILMS!$G$14,BMILMS!$D$15*AM438^3+BMILMS!$E$15*AM438^2+BMILMS!$F$15*AM438+BMILMS!$G$15)),(IF(AM438&lt;90,BMILMS!$D$17*AM438^3+BMILMS!$E$17*AM438^2+BMILMS!$F$17*AM438+BMILMS!$G$17,BMILMS!$D$18*AM438^3+BMILMS!$E$18*AM438^2+BMILMS!$F$18*AM438+BMILMS!$G$18)))</f>
        <v>8.8969350000000003E-2</v>
      </c>
      <c r="AM438" s="4">
        <f t="shared" si="146"/>
        <v>0</v>
      </c>
      <c r="AO438" s="56">
        <f>IF(D438="M",WeightSDS!P$5*$AM438^7+WeightSDS!Q$5*$AM438^6+WeightSDS!R$5*$AM438^5+WeightSDS!S$5*$AM438^4+WeightSDS!T$5*$AM438^3+WeightSDS!U$5*$AM438^2+WeightSDS!V$5*$AM438+WeightSDS!W$5,IF($AM438&lt;186,WeightSDS!P$8*$AM438^7+WeightSDS!Q$8*$AM438^6+WeightSDS!R$8*$AM438^5+WeightSDS!S$8*$AM438^4+WeightSDS!T$8*$AM438^3+WeightSDS!U$8*$AM438^2+WeightSDS!V$8*$AM438+WeightSDS!W$8,WeightSDS!$U$9+WeightSDS!$V$9*($AM438-WeightSDS!$W$9)))</f>
        <v>0.75407122999999998</v>
      </c>
      <c r="AP438" s="4">
        <f>IF(D438="M",IF($AM438&lt;45,WeightSDS!M$23*$AM438^10+WeightSDS!N$23*$AM438^9+WeightSDS!O$23*$AM438^8+WeightSDS!P$23*$AM438^7+WeightSDS!Q$23*$AM438^6+WeightSDS!R$23*$AM438^5+WeightSDS!S$23*$AM438^4+WeightSDS!T$23*$AM438^3+WeightSDS!U$23*$AM438^2+WeightSDS!V$23*$AM438+WeightSDS!W$23,IF($AM438&lt;153,WeightSDS!M$25*$AM438^10+WeightSDS!N$25*$AM438^9+WeightSDS!O$25*$AM438^8+WeightSDS!P$25*$AM438^7+WeightSDS!Q$25*$AM438^6+WeightSDS!R$25*$AM438^5+WeightSDS!S$25*$AM438^4+WeightSDS!T$25*$AM438^3+WeightSDS!U$25*$AM438^2+WeightSDS!V$25*$AM438+WeightSDS!W$25,WeightSDS!M$27+WeightSDS!N$27/(1+EXP(WeightSDS!O$27+WeightSDS!P$27*$AM438)))),IF($AM438&lt;43.8,WeightSDS!M$29*$AM438^10+WeightSDS!N$29*$AM438^9+WeightSDS!O$29*$AM438^8+WeightSDS!P$29*$AM438^7+WeightSDS!Q$29*$AM438^6+WeightSDS!R$29*$AM438^5+WeightSDS!S$29*$AM438^4+WeightSDS!T$29*$AM438^3+WeightSDS!U$29*$AM438^2+WeightSDS!V$29*$AM438+WeightSDS!W$29-0.010431*(1-$AM438/210),IF($AM438&lt;123,WeightSDS!M$30*$AM438^10+WeightSDS!N$30*$AM438^9+WeightSDS!O$30*$AM438^8+WeightSDS!P$30*$AM438^7+WeightSDS!Q$30*$AM438^6+WeightSDS!R$30*$AM438^5+WeightSDS!S$30*$AM438^4+WeightSDS!T$30*$AM438^3+WeightSDS!U$30*$AM438^2+WeightSDS!V$30*$AM438+WeightSDS!W$30-0.010431*(1-1/$AM438),WeightSDS!M$32+WeightSDS!N$32/(1+EXP(WeightSDS!O$32+WeightSDS!P$32*$AM438))-0.010431*(1-$AM438/210))))</f>
        <v>2.9500001032655536</v>
      </c>
      <c r="AQ438" s="4">
        <f>IF(D438="M",IF($AM438&lt;162,WeightSDS!P$12*$AM438^7+WeightSDS!Q$12*$AM438^6+WeightSDS!R$12*$AM438^5+WeightSDS!S$12*$AM438^4+WeightSDS!T$12*$AM438^3+WeightSDS!U$12*$AM438^2+WeightSDS!V$12*$AM438+WeightSDS!W$12,WeightSDS!P$14*$AM438^7+WeightSDS!Q$14*$AM438^6+WeightSDS!R$14*$AM438^5+WeightSDS!S$14*$AM438^4+WeightSDS!T$14*$AM438^3+WeightSDS!U$14*$AM438^2+WeightSDS!V$14*$AM438+WeightSDS!W$14),IF($AM438&lt;156,WeightSDS!O$17*$AM438^8+WeightSDS!P$17*$AM438^7+WeightSDS!Q$17*$AM438^6+WeightSDS!R$17*$AM438^5+WeightSDS!S$17*$AM438^4+WeightSDS!T$17*$AM438^3+WeightSDS!U$17*$AM438^2+WeightSDS!V$17*$AM438+WeightSDS!W$17,IF($AM438&lt;186,WeightSDS!$U$18+(WeightSDS!$V$18-WeightSDS!$U$18)/24*($AM438-186)+WeightSDS!$W$18*(-$AM438+186)^2-0.005,WeightSDS!$U$18+(WeightSDS!$V$18-WeightSDS!$U$18)/24*($AM438-186)-0.005)))</f>
        <v>0.14604529399999999</v>
      </c>
      <c r="AT438" s="4">
        <f t="shared" si="133"/>
        <v>0.56299999999999994</v>
      </c>
      <c r="AU438" s="4">
        <f t="shared" si="134"/>
        <v>69</v>
      </c>
      <c r="AV438" s="4">
        <f t="shared" si="135"/>
        <v>0.51</v>
      </c>
    </row>
    <row r="439" spans="1:48" x14ac:dyDescent="0.15">
      <c r="A439" s="4"/>
      <c r="B439" s="21"/>
      <c r="C439" s="21"/>
      <c r="D439" s="21"/>
      <c r="E439" s="22"/>
      <c r="F439" s="22"/>
      <c r="G439" s="23"/>
      <c r="H439" s="23"/>
      <c r="I439" s="181"/>
      <c r="J439" s="8" t="str">
        <f t="shared" si="127"/>
        <v/>
      </c>
      <c r="K439" s="2" t="str">
        <f t="shared" si="136"/>
        <v/>
      </c>
      <c r="L439" s="2" t="str">
        <f t="shared" si="128"/>
        <v/>
      </c>
      <c r="M439" s="2" t="str">
        <f t="shared" si="137"/>
        <v/>
      </c>
      <c r="N439" s="2" t="str">
        <f t="shared" si="145"/>
        <v/>
      </c>
      <c r="O439" s="2" t="str">
        <f t="shared" si="138"/>
        <v/>
      </c>
      <c r="P439" s="8" t="str">
        <f t="shared" si="139"/>
        <v/>
      </c>
      <c r="Q439" s="8" t="str">
        <f t="shared" si="140"/>
        <v/>
      </c>
      <c r="R439" s="111" t="str">
        <f t="shared" si="141"/>
        <v/>
      </c>
      <c r="S439" s="44" t="str">
        <f t="shared" si="142"/>
        <v/>
      </c>
      <c r="T439" s="37" t="str">
        <f t="shared" si="143"/>
        <v/>
      </c>
      <c r="U439" s="44" t="str">
        <f t="shared" si="144"/>
        <v/>
      </c>
      <c r="V439" s="26"/>
      <c r="W439" s="26"/>
      <c r="X439" s="26"/>
      <c r="Y439" s="26"/>
      <c r="Z439" s="24"/>
      <c r="AA439" s="169">
        <f t="shared" si="129"/>
        <v>0</v>
      </c>
      <c r="AB439" s="4">
        <f t="shared" si="130"/>
        <v>0</v>
      </c>
      <c r="AC439" s="170">
        <f t="shared" si="147"/>
        <v>0</v>
      </c>
      <c r="AD439" s="58"/>
      <c r="AE439" s="58"/>
      <c r="AF439" s="58"/>
      <c r="AG439" s="59">
        <f t="shared" si="131"/>
        <v>9.0359999999999996</v>
      </c>
      <c r="AH439" s="59">
        <f t="shared" si="132"/>
        <v>-184.49199999999999</v>
      </c>
      <c r="AJ439" s="4">
        <f>IF(D439="M",IF(AM439&lt;78,BMILMS!$D$5*AM439^3+BMILMS!$E$5*AM439^2+BMILMS!$F$5*AM439+BMILMS!$G$5,IF(AM439&lt;150,BMILMS!$D$6*AM439^3+BMILMS!$E$6*AM439^2+BMILMS!$F$6*AM439+BMILMS!$G$6,BMILMS!$D$7*AM439^3+BMILMS!$E$7*AM439^2+BMILMS!$F$7*AM439+BMILMS!$G$7)),IF(AM439&lt;69,BMILMS!$D$9*AM439^3+BMILMS!$E$9*AM439^2+BMILMS!$F$9*AM439+BMILMS!$G$9,IF(AM439&lt;150,BMILMS!$D$10*AM439^3+BMILMS!$E$10*AM439^2+BMILMS!$F$10*AM439+BMILMS!$G$10,BMILMS!$D$11*AM439^3+BMILMS!$E$11*AM439^2+BMILMS!$F$11*AM439+BMILMS!$G$11)))</f>
        <v>0.79584630099999998</v>
      </c>
      <c r="AK439" s="4">
        <f>IF(D439="M",(IF(AM439&lt;2.5,BMILMS!$D$21*AM439^3+BMILMS!$E$21*AM439^2+BMILMS!$F$21*AM439+BMILMS!$G$21,IF(AM439&lt;9.5,BMILMS!$D$22*AM439^3+BMILMS!$E$22*AM439^2+BMILMS!$F$22*AM439+BMILMS!$G$22,IF(AM439&lt;26.75,BMILMS!$D$23*AM439^3+BMILMS!$E$23*AM439^2+BMILMS!$F$23*AM439+BMILMS!$G$23,IF(AM439&lt;90,BMILMS!$D$24*AM439^3+BMILMS!$E$24*AM439^2+BMILMS!$F$24*AM439+BMILMS!$G$24,BMILMS!$D$25*AM439^3+BMILMS!$E$25*AM439^2+BMILMS!$F$25*AM439+BMILMS!$G$25))))),(IF(AM439&lt;2.5,BMILMS!$D$27*AM439^3+BMILMS!$E$27*AM439^2+BMILMS!$F$27*AM439+BMILMS!$G$27,IF(AM439&lt;9.5,BMILMS!$D$28*AM439^3+BMILMS!$E$28*AM439^2+BMILMS!$F$28*AM439+BMILMS!$G$28,IF(AM439&lt;26.75,BMILMS!$D$29*AM439^3+BMILMS!$E$29*AM439^2+BMILMS!$F$29*AM439+BMILMS!$G$29,IF(AM439&lt;90,BMILMS!$D$30*AM439^3+BMILMS!$E$30*AM439^2+BMILMS!$F$30*AM439+BMILMS!$G$30,IF(AM439&lt;150,BMILMS!$D$31*AM439^3+BMILMS!$E$31*AM439^2+BMILMS!$F$31*AM439+BMILMS!$G$31,BMILMS!$D$32*AM439^3+BMILMS!$E$32*AM439^2+BMILMS!$F$32*AM439+BMILMS!$G$32)))))))</f>
        <v>12.568967990000001</v>
      </c>
      <c r="AL439" s="4">
        <f>IF(D439="M",(IF(AM439&lt;90,BMILMS!$D$14*AM439^3+BMILMS!$E$14*AM439^2+BMILMS!$F$14*AM439+BMILMS!$G$14,BMILMS!$D$15*AM439^3+BMILMS!$E$15*AM439^2+BMILMS!$F$15*AM439+BMILMS!$G$15)),(IF(AM439&lt;90,BMILMS!$D$17*AM439^3+BMILMS!$E$17*AM439^2+BMILMS!$F$17*AM439+BMILMS!$G$17,BMILMS!$D$18*AM439^3+BMILMS!$E$18*AM439^2+BMILMS!$F$18*AM439+BMILMS!$G$18)))</f>
        <v>8.8969350000000003E-2</v>
      </c>
      <c r="AM439" s="4">
        <f t="shared" si="146"/>
        <v>0</v>
      </c>
      <c r="AO439" s="56">
        <f>IF(D439="M",WeightSDS!P$5*$AM439^7+WeightSDS!Q$5*$AM439^6+WeightSDS!R$5*$AM439^5+WeightSDS!S$5*$AM439^4+WeightSDS!T$5*$AM439^3+WeightSDS!U$5*$AM439^2+WeightSDS!V$5*$AM439+WeightSDS!W$5,IF($AM439&lt;186,WeightSDS!P$8*$AM439^7+WeightSDS!Q$8*$AM439^6+WeightSDS!R$8*$AM439^5+WeightSDS!S$8*$AM439^4+WeightSDS!T$8*$AM439^3+WeightSDS!U$8*$AM439^2+WeightSDS!V$8*$AM439+WeightSDS!W$8,WeightSDS!$U$9+WeightSDS!$V$9*($AM439-WeightSDS!$W$9)))</f>
        <v>0.75407122999999998</v>
      </c>
      <c r="AP439" s="4">
        <f>IF(D439="M",IF($AM439&lt;45,WeightSDS!M$23*$AM439^10+WeightSDS!N$23*$AM439^9+WeightSDS!O$23*$AM439^8+WeightSDS!P$23*$AM439^7+WeightSDS!Q$23*$AM439^6+WeightSDS!R$23*$AM439^5+WeightSDS!S$23*$AM439^4+WeightSDS!T$23*$AM439^3+WeightSDS!U$23*$AM439^2+WeightSDS!V$23*$AM439+WeightSDS!W$23,IF($AM439&lt;153,WeightSDS!M$25*$AM439^10+WeightSDS!N$25*$AM439^9+WeightSDS!O$25*$AM439^8+WeightSDS!P$25*$AM439^7+WeightSDS!Q$25*$AM439^6+WeightSDS!R$25*$AM439^5+WeightSDS!S$25*$AM439^4+WeightSDS!T$25*$AM439^3+WeightSDS!U$25*$AM439^2+WeightSDS!V$25*$AM439+WeightSDS!W$25,WeightSDS!M$27+WeightSDS!N$27/(1+EXP(WeightSDS!O$27+WeightSDS!P$27*$AM439)))),IF($AM439&lt;43.8,WeightSDS!M$29*$AM439^10+WeightSDS!N$29*$AM439^9+WeightSDS!O$29*$AM439^8+WeightSDS!P$29*$AM439^7+WeightSDS!Q$29*$AM439^6+WeightSDS!R$29*$AM439^5+WeightSDS!S$29*$AM439^4+WeightSDS!T$29*$AM439^3+WeightSDS!U$29*$AM439^2+WeightSDS!V$29*$AM439+WeightSDS!W$29-0.010431*(1-$AM439/210),IF($AM439&lt;123,WeightSDS!M$30*$AM439^10+WeightSDS!N$30*$AM439^9+WeightSDS!O$30*$AM439^8+WeightSDS!P$30*$AM439^7+WeightSDS!Q$30*$AM439^6+WeightSDS!R$30*$AM439^5+WeightSDS!S$30*$AM439^4+WeightSDS!T$30*$AM439^3+WeightSDS!U$30*$AM439^2+WeightSDS!V$30*$AM439+WeightSDS!W$30-0.010431*(1-1/$AM439),WeightSDS!M$32+WeightSDS!N$32/(1+EXP(WeightSDS!O$32+WeightSDS!P$32*$AM439))-0.010431*(1-$AM439/210))))</f>
        <v>2.9500001032655536</v>
      </c>
      <c r="AQ439" s="4">
        <f>IF(D439="M",IF($AM439&lt;162,WeightSDS!P$12*$AM439^7+WeightSDS!Q$12*$AM439^6+WeightSDS!R$12*$AM439^5+WeightSDS!S$12*$AM439^4+WeightSDS!T$12*$AM439^3+WeightSDS!U$12*$AM439^2+WeightSDS!V$12*$AM439+WeightSDS!W$12,WeightSDS!P$14*$AM439^7+WeightSDS!Q$14*$AM439^6+WeightSDS!R$14*$AM439^5+WeightSDS!S$14*$AM439^4+WeightSDS!T$14*$AM439^3+WeightSDS!U$14*$AM439^2+WeightSDS!V$14*$AM439+WeightSDS!W$14),IF($AM439&lt;156,WeightSDS!O$17*$AM439^8+WeightSDS!P$17*$AM439^7+WeightSDS!Q$17*$AM439^6+WeightSDS!R$17*$AM439^5+WeightSDS!S$17*$AM439^4+WeightSDS!T$17*$AM439^3+WeightSDS!U$17*$AM439^2+WeightSDS!V$17*$AM439+WeightSDS!W$17,IF($AM439&lt;186,WeightSDS!$U$18+(WeightSDS!$V$18-WeightSDS!$U$18)/24*($AM439-186)+WeightSDS!$W$18*(-$AM439+186)^2-0.005,WeightSDS!$U$18+(WeightSDS!$V$18-WeightSDS!$U$18)/24*($AM439-186)-0.005)))</f>
        <v>0.14604529399999999</v>
      </c>
      <c r="AT439" s="4">
        <f t="shared" si="133"/>
        <v>0.56299999999999994</v>
      </c>
      <c r="AU439" s="4">
        <f t="shared" si="134"/>
        <v>69</v>
      </c>
      <c r="AV439" s="4">
        <f t="shared" si="135"/>
        <v>0.51</v>
      </c>
    </row>
    <row r="440" spans="1:48" x14ac:dyDescent="0.15">
      <c r="A440" s="4"/>
      <c r="B440" s="21"/>
      <c r="C440" s="21"/>
      <c r="D440" s="21"/>
      <c r="E440" s="22"/>
      <c r="F440" s="22"/>
      <c r="G440" s="23"/>
      <c r="H440" s="23"/>
      <c r="I440" s="181"/>
      <c r="J440" s="8" t="str">
        <f t="shared" si="127"/>
        <v/>
      </c>
      <c r="K440" s="2" t="str">
        <f t="shared" si="136"/>
        <v/>
      </c>
      <c r="L440" s="2" t="str">
        <f t="shared" si="128"/>
        <v/>
      </c>
      <c r="M440" s="2" t="str">
        <f t="shared" si="137"/>
        <v/>
      </c>
      <c r="N440" s="2" t="str">
        <f t="shared" si="145"/>
        <v/>
      </c>
      <c r="O440" s="2" t="str">
        <f t="shared" si="138"/>
        <v/>
      </c>
      <c r="P440" s="8" t="str">
        <f t="shared" si="139"/>
        <v/>
      </c>
      <c r="Q440" s="8" t="str">
        <f t="shared" si="140"/>
        <v/>
      </c>
      <c r="R440" s="111" t="str">
        <f t="shared" si="141"/>
        <v/>
      </c>
      <c r="S440" s="44" t="str">
        <f t="shared" si="142"/>
        <v/>
      </c>
      <c r="T440" s="37" t="str">
        <f t="shared" si="143"/>
        <v/>
      </c>
      <c r="U440" s="44" t="str">
        <f t="shared" si="144"/>
        <v/>
      </c>
      <c r="V440" s="26"/>
      <c r="W440" s="26"/>
      <c r="X440" s="26"/>
      <c r="Y440" s="26"/>
      <c r="Z440" s="24"/>
      <c r="AA440" s="169">
        <f t="shared" si="129"/>
        <v>0</v>
      </c>
      <c r="AB440" s="4">
        <f t="shared" si="130"/>
        <v>0</v>
      </c>
      <c r="AC440" s="170">
        <f t="shared" si="147"/>
        <v>0</v>
      </c>
      <c r="AD440" s="58"/>
      <c r="AE440" s="58"/>
      <c r="AF440" s="58"/>
      <c r="AG440" s="59">
        <f t="shared" si="131"/>
        <v>9.0359999999999996</v>
      </c>
      <c r="AH440" s="59">
        <f t="shared" si="132"/>
        <v>-184.49199999999999</v>
      </c>
      <c r="AJ440" s="4">
        <f>IF(D440="M",IF(AM440&lt;78,BMILMS!$D$5*AM440^3+BMILMS!$E$5*AM440^2+BMILMS!$F$5*AM440+BMILMS!$G$5,IF(AM440&lt;150,BMILMS!$D$6*AM440^3+BMILMS!$E$6*AM440^2+BMILMS!$F$6*AM440+BMILMS!$G$6,BMILMS!$D$7*AM440^3+BMILMS!$E$7*AM440^2+BMILMS!$F$7*AM440+BMILMS!$G$7)),IF(AM440&lt;69,BMILMS!$D$9*AM440^3+BMILMS!$E$9*AM440^2+BMILMS!$F$9*AM440+BMILMS!$G$9,IF(AM440&lt;150,BMILMS!$D$10*AM440^3+BMILMS!$E$10*AM440^2+BMILMS!$F$10*AM440+BMILMS!$G$10,BMILMS!$D$11*AM440^3+BMILMS!$E$11*AM440^2+BMILMS!$F$11*AM440+BMILMS!$G$11)))</f>
        <v>0.79584630099999998</v>
      </c>
      <c r="AK440" s="4">
        <f>IF(D440="M",(IF(AM440&lt;2.5,BMILMS!$D$21*AM440^3+BMILMS!$E$21*AM440^2+BMILMS!$F$21*AM440+BMILMS!$G$21,IF(AM440&lt;9.5,BMILMS!$D$22*AM440^3+BMILMS!$E$22*AM440^2+BMILMS!$F$22*AM440+BMILMS!$G$22,IF(AM440&lt;26.75,BMILMS!$D$23*AM440^3+BMILMS!$E$23*AM440^2+BMILMS!$F$23*AM440+BMILMS!$G$23,IF(AM440&lt;90,BMILMS!$D$24*AM440^3+BMILMS!$E$24*AM440^2+BMILMS!$F$24*AM440+BMILMS!$G$24,BMILMS!$D$25*AM440^3+BMILMS!$E$25*AM440^2+BMILMS!$F$25*AM440+BMILMS!$G$25))))),(IF(AM440&lt;2.5,BMILMS!$D$27*AM440^3+BMILMS!$E$27*AM440^2+BMILMS!$F$27*AM440+BMILMS!$G$27,IF(AM440&lt;9.5,BMILMS!$D$28*AM440^3+BMILMS!$E$28*AM440^2+BMILMS!$F$28*AM440+BMILMS!$G$28,IF(AM440&lt;26.75,BMILMS!$D$29*AM440^3+BMILMS!$E$29*AM440^2+BMILMS!$F$29*AM440+BMILMS!$G$29,IF(AM440&lt;90,BMILMS!$D$30*AM440^3+BMILMS!$E$30*AM440^2+BMILMS!$F$30*AM440+BMILMS!$G$30,IF(AM440&lt;150,BMILMS!$D$31*AM440^3+BMILMS!$E$31*AM440^2+BMILMS!$F$31*AM440+BMILMS!$G$31,BMILMS!$D$32*AM440^3+BMILMS!$E$32*AM440^2+BMILMS!$F$32*AM440+BMILMS!$G$32)))))))</f>
        <v>12.568967990000001</v>
      </c>
      <c r="AL440" s="4">
        <f>IF(D440="M",(IF(AM440&lt;90,BMILMS!$D$14*AM440^3+BMILMS!$E$14*AM440^2+BMILMS!$F$14*AM440+BMILMS!$G$14,BMILMS!$D$15*AM440^3+BMILMS!$E$15*AM440^2+BMILMS!$F$15*AM440+BMILMS!$G$15)),(IF(AM440&lt;90,BMILMS!$D$17*AM440^3+BMILMS!$E$17*AM440^2+BMILMS!$F$17*AM440+BMILMS!$G$17,BMILMS!$D$18*AM440^3+BMILMS!$E$18*AM440^2+BMILMS!$F$18*AM440+BMILMS!$G$18)))</f>
        <v>8.8969350000000003E-2</v>
      </c>
      <c r="AM440" s="4">
        <f t="shared" si="146"/>
        <v>0</v>
      </c>
      <c r="AO440" s="56">
        <f>IF(D440="M",WeightSDS!P$5*$AM440^7+WeightSDS!Q$5*$AM440^6+WeightSDS!R$5*$AM440^5+WeightSDS!S$5*$AM440^4+WeightSDS!T$5*$AM440^3+WeightSDS!U$5*$AM440^2+WeightSDS!V$5*$AM440+WeightSDS!W$5,IF($AM440&lt;186,WeightSDS!P$8*$AM440^7+WeightSDS!Q$8*$AM440^6+WeightSDS!R$8*$AM440^5+WeightSDS!S$8*$AM440^4+WeightSDS!T$8*$AM440^3+WeightSDS!U$8*$AM440^2+WeightSDS!V$8*$AM440+WeightSDS!W$8,WeightSDS!$U$9+WeightSDS!$V$9*($AM440-WeightSDS!$W$9)))</f>
        <v>0.75407122999999998</v>
      </c>
      <c r="AP440" s="4">
        <f>IF(D440="M",IF($AM440&lt;45,WeightSDS!M$23*$AM440^10+WeightSDS!N$23*$AM440^9+WeightSDS!O$23*$AM440^8+WeightSDS!P$23*$AM440^7+WeightSDS!Q$23*$AM440^6+WeightSDS!R$23*$AM440^5+WeightSDS!S$23*$AM440^4+WeightSDS!T$23*$AM440^3+WeightSDS!U$23*$AM440^2+WeightSDS!V$23*$AM440+WeightSDS!W$23,IF($AM440&lt;153,WeightSDS!M$25*$AM440^10+WeightSDS!N$25*$AM440^9+WeightSDS!O$25*$AM440^8+WeightSDS!P$25*$AM440^7+WeightSDS!Q$25*$AM440^6+WeightSDS!R$25*$AM440^5+WeightSDS!S$25*$AM440^4+WeightSDS!T$25*$AM440^3+WeightSDS!U$25*$AM440^2+WeightSDS!V$25*$AM440+WeightSDS!W$25,WeightSDS!M$27+WeightSDS!N$27/(1+EXP(WeightSDS!O$27+WeightSDS!P$27*$AM440)))),IF($AM440&lt;43.8,WeightSDS!M$29*$AM440^10+WeightSDS!N$29*$AM440^9+WeightSDS!O$29*$AM440^8+WeightSDS!P$29*$AM440^7+WeightSDS!Q$29*$AM440^6+WeightSDS!R$29*$AM440^5+WeightSDS!S$29*$AM440^4+WeightSDS!T$29*$AM440^3+WeightSDS!U$29*$AM440^2+WeightSDS!V$29*$AM440+WeightSDS!W$29-0.010431*(1-$AM440/210),IF($AM440&lt;123,WeightSDS!M$30*$AM440^10+WeightSDS!N$30*$AM440^9+WeightSDS!O$30*$AM440^8+WeightSDS!P$30*$AM440^7+WeightSDS!Q$30*$AM440^6+WeightSDS!R$30*$AM440^5+WeightSDS!S$30*$AM440^4+WeightSDS!T$30*$AM440^3+WeightSDS!U$30*$AM440^2+WeightSDS!V$30*$AM440+WeightSDS!W$30-0.010431*(1-1/$AM440),WeightSDS!M$32+WeightSDS!N$32/(1+EXP(WeightSDS!O$32+WeightSDS!P$32*$AM440))-0.010431*(1-$AM440/210))))</f>
        <v>2.9500001032655536</v>
      </c>
      <c r="AQ440" s="4">
        <f>IF(D440="M",IF($AM440&lt;162,WeightSDS!P$12*$AM440^7+WeightSDS!Q$12*$AM440^6+WeightSDS!R$12*$AM440^5+WeightSDS!S$12*$AM440^4+WeightSDS!T$12*$AM440^3+WeightSDS!U$12*$AM440^2+WeightSDS!V$12*$AM440+WeightSDS!W$12,WeightSDS!P$14*$AM440^7+WeightSDS!Q$14*$AM440^6+WeightSDS!R$14*$AM440^5+WeightSDS!S$14*$AM440^4+WeightSDS!T$14*$AM440^3+WeightSDS!U$14*$AM440^2+WeightSDS!V$14*$AM440+WeightSDS!W$14),IF($AM440&lt;156,WeightSDS!O$17*$AM440^8+WeightSDS!P$17*$AM440^7+WeightSDS!Q$17*$AM440^6+WeightSDS!R$17*$AM440^5+WeightSDS!S$17*$AM440^4+WeightSDS!T$17*$AM440^3+WeightSDS!U$17*$AM440^2+WeightSDS!V$17*$AM440+WeightSDS!W$17,IF($AM440&lt;186,WeightSDS!$U$18+(WeightSDS!$V$18-WeightSDS!$U$18)/24*($AM440-186)+WeightSDS!$W$18*(-$AM440+186)^2-0.005,WeightSDS!$U$18+(WeightSDS!$V$18-WeightSDS!$U$18)/24*($AM440-186)-0.005)))</f>
        <v>0.14604529399999999</v>
      </c>
      <c r="AT440" s="4">
        <f t="shared" si="133"/>
        <v>0.56299999999999994</v>
      </c>
      <c r="AU440" s="4">
        <f t="shared" si="134"/>
        <v>69</v>
      </c>
      <c r="AV440" s="4">
        <f t="shared" si="135"/>
        <v>0.51</v>
      </c>
    </row>
    <row r="441" spans="1:48" x14ac:dyDescent="0.15">
      <c r="A441" s="4"/>
      <c r="B441" s="21"/>
      <c r="C441" s="21"/>
      <c r="D441" s="21"/>
      <c r="E441" s="22"/>
      <c r="F441" s="22"/>
      <c r="G441" s="23"/>
      <c r="H441" s="23"/>
      <c r="I441" s="181"/>
      <c r="J441" s="8" t="str">
        <f t="shared" si="127"/>
        <v/>
      </c>
      <c r="K441" s="2" t="str">
        <f t="shared" si="136"/>
        <v/>
      </c>
      <c r="L441" s="2" t="str">
        <f t="shared" si="128"/>
        <v/>
      </c>
      <c r="M441" s="2" t="str">
        <f t="shared" si="137"/>
        <v/>
      </c>
      <c r="N441" s="2" t="str">
        <f t="shared" si="145"/>
        <v/>
      </c>
      <c r="O441" s="2" t="str">
        <f t="shared" si="138"/>
        <v/>
      </c>
      <c r="P441" s="8" t="str">
        <f t="shared" si="139"/>
        <v/>
      </c>
      <c r="Q441" s="8" t="str">
        <f t="shared" si="140"/>
        <v/>
      </c>
      <c r="R441" s="111" t="str">
        <f t="shared" si="141"/>
        <v/>
      </c>
      <c r="S441" s="44" t="str">
        <f t="shared" si="142"/>
        <v/>
      </c>
      <c r="T441" s="37" t="str">
        <f t="shared" si="143"/>
        <v/>
      </c>
      <c r="U441" s="44" t="str">
        <f t="shared" si="144"/>
        <v/>
      </c>
      <c r="V441" s="26"/>
      <c r="W441" s="26"/>
      <c r="X441" s="26"/>
      <c r="Y441" s="26"/>
      <c r="Z441" s="24"/>
      <c r="AA441" s="169">
        <f t="shared" si="129"/>
        <v>0</v>
      </c>
      <c r="AB441" s="4">
        <f t="shared" si="130"/>
        <v>0</v>
      </c>
      <c r="AC441" s="170">
        <f t="shared" si="147"/>
        <v>0</v>
      </c>
      <c r="AD441" s="58"/>
      <c r="AE441" s="58"/>
      <c r="AF441" s="58"/>
      <c r="AG441" s="59">
        <f t="shared" si="131"/>
        <v>9.0359999999999996</v>
      </c>
      <c r="AH441" s="59">
        <f t="shared" si="132"/>
        <v>-184.49199999999999</v>
      </c>
      <c r="AJ441" s="4">
        <f>IF(D441="M",IF(AM441&lt;78,BMILMS!$D$5*AM441^3+BMILMS!$E$5*AM441^2+BMILMS!$F$5*AM441+BMILMS!$G$5,IF(AM441&lt;150,BMILMS!$D$6*AM441^3+BMILMS!$E$6*AM441^2+BMILMS!$F$6*AM441+BMILMS!$G$6,BMILMS!$D$7*AM441^3+BMILMS!$E$7*AM441^2+BMILMS!$F$7*AM441+BMILMS!$G$7)),IF(AM441&lt;69,BMILMS!$D$9*AM441^3+BMILMS!$E$9*AM441^2+BMILMS!$F$9*AM441+BMILMS!$G$9,IF(AM441&lt;150,BMILMS!$D$10*AM441^3+BMILMS!$E$10*AM441^2+BMILMS!$F$10*AM441+BMILMS!$G$10,BMILMS!$D$11*AM441^3+BMILMS!$E$11*AM441^2+BMILMS!$F$11*AM441+BMILMS!$G$11)))</f>
        <v>0.79584630099999998</v>
      </c>
      <c r="AK441" s="4">
        <f>IF(D441="M",(IF(AM441&lt;2.5,BMILMS!$D$21*AM441^3+BMILMS!$E$21*AM441^2+BMILMS!$F$21*AM441+BMILMS!$G$21,IF(AM441&lt;9.5,BMILMS!$D$22*AM441^3+BMILMS!$E$22*AM441^2+BMILMS!$F$22*AM441+BMILMS!$G$22,IF(AM441&lt;26.75,BMILMS!$D$23*AM441^3+BMILMS!$E$23*AM441^2+BMILMS!$F$23*AM441+BMILMS!$G$23,IF(AM441&lt;90,BMILMS!$D$24*AM441^3+BMILMS!$E$24*AM441^2+BMILMS!$F$24*AM441+BMILMS!$G$24,BMILMS!$D$25*AM441^3+BMILMS!$E$25*AM441^2+BMILMS!$F$25*AM441+BMILMS!$G$25))))),(IF(AM441&lt;2.5,BMILMS!$D$27*AM441^3+BMILMS!$E$27*AM441^2+BMILMS!$F$27*AM441+BMILMS!$G$27,IF(AM441&lt;9.5,BMILMS!$D$28*AM441^3+BMILMS!$E$28*AM441^2+BMILMS!$F$28*AM441+BMILMS!$G$28,IF(AM441&lt;26.75,BMILMS!$D$29*AM441^3+BMILMS!$E$29*AM441^2+BMILMS!$F$29*AM441+BMILMS!$G$29,IF(AM441&lt;90,BMILMS!$D$30*AM441^3+BMILMS!$E$30*AM441^2+BMILMS!$F$30*AM441+BMILMS!$G$30,IF(AM441&lt;150,BMILMS!$D$31*AM441^3+BMILMS!$E$31*AM441^2+BMILMS!$F$31*AM441+BMILMS!$G$31,BMILMS!$D$32*AM441^3+BMILMS!$E$32*AM441^2+BMILMS!$F$32*AM441+BMILMS!$G$32)))))))</f>
        <v>12.568967990000001</v>
      </c>
      <c r="AL441" s="4">
        <f>IF(D441="M",(IF(AM441&lt;90,BMILMS!$D$14*AM441^3+BMILMS!$E$14*AM441^2+BMILMS!$F$14*AM441+BMILMS!$G$14,BMILMS!$D$15*AM441^3+BMILMS!$E$15*AM441^2+BMILMS!$F$15*AM441+BMILMS!$G$15)),(IF(AM441&lt;90,BMILMS!$D$17*AM441^3+BMILMS!$E$17*AM441^2+BMILMS!$F$17*AM441+BMILMS!$G$17,BMILMS!$D$18*AM441^3+BMILMS!$E$18*AM441^2+BMILMS!$F$18*AM441+BMILMS!$G$18)))</f>
        <v>8.8969350000000003E-2</v>
      </c>
      <c r="AM441" s="4">
        <f t="shared" si="146"/>
        <v>0</v>
      </c>
      <c r="AO441" s="56">
        <f>IF(D441="M",WeightSDS!P$5*$AM441^7+WeightSDS!Q$5*$AM441^6+WeightSDS!R$5*$AM441^5+WeightSDS!S$5*$AM441^4+WeightSDS!T$5*$AM441^3+WeightSDS!U$5*$AM441^2+WeightSDS!V$5*$AM441+WeightSDS!W$5,IF($AM441&lt;186,WeightSDS!P$8*$AM441^7+WeightSDS!Q$8*$AM441^6+WeightSDS!R$8*$AM441^5+WeightSDS!S$8*$AM441^4+WeightSDS!T$8*$AM441^3+WeightSDS!U$8*$AM441^2+WeightSDS!V$8*$AM441+WeightSDS!W$8,WeightSDS!$U$9+WeightSDS!$V$9*($AM441-WeightSDS!$W$9)))</f>
        <v>0.75407122999999998</v>
      </c>
      <c r="AP441" s="4">
        <f>IF(D441="M",IF($AM441&lt;45,WeightSDS!M$23*$AM441^10+WeightSDS!N$23*$AM441^9+WeightSDS!O$23*$AM441^8+WeightSDS!P$23*$AM441^7+WeightSDS!Q$23*$AM441^6+WeightSDS!R$23*$AM441^5+WeightSDS!S$23*$AM441^4+WeightSDS!T$23*$AM441^3+WeightSDS!U$23*$AM441^2+WeightSDS!V$23*$AM441+WeightSDS!W$23,IF($AM441&lt;153,WeightSDS!M$25*$AM441^10+WeightSDS!N$25*$AM441^9+WeightSDS!O$25*$AM441^8+WeightSDS!P$25*$AM441^7+WeightSDS!Q$25*$AM441^6+WeightSDS!R$25*$AM441^5+WeightSDS!S$25*$AM441^4+WeightSDS!T$25*$AM441^3+WeightSDS!U$25*$AM441^2+WeightSDS!V$25*$AM441+WeightSDS!W$25,WeightSDS!M$27+WeightSDS!N$27/(1+EXP(WeightSDS!O$27+WeightSDS!P$27*$AM441)))),IF($AM441&lt;43.8,WeightSDS!M$29*$AM441^10+WeightSDS!N$29*$AM441^9+WeightSDS!O$29*$AM441^8+WeightSDS!P$29*$AM441^7+WeightSDS!Q$29*$AM441^6+WeightSDS!R$29*$AM441^5+WeightSDS!S$29*$AM441^4+WeightSDS!T$29*$AM441^3+WeightSDS!U$29*$AM441^2+WeightSDS!V$29*$AM441+WeightSDS!W$29-0.010431*(1-$AM441/210),IF($AM441&lt;123,WeightSDS!M$30*$AM441^10+WeightSDS!N$30*$AM441^9+WeightSDS!O$30*$AM441^8+WeightSDS!P$30*$AM441^7+WeightSDS!Q$30*$AM441^6+WeightSDS!R$30*$AM441^5+WeightSDS!S$30*$AM441^4+WeightSDS!T$30*$AM441^3+WeightSDS!U$30*$AM441^2+WeightSDS!V$30*$AM441+WeightSDS!W$30-0.010431*(1-1/$AM441),WeightSDS!M$32+WeightSDS!N$32/(1+EXP(WeightSDS!O$32+WeightSDS!P$32*$AM441))-0.010431*(1-$AM441/210))))</f>
        <v>2.9500001032655536</v>
      </c>
      <c r="AQ441" s="4">
        <f>IF(D441="M",IF($AM441&lt;162,WeightSDS!P$12*$AM441^7+WeightSDS!Q$12*$AM441^6+WeightSDS!R$12*$AM441^5+WeightSDS!S$12*$AM441^4+WeightSDS!T$12*$AM441^3+WeightSDS!U$12*$AM441^2+WeightSDS!V$12*$AM441+WeightSDS!W$12,WeightSDS!P$14*$AM441^7+WeightSDS!Q$14*$AM441^6+WeightSDS!R$14*$AM441^5+WeightSDS!S$14*$AM441^4+WeightSDS!T$14*$AM441^3+WeightSDS!U$14*$AM441^2+WeightSDS!V$14*$AM441+WeightSDS!W$14),IF($AM441&lt;156,WeightSDS!O$17*$AM441^8+WeightSDS!P$17*$AM441^7+WeightSDS!Q$17*$AM441^6+WeightSDS!R$17*$AM441^5+WeightSDS!S$17*$AM441^4+WeightSDS!T$17*$AM441^3+WeightSDS!U$17*$AM441^2+WeightSDS!V$17*$AM441+WeightSDS!W$17,IF($AM441&lt;186,WeightSDS!$U$18+(WeightSDS!$V$18-WeightSDS!$U$18)/24*($AM441-186)+WeightSDS!$W$18*(-$AM441+186)^2-0.005,WeightSDS!$U$18+(WeightSDS!$V$18-WeightSDS!$U$18)/24*($AM441-186)-0.005)))</f>
        <v>0.14604529399999999</v>
      </c>
      <c r="AT441" s="4">
        <f t="shared" si="133"/>
        <v>0.56299999999999994</v>
      </c>
      <c r="AU441" s="4">
        <f t="shared" si="134"/>
        <v>69</v>
      </c>
      <c r="AV441" s="4">
        <f t="shared" si="135"/>
        <v>0.51</v>
      </c>
    </row>
    <row r="442" spans="1:48" x14ac:dyDescent="0.15">
      <c r="A442" s="4"/>
      <c r="B442" s="21"/>
      <c r="C442" s="21"/>
      <c r="D442" s="21"/>
      <c r="E442" s="22"/>
      <c r="F442" s="22"/>
      <c r="G442" s="23"/>
      <c r="H442" s="23"/>
      <c r="I442" s="181"/>
      <c r="J442" s="8" t="str">
        <f t="shared" si="127"/>
        <v/>
      </c>
      <c r="K442" s="2" t="str">
        <f t="shared" si="136"/>
        <v/>
      </c>
      <c r="L442" s="2" t="str">
        <f t="shared" si="128"/>
        <v/>
      </c>
      <c r="M442" s="2" t="str">
        <f t="shared" si="137"/>
        <v/>
      </c>
      <c r="N442" s="2" t="str">
        <f t="shared" si="145"/>
        <v/>
      </c>
      <c r="O442" s="2" t="str">
        <f t="shared" si="138"/>
        <v/>
      </c>
      <c r="P442" s="8" t="str">
        <f t="shared" si="139"/>
        <v/>
      </c>
      <c r="Q442" s="8" t="str">
        <f t="shared" si="140"/>
        <v/>
      </c>
      <c r="R442" s="111" t="str">
        <f t="shared" si="141"/>
        <v/>
      </c>
      <c r="S442" s="44" t="str">
        <f t="shared" si="142"/>
        <v/>
      </c>
      <c r="T442" s="37" t="str">
        <f t="shared" si="143"/>
        <v/>
      </c>
      <c r="U442" s="44" t="str">
        <f t="shared" si="144"/>
        <v/>
      </c>
      <c r="V442" s="26"/>
      <c r="W442" s="26"/>
      <c r="X442" s="26"/>
      <c r="Y442" s="26"/>
      <c r="Z442" s="24"/>
      <c r="AA442" s="169">
        <f t="shared" si="129"/>
        <v>0</v>
      </c>
      <c r="AB442" s="4">
        <f t="shared" si="130"/>
        <v>0</v>
      </c>
      <c r="AC442" s="170">
        <f t="shared" si="147"/>
        <v>0</v>
      </c>
      <c r="AD442" s="58"/>
      <c r="AE442" s="58"/>
      <c r="AF442" s="58"/>
      <c r="AG442" s="59">
        <f t="shared" si="131"/>
        <v>9.0359999999999996</v>
      </c>
      <c r="AH442" s="59">
        <f t="shared" si="132"/>
        <v>-184.49199999999999</v>
      </c>
      <c r="AJ442" s="4">
        <f>IF(D442="M",IF(AM442&lt;78,BMILMS!$D$5*AM442^3+BMILMS!$E$5*AM442^2+BMILMS!$F$5*AM442+BMILMS!$G$5,IF(AM442&lt;150,BMILMS!$D$6*AM442^3+BMILMS!$E$6*AM442^2+BMILMS!$F$6*AM442+BMILMS!$G$6,BMILMS!$D$7*AM442^3+BMILMS!$E$7*AM442^2+BMILMS!$F$7*AM442+BMILMS!$G$7)),IF(AM442&lt;69,BMILMS!$D$9*AM442^3+BMILMS!$E$9*AM442^2+BMILMS!$F$9*AM442+BMILMS!$G$9,IF(AM442&lt;150,BMILMS!$D$10*AM442^3+BMILMS!$E$10*AM442^2+BMILMS!$F$10*AM442+BMILMS!$G$10,BMILMS!$D$11*AM442^3+BMILMS!$E$11*AM442^2+BMILMS!$F$11*AM442+BMILMS!$G$11)))</f>
        <v>0.79584630099999998</v>
      </c>
      <c r="AK442" s="4">
        <f>IF(D442="M",(IF(AM442&lt;2.5,BMILMS!$D$21*AM442^3+BMILMS!$E$21*AM442^2+BMILMS!$F$21*AM442+BMILMS!$G$21,IF(AM442&lt;9.5,BMILMS!$D$22*AM442^3+BMILMS!$E$22*AM442^2+BMILMS!$F$22*AM442+BMILMS!$G$22,IF(AM442&lt;26.75,BMILMS!$D$23*AM442^3+BMILMS!$E$23*AM442^2+BMILMS!$F$23*AM442+BMILMS!$G$23,IF(AM442&lt;90,BMILMS!$D$24*AM442^3+BMILMS!$E$24*AM442^2+BMILMS!$F$24*AM442+BMILMS!$G$24,BMILMS!$D$25*AM442^3+BMILMS!$E$25*AM442^2+BMILMS!$F$25*AM442+BMILMS!$G$25))))),(IF(AM442&lt;2.5,BMILMS!$D$27*AM442^3+BMILMS!$E$27*AM442^2+BMILMS!$F$27*AM442+BMILMS!$G$27,IF(AM442&lt;9.5,BMILMS!$D$28*AM442^3+BMILMS!$E$28*AM442^2+BMILMS!$F$28*AM442+BMILMS!$G$28,IF(AM442&lt;26.75,BMILMS!$D$29*AM442^3+BMILMS!$E$29*AM442^2+BMILMS!$F$29*AM442+BMILMS!$G$29,IF(AM442&lt;90,BMILMS!$D$30*AM442^3+BMILMS!$E$30*AM442^2+BMILMS!$F$30*AM442+BMILMS!$G$30,IF(AM442&lt;150,BMILMS!$D$31*AM442^3+BMILMS!$E$31*AM442^2+BMILMS!$F$31*AM442+BMILMS!$G$31,BMILMS!$D$32*AM442^3+BMILMS!$E$32*AM442^2+BMILMS!$F$32*AM442+BMILMS!$G$32)))))))</f>
        <v>12.568967990000001</v>
      </c>
      <c r="AL442" s="4">
        <f>IF(D442="M",(IF(AM442&lt;90,BMILMS!$D$14*AM442^3+BMILMS!$E$14*AM442^2+BMILMS!$F$14*AM442+BMILMS!$G$14,BMILMS!$D$15*AM442^3+BMILMS!$E$15*AM442^2+BMILMS!$F$15*AM442+BMILMS!$G$15)),(IF(AM442&lt;90,BMILMS!$D$17*AM442^3+BMILMS!$E$17*AM442^2+BMILMS!$F$17*AM442+BMILMS!$G$17,BMILMS!$D$18*AM442^3+BMILMS!$E$18*AM442^2+BMILMS!$F$18*AM442+BMILMS!$G$18)))</f>
        <v>8.8969350000000003E-2</v>
      </c>
      <c r="AM442" s="4">
        <f t="shared" si="146"/>
        <v>0</v>
      </c>
      <c r="AO442" s="56">
        <f>IF(D442="M",WeightSDS!P$5*$AM442^7+WeightSDS!Q$5*$AM442^6+WeightSDS!R$5*$AM442^5+WeightSDS!S$5*$AM442^4+WeightSDS!T$5*$AM442^3+WeightSDS!U$5*$AM442^2+WeightSDS!V$5*$AM442+WeightSDS!W$5,IF($AM442&lt;186,WeightSDS!P$8*$AM442^7+WeightSDS!Q$8*$AM442^6+WeightSDS!R$8*$AM442^5+WeightSDS!S$8*$AM442^4+WeightSDS!T$8*$AM442^3+WeightSDS!U$8*$AM442^2+WeightSDS!V$8*$AM442+WeightSDS!W$8,WeightSDS!$U$9+WeightSDS!$V$9*($AM442-WeightSDS!$W$9)))</f>
        <v>0.75407122999999998</v>
      </c>
      <c r="AP442" s="4">
        <f>IF(D442="M",IF($AM442&lt;45,WeightSDS!M$23*$AM442^10+WeightSDS!N$23*$AM442^9+WeightSDS!O$23*$AM442^8+WeightSDS!P$23*$AM442^7+WeightSDS!Q$23*$AM442^6+WeightSDS!R$23*$AM442^5+WeightSDS!S$23*$AM442^4+WeightSDS!T$23*$AM442^3+WeightSDS!U$23*$AM442^2+WeightSDS!V$23*$AM442+WeightSDS!W$23,IF($AM442&lt;153,WeightSDS!M$25*$AM442^10+WeightSDS!N$25*$AM442^9+WeightSDS!O$25*$AM442^8+WeightSDS!P$25*$AM442^7+WeightSDS!Q$25*$AM442^6+WeightSDS!R$25*$AM442^5+WeightSDS!S$25*$AM442^4+WeightSDS!T$25*$AM442^3+WeightSDS!U$25*$AM442^2+WeightSDS!V$25*$AM442+WeightSDS!W$25,WeightSDS!M$27+WeightSDS!N$27/(1+EXP(WeightSDS!O$27+WeightSDS!P$27*$AM442)))),IF($AM442&lt;43.8,WeightSDS!M$29*$AM442^10+WeightSDS!N$29*$AM442^9+WeightSDS!O$29*$AM442^8+WeightSDS!P$29*$AM442^7+WeightSDS!Q$29*$AM442^6+WeightSDS!R$29*$AM442^5+WeightSDS!S$29*$AM442^4+WeightSDS!T$29*$AM442^3+WeightSDS!U$29*$AM442^2+WeightSDS!V$29*$AM442+WeightSDS!W$29-0.010431*(1-$AM442/210),IF($AM442&lt;123,WeightSDS!M$30*$AM442^10+WeightSDS!N$30*$AM442^9+WeightSDS!O$30*$AM442^8+WeightSDS!P$30*$AM442^7+WeightSDS!Q$30*$AM442^6+WeightSDS!R$30*$AM442^5+WeightSDS!S$30*$AM442^4+WeightSDS!T$30*$AM442^3+WeightSDS!U$30*$AM442^2+WeightSDS!V$30*$AM442+WeightSDS!W$30-0.010431*(1-1/$AM442),WeightSDS!M$32+WeightSDS!N$32/(1+EXP(WeightSDS!O$32+WeightSDS!P$32*$AM442))-0.010431*(1-$AM442/210))))</f>
        <v>2.9500001032655536</v>
      </c>
      <c r="AQ442" s="4">
        <f>IF(D442="M",IF($AM442&lt;162,WeightSDS!P$12*$AM442^7+WeightSDS!Q$12*$AM442^6+WeightSDS!R$12*$AM442^5+WeightSDS!S$12*$AM442^4+WeightSDS!T$12*$AM442^3+WeightSDS!U$12*$AM442^2+WeightSDS!V$12*$AM442+WeightSDS!W$12,WeightSDS!P$14*$AM442^7+WeightSDS!Q$14*$AM442^6+WeightSDS!R$14*$AM442^5+WeightSDS!S$14*$AM442^4+WeightSDS!T$14*$AM442^3+WeightSDS!U$14*$AM442^2+WeightSDS!V$14*$AM442+WeightSDS!W$14),IF($AM442&lt;156,WeightSDS!O$17*$AM442^8+WeightSDS!P$17*$AM442^7+WeightSDS!Q$17*$AM442^6+WeightSDS!R$17*$AM442^5+WeightSDS!S$17*$AM442^4+WeightSDS!T$17*$AM442^3+WeightSDS!U$17*$AM442^2+WeightSDS!V$17*$AM442+WeightSDS!W$17,IF($AM442&lt;186,WeightSDS!$U$18+(WeightSDS!$V$18-WeightSDS!$U$18)/24*($AM442-186)+WeightSDS!$W$18*(-$AM442+186)^2-0.005,WeightSDS!$U$18+(WeightSDS!$V$18-WeightSDS!$U$18)/24*($AM442-186)-0.005)))</f>
        <v>0.14604529399999999</v>
      </c>
      <c r="AT442" s="4">
        <f t="shared" si="133"/>
        <v>0.56299999999999994</v>
      </c>
      <c r="AU442" s="4">
        <f t="shared" si="134"/>
        <v>69</v>
      </c>
      <c r="AV442" s="4">
        <f t="shared" si="135"/>
        <v>0.51</v>
      </c>
    </row>
    <row r="443" spans="1:48" x14ac:dyDescent="0.15">
      <c r="A443" s="4"/>
      <c r="B443" s="21"/>
      <c r="C443" s="21"/>
      <c r="D443" s="21"/>
      <c r="E443" s="22"/>
      <c r="F443" s="22"/>
      <c r="G443" s="23"/>
      <c r="H443" s="23"/>
      <c r="I443" s="181"/>
      <c r="J443" s="8" t="str">
        <f t="shared" si="127"/>
        <v/>
      </c>
      <c r="K443" s="2" t="str">
        <f t="shared" si="136"/>
        <v/>
      </c>
      <c r="L443" s="2" t="str">
        <f t="shared" si="128"/>
        <v/>
      </c>
      <c r="M443" s="2" t="str">
        <f t="shared" si="137"/>
        <v/>
      </c>
      <c r="N443" s="2" t="str">
        <f t="shared" si="145"/>
        <v/>
      </c>
      <c r="O443" s="2" t="str">
        <f t="shared" si="138"/>
        <v/>
      </c>
      <c r="P443" s="8" t="str">
        <f t="shared" si="139"/>
        <v/>
      </c>
      <c r="Q443" s="8" t="str">
        <f t="shared" si="140"/>
        <v/>
      </c>
      <c r="R443" s="111" t="str">
        <f t="shared" si="141"/>
        <v/>
      </c>
      <c r="S443" s="44" t="str">
        <f t="shared" si="142"/>
        <v/>
      </c>
      <c r="T443" s="37" t="str">
        <f t="shared" si="143"/>
        <v/>
      </c>
      <c r="U443" s="44" t="str">
        <f t="shared" si="144"/>
        <v/>
      </c>
      <c r="V443" s="26"/>
      <c r="W443" s="26"/>
      <c r="X443" s="26"/>
      <c r="Y443" s="26"/>
      <c r="Z443" s="24"/>
      <c r="AA443" s="169">
        <f t="shared" si="129"/>
        <v>0</v>
      </c>
      <c r="AB443" s="4">
        <f t="shared" si="130"/>
        <v>0</v>
      </c>
      <c r="AC443" s="170">
        <f t="shared" si="147"/>
        <v>0</v>
      </c>
      <c r="AD443" s="58"/>
      <c r="AE443" s="58"/>
      <c r="AF443" s="58"/>
      <c r="AG443" s="59">
        <f t="shared" si="131"/>
        <v>9.0359999999999996</v>
      </c>
      <c r="AH443" s="59">
        <f t="shared" si="132"/>
        <v>-184.49199999999999</v>
      </c>
      <c r="AJ443" s="4">
        <f>IF(D443="M",IF(AM443&lt;78,BMILMS!$D$5*AM443^3+BMILMS!$E$5*AM443^2+BMILMS!$F$5*AM443+BMILMS!$G$5,IF(AM443&lt;150,BMILMS!$D$6*AM443^3+BMILMS!$E$6*AM443^2+BMILMS!$F$6*AM443+BMILMS!$G$6,BMILMS!$D$7*AM443^3+BMILMS!$E$7*AM443^2+BMILMS!$F$7*AM443+BMILMS!$G$7)),IF(AM443&lt;69,BMILMS!$D$9*AM443^3+BMILMS!$E$9*AM443^2+BMILMS!$F$9*AM443+BMILMS!$G$9,IF(AM443&lt;150,BMILMS!$D$10*AM443^3+BMILMS!$E$10*AM443^2+BMILMS!$F$10*AM443+BMILMS!$G$10,BMILMS!$D$11*AM443^3+BMILMS!$E$11*AM443^2+BMILMS!$F$11*AM443+BMILMS!$G$11)))</f>
        <v>0.79584630099999998</v>
      </c>
      <c r="AK443" s="4">
        <f>IF(D443="M",(IF(AM443&lt;2.5,BMILMS!$D$21*AM443^3+BMILMS!$E$21*AM443^2+BMILMS!$F$21*AM443+BMILMS!$G$21,IF(AM443&lt;9.5,BMILMS!$D$22*AM443^3+BMILMS!$E$22*AM443^2+BMILMS!$F$22*AM443+BMILMS!$G$22,IF(AM443&lt;26.75,BMILMS!$D$23*AM443^3+BMILMS!$E$23*AM443^2+BMILMS!$F$23*AM443+BMILMS!$G$23,IF(AM443&lt;90,BMILMS!$D$24*AM443^3+BMILMS!$E$24*AM443^2+BMILMS!$F$24*AM443+BMILMS!$G$24,BMILMS!$D$25*AM443^3+BMILMS!$E$25*AM443^2+BMILMS!$F$25*AM443+BMILMS!$G$25))))),(IF(AM443&lt;2.5,BMILMS!$D$27*AM443^3+BMILMS!$E$27*AM443^2+BMILMS!$F$27*AM443+BMILMS!$G$27,IF(AM443&lt;9.5,BMILMS!$D$28*AM443^3+BMILMS!$E$28*AM443^2+BMILMS!$F$28*AM443+BMILMS!$G$28,IF(AM443&lt;26.75,BMILMS!$D$29*AM443^3+BMILMS!$E$29*AM443^2+BMILMS!$F$29*AM443+BMILMS!$G$29,IF(AM443&lt;90,BMILMS!$D$30*AM443^3+BMILMS!$E$30*AM443^2+BMILMS!$F$30*AM443+BMILMS!$G$30,IF(AM443&lt;150,BMILMS!$D$31*AM443^3+BMILMS!$E$31*AM443^2+BMILMS!$F$31*AM443+BMILMS!$G$31,BMILMS!$D$32*AM443^3+BMILMS!$E$32*AM443^2+BMILMS!$F$32*AM443+BMILMS!$G$32)))))))</f>
        <v>12.568967990000001</v>
      </c>
      <c r="AL443" s="4">
        <f>IF(D443="M",(IF(AM443&lt;90,BMILMS!$D$14*AM443^3+BMILMS!$E$14*AM443^2+BMILMS!$F$14*AM443+BMILMS!$G$14,BMILMS!$D$15*AM443^3+BMILMS!$E$15*AM443^2+BMILMS!$F$15*AM443+BMILMS!$G$15)),(IF(AM443&lt;90,BMILMS!$D$17*AM443^3+BMILMS!$E$17*AM443^2+BMILMS!$F$17*AM443+BMILMS!$G$17,BMILMS!$D$18*AM443^3+BMILMS!$E$18*AM443^2+BMILMS!$F$18*AM443+BMILMS!$G$18)))</f>
        <v>8.8969350000000003E-2</v>
      </c>
      <c r="AM443" s="4">
        <f t="shared" si="146"/>
        <v>0</v>
      </c>
      <c r="AO443" s="56">
        <f>IF(D443="M",WeightSDS!P$5*$AM443^7+WeightSDS!Q$5*$AM443^6+WeightSDS!R$5*$AM443^5+WeightSDS!S$5*$AM443^4+WeightSDS!T$5*$AM443^3+WeightSDS!U$5*$AM443^2+WeightSDS!V$5*$AM443+WeightSDS!W$5,IF($AM443&lt;186,WeightSDS!P$8*$AM443^7+WeightSDS!Q$8*$AM443^6+WeightSDS!R$8*$AM443^5+WeightSDS!S$8*$AM443^4+WeightSDS!T$8*$AM443^3+WeightSDS!U$8*$AM443^2+WeightSDS!V$8*$AM443+WeightSDS!W$8,WeightSDS!$U$9+WeightSDS!$V$9*($AM443-WeightSDS!$W$9)))</f>
        <v>0.75407122999999998</v>
      </c>
      <c r="AP443" s="4">
        <f>IF(D443="M",IF($AM443&lt;45,WeightSDS!M$23*$AM443^10+WeightSDS!N$23*$AM443^9+WeightSDS!O$23*$AM443^8+WeightSDS!P$23*$AM443^7+WeightSDS!Q$23*$AM443^6+WeightSDS!R$23*$AM443^5+WeightSDS!S$23*$AM443^4+WeightSDS!T$23*$AM443^3+WeightSDS!U$23*$AM443^2+WeightSDS!V$23*$AM443+WeightSDS!W$23,IF($AM443&lt;153,WeightSDS!M$25*$AM443^10+WeightSDS!N$25*$AM443^9+WeightSDS!O$25*$AM443^8+WeightSDS!P$25*$AM443^7+WeightSDS!Q$25*$AM443^6+WeightSDS!R$25*$AM443^5+WeightSDS!S$25*$AM443^4+WeightSDS!T$25*$AM443^3+WeightSDS!U$25*$AM443^2+WeightSDS!V$25*$AM443+WeightSDS!W$25,WeightSDS!M$27+WeightSDS!N$27/(1+EXP(WeightSDS!O$27+WeightSDS!P$27*$AM443)))),IF($AM443&lt;43.8,WeightSDS!M$29*$AM443^10+WeightSDS!N$29*$AM443^9+WeightSDS!O$29*$AM443^8+WeightSDS!P$29*$AM443^7+WeightSDS!Q$29*$AM443^6+WeightSDS!R$29*$AM443^5+WeightSDS!S$29*$AM443^4+WeightSDS!T$29*$AM443^3+WeightSDS!U$29*$AM443^2+WeightSDS!V$29*$AM443+WeightSDS!W$29-0.010431*(1-$AM443/210),IF($AM443&lt;123,WeightSDS!M$30*$AM443^10+WeightSDS!N$30*$AM443^9+WeightSDS!O$30*$AM443^8+WeightSDS!P$30*$AM443^7+WeightSDS!Q$30*$AM443^6+WeightSDS!R$30*$AM443^5+WeightSDS!S$30*$AM443^4+WeightSDS!T$30*$AM443^3+WeightSDS!U$30*$AM443^2+WeightSDS!V$30*$AM443+WeightSDS!W$30-0.010431*(1-1/$AM443),WeightSDS!M$32+WeightSDS!N$32/(1+EXP(WeightSDS!O$32+WeightSDS!P$32*$AM443))-0.010431*(1-$AM443/210))))</f>
        <v>2.9500001032655536</v>
      </c>
      <c r="AQ443" s="4">
        <f>IF(D443="M",IF($AM443&lt;162,WeightSDS!P$12*$AM443^7+WeightSDS!Q$12*$AM443^6+WeightSDS!R$12*$AM443^5+WeightSDS!S$12*$AM443^4+WeightSDS!T$12*$AM443^3+WeightSDS!U$12*$AM443^2+WeightSDS!V$12*$AM443+WeightSDS!W$12,WeightSDS!P$14*$AM443^7+WeightSDS!Q$14*$AM443^6+WeightSDS!R$14*$AM443^5+WeightSDS!S$14*$AM443^4+WeightSDS!T$14*$AM443^3+WeightSDS!U$14*$AM443^2+WeightSDS!V$14*$AM443+WeightSDS!W$14),IF($AM443&lt;156,WeightSDS!O$17*$AM443^8+WeightSDS!P$17*$AM443^7+WeightSDS!Q$17*$AM443^6+WeightSDS!R$17*$AM443^5+WeightSDS!S$17*$AM443^4+WeightSDS!T$17*$AM443^3+WeightSDS!U$17*$AM443^2+WeightSDS!V$17*$AM443+WeightSDS!W$17,IF($AM443&lt;186,WeightSDS!$U$18+(WeightSDS!$V$18-WeightSDS!$U$18)/24*($AM443-186)+WeightSDS!$W$18*(-$AM443+186)^2-0.005,WeightSDS!$U$18+(WeightSDS!$V$18-WeightSDS!$U$18)/24*($AM443-186)-0.005)))</f>
        <v>0.14604529399999999</v>
      </c>
      <c r="AT443" s="4">
        <f t="shared" si="133"/>
        <v>0.56299999999999994</v>
      </c>
      <c r="AU443" s="4">
        <f t="shared" si="134"/>
        <v>69</v>
      </c>
      <c r="AV443" s="4">
        <f t="shared" si="135"/>
        <v>0.51</v>
      </c>
    </row>
    <row r="444" spans="1:48" x14ac:dyDescent="0.15">
      <c r="A444" s="4"/>
      <c r="B444" s="21"/>
      <c r="C444" s="21"/>
      <c r="D444" s="21"/>
      <c r="E444" s="22"/>
      <c r="F444" s="22"/>
      <c r="G444" s="23"/>
      <c r="H444" s="23"/>
      <c r="I444" s="181"/>
      <c r="J444" s="8" t="str">
        <f t="shared" si="127"/>
        <v/>
      </c>
      <c r="K444" s="2" t="str">
        <f t="shared" si="136"/>
        <v/>
      </c>
      <c r="L444" s="2" t="str">
        <f t="shared" si="128"/>
        <v/>
      </c>
      <c r="M444" s="2" t="str">
        <f t="shared" si="137"/>
        <v/>
      </c>
      <c r="N444" s="2" t="str">
        <f t="shared" si="145"/>
        <v/>
      </c>
      <c r="O444" s="2" t="str">
        <f t="shared" si="138"/>
        <v/>
      </c>
      <c r="P444" s="8" t="str">
        <f t="shared" si="139"/>
        <v/>
      </c>
      <c r="Q444" s="8" t="str">
        <f t="shared" si="140"/>
        <v/>
      </c>
      <c r="R444" s="111" t="str">
        <f t="shared" si="141"/>
        <v/>
      </c>
      <c r="S444" s="44" t="str">
        <f t="shared" si="142"/>
        <v/>
      </c>
      <c r="T444" s="37" t="str">
        <f t="shared" si="143"/>
        <v/>
      </c>
      <c r="U444" s="44" t="str">
        <f t="shared" si="144"/>
        <v/>
      </c>
      <c r="V444" s="26"/>
      <c r="W444" s="26"/>
      <c r="X444" s="26"/>
      <c r="Y444" s="26"/>
      <c r="Z444" s="24"/>
      <c r="AA444" s="169">
        <f t="shared" si="129"/>
        <v>0</v>
      </c>
      <c r="AB444" s="4">
        <f t="shared" si="130"/>
        <v>0</v>
      </c>
      <c r="AC444" s="170">
        <f t="shared" si="147"/>
        <v>0</v>
      </c>
      <c r="AD444" s="58"/>
      <c r="AE444" s="58"/>
      <c r="AF444" s="58"/>
      <c r="AG444" s="59">
        <f t="shared" si="131"/>
        <v>9.0359999999999996</v>
      </c>
      <c r="AH444" s="59">
        <f t="shared" si="132"/>
        <v>-184.49199999999999</v>
      </c>
      <c r="AJ444" s="4">
        <f>IF(D444="M",IF(AM444&lt;78,BMILMS!$D$5*AM444^3+BMILMS!$E$5*AM444^2+BMILMS!$F$5*AM444+BMILMS!$G$5,IF(AM444&lt;150,BMILMS!$D$6*AM444^3+BMILMS!$E$6*AM444^2+BMILMS!$F$6*AM444+BMILMS!$G$6,BMILMS!$D$7*AM444^3+BMILMS!$E$7*AM444^2+BMILMS!$F$7*AM444+BMILMS!$G$7)),IF(AM444&lt;69,BMILMS!$D$9*AM444^3+BMILMS!$E$9*AM444^2+BMILMS!$F$9*AM444+BMILMS!$G$9,IF(AM444&lt;150,BMILMS!$D$10*AM444^3+BMILMS!$E$10*AM444^2+BMILMS!$F$10*AM444+BMILMS!$G$10,BMILMS!$D$11*AM444^3+BMILMS!$E$11*AM444^2+BMILMS!$F$11*AM444+BMILMS!$G$11)))</f>
        <v>0.79584630099999998</v>
      </c>
      <c r="AK444" s="4">
        <f>IF(D444="M",(IF(AM444&lt;2.5,BMILMS!$D$21*AM444^3+BMILMS!$E$21*AM444^2+BMILMS!$F$21*AM444+BMILMS!$G$21,IF(AM444&lt;9.5,BMILMS!$D$22*AM444^3+BMILMS!$E$22*AM444^2+BMILMS!$F$22*AM444+BMILMS!$G$22,IF(AM444&lt;26.75,BMILMS!$D$23*AM444^3+BMILMS!$E$23*AM444^2+BMILMS!$F$23*AM444+BMILMS!$G$23,IF(AM444&lt;90,BMILMS!$D$24*AM444^3+BMILMS!$E$24*AM444^2+BMILMS!$F$24*AM444+BMILMS!$G$24,BMILMS!$D$25*AM444^3+BMILMS!$E$25*AM444^2+BMILMS!$F$25*AM444+BMILMS!$G$25))))),(IF(AM444&lt;2.5,BMILMS!$D$27*AM444^3+BMILMS!$E$27*AM444^2+BMILMS!$F$27*AM444+BMILMS!$G$27,IF(AM444&lt;9.5,BMILMS!$D$28*AM444^3+BMILMS!$E$28*AM444^2+BMILMS!$F$28*AM444+BMILMS!$G$28,IF(AM444&lt;26.75,BMILMS!$D$29*AM444^3+BMILMS!$E$29*AM444^2+BMILMS!$F$29*AM444+BMILMS!$G$29,IF(AM444&lt;90,BMILMS!$D$30*AM444^3+BMILMS!$E$30*AM444^2+BMILMS!$F$30*AM444+BMILMS!$G$30,IF(AM444&lt;150,BMILMS!$D$31*AM444^3+BMILMS!$E$31*AM444^2+BMILMS!$F$31*AM444+BMILMS!$G$31,BMILMS!$D$32*AM444^3+BMILMS!$E$32*AM444^2+BMILMS!$F$32*AM444+BMILMS!$G$32)))))))</f>
        <v>12.568967990000001</v>
      </c>
      <c r="AL444" s="4">
        <f>IF(D444="M",(IF(AM444&lt;90,BMILMS!$D$14*AM444^3+BMILMS!$E$14*AM444^2+BMILMS!$F$14*AM444+BMILMS!$G$14,BMILMS!$D$15*AM444^3+BMILMS!$E$15*AM444^2+BMILMS!$F$15*AM444+BMILMS!$G$15)),(IF(AM444&lt;90,BMILMS!$D$17*AM444^3+BMILMS!$E$17*AM444^2+BMILMS!$F$17*AM444+BMILMS!$G$17,BMILMS!$D$18*AM444^3+BMILMS!$E$18*AM444^2+BMILMS!$F$18*AM444+BMILMS!$G$18)))</f>
        <v>8.8969350000000003E-2</v>
      </c>
      <c r="AM444" s="4">
        <f t="shared" si="146"/>
        <v>0</v>
      </c>
      <c r="AO444" s="56">
        <f>IF(D444="M",WeightSDS!P$5*$AM444^7+WeightSDS!Q$5*$AM444^6+WeightSDS!R$5*$AM444^5+WeightSDS!S$5*$AM444^4+WeightSDS!T$5*$AM444^3+WeightSDS!U$5*$AM444^2+WeightSDS!V$5*$AM444+WeightSDS!W$5,IF($AM444&lt;186,WeightSDS!P$8*$AM444^7+WeightSDS!Q$8*$AM444^6+WeightSDS!R$8*$AM444^5+WeightSDS!S$8*$AM444^4+WeightSDS!T$8*$AM444^3+WeightSDS!U$8*$AM444^2+WeightSDS!V$8*$AM444+WeightSDS!W$8,WeightSDS!$U$9+WeightSDS!$V$9*($AM444-WeightSDS!$W$9)))</f>
        <v>0.75407122999999998</v>
      </c>
      <c r="AP444" s="4">
        <f>IF(D444="M",IF($AM444&lt;45,WeightSDS!M$23*$AM444^10+WeightSDS!N$23*$AM444^9+WeightSDS!O$23*$AM444^8+WeightSDS!P$23*$AM444^7+WeightSDS!Q$23*$AM444^6+WeightSDS!R$23*$AM444^5+WeightSDS!S$23*$AM444^4+WeightSDS!T$23*$AM444^3+WeightSDS!U$23*$AM444^2+WeightSDS!V$23*$AM444+WeightSDS!W$23,IF($AM444&lt;153,WeightSDS!M$25*$AM444^10+WeightSDS!N$25*$AM444^9+WeightSDS!O$25*$AM444^8+WeightSDS!P$25*$AM444^7+WeightSDS!Q$25*$AM444^6+WeightSDS!R$25*$AM444^5+WeightSDS!S$25*$AM444^4+WeightSDS!T$25*$AM444^3+WeightSDS!U$25*$AM444^2+WeightSDS!V$25*$AM444+WeightSDS!W$25,WeightSDS!M$27+WeightSDS!N$27/(1+EXP(WeightSDS!O$27+WeightSDS!P$27*$AM444)))),IF($AM444&lt;43.8,WeightSDS!M$29*$AM444^10+WeightSDS!N$29*$AM444^9+WeightSDS!O$29*$AM444^8+WeightSDS!P$29*$AM444^7+WeightSDS!Q$29*$AM444^6+WeightSDS!R$29*$AM444^5+WeightSDS!S$29*$AM444^4+WeightSDS!T$29*$AM444^3+WeightSDS!U$29*$AM444^2+WeightSDS!V$29*$AM444+WeightSDS!W$29-0.010431*(1-$AM444/210),IF($AM444&lt;123,WeightSDS!M$30*$AM444^10+WeightSDS!N$30*$AM444^9+WeightSDS!O$30*$AM444^8+WeightSDS!P$30*$AM444^7+WeightSDS!Q$30*$AM444^6+WeightSDS!R$30*$AM444^5+WeightSDS!S$30*$AM444^4+WeightSDS!T$30*$AM444^3+WeightSDS!U$30*$AM444^2+WeightSDS!V$30*$AM444+WeightSDS!W$30-0.010431*(1-1/$AM444),WeightSDS!M$32+WeightSDS!N$32/(1+EXP(WeightSDS!O$32+WeightSDS!P$32*$AM444))-0.010431*(1-$AM444/210))))</f>
        <v>2.9500001032655536</v>
      </c>
      <c r="AQ444" s="4">
        <f>IF(D444="M",IF($AM444&lt;162,WeightSDS!P$12*$AM444^7+WeightSDS!Q$12*$AM444^6+WeightSDS!R$12*$AM444^5+WeightSDS!S$12*$AM444^4+WeightSDS!T$12*$AM444^3+WeightSDS!U$12*$AM444^2+WeightSDS!V$12*$AM444+WeightSDS!W$12,WeightSDS!P$14*$AM444^7+WeightSDS!Q$14*$AM444^6+WeightSDS!R$14*$AM444^5+WeightSDS!S$14*$AM444^4+WeightSDS!T$14*$AM444^3+WeightSDS!U$14*$AM444^2+WeightSDS!V$14*$AM444+WeightSDS!W$14),IF($AM444&lt;156,WeightSDS!O$17*$AM444^8+WeightSDS!P$17*$AM444^7+WeightSDS!Q$17*$AM444^6+WeightSDS!R$17*$AM444^5+WeightSDS!S$17*$AM444^4+WeightSDS!T$17*$AM444^3+WeightSDS!U$17*$AM444^2+WeightSDS!V$17*$AM444+WeightSDS!W$17,IF($AM444&lt;186,WeightSDS!$U$18+(WeightSDS!$V$18-WeightSDS!$U$18)/24*($AM444-186)+WeightSDS!$W$18*(-$AM444+186)^2-0.005,WeightSDS!$U$18+(WeightSDS!$V$18-WeightSDS!$U$18)/24*($AM444-186)-0.005)))</f>
        <v>0.14604529399999999</v>
      </c>
      <c r="AT444" s="4">
        <f t="shared" si="133"/>
        <v>0.56299999999999994</v>
      </c>
      <c r="AU444" s="4">
        <f t="shared" si="134"/>
        <v>69</v>
      </c>
      <c r="AV444" s="4">
        <f t="shared" si="135"/>
        <v>0.51</v>
      </c>
    </row>
    <row r="445" spans="1:48" x14ac:dyDescent="0.15">
      <c r="A445" s="4"/>
      <c r="B445" s="21"/>
      <c r="C445" s="21"/>
      <c r="D445" s="21"/>
      <c r="E445" s="22"/>
      <c r="F445" s="22"/>
      <c r="G445" s="23"/>
      <c r="H445" s="23"/>
      <c r="I445" s="181"/>
      <c r="J445" s="8" t="str">
        <f t="shared" si="127"/>
        <v/>
      </c>
      <c r="K445" s="2" t="str">
        <f t="shared" si="136"/>
        <v/>
      </c>
      <c r="L445" s="2" t="str">
        <f t="shared" si="128"/>
        <v/>
      </c>
      <c r="M445" s="2" t="str">
        <f t="shared" si="137"/>
        <v/>
      </c>
      <c r="N445" s="2" t="str">
        <f t="shared" si="145"/>
        <v/>
      </c>
      <c r="O445" s="2" t="str">
        <f t="shared" si="138"/>
        <v/>
      </c>
      <c r="P445" s="8" t="str">
        <f t="shared" si="139"/>
        <v/>
      </c>
      <c r="Q445" s="8" t="str">
        <f t="shared" si="140"/>
        <v/>
      </c>
      <c r="R445" s="111" t="str">
        <f t="shared" si="141"/>
        <v/>
      </c>
      <c r="S445" s="44" t="str">
        <f t="shared" si="142"/>
        <v/>
      </c>
      <c r="T445" s="37" t="str">
        <f t="shared" si="143"/>
        <v/>
      </c>
      <c r="U445" s="44" t="str">
        <f t="shared" si="144"/>
        <v/>
      </c>
      <c r="V445" s="26"/>
      <c r="W445" s="26"/>
      <c r="X445" s="26"/>
      <c r="Y445" s="26"/>
      <c r="Z445" s="24"/>
      <c r="AA445" s="169">
        <f t="shared" si="129"/>
        <v>0</v>
      </c>
      <c r="AB445" s="4">
        <f t="shared" si="130"/>
        <v>0</v>
      </c>
      <c r="AC445" s="170">
        <f t="shared" si="147"/>
        <v>0</v>
      </c>
      <c r="AD445" s="58"/>
      <c r="AE445" s="58"/>
      <c r="AF445" s="58"/>
      <c r="AG445" s="59">
        <f t="shared" si="131"/>
        <v>9.0359999999999996</v>
      </c>
      <c r="AH445" s="59">
        <f t="shared" si="132"/>
        <v>-184.49199999999999</v>
      </c>
      <c r="AJ445" s="4">
        <f>IF(D445="M",IF(AM445&lt;78,BMILMS!$D$5*AM445^3+BMILMS!$E$5*AM445^2+BMILMS!$F$5*AM445+BMILMS!$G$5,IF(AM445&lt;150,BMILMS!$D$6*AM445^3+BMILMS!$E$6*AM445^2+BMILMS!$F$6*AM445+BMILMS!$G$6,BMILMS!$D$7*AM445^3+BMILMS!$E$7*AM445^2+BMILMS!$F$7*AM445+BMILMS!$G$7)),IF(AM445&lt;69,BMILMS!$D$9*AM445^3+BMILMS!$E$9*AM445^2+BMILMS!$F$9*AM445+BMILMS!$G$9,IF(AM445&lt;150,BMILMS!$D$10*AM445^3+BMILMS!$E$10*AM445^2+BMILMS!$F$10*AM445+BMILMS!$G$10,BMILMS!$D$11*AM445^3+BMILMS!$E$11*AM445^2+BMILMS!$F$11*AM445+BMILMS!$G$11)))</f>
        <v>0.79584630099999998</v>
      </c>
      <c r="AK445" s="4">
        <f>IF(D445="M",(IF(AM445&lt;2.5,BMILMS!$D$21*AM445^3+BMILMS!$E$21*AM445^2+BMILMS!$F$21*AM445+BMILMS!$G$21,IF(AM445&lt;9.5,BMILMS!$D$22*AM445^3+BMILMS!$E$22*AM445^2+BMILMS!$F$22*AM445+BMILMS!$G$22,IF(AM445&lt;26.75,BMILMS!$D$23*AM445^3+BMILMS!$E$23*AM445^2+BMILMS!$F$23*AM445+BMILMS!$G$23,IF(AM445&lt;90,BMILMS!$D$24*AM445^3+BMILMS!$E$24*AM445^2+BMILMS!$F$24*AM445+BMILMS!$G$24,BMILMS!$D$25*AM445^3+BMILMS!$E$25*AM445^2+BMILMS!$F$25*AM445+BMILMS!$G$25))))),(IF(AM445&lt;2.5,BMILMS!$D$27*AM445^3+BMILMS!$E$27*AM445^2+BMILMS!$F$27*AM445+BMILMS!$G$27,IF(AM445&lt;9.5,BMILMS!$D$28*AM445^3+BMILMS!$E$28*AM445^2+BMILMS!$F$28*AM445+BMILMS!$G$28,IF(AM445&lt;26.75,BMILMS!$D$29*AM445^3+BMILMS!$E$29*AM445^2+BMILMS!$F$29*AM445+BMILMS!$G$29,IF(AM445&lt;90,BMILMS!$D$30*AM445^3+BMILMS!$E$30*AM445^2+BMILMS!$F$30*AM445+BMILMS!$G$30,IF(AM445&lt;150,BMILMS!$D$31*AM445^3+BMILMS!$E$31*AM445^2+BMILMS!$F$31*AM445+BMILMS!$G$31,BMILMS!$D$32*AM445^3+BMILMS!$E$32*AM445^2+BMILMS!$F$32*AM445+BMILMS!$G$32)))))))</f>
        <v>12.568967990000001</v>
      </c>
      <c r="AL445" s="4">
        <f>IF(D445="M",(IF(AM445&lt;90,BMILMS!$D$14*AM445^3+BMILMS!$E$14*AM445^2+BMILMS!$F$14*AM445+BMILMS!$G$14,BMILMS!$D$15*AM445^3+BMILMS!$E$15*AM445^2+BMILMS!$F$15*AM445+BMILMS!$G$15)),(IF(AM445&lt;90,BMILMS!$D$17*AM445^3+BMILMS!$E$17*AM445^2+BMILMS!$F$17*AM445+BMILMS!$G$17,BMILMS!$D$18*AM445^3+BMILMS!$E$18*AM445^2+BMILMS!$F$18*AM445+BMILMS!$G$18)))</f>
        <v>8.8969350000000003E-2</v>
      </c>
      <c r="AM445" s="4">
        <f t="shared" si="146"/>
        <v>0</v>
      </c>
      <c r="AO445" s="56">
        <f>IF(D445="M",WeightSDS!P$5*$AM445^7+WeightSDS!Q$5*$AM445^6+WeightSDS!R$5*$AM445^5+WeightSDS!S$5*$AM445^4+WeightSDS!T$5*$AM445^3+WeightSDS!U$5*$AM445^2+WeightSDS!V$5*$AM445+WeightSDS!W$5,IF($AM445&lt;186,WeightSDS!P$8*$AM445^7+WeightSDS!Q$8*$AM445^6+WeightSDS!R$8*$AM445^5+WeightSDS!S$8*$AM445^4+WeightSDS!T$8*$AM445^3+WeightSDS!U$8*$AM445^2+WeightSDS!V$8*$AM445+WeightSDS!W$8,WeightSDS!$U$9+WeightSDS!$V$9*($AM445-WeightSDS!$W$9)))</f>
        <v>0.75407122999999998</v>
      </c>
      <c r="AP445" s="4">
        <f>IF(D445="M",IF($AM445&lt;45,WeightSDS!M$23*$AM445^10+WeightSDS!N$23*$AM445^9+WeightSDS!O$23*$AM445^8+WeightSDS!P$23*$AM445^7+WeightSDS!Q$23*$AM445^6+WeightSDS!R$23*$AM445^5+WeightSDS!S$23*$AM445^4+WeightSDS!T$23*$AM445^3+WeightSDS!U$23*$AM445^2+WeightSDS!V$23*$AM445+WeightSDS!W$23,IF($AM445&lt;153,WeightSDS!M$25*$AM445^10+WeightSDS!N$25*$AM445^9+WeightSDS!O$25*$AM445^8+WeightSDS!P$25*$AM445^7+WeightSDS!Q$25*$AM445^6+WeightSDS!R$25*$AM445^5+WeightSDS!S$25*$AM445^4+WeightSDS!T$25*$AM445^3+WeightSDS!U$25*$AM445^2+WeightSDS!V$25*$AM445+WeightSDS!W$25,WeightSDS!M$27+WeightSDS!N$27/(1+EXP(WeightSDS!O$27+WeightSDS!P$27*$AM445)))),IF($AM445&lt;43.8,WeightSDS!M$29*$AM445^10+WeightSDS!N$29*$AM445^9+WeightSDS!O$29*$AM445^8+WeightSDS!P$29*$AM445^7+WeightSDS!Q$29*$AM445^6+WeightSDS!R$29*$AM445^5+WeightSDS!S$29*$AM445^4+WeightSDS!T$29*$AM445^3+WeightSDS!U$29*$AM445^2+WeightSDS!V$29*$AM445+WeightSDS!W$29-0.010431*(1-$AM445/210),IF($AM445&lt;123,WeightSDS!M$30*$AM445^10+WeightSDS!N$30*$AM445^9+WeightSDS!O$30*$AM445^8+WeightSDS!P$30*$AM445^7+WeightSDS!Q$30*$AM445^6+WeightSDS!R$30*$AM445^5+WeightSDS!S$30*$AM445^4+WeightSDS!T$30*$AM445^3+WeightSDS!U$30*$AM445^2+WeightSDS!V$30*$AM445+WeightSDS!W$30-0.010431*(1-1/$AM445),WeightSDS!M$32+WeightSDS!N$32/(1+EXP(WeightSDS!O$32+WeightSDS!P$32*$AM445))-0.010431*(1-$AM445/210))))</f>
        <v>2.9500001032655536</v>
      </c>
      <c r="AQ445" s="4">
        <f>IF(D445="M",IF($AM445&lt;162,WeightSDS!P$12*$AM445^7+WeightSDS!Q$12*$AM445^6+WeightSDS!R$12*$AM445^5+WeightSDS!S$12*$AM445^4+WeightSDS!T$12*$AM445^3+WeightSDS!U$12*$AM445^2+WeightSDS!V$12*$AM445+WeightSDS!W$12,WeightSDS!P$14*$AM445^7+WeightSDS!Q$14*$AM445^6+WeightSDS!R$14*$AM445^5+WeightSDS!S$14*$AM445^4+WeightSDS!T$14*$AM445^3+WeightSDS!U$14*$AM445^2+WeightSDS!V$14*$AM445+WeightSDS!W$14),IF($AM445&lt;156,WeightSDS!O$17*$AM445^8+WeightSDS!P$17*$AM445^7+WeightSDS!Q$17*$AM445^6+WeightSDS!R$17*$AM445^5+WeightSDS!S$17*$AM445^4+WeightSDS!T$17*$AM445^3+WeightSDS!U$17*$AM445^2+WeightSDS!V$17*$AM445+WeightSDS!W$17,IF($AM445&lt;186,WeightSDS!$U$18+(WeightSDS!$V$18-WeightSDS!$U$18)/24*($AM445-186)+WeightSDS!$W$18*(-$AM445+186)^2-0.005,WeightSDS!$U$18+(WeightSDS!$V$18-WeightSDS!$U$18)/24*($AM445-186)-0.005)))</f>
        <v>0.14604529399999999</v>
      </c>
      <c r="AT445" s="4">
        <f t="shared" si="133"/>
        <v>0.56299999999999994</v>
      </c>
      <c r="AU445" s="4">
        <f t="shared" si="134"/>
        <v>69</v>
      </c>
      <c r="AV445" s="4">
        <f t="shared" si="135"/>
        <v>0.51</v>
      </c>
    </row>
    <row r="446" spans="1:48" x14ac:dyDescent="0.15">
      <c r="A446" s="4"/>
      <c r="B446" s="21"/>
      <c r="C446" s="21"/>
      <c r="D446" s="21"/>
      <c r="E446" s="22"/>
      <c r="F446" s="22"/>
      <c r="G446" s="23"/>
      <c r="H446" s="23"/>
      <c r="I446" s="181"/>
      <c r="J446" s="8" t="str">
        <f t="shared" si="127"/>
        <v/>
      </c>
      <c r="K446" s="2" t="str">
        <f t="shared" si="136"/>
        <v/>
      </c>
      <c r="L446" s="2" t="str">
        <f t="shared" si="128"/>
        <v/>
      </c>
      <c r="M446" s="2" t="str">
        <f t="shared" si="137"/>
        <v/>
      </c>
      <c r="N446" s="2" t="str">
        <f t="shared" si="145"/>
        <v/>
      </c>
      <c r="O446" s="2" t="str">
        <f t="shared" si="138"/>
        <v/>
      </c>
      <c r="P446" s="8" t="str">
        <f t="shared" si="139"/>
        <v/>
      </c>
      <c r="Q446" s="8" t="str">
        <f t="shared" si="140"/>
        <v/>
      </c>
      <c r="R446" s="111" t="str">
        <f t="shared" si="141"/>
        <v/>
      </c>
      <c r="S446" s="44" t="str">
        <f t="shared" si="142"/>
        <v/>
      </c>
      <c r="T446" s="37" t="str">
        <f t="shared" si="143"/>
        <v/>
      </c>
      <c r="U446" s="44" t="str">
        <f t="shared" si="144"/>
        <v/>
      </c>
      <c r="V446" s="26"/>
      <c r="W446" s="26"/>
      <c r="X446" s="26"/>
      <c r="Y446" s="26"/>
      <c r="Z446" s="24"/>
      <c r="AA446" s="169">
        <f t="shared" si="129"/>
        <v>0</v>
      </c>
      <c r="AB446" s="4">
        <f t="shared" si="130"/>
        <v>0</v>
      </c>
      <c r="AC446" s="170">
        <f t="shared" si="147"/>
        <v>0</v>
      </c>
      <c r="AD446" s="58"/>
      <c r="AE446" s="58"/>
      <c r="AF446" s="58"/>
      <c r="AG446" s="59">
        <f t="shared" si="131"/>
        <v>9.0359999999999996</v>
      </c>
      <c r="AH446" s="59">
        <f t="shared" si="132"/>
        <v>-184.49199999999999</v>
      </c>
      <c r="AJ446" s="4">
        <f>IF(D446="M",IF(AM446&lt;78,BMILMS!$D$5*AM446^3+BMILMS!$E$5*AM446^2+BMILMS!$F$5*AM446+BMILMS!$G$5,IF(AM446&lt;150,BMILMS!$D$6*AM446^3+BMILMS!$E$6*AM446^2+BMILMS!$F$6*AM446+BMILMS!$G$6,BMILMS!$D$7*AM446^3+BMILMS!$E$7*AM446^2+BMILMS!$F$7*AM446+BMILMS!$G$7)),IF(AM446&lt;69,BMILMS!$D$9*AM446^3+BMILMS!$E$9*AM446^2+BMILMS!$F$9*AM446+BMILMS!$G$9,IF(AM446&lt;150,BMILMS!$D$10*AM446^3+BMILMS!$E$10*AM446^2+BMILMS!$F$10*AM446+BMILMS!$G$10,BMILMS!$D$11*AM446^3+BMILMS!$E$11*AM446^2+BMILMS!$F$11*AM446+BMILMS!$G$11)))</f>
        <v>0.79584630099999998</v>
      </c>
      <c r="AK446" s="4">
        <f>IF(D446="M",(IF(AM446&lt;2.5,BMILMS!$D$21*AM446^3+BMILMS!$E$21*AM446^2+BMILMS!$F$21*AM446+BMILMS!$G$21,IF(AM446&lt;9.5,BMILMS!$D$22*AM446^3+BMILMS!$E$22*AM446^2+BMILMS!$F$22*AM446+BMILMS!$G$22,IF(AM446&lt;26.75,BMILMS!$D$23*AM446^3+BMILMS!$E$23*AM446^2+BMILMS!$F$23*AM446+BMILMS!$G$23,IF(AM446&lt;90,BMILMS!$D$24*AM446^3+BMILMS!$E$24*AM446^2+BMILMS!$F$24*AM446+BMILMS!$G$24,BMILMS!$D$25*AM446^3+BMILMS!$E$25*AM446^2+BMILMS!$F$25*AM446+BMILMS!$G$25))))),(IF(AM446&lt;2.5,BMILMS!$D$27*AM446^3+BMILMS!$E$27*AM446^2+BMILMS!$F$27*AM446+BMILMS!$G$27,IF(AM446&lt;9.5,BMILMS!$D$28*AM446^3+BMILMS!$E$28*AM446^2+BMILMS!$F$28*AM446+BMILMS!$G$28,IF(AM446&lt;26.75,BMILMS!$D$29*AM446^3+BMILMS!$E$29*AM446^2+BMILMS!$F$29*AM446+BMILMS!$G$29,IF(AM446&lt;90,BMILMS!$D$30*AM446^3+BMILMS!$E$30*AM446^2+BMILMS!$F$30*AM446+BMILMS!$G$30,IF(AM446&lt;150,BMILMS!$D$31*AM446^3+BMILMS!$E$31*AM446^2+BMILMS!$F$31*AM446+BMILMS!$G$31,BMILMS!$D$32*AM446^3+BMILMS!$E$32*AM446^2+BMILMS!$F$32*AM446+BMILMS!$G$32)))))))</f>
        <v>12.568967990000001</v>
      </c>
      <c r="AL446" s="4">
        <f>IF(D446="M",(IF(AM446&lt;90,BMILMS!$D$14*AM446^3+BMILMS!$E$14*AM446^2+BMILMS!$F$14*AM446+BMILMS!$G$14,BMILMS!$D$15*AM446^3+BMILMS!$E$15*AM446^2+BMILMS!$F$15*AM446+BMILMS!$G$15)),(IF(AM446&lt;90,BMILMS!$D$17*AM446^3+BMILMS!$E$17*AM446^2+BMILMS!$F$17*AM446+BMILMS!$G$17,BMILMS!$D$18*AM446^3+BMILMS!$E$18*AM446^2+BMILMS!$F$18*AM446+BMILMS!$G$18)))</f>
        <v>8.8969350000000003E-2</v>
      </c>
      <c r="AM446" s="4">
        <f t="shared" si="146"/>
        <v>0</v>
      </c>
      <c r="AO446" s="56">
        <f>IF(D446="M",WeightSDS!P$5*$AM446^7+WeightSDS!Q$5*$AM446^6+WeightSDS!R$5*$AM446^5+WeightSDS!S$5*$AM446^4+WeightSDS!T$5*$AM446^3+WeightSDS!U$5*$AM446^2+WeightSDS!V$5*$AM446+WeightSDS!W$5,IF($AM446&lt;186,WeightSDS!P$8*$AM446^7+WeightSDS!Q$8*$AM446^6+WeightSDS!R$8*$AM446^5+WeightSDS!S$8*$AM446^4+WeightSDS!T$8*$AM446^3+WeightSDS!U$8*$AM446^2+WeightSDS!V$8*$AM446+WeightSDS!W$8,WeightSDS!$U$9+WeightSDS!$V$9*($AM446-WeightSDS!$W$9)))</f>
        <v>0.75407122999999998</v>
      </c>
      <c r="AP446" s="4">
        <f>IF(D446="M",IF($AM446&lt;45,WeightSDS!M$23*$AM446^10+WeightSDS!N$23*$AM446^9+WeightSDS!O$23*$AM446^8+WeightSDS!P$23*$AM446^7+WeightSDS!Q$23*$AM446^6+WeightSDS!R$23*$AM446^5+WeightSDS!S$23*$AM446^4+WeightSDS!T$23*$AM446^3+WeightSDS!U$23*$AM446^2+WeightSDS!V$23*$AM446+WeightSDS!W$23,IF($AM446&lt;153,WeightSDS!M$25*$AM446^10+WeightSDS!N$25*$AM446^9+WeightSDS!O$25*$AM446^8+WeightSDS!P$25*$AM446^7+WeightSDS!Q$25*$AM446^6+WeightSDS!R$25*$AM446^5+WeightSDS!S$25*$AM446^4+WeightSDS!T$25*$AM446^3+WeightSDS!U$25*$AM446^2+WeightSDS!V$25*$AM446+WeightSDS!W$25,WeightSDS!M$27+WeightSDS!N$27/(1+EXP(WeightSDS!O$27+WeightSDS!P$27*$AM446)))),IF($AM446&lt;43.8,WeightSDS!M$29*$AM446^10+WeightSDS!N$29*$AM446^9+WeightSDS!O$29*$AM446^8+WeightSDS!P$29*$AM446^7+WeightSDS!Q$29*$AM446^6+WeightSDS!R$29*$AM446^5+WeightSDS!S$29*$AM446^4+WeightSDS!T$29*$AM446^3+WeightSDS!U$29*$AM446^2+WeightSDS!V$29*$AM446+WeightSDS!W$29-0.010431*(1-$AM446/210),IF($AM446&lt;123,WeightSDS!M$30*$AM446^10+WeightSDS!N$30*$AM446^9+WeightSDS!O$30*$AM446^8+WeightSDS!P$30*$AM446^7+WeightSDS!Q$30*$AM446^6+WeightSDS!R$30*$AM446^5+WeightSDS!S$30*$AM446^4+WeightSDS!T$30*$AM446^3+WeightSDS!U$30*$AM446^2+WeightSDS!V$30*$AM446+WeightSDS!W$30-0.010431*(1-1/$AM446),WeightSDS!M$32+WeightSDS!N$32/(1+EXP(WeightSDS!O$32+WeightSDS!P$32*$AM446))-0.010431*(1-$AM446/210))))</f>
        <v>2.9500001032655536</v>
      </c>
      <c r="AQ446" s="4">
        <f>IF(D446="M",IF($AM446&lt;162,WeightSDS!P$12*$AM446^7+WeightSDS!Q$12*$AM446^6+WeightSDS!R$12*$AM446^5+WeightSDS!S$12*$AM446^4+WeightSDS!T$12*$AM446^3+WeightSDS!U$12*$AM446^2+WeightSDS!V$12*$AM446+WeightSDS!W$12,WeightSDS!P$14*$AM446^7+WeightSDS!Q$14*$AM446^6+WeightSDS!R$14*$AM446^5+WeightSDS!S$14*$AM446^4+WeightSDS!T$14*$AM446^3+WeightSDS!U$14*$AM446^2+WeightSDS!V$14*$AM446+WeightSDS!W$14),IF($AM446&lt;156,WeightSDS!O$17*$AM446^8+WeightSDS!P$17*$AM446^7+WeightSDS!Q$17*$AM446^6+WeightSDS!R$17*$AM446^5+WeightSDS!S$17*$AM446^4+WeightSDS!T$17*$AM446^3+WeightSDS!U$17*$AM446^2+WeightSDS!V$17*$AM446+WeightSDS!W$17,IF($AM446&lt;186,WeightSDS!$U$18+(WeightSDS!$V$18-WeightSDS!$U$18)/24*($AM446-186)+WeightSDS!$W$18*(-$AM446+186)^2-0.005,WeightSDS!$U$18+(WeightSDS!$V$18-WeightSDS!$U$18)/24*($AM446-186)-0.005)))</f>
        <v>0.14604529399999999</v>
      </c>
      <c r="AT446" s="4">
        <f t="shared" si="133"/>
        <v>0.56299999999999994</v>
      </c>
      <c r="AU446" s="4">
        <f t="shared" si="134"/>
        <v>69</v>
      </c>
      <c r="AV446" s="4">
        <f t="shared" si="135"/>
        <v>0.51</v>
      </c>
    </row>
    <row r="447" spans="1:48" x14ac:dyDescent="0.15">
      <c r="A447" s="4"/>
      <c r="B447" s="21"/>
      <c r="C447" s="21"/>
      <c r="D447" s="21"/>
      <c r="E447" s="22"/>
      <c r="F447" s="22"/>
      <c r="G447" s="23"/>
      <c r="H447" s="23"/>
      <c r="I447" s="181"/>
      <c r="J447" s="8" t="str">
        <f t="shared" si="127"/>
        <v/>
      </c>
      <c r="K447" s="2" t="str">
        <f t="shared" si="136"/>
        <v/>
      </c>
      <c r="L447" s="2" t="str">
        <f t="shared" si="128"/>
        <v/>
      </c>
      <c r="M447" s="2" t="str">
        <f t="shared" si="137"/>
        <v/>
      </c>
      <c r="N447" s="2" t="str">
        <f t="shared" si="145"/>
        <v/>
      </c>
      <c r="O447" s="2" t="str">
        <f t="shared" si="138"/>
        <v/>
      </c>
      <c r="P447" s="8" t="str">
        <f t="shared" si="139"/>
        <v/>
      </c>
      <c r="Q447" s="8" t="str">
        <f t="shared" si="140"/>
        <v/>
      </c>
      <c r="R447" s="111" t="str">
        <f t="shared" si="141"/>
        <v/>
      </c>
      <c r="S447" s="44" t="str">
        <f t="shared" si="142"/>
        <v/>
      </c>
      <c r="T447" s="37" t="str">
        <f t="shared" si="143"/>
        <v/>
      </c>
      <c r="U447" s="44" t="str">
        <f t="shared" si="144"/>
        <v/>
      </c>
      <c r="V447" s="26"/>
      <c r="W447" s="26"/>
      <c r="X447" s="26"/>
      <c r="Y447" s="26"/>
      <c r="Z447" s="24"/>
      <c r="AA447" s="169">
        <f t="shared" si="129"/>
        <v>0</v>
      </c>
      <c r="AB447" s="4">
        <f t="shared" si="130"/>
        <v>0</v>
      </c>
      <c r="AC447" s="170">
        <f t="shared" si="147"/>
        <v>0</v>
      </c>
      <c r="AD447" s="58"/>
      <c r="AE447" s="58"/>
      <c r="AF447" s="58"/>
      <c r="AG447" s="59">
        <f t="shared" si="131"/>
        <v>9.0359999999999996</v>
      </c>
      <c r="AH447" s="59">
        <f t="shared" si="132"/>
        <v>-184.49199999999999</v>
      </c>
      <c r="AJ447" s="4">
        <f>IF(D447="M",IF(AM447&lt;78,BMILMS!$D$5*AM447^3+BMILMS!$E$5*AM447^2+BMILMS!$F$5*AM447+BMILMS!$G$5,IF(AM447&lt;150,BMILMS!$D$6*AM447^3+BMILMS!$E$6*AM447^2+BMILMS!$F$6*AM447+BMILMS!$G$6,BMILMS!$D$7*AM447^3+BMILMS!$E$7*AM447^2+BMILMS!$F$7*AM447+BMILMS!$G$7)),IF(AM447&lt;69,BMILMS!$D$9*AM447^3+BMILMS!$E$9*AM447^2+BMILMS!$F$9*AM447+BMILMS!$G$9,IF(AM447&lt;150,BMILMS!$D$10*AM447^3+BMILMS!$E$10*AM447^2+BMILMS!$F$10*AM447+BMILMS!$G$10,BMILMS!$D$11*AM447^3+BMILMS!$E$11*AM447^2+BMILMS!$F$11*AM447+BMILMS!$G$11)))</f>
        <v>0.79584630099999998</v>
      </c>
      <c r="AK447" s="4">
        <f>IF(D447="M",(IF(AM447&lt;2.5,BMILMS!$D$21*AM447^3+BMILMS!$E$21*AM447^2+BMILMS!$F$21*AM447+BMILMS!$G$21,IF(AM447&lt;9.5,BMILMS!$D$22*AM447^3+BMILMS!$E$22*AM447^2+BMILMS!$F$22*AM447+BMILMS!$G$22,IF(AM447&lt;26.75,BMILMS!$D$23*AM447^3+BMILMS!$E$23*AM447^2+BMILMS!$F$23*AM447+BMILMS!$G$23,IF(AM447&lt;90,BMILMS!$D$24*AM447^3+BMILMS!$E$24*AM447^2+BMILMS!$F$24*AM447+BMILMS!$G$24,BMILMS!$D$25*AM447^3+BMILMS!$E$25*AM447^2+BMILMS!$F$25*AM447+BMILMS!$G$25))))),(IF(AM447&lt;2.5,BMILMS!$D$27*AM447^3+BMILMS!$E$27*AM447^2+BMILMS!$F$27*AM447+BMILMS!$G$27,IF(AM447&lt;9.5,BMILMS!$D$28*AM447^3+BMILMS!$E$28*AM447^2+BMILMS!$F$28*AM447+BMILMS!$G$28,IF(AM447&lt;26.75,BMILMS!$D$29*AM447^3+BMILMS!$E$29*AM447^2+BMILMS!$F$29*AM447+BMILMS!$G$29,IF(AM447&lt;90,BMILMS!$D$30*AM447^3+BMILMS!$E$30*AM447^2+BMILMS!$F$30*AM447+BMILMS!$G$30,IF(AM447&lt;150,BMILMS!$D$31*AM447^3+BMILMS!$E$31*AM447^2+BMILMS!$F$31*AM447+BMILMS!$G$31,BMILMS!$D$32*AM447^3+BMILMS!$E$32*AM447^2+BMILMS!$F$32*AM447+BMILMS!$G$32)))))))</f>
        <v>12.568967990000001</v>
      </c>
      <c r="AL447" s="4">
        <f>IF(D447="M",(IF(AM447&lt;90,BMILMS!$D$14*AM447^3+BMILMS!$E$14*AM447^2+BMILMS!$F$14*AM447+BMILMS!$G$14,BMILMS!$D$15*AM447^3+BMILMS!$E$15*AM447^2+BMILMS!$F$15*AM447+BMILMS!$G$15)),(IF(AM447&lt;90,BMILMS!$D$17*AM447^3+BMILMS!$E$17*AM447^2+BMILMS!$F$17*AM447+BMILMS!$G$17,BMILMS!$D$18*AM447^3+BMILMS!$E$18*AM447^2+BMILMS!$F$18*AM447+BMILMS!$G$18)))</f>
        <v>8.8969350000000003E-2</v>
      </c>
      <c r="AM447" s="4">
        <f t="shared" si="146"/>
        <v>0</v>
      </c>
      <c r="AO447" s="56">
        <f>IF(D447="M",WeightSDS!P$5*$AM447^7+WeightSDS!Q$5*$AM447^6+WeightSDS!R$5*$AM447^5+WeightSDS!S$5*$AM447^4+WeightSDS!T$5*$AM447^3+WeightSDS!U$5*$AM447^2+WeightSDS!V$5*$AM447+WeightSDS!W$5,IF($AM447&lt;186,WeightSDS!P$8*$AM447^7+WeightSDS!Q$8*$AM447^6+WeightSDS!R$8*$AM447^5+WeightSDS!S$8*$AM447^4+WeightSDS!T$8*$AM447^3+WeightSDS!U$8*$AM447^2+WeightSDS!V$8*$AM447+WeightSDS!W$8,WeightSDS!$U$9+WeightSDS!$V$9*($AM447-WeightSDS!$W$9)))</f>
        <v>0.75407122999999998</v>
      </c>
      <c r="AP447" s="4">
        <f>IF(D447="M",IF($AM447&lt;45,WeightSDS!M$23*$AM447^10+WeightSDS!N$23*$AM447^9+WeightSDS!O$23*$AM447^8+WeightSDS!P$23*$AM447^7+WeightSDS!Q$23*$AM447^6+WeightSDS!R$23*$AM447^5+WeightSDS!S$23*$AM447^4+WeightSDS!T$23*$AM447^3+WeightSDS!U$23*$AM447^2+WeightSDS!V$23*$AM447+WeightSDS!W$23,IF($AM447&lt;153,WeightSDS!M$25*$AM447^10+WeightSDS!N$25*$AM447^9+WeightSDS!O$25*$AM447^8+WeightSDS!P$25*$AM447^7+WeightSDS!Q$25*$AM447^6+WeightSDS!R$25*$AM447^5+WeightSDS!S$25*$AM447^4+WeightSDS!T$25*$AM447^3+WeightSDS!U$25*$AM447^2+WeightSDS!V$25*$AM447+WeightSDS!W$25,WeightSDS!M$27+WeightSDS!N$27/(1+EXP(WeightSDS!O$27+WeightSDS!P$27*$AM447)))),IF($AM447&lt;43.8,WeightSDS!M$29*$AM447^10+WeightSDS!N$29*$AM447^9+WeightSDS!O$29*$AM447^8+WeightSDS!P$29*$AM447^7+WeightSDS!Q$29*$AM447^6+WeightSDS!R$29*$AM447^5+WeightSDS!S$29*$AM447^4+WeightSDS!T$29*$AM447^3+WeightSDS!U$29*$AM447^2+WeightSDS!V$29*$AM447+WeightSDS!W$29-0.010431*(1-$AM447/210),IF($AM447&lt;123,WeightSDS!M$30*$AM447^10+WeightSDS!N$30*$AM447^9+WeightSDS!O$30*$AM447^8+WeightSDS!P$30*$AM447^7+WeightSDS!Q$30*$AM447^6+WeightSDS!R$30*$AM447^5+WeightSDS!S$30*$AM447^4+WeightSDS!T$30*$AM447^3+WeightSDS!U$30*$AM447^2+WeightSDS!V$30*$AM447+WeightSDS!W$30-0.010431*(1-1/$AM447),WeightSDS!M$32+WeightSDS!N$32/(1+EXP(WeightSDS!O$32+WeightSDS!P$32*$AM447))-0.010431*(1-$AM447/210))))</f>
        <v>2.9500001032655536</v>
      </c>
      <c r="AQ447" s="4">
        <f>IF(D447="M",IF($AM447&lt;162,WeightSDS!P$12*$AM447^7+WeightSDS!Q$12*$AM447^6+WeightSDS!R$12*$AM447^5+WeightSDS!S$12*$AM447^4+WeightSDS!T$12*$AM447^3+WeightSDS!U$12*$AM447^2+WeightSDS!V$12*$AM447+WeightSDS!W$12,WeightSDS!P$14*$AM447^7+WeightSDS!Q$14*$AM447^6+WeightSDS!R$14*$AM447^5+WeightSDS!S$14*$AM447^4+WeightSDS!T$14*$AM447^3+WeightSDS!U$14*$AM447^2+WeightSDS!V$14*$AM447+WeightSDS!W$14),IF($AM447&lt;156,WeightSDS!O$17*$AM447^8+WeightSDS!P$17*$AM447^7+WeightSDS!Q$17*$AM447^6+WeightSDS!R$17*$AM447^5+WeightSDS!S$17*$AM447^4+WeightSDS!T$17*$AM447^3+WeightSDS!U$17*$AM447^2+WeightSDS!V$17*$AM447+WeightSDS!W$17,IF($AM447&lt;186,WeightSDS!$U$18+(WeightSDS!$V$18-WeightSDS!$U$18)/24*($AM447-186)+WeightSDS!$W$18*(-$AM447+186)^2-0.005,WeightSDS!$U$18+(WeightSDS!$V$18-WeightSDS!$U$18)/24*($AM447-186)-0.005)))</f>
        <v>0.14604529399999999</v>
      </c>
      <c r="AT447" s="4">
        <f t="shared" si="133"/>
        <v>0.56299999999999994</v>
      </c>
      <c r="AU447" s="4">
        <f t="shared" si="134"/>
        <v>69</v>
      </c>
      <c r="AV447" s="4">
        <f t="shared" si="135"/>
        <v>0.51</v>
      </c>
    </row>
    <row r="448" spans="1:48" x14ac:dyDescent="0.15">
      <c r="A448" s="4"/>
      <c r="B448" s="21"/>
      <c r="C448" s="21"/>
      <c r="D448" s="21"/>
      <c r="E448" s="22"/>
      <c r="F448" s="22"/>
      <c r="G448" s="23"/>
      <c r="H448" s="23"/>
      <c r="I448" s="181"/>
      <c r="J448" s="8" t="str">
        <f t="shared" si="127"/>
        <v/>
      </c>
      <c r="K448" s="2" t="str">
        <f t="shared" si="136"/>
        <v/>
      </c>
      <c r="L448" s="2" t="str">
        <f t="shared" si="128"/>
        <v/>
      </c>
      <c r="M448" s="2" t="str">
        <f t="shared" si="137"/>
        <v/>
      </c>
      <c r="N448" s="2" t="str">
        <f t="shared" si="145"/>
        <v/>
      </c>
      <c r="O448" s="2" t="str">
        <f t="shared" si="138"/>
        <v/>
      </c>
      <c r="P448" s="8" t="str">
        <f t="shared" si="139"/>
        <v/>
      </c>
      <c r="Q448" s="8" t="str">
        <f t="shared" si="140"/>
        <v/>
      </c>
      <c r="R448" s="111" t="str">
        <f t="shared" si="141"/>
        <v/>
      </c>
      <c r="S448" s="44" t="str">
        <f t="shared" si="142"/>
        <v/>
      </c>
      <c r="T448" s="37" t="str">
        <f t="shared" si="143"/>
        <v/>
      </c>
      <c r="U448" s="44" t="str">
        <f t="shared" si="144"/>
        <v/>
      </c>
      <c r="V448" s="26"/>
      <c r="W448" s="26"/>
      <c r="X448" s="26"/>
      <c r="Y448" s="26"/>
      <c r="Z448" s="24"/>
      <c r="AA448" s="169">
        <f t="shared" si="129"/>
        <v>0</v>
      </c>
      <c r="AB448" s="4">
        <f t="shared" si="130"/>
        <v>0</v>
      </c>
      <c r="AC448" s="170">
        <f t="shared" si="147"/>
        <v>0</v>
      </c>
      <c r="AD448" s="58"/>
      <c r="AE448" s="58"/>
      <c r="AF448" s="58"/>
      <c r="AG448" s="59">
        <f t="shared" si="131"/>
        <v>9.0359999999999996</v>
      </c>
      <c r="AH448" s="59">
        <f t="shared" si="132"/>
        <v>-184.49199999999999</v>
      </c>
      <c r="AJ448" s="4">
        <f>IF(D448="M",IF(AM448&lt;78,BMILMS!$D$5*AM448^3+BMILMS!$E$5*AM448^2+BMILMS!$F$5*AM448+BMILMS!$G$5,IF(AM448&lt;150,BMILMS!$D$6*AM448^3+BMILMS!$E$6*AM448^2+BMILMS!$F$6*AM448+BMILMS!$G$6,BMILMS!$D$7*AM448^3+BMILMS!$E$7*AM448^2+BMILMS!$F$7*AM448+BMILMS!$G$7)),IF(AM448&lt;69,BMILMS!$D$9*AM448^3+BMILMS!$E$9*AM448^2+BMILMS!$F$9*AM448+BMILMS!$G$9,IF(AM448&lt;150,BMILMS!$D$10*AM448^3+BMILMS!$E$10*AM448^2+BMILMS!$F$10*AM448+BMILMS!$G$10,BMILMS!$D$11*AM448^3+BMILMS!$E$11*AM448^2+BMILMS!$F$11*AM448+BMILMS!$G$11)))</f>
        <v>0.79584630099999998</v>
      </c>
      <c r="AK448" s="4">
        <f>IF(D448="M",(IF(AM448&lt;2.5,BMILMS!$D$21*AM448^3+BMILMS!$E$21*AM448^2+BMILMS!$F$21*AM448+BMILMS!$G$21,IF(AM448&lt;9.5,BMILMS!$D$22*AM448^3+BMILMS!$E$22*AM448^2+BMILMS!$F$22*AM448+BMILMS!$G$22,IF(AM448&lt;26.75,BMILMS!$D$23*AM448^3+BMILMS!$E$23*AM448^2+BMILMS!$F$23*AM448+BMILMS!$G$23,IF(AM448&lt;90,BMILMS!$D$24*AM448^3+BMILMS!$E$24*AM448^2+BMILMS!$F$24*AM448+BMILMS!$G$24,BMILMS!$D$25*AM448^3+BMILMS!$E$25*AM448^2+BMILMS!$F$25*AM448+BMILMS!$G$25))))),(IF(AM448&lt;2.5,BMILMS!$D$27*AM448^3+BMILMS!$E$27*AM448^2+BMILMS!$F$27*AM448+BMILMS!$G$27,IF(AM448&lt;9.5,BMILMS!$D$28*AM448^3+BMILMS!$E$28*AM448^2+BMILMS!$F$28*AM448+BMILMS!$G$28,IF(AM448&lt;26.75,BMILMS!$D$29*AM448^3+BMILMS!$E$29*AM448^2+BMILMS!$F$29*AM448+BMILMS!$G$29,IF(AM448&lt;90,BMILMS!$D$30*AM448^3+BMILMS!$E$30*AM448^2+BMILMS!$F$30*AM448+BMILMS!$G$30,IF(AM448&lt;150,BMILMS!$D$31*AM448^3+BMILMS!$E$31*AM448^2+BMILMS!$F$31*AM448+BMILMS!$G$31,BMILMS!$D$32*AM448^3+BMILMS!$E$32*AM448^2+BMILMS!$F$32*AM448+BMILMS!$G$32)))))))</f>
        <v>12.568967990000001</v>
      </c>
      <c r="AL448" s="4">
        <f>IF(D448="M",(IF(AM448&lt;90,BMILMS!$D$14*AM448^3+BMILMS!$E$14*AM448^2+BMILMS!$F$14*AM448+BMILMS!$G$14,BMILMS!$D$15*AM448^3+BMILMS!$E$15*AM448^2+BMILMS!$F$15*AM448+BMILMS!$G$15)),(IF(AM448&lt;90,BMILMS!$D$17*AM448^3+BMILMS!$E$17*AM448^2+BMILMS!$F$17*AM448+BMILMS!$G$17,BMILMS!$D$18*AM448^3+BMILMS!$E$18*AM448^2+BMILMS!$F$18*AM448+BMILMS!$G$18)))</f>
        <v>8.8969350000000003E-2</v>
      </c>
      <c r="AM448" s="4">
        <f t="shared" si="146"/>
        <v>0</v>
      </c>
      <c r="AO448" s="56">
        <f>IF(D448="M",WeightSDS!P$5*$AM448^7+WeightSDS!Q$5*$AM448^6+WeightSDS!R$5*$AM448^5+WeightSDS!S$5*$AM448^4+WeightSDS!T$5*$AM448^3+WeightSDS!U$5*$AM448^2+WeightSDS!V$5*$AM448+WeightSDS!W$5,IF($AM448&lt;186,WeightSDS!P$8*$AM448^7+WeightSDS!Q$8*$AM448^6+WeightSDS!R$8*$AM448^5+WeightSDS!S$8*$AM448^4+WeightSDS!T$8*$AM448^3+WeightSDS!U$8*$AM448^2+WeightSDS!V$8*$AM448+WeightSDS!W$8,WeightSDS!$U$9+WeightSDS!$V$9*($AM448-WeightSDS!$W$9)))</f>
        <v>0.75407122999999998</v>
      </c>
      <c r="AP448" s="4">
        <f>IF(D448="M",IF($AM448&lt;45,WeightSDS!M$23*$AM448^10+WeightSDS!N$23*$AM448^9+WeightSDS!O$23*$AM448^8+WeightSDS!P$23*$AM448^7+WeightSDS!Q$23*$AM448^6+WeightSDS!R$23*$AM448^5+WeightSDS!S$23*$AM448^4+WeightSDS!T$23*$AM448^3+WeightSDS!U$23*$AM448^2+WeightSDS!V$23*$AM448+WeightSDS!W$23,IF($AM448&lt;153,WeightSDS!M$25*$AM448^10+WeightSDS!N$25*$AM448^9+WeightSDS!O$25*$AM448^8+WeightSDS!P$25*$AM448^7+WeightSDS!Q$25*$AM448^6+WeightSDS!R$25*$AM448^5+WeightSDS!S$25*$AM448^4+WeightSDS!T$25*$AM448^3+WeightSDS!U$25*$AM448^2+WeightSDS!V$25*$AM448+WeightSDS!W$25,WeightSDS!M$27+WeightSDS!N$27/(1+EXP(WeightSDS!O$27+WeightSDS!P$27*$AM448)))),IF($AM448&lt;43.8,WeightSDS!M$29*$AM448^10+WeightSDS!N$29*$AM448^9+WeightSDS!O$29*$AM448^8+WeightSDS!P$29*$AM448^7+WeightSDS!Q$29*$AM448^6+WeightSDS!R$29*$AM448^5+WeightSDS!S$29*$AM448^4+WeightSDS!T$29*$AM448^3+WeightSDS!U$29*$AM448^2+WeightSDS!V$29*$AM448+WeightSDS!W$29-0.010431*(1-$AM448/210),IF($AM448&lt;123,WeightSDS!M$30*$AM448^10+WeightSDS!N$30*$AM448^9+WeightSDS!O$30*$AM448^8+WeightSDS!P$30*$AM448^7+WeightSDS!Q$30*$AM448^6+WeightSDS!R$30*$AM448^5+WeightSDS!S$30*$AM448^4+WeightSDS!T$30*$AM448^3+WeightSDS!U$30*$AM448^2+WeightSDS!V$30*$AM448+WeightSDS!W$30-0.010431*(1-1/$AM448),WeightSDS!M$32+WeightSDS!N$32/(1+EXP(WeightSDS!O$32+WeightSDS!P$32*$AM448))-0.010431*(1-$AM448/210))))</f>
        <v>2.9500001032655536</v>
      </c>
      <c r="AQ448" s="4">
        <f>IF(D448="M",IF($AM448&lt;162,WeightSDS!P$12*$AM448^7+WeightSDS!Q$12*$AM448^6+WeightSDS!R$12*$AM448^5+WeightSDS!S$12*$AM448^4+WeightSDS!T$12*$AM448^3+WeightSDS!U$12*$AM448^2+WeightSDS!V$12*$AM448+WeightSDS!W$12,WeightSDS!P$14*$AM448^7+WeightSDS!Q$14*$AM448^6+WeightSDS!R$14*$AM448^5+WeightSDS!S$14*$AM448^4+WeightSDS!T$14*$AM448^3+WeightSDS!U$14*$AM448^2+WeightSDS!V$14*$AM448+WeightSDS!W$14),IF($AM448&lt;156,WeightSDS!O$17*$AM448^8+WeightSDS!P$17*$AM448^7+WeightSDS!Q$17*$AM448^6+WeightSDS!R$17*$AM448^5+WeightSDS!S$17*$AM448^4+WeightSDS!T$17*$AM448^3+WeightSDS!U$17*$AM448^2+WeightSDS!V$17*$AM448+WeightSDS!W$17,IF($AM448&lt;186,WeightSDS!$U$18+(WeightSDS!$V$18-WeightSDS!$U$18)/24*($AM448-186)+WeightSDS!$W$18*(-$AM448+186)^2-0.005,WeightSDS!$U$18+(WeightSDS!$V$18-WeightSDS!$U$18)/24*($AM448-186)-0.005)))</f>
        <v>0.14604529399999999</v>
      </c>
      <c r="AT448" s="4">
        <f t="shared" si="133"/>
        <v>0.56299999999999994</v>
      </c>
      <c r="AU448" s="4">
        <f t="shared" si="134"/>
        <v>69</v>
      </c>
      <c r="AV448" s="4">
        <f t="shared" si="135"/>
        <v>0.51</v>
      </c>
    </row>
    <row r="449" spans="1:48" x14ac:dyDescent="0.15">
      <c r="A449" s="4"/>
      <c r="B449" s="21"/>
      <c r="C449" s="21"/>
      <c r="D449" s="21"/>
      <c r="E449" s="22"/>
      <c r="F449" s="22"/>
      <c r="G449" s="23"/>
      <c r="H449" s="23"/>
      <c r="I449" s="181"/>
      <c r="J449" s="8" t="str">
        <f t="shared" si="127"/>
        <v/>
      </c>
      <c r="K449" s="2" t="str">
        <f t="shared" si="136"/>
        <v/>
      </c>
      <c r="L449" s="2" t="str">
        <f t="shared" si="128"/>
        <v/>
      </c>
      <c r="M449" s="2" t="str">
        <f t="shared" si="137"/>
        <v/>
      </c>
      <c r="N449" s="2" t="str">
        <f t="shared" si="145"/>
        <v/>
      </c>
      <c r="O449" s="2" t="str">
        <f t="shared" si="138"/>
        <v/>
      </c>
      <c r="P449" s="8" t="str">
        <f t="shared" si="139"/>
        <v/>
      </c>
      <c r="Q449" s="8" t="str">
        <f t="shared" si="140"/>
        <v/>
      </c>
      <c r="R449" s="111" t="str">
        <f t="shared" si="141"/>
        <v/>
      </c>
      <c r="S449" s="44" t="str">
        <f t="shared" si="142"/>
        <v/>
      </c>
      <c r="T449" s="37" t="str">
        <f t="shared" si="143"/>
        <v/>
      </c>
      <c r="U449" s="44" t="str">
        <f t="shared" si="144"/>
        <v/>
      </c>
      <c r="V449" s="26"/>
      <c r="W449" s="26"/>
      <c r="X449" s="26"/>
      <c r="Y449" s="26"/>
      <c r="Z449" s="24"/>
      <c r="AA449" s="169">
        <f t="shared" si="129"/>
        <v>0</v>
      </c>
      <c r="AB449" s="4">
        <f t="shared" si="130"/>
        <v>0</v>
      </c>
      <c r="AC449" s="170">
        <f t="shared" si="147"/>
        <v>0</v>
      </c>
      <c r="AD449" s="58"/>
      <c r="AE449" s="58"/>
      <c r="AF449" s="58"/>
      <c r="AG449" s="59">
        <f t="shared" si="131"/>
        <v>9.0359999999999996</v>
      </c>
      <c r="AH449" s="59">
        <f t="shared" si="132"/>
        <v>-184.49199999999999</v>
      </c>
      <c r="AJ449" s="4">
        <f>IF(D449="M",IF(AM449&lt;78,BMILMS!$D$5*AM449^3+BMILMS!$E$5*AM449^2+BMILMS!$F$5*AM449+BMILMS!$G$5,IF(AM449&lt;150,BMILMS!$D$6*AM449^3+BMILMS!$E$6*AM449^2+BMILMS!$F$6*AM449+BMILMS!$G$6,BMILMS!$D$7*AM449^3+BMILMS!$E$7*AM449^2+BMILMS!$F$7*AM449+BMILMS!$G$7)),IF(AM449&lt;69,BMILMS!$D$9*AM449^3+BMILMS!$E$9*AM449^2+BMILMS!$F$9*AM449+BMILMS!$G$9,IF(AM449&lt;150,BMILMS!$D$10*AM449^3+BMILMS!$E$10*AM449^2+BMILMS!$F$10*AM449+BMILMS!$G$10,BMILMS!$D$11*AM449^3+BMILMS!$E$11*AM449^2+BMILMS!$F$11*AM449+BMILMS!$G$11)))</f>
        <v>0.79584630099999998</v>
      </c>
      <c r="AK449" s="4">
        <f>IF(D449="M",(IF(AM449&lt;2.5,BMILMS!$D$21*AM449^3+BMILMS!$E$21*AM449^2+BMILMS!$F$21*AM449+BMILMS!$G$21,IF(AM449&lt;9.5,BMILMS!$D$22*AM449^3+BMILMS!$E$22*AM449^2+BMILMS!$F$22*AM449+BMILMS!$G$22,IF(AM449&lt;26.75,BMILMS!$D$23*AM449^3+BMILMS!$E$23*AM449^2+BMILMS!$F$23*AM449+BMILMS!$G$23,IF(AM449&lt;90,BMILMS!$D$24*AM449^3+BMILMS!$E$24*AM449^2+BMILMS!$F$24*AM449+BMILMS!$G$24,BMILMS!$D$25*AM449^3+BMILMS!$E$25*AM449^2+BMILMS!$F$25*AM449+BMILMS!$G$25))))),(IF(AM449&lt;2.5,BMILMS!$D$27*AM449^3+BMILMS!$E$27*AM449^2+BMILMS!$F$27*AM449+BMILMS!$G$27,IF(AM449&lt;9.5,BMILMS!$D$28*AM449^3+BMILMS!$E$28*AM449^2+BMILMS!$F$28*AM449+BMILMS!$G$28,IF(AM449&lt;26.75,BMILMS!$D$29*AM449^3+BMILMS!$E$29*AM449^2+BMILMS!$F$29*AM449+BMILMS!$G$29,IF(AM449&lt;90,BMILMS!$D$30*AM449^3+BMILMS!$E$30*AM449^2+BMILMS!$F$30*AM449+BMILMS!$G$30,IF(AM449&lt;150,BMILMS!$D$31*AM449^3+BMILMS!$E$31*AM449^2+BMILMS!$F$31*AM449+BMILMS!$G$31,BMILMS!$D$32*AM449^3+BMILMS!$E$32*AM449^2+BMILMS!$F$32*AM449+BMILMS!$G$32)))))))</f>
        <v>12.568967990000001</v>
      </c>
      <c r="AL449" s="4">
        <f>IF(D449="M",(IF(AM449&lt;90,BMILMS!$D$14*AM449^3+BMILMS!$E$14*AM449^2+BMILMS!$F$14*AM449+BMILMS!$G$14,BMILMS!$D$15*AM449^3+BMILMS!$E$15*AM449^2+BMILMS!$F$15*AM449+BMILMS!$G$15)),(IF(AM449&lt;90,BMILMS!$D$17*AM449^3+BMILMS!$E$17*AM449^2+BMILMS!$F$17*AM449+BMILMS!$G$17,BMILMS!$D$18*AM449^3+BMILMS!$E$18*AM449^2+BMILMS!$F$18*AM449+BMILMS!$G$18)))</f>
        <v>8.8969350000000003E-2</v>
      </c>
      <c r="AM449" s="4">
        <f t="shared" si="146"/>
        <v>0</v>
      </c>
      <c r="AO449" s="56">
        <f>IF(D449="M",WeightSDS!P$5*$AM449^7+WeightSDS!Q$5*$AM449^6+WeightSDS!R$5*$AM449^5+WeightSDS!S$5*$AM449^4+WeightSDS!T$5*$AM449^3+WeightSDS!U$5*$AM449^2+WeightSDS!V$5*$AM449+WeightSDS!W$5,IF($AM449&lt;186,WeightSDS!P$8*$AM449^7+WeightSDS!Q$8*$AM449^6+WeightSDS!R$8*$AM449^5+WeightSDS!S$8*$AM449^4+WeightSDS!T$8*$AM449^3+WeightSDS!U$8*$AM449^2+WeightSDS!V$8*$AM449+WeightSDS!W$8,WeightSDS!$U$9+WeightSDS!$V$9*($AM449-WeightSDS!$W$9)))</f>
        <v>0.75407122999999998</v>
      </c>
      <c r="AP449" s="4">
        <f>IF(D449="M",IF($AM449&lt;45,WeightSDS!M$23*$AM449^10+WeightSDS!N$23*$AM449^9+WeightSDS!O$23*$AM449^8+WeightSDS!P$23*$AM449^7+WeightSDS!Q$23*$AM449^6+WeightSDS!R$23*$AM449^5+WeightSDS!S$23*$AM449^4+WeightSDS!T$23*$AM449^3+WeightSDS!U$23*$AM449^2+WeightSDS!V$23*$AM449+WeightSDS!W$23,IF($AM449&lt;153,WeightSDS!M$25*$AM449^10+WeightSDS!N$25*$AM449^9+WeightSDS!O$25*$AM449^8+WeightSDS!P$25*$AM449^7+WeightSDS!Q$25*$AM449^6+WeightSDS!R$25*$AM449^5+WeightSDS!S$25*$AM449^4+WeightSDS!T$25*$AM449^3+WeightSDS!U$25*$AM449^2+WeightSDS!V$25*$AM449+WeightSDS!W$25,WeightSDS!M$27+WeightSDS!N$27/(1+EXP(WeightSDS!O$27+WeightSDS!P$27*$AM449)))),IF($AM449&lt;43.8,WeightSDS!M$29*$AM449^10+WeightSDS!N$29*$AM449^9+WeightSDS!O$29*$AM449^8+WeightSDS!P$29*$AM449^7+WeightSDS!Q$29*$AM449^6+WeightSDS!R$29*$AM449^5+WeightSDS!S$29*$AM449^4+WeightSDS!T$29*$AM449^3+WeightSDS!U$29*$AM449^2+WeightSDS!V$29*$AM449+WeightSDS!W$29-0.010431*(1-$AM449/210),IF($AM449&lt;123,WeightSDS!M$30*$AM449^10+WeightSDS!N$30*$AM449^9+WeightSDS!O$30*$AM449^8+WeightSDS!P$30*$AM449^7+WeightSDS!Q$30*$AM449^6+WeightSDS!R$30*$AM449^5+WeightSDS!S$30*$AM449^4+WeightSDS!T$30*$AM449^3+WeightSDS!U$30*$AM449^2+WeightSDS!V$30*$AM449+WeightSDS!W$30-0.010431*(1-1/$AM449),WeightSDS!M$32+WeightSDS!N$32/(1+EXP(WeightSDS!O$32+WeightSDS!P$32*$AM449))-0.010431*(1-$AM449/210))))</f>
        <v>2.9500001032655536</v>
      </c>
      <c r="AQ449" s="4">
        <f>IF(D449="M",IF($AM449&lt;162,WeightSDS!P$12*$AM449^7+WeightSDS!Q$12*$AM449^6+WeightSDS!R$12*$AM449^5+WeightSDS!S$12*$AM449^4+WeightSDS!T$12*$AM449^3+WeightSDS!U$12*$AM449^2+WeightSDS!V$12*$AM449+WeightSDS!W$12,WeightSDS!P$14*$AM449^7+WeightSDS!Q$14*$AM449^6+WeightSDS!R$14*$AM449^5+WeightSDS!S$14*$AM449^4+WeightSDS!T$14*$AM449^3+WeightSDS!U$14*$AM449^2+WeightSDS!V$14*$AM449+WeightSDS!W$14),IF($AM449&lt;156,WeightSDS!O$17*$AM449^8+WeightSDS!P$17*$AM449^7+WeightSDS!Q$17*$AM449^6+WeightSDS!R$17*$AM449^5+WeightSDS!S$17*$AM449^4+WeightSDS!T$17*$AM449^3+WeightSDS!U$17*$AM449^2+WeightSDS!V$17*$AM449+WeightSDS!W$17,IF($AM449&lt;186,WeightSDS!$U$18+(WeightSDS!$V$18-WeightSDS!$U$18)/24*($AM449-186)+WeightSDS!$W$18*(-$AM449+186)^2-0.005,WeightSDS!$U$18+(WeightSDS!$V$18-WeightSDS!$U$18)/24*($AM449-186)-0.005)))</f>
        <v>0.14604529399999999</v>
      </c>
      <c r="AT449" s="4">
        <f t="shared" si="133"/>
        <v>0.56299999999999994</v>
      </c>
      <c r="AU449" s="4">
        <f t="shared" si="134"/>
        <v>69</v>
      </c>
      <c r="AV449" s="4">
        <f t="shared" si="135"/>
        <v>0.51</v>
      </c>
    </row>
    <row r="450" spans="1:48" x14ac:dyDescent="0.15">
      <c r="A450" s="4"/>
      <c r="B450" s="21"/>
      <c r="C450" s="21"/>
      <c r="D450" s="21"/>
      <c r="E450" s="22"/>
      <c r="F450" s="22"/>
      <c r="G450" s="23"/>
      <c r="H450" s="23"/>
      <c r="I450" s="181"/>
      <c r="J450" s="8" t="str">
        <f t="shared" si="127"/>
        <v/>
      </c>
      <c r="K450" s="2" t="str">
        <f t="shared" si="136"/>
        <v/>
      </c>
      <c r="L450" s="2" t="str">
        <f t="shared" si="128"/>
        <v/>
      </c>
      <c r="M450" s="2" t="str">
        <f t="shared" si="137"/>
        <v/>
      </c>
      <c r="N450" s="2" t="str">
        <f t="shared" si="145"/>
        <v/>
      </c>
      <c r="O450" s="2" t="str">
        <f t="shared" si="138"/>
        <v/>
      </c>
      <c r="P450" s="8" t="str">
        <f t="shared" si="139"/>
        <v/>
      </c>
      <c r="Q450" s="8" t="str">
        <f t="shared" si="140"/>
        <v/>
      </c>
      <c r="R450" s="111" t="str">
        <f t="shared" si="141"/>
        <v/>
      </c>
      <c r="S450" s="44" t="str">
        <f t="shared" si="142"/>
        <v/>
      </c>
      <c r="T450" s="37" t="str">
        <f t="shared" si="143"/>
        <v/>
      </c>
      <c r="U450" s="44" t="str">
        <f t="shared" si="144"/>
        <v/>
      </c>
      <c r="V450" s="26"/>
      <c r="W450" s="26"/>
      <c r="X450" s="26"/>
      <c r="Y450" s="26"/>
      <c r="Z450" s="24"/>
      <c r="AA450" s="169">
        <f t="shared" si="129"/>
        <v>0</v>
      </c>
      <c r="AB450" s="4">
        <f t="shared" si="130"/>
        <v>0</v>
      </c>
      <c r="AC450" s="170">
        <f t="shared" si="147"/>
        <v>0</v>
      </c>
      <c r="AD450" s="58"/>
      <c r="AE450" s="58"/>
      <c r="AF450" s="58"/>
      <c r="AG450" s="59">
        <f t="shared" si="131"/>
        <v>9.0359999999999996</v>
      </c>
      <c r="AH450" s="59">
        <f t="shared" si="132"/>
        <v>-184.49199999999999</v>
      </c>
      <c r="AJ450" s="4">
        <f>IF(D450="M",IF(AM450&lt;78,BMILMS!$D$5*AM450^3+BMILMS!$E$5*AM450^2+BMILMS!$F$5*AM450+BMILMS!$G$5,IF(AM450&lt;150,BMILMS!$D$6*AM450^3+BMILMS!$E$6*AM450^2+BMILMS!$F$6*AM450+BMILMS!$G$6,BMILMS!$D$7*AM450^3+BMILMS!$E$7*AM450^2+BMILMS!$F$7*AM450+BMILMS!$G$7)),IF(AM450&lt;69,BMILMS!$D$9*AM450^3+BMILMS!$E$9*AM450^2+BMILMS!$F$9*AM450+BMILMS!$G$9,IF(AM450&lt;150,BMILMS!$D$10*AM450^3+BMILMS!$E$10*AM450^2+BMILMS!$F$10*AM450+BMILMS!$G$10,BMILMS!$D$11*AM450^3+BMILMS!$E$11*AM450^2+BMILMS!$F$11*AM450+BMILMS!$G$11)))</f>
        <v>0.79584630099999998</v>
      </c>
      <c r="AK450" s="4">
        <f>IF(D450="M",(IF(AM450&lt;2.5,BMILMS!$D$21*AM450^3+BMILMS!$E$21*AM450^2+BMILMS!$F$21*AM450+BMILMS!$G$21,IF(AM450&lt;9.5,BMILMS!$D$22*AM450^3+BMILMS!$E$22*AM450^2+BMILMS!$F$22*AM450+BMILMS!$G$22,IF(AM450&lt;26.75,BMILMS!$D$23*AM450^3+BMILMS!$E$23*AM450^2+BMILMS!$F$23*AM450+BMILMS!$G$23,IF(AM450&lt;90,BMILMS!$D$24*AM450^3+BMILMS!$E$24*AM450^2+BMILMS!$F$24*AM450+BMILMS!$G$24,BMILMS!$D$25*AM450^3+BMILMS!$E$25*AM450^2+BMILMS!$F$25*AM450+BMILMS!$G$25))))),(IF(AM450&lt;2.5,BMILMS!$D$27*AM450^3+BMILMS!$E$27*AM450^2+BMILMS!$F$27*AM450+BMILMS!$G$27,IF(AM450&lt;9.5,BMILMS!$D$28*AM450^3+BMILMS!$E$28*AM450^2+BMILMS!$F$28*AM450+BMILMS!$G$28,IF(AM450&lt;26.75,BMILMS!$D$29*AM450^3+BMILMS!$E$29*AM450^2+BMILMS!$F$29*AM450+BMILMS!$G$29,IF(AM450&lt;90,BMILMS!$D$30*AM450^3+BMILMS!$E$30*AM450^2+BMILMS!$F$30*AM450+BMILMS!$G$30,IF(AM450&lt;150,BMILMS!$D$31*AM450^3+BMILMS!$E$31*AM450^2+BMILMS!$F$31*AM450+BMILMS!$G$31,BMILMS!$D$32*AM450^3+BMILMS!$E$32*AM450^2+BMILMS!$F$32*AM450+BMILMS!$G$32)))))))</f>
        <v>12.568967990000001</v>
      </c>
      <c r="AL450" s="4">
        <f>IF(D450="M",(IF(AM450&lt;90,BMILMS!$D$14*AM450^3+BMILMS!$E$14*AM450^2+BMILMS!$F$14*AM450+BMILMS!$G$14,BMILMS!$D$15*AM450^3+BMILMS!$E$15*AM450^2+BMILMS!$F$15*AM450+BMILMS!$G$15)),(IF(AM450&lt;90,BMILMS!$D$17*AM450^3+BMILMS!$E$17*AM450^2+BMILMS!$F$17*AM450+BMILMS!$G$17,BMILMS!$D$18*AM450^3+BMILMS!$E$18*AM450^2+BMILMS!$F$18*AM450+BMILMS!$G$18)))</f>
        <v>8.8969350000000003E-2</v>
      </c>
      <c r="AM450" s="4">
        <f t="shared" si="146"/>
        <v>0</v>
      </c>
      <c r="AO450" s="56">
        <f>IF(D450="M",WeightSDS!P$5*$AM450^7+WeightSDS!Q$5*$AM450^6+WeightSDS!R$5*$AM450^5+WeightSDS!S$5*$AM450^4+WeightSDS!T$5*$AM450^3+WeightSDS!U$5*$AM450^2+WeightSDS!V$5*$AM450+WeightSDS!W$5,IF($AM450&lt;186,WeightSDS!P$8*$AM450^7+WeightSDS!Q$8*$AM450^6+WeightSDS!R$8*$AM450^5+WeightSDS!S$8*$AM450^4+WeightSDS!T$8*$AM450^3+WeightSDS!U$8*$AM450^2+WeightSDS!V$8*$AM450+WeightSDS!W$8,WeightSDS!$U$9+WeightSDS!$V$9*($AM450-WeightSDS!$W$9)))</f>
        <v>0.75407122999999998</v>
      </c>
      <c r="AP450" s="4">
        <f>IF(D450="M",IF($AM450&lt;45,WeightSDS!M$23*$AM450^10+WeightSDS!N$23*$AM450^9+WeightSDS!O$23*$AM450^8+WeightSDS!P$23*$AM450^7+WeightSDS!Q$23*$AM450^6+WeightSDS!R$23*$AM450^5+WeightSDS!S$23*$AM450^4+WeightSDS!T$23*$AM450^3+WeightSDS!U$23*$AM450^2+WeightSDS!V$23*$AM450+WeightSDS!W$23,IF($AM450&lt;153,WeightSDS!M$25*$AM450^10+WeightSDS!N$25*$AM450^9+WeightSDS!O$25*$AM450^8+WeightSDS!P$25*$AM450^7+WeightSDS!Q$25*$AM450^6+WeightSDS!R$25*$AM450^5+WeightSDS!S$25*$AM450^4+WeightSDS!T$25*$AM450^3+WeightSDS!U$25*$AM450^2+WeightSDS!V$25*$AM450+WeightSDS!W$25,WeightSDS!M$27+WeightSDS!N$27/(1+EXP(WeightSDS!O$27+WeightSDS!P$27*$AM450)))),IF($AM450&lt;43.8,WeightSDS!M$29*$AM450^10+WeightSDS!N$29*$AM450^9+WeightSDS!O$29*$AM450^8+WeightSDS!P$29*$AM450^7+WeightSDS!Q$29*$AM450^6+WeightSDS!R$29*$AM450^5+WeightSDS!S$29*$AM450^4+WeightSDS!T$29*$AM450^3+WeightSDS!U$29*$AM450^2+WeightSDS!V$29*$AM450+WeightSDS!W$29-0.010431*(1-$AM450/210),IF($AM450&lt;123,WeightSDS!M$30*$AM450^10+WeightSDS!N$30*$AM450^9+WeightSDS!O$30*$AM450^8+WeightSDS!P$30*$AM450^7+WeightSDS!Q$30*$AM450^6+WeightSDS!R$30*$AM450^5+WeightSDS!S$30*$AM450^4+WeightSDS!T$30*$AM450^3+WeightSDS!U$30*$AM450^2+WeightSDS!V$30*$AM450+WeightSDS!W$30-0.010431*(1-1/$AM450),WeightSDS!M$32+WeightSDS!N$32/(1+EXP(WeightSDS!O$32+WeightSDS!P$32*$AM450))-0.010431*(1-$AM450/210))))</f>
        <v>2.9500001032655536</v>
      </c>
      <c r="AQ450" s="4">
        <f>IF(D450="M",IF($AM450&lt;162,WeightSDS!P$12*$AM450^7+WeightSDS!Q$12*$AM450^6+WeightSDS!R$12*$AM450^5+WeightSDS!S$12*$AM450^4+WeightSDS!T$12*$AM450^3+WeightSDS!U$12*$AM450^2+WeightSDS!V$12*$AM450+WeightSDS!W$12,WeightSDS!P$14*$AM450^7+WeightSDS!Q$14*$AM450^6+WeightSDS!R$14*$AM450^5+WeightSDS!S$14*$AM450^4+WeightSDS!T$14*$AM450^3+WeightSDS!U$14*$AM450^2+WeightSDS!V$14*$AM450+WeightSDS!W$14),IF($AM450&lt;156,WeightSDS!O$17*$AM450^8+WeightSDS!P$17*$AM450^7+WeightSDS!Q$17*$AM450^6+WeightSDS!R$17*$AM450^5+WeightSDS!S$17*$AM450^4+WeightSDS!T$17*$AM450^3+WeightSDS!U$17*$AM450^2+WeightSDS!V$17*$AM450+WeightSDS!W$17,IF($AM450&lt;186,WeightSDS!$U$18+(WeightSDS!$V$18-WeightSDS!$U$18)/24*($AM450-186)+WeightSDS!$W$18*(-$AM450+186)^2-0.005,WeightSDS!$U$18+(WeightSDS!$V$18-WeightSDS!$U$18)/24*($AM450-186)-0.005)))</f>
        <v>0.14604529399999999</v>
      </c>
      <c r="AT450" s="4">
        <f t="shared" si="133"/>
        <v>0.56299999999999994</v>
      </c>
      <c r="AU450" s="4">
        <f t="shared" si="134"/>
        <v>69</v>
      </c>
      <c r="AV450" s="4">
        <f t="shared" si="135"/>
        <v>0.51</v>
      </c>
    </row>
    <row r="451" spans="1:48" x14ac:dyDescent="0.15">
      <c r="A451" s="4"/>
      <c r="B451" s="21"/>
      <c r="C451" s="21"/>
      <c r="D451" s="21"/>
      <c r="E451" s="22"/>
      <c r="F451" s="22"/>
      <c r="G451" s="23"/>
      <c r="H451" s="23"/>
      <c r="I451" s="181"/>
      <c r="J451" s="8" t="str">
        <f t="shared" ref="J451:J514" si="148">IF(COUNTA(D451,E451,F451,G451)=4,IF(AA451+AB451/12&gt;17.583,"       *",(G451-(INDEX(IF(D451="F",Hfemalemean,Hmalemean),AB451+1,AA451+1)))/(INDEX(IF(D451="F",Hfemalesd,Hmalesd),AB451+1,AA451+1))),"")</f>
        <v/>
      </c>
      <c r="K451" s="2" t="str">
        <f t="shared" si="136"/>
        <v/>
      </c>
      <c r="L451" s="2" t="str">
        <f t="shared" ref="L451:L514" si="149">IF(COUNTA(D451,E451,F451,G451,H451)&lt;5,"",IF(T451&lt;6,"       *",IF(AA451+AB451/12&gt;=17.583,"       *",(H451-G451*INDEX(IF(D451="F",muratafemale,muratamale),AA451-4,1)-INDEX(IF(D451="F",muratafemale,muratamale),AA451-4,2))/(G451*INDEX(IF(D451="F",muratafemale,muratamale),AA451-4,1)+INDEX(IF(D451="F",muratafemale,muratamale),AA451-4,2))*100)))</f>
        <v/>
      </c>
      <c r="M451" s="2" t="str">
        <f t="shared" si="137"/>
        <v/>
      </c>
      <c r="N451" s="2" t="str">
        <f t="shared" si="145"/>
        <v/>
      </c>
      <c r="O451" s="2" t="str">
        <f t="shared" si="138"/>
        <v/>
      </c>
      <c r="P451" s="8" t="str">
        <f t="shared" si="139"/>
        <v/>
      </c>
      <c r="Q451" s="8" t="str">
        <f t="shared" si="140"/>
        <v/>
      </c>
      <c r="R451" s="111" t="str">
        <f t="shared" si="141"/>
        <v/>
      </c>
      <c r="S451" s="44" t="str">
        <f t="shared" si="142"/>
        <v/>
      </c>
      <c r="T451" s="37" t="str">
        <f t="shared" si="143"/>
        <v/>
      </c>
      <c r="U451" s="44" t="str">
        <f t="shared" si="144"/>
        <v/>
      </c>
      <c r="V451" s="26"/>
      <c r="W451" s="26"/>
      <c r="X451" s="26"/>
      <c r="Y451" s="26"/>
      <c r="Z451" s="24"/>
      <c r="AA451" s="169">
        <f t="shared" ref="AA451:AA514" si="150">DATEDIF(E451,F451,"Y")</f>
        <v>0</v>
      </c>
      <c r="AB451" s="4">
        <f t="shared" ref="AB451:AB514" si="151">DATEDIF(E451,F451,"YM")</f>
        <v>0</v>
      </c>
      <c r="AC451" s="170">
        <f t="shared" si="147"/>
        <v>0</v>
      </c>
      <c r="AD451" s="58"/>
      <c r="AE451" s="58"/>
      <c r="AF451" s="58"/>
      <c r="AG451" s="59">
        <f t="shared" ref="AG451:AG514" si="152">IF(D451="M",2.06*10^-3*G451^2-0.1166*G451+6.5273,2.49*10^-3*G451^2-0.1858*G451+9.036)</f>
        <v>9.0359999999999996</v>
      </c>
      <c r="AH451" s="59">
        <f t="shared" ref="AH451:AH514" si="153">((G451/100)^3*INDEX(itoOI,IF(D451="M",0,3)+IF(G451&lt;140,1,IF(G451&lt;=149,2,3)),1)+(G451/100)^2*INDEX(itoOI,IF(D451="M",0,3)+IF(G451&lt;140,1,IF(G451&lt;=149,2,3)),2)+(G451/100)*INDEX(itoOI,IF(D451="M",0,3)+IF(G451&lt;140,1,IF(G451&lt;=149,2,3)),3)+INDEX(itoOI,IF(D451="M",0,3)+IF(G451&lt;140,1,IF(G451&lt;=149,2,3)),4))</f>
        <v>-184.49199999999999</v>
      </c>
      <c r="AJ451" s="4">
        <f>IF(D451="M",IF(AM451&lt;78,BMILMS!$D$5*AM451^3+BMILMS!$E$5*AM451^2+BMILMS!$F$5*AM451+BMILMS!$G$5,IF(AM451&lt;150,BMILMS!$D$6*AM451^3+BMILMS!$E$6*AM451^2+BMILMS!$F$6*AM451+BMILMS!$G$6,BMILMS!$D$7*AM451^3+BMILMS!$E$7*AM451^2+BMILMS!$F$7*AM451+BMILMS!$G$7)),IF(AM451&lt;69,BMILMS!$D$9*AM451^3+BMILMS!$E$9*AM451^2+BMILMS!$F$9*AM451+BMILMS!$G$9,IF(AM451&lt;150,BMILMS!$D$10*AM451^3+BMILMS!$E$10*AM451^2+BMILMS!$F$10*AM451+BMILMS!$G$10,BMILMS!$D$11*AM451^3+BMILMS!$E$11*AM451^2+BMILMS!$F$11*AM451+BMILMS!$G$11)))</f>
        <v>0.79584630099999998</v>
      </c>
      <c r="AK451" s="4">
        <f>IF(D451="M",(IF(AM451&lt;2.5,BMILMS!$D$21*AM451^3+BMILMS!$E$21*AM451^2+BMILMS!$F$21*AM451+BMILMS!$G$21,IF(AM451&lt;9.5,BMILMS!$D$22*AM451^3+BMILMS!$E$22*AM451^2+BMILMS!$F$22*AM451+BMILMS!$G$22,IF(AM451&lt;26.75,BMILMS!$D$23*AM451^3+BMILMS!$E$23*AM451^2+BMILMS!$F$23*AM451+BMILMS!$G$23,IF(AM451&lt;90,BMILMS!$D$24*AM451^3+BMILMS!$E$24*AM451^2+BMILMS!$F$24*AM451+BMILMS!$G$24,BMILMS!$D$25*AM451^3+BMILMS!$E$25*AM451^2+BMILMS!$F$25*AM451+BMILMS!$G$25))))),(IF(AM451&lt;2.5,BMILMS!$D$27*AM451^3+BMILMS!$E$27*AM451^2+BMILMS!$F$27*AM451+BMILMS!$G$27,IF(AM451&lt;9.5,BMILMS!$D$28*AM451^3+BMILMS!$E$28*AM451^2+BMILMS!$F$28*AM451+BMILMS!$G$28,IF(AM451&lt;26.75,BMILMS!$D$29*AM451^3+BMILMS!$E$29*AM451^2+BMILMS!$F$29*AM451+BMILMS!$G$29,IF(AM451&lt;90,BMILMS!$D$30*AM451^3+BMILMS!$E$30*AM451^2+BMILMS!$F$30*AM451+BMILMS!$G$30,IF(AM451&lt;150,BMILMS!$D$31*AM451^3+BMILMS!$E$31*AM451^2+BMILMS!$F$31*AM451+BMILMS!$G$31,BMILMS!$D$32*AM451^3+BMILMS!$E$32*AM451^2+BMILMS!$F$32*AM451+BMILMS!$G$32)))))))</f>
        <v>12.568967990000001</v>
      </c>
      <c r="AL451" s="4">
        <f>IF(D451="M",(IF(AM451&lt;90,BMILMS!$D$14*AM451^3+BMILMS!$E$14*AM451^2+BMILMS!$F$14*AM451+BMILMS!$G$14,BMILMS!$D$15*AM451^3+BMILMS!$E$15*AM451^2+BMILMS!$F$15*AM451+BMILMS!$G$15)),(IF(AM451&lt;90,BMILMS!$D$17*AM451^3+BMILMS!$E$17*AM451^2+BMILMS!$F$17*AM451+BMILMS!$G$17,BMILMS!$D$18*AM451^3+BMILMS!$E$18*AM451^2+BMILMS!$F$18*AM451+BMILMS!$G$18)))</f>
        <v>8.8969350000000003E-2</v>
      </c>
      <c r="AM451" s="4">
        <f t="shared" si="146"/>
        <v>0</v>
      </c>
      <c r="AO451" s="56">
        <f>IF(D451="M",WeightSDS!P$5*$AM451^7+WeightSDS!Q$5*$AM451^6+WeightSDS!R$5*$AM451^5+WeightSDS!S$5*$AM451^4+WeightSDS!T$5*$AM451^3+WeightSDS!U$5*$AM451^2+WeightSDS!V$5*$AM451+WeightSDS!W$5,IF($AM451&lt;186,WeightSDS!P$8*$AM451^7+WeightSDS!Q$8*$AM451^6+WeightSDS!R$8*$AM451^5+WeightSDS!S$8*$AM451^4+WeightSDS!T$8*$AM451^3+WeightSDS!U$8*$AM451^2+WeightSDS!V$8*$AM451+WeightSDS!W$8,WeightSDS!$U$9+WeightSDS!$V$9*($AM451-WeightSDS!$W$9)))</f>
        <v>0.75407122999999998</v>
      </c>
      <c r="AP451" s="4">
        <f>IF(D451="M",IF($AM451&lt;45,WeightSDS!M$23*$AM451^10+WeightSDS!N$23*$AM451^9+WeightSDS!O$23*$AM451^8+WeightSDS!P$23*$AM451^7+WeightSDS!Q$23*$AM451^6+WeightSDS!R$23*$AM451^5+WeightSDS!S$23*$AM451^4+WeightSDS!T$23*$AM451^3+WeightSDS!U$23*$AM451^2+WeightSDS!V$23*$AM451+WeightSDS!W$23,IF($AM451&lt;153,WeightSDS!M$25*$AM451^10+WeightSDS!N$25*$AM451^9+WeightSDS!O$25*$AM451^8+WeightSDS!P$25*$AM451^7+WeightSDS!Q$25*$AM451^6+WeightSDS!R$25*$AM451^5+WeightSDS!S$25*$AM451^4+WeightSDS!T$25*$AM451^3+WeightSDS!U$25*$AM451^2+WeightSDS!V$25*$AM451+WeightSDS!W$25,WeightSDS!M$27+WeightSDS!N$27/(1+EXP(WeightSDS!O$27+WeightSDS!P$27*$AM451)))),IF($AM451&lt;43.8,WeightSDS!M$29*$AM451^10+WeightSDS!N$29*$AM451^9+WeightSDS!O$29*$AM451^8+WeightSDS!P$29*$AM451^7+WeightSDS!Q$29*$AM451^6+WeightSDS!R$29*$AM451^5+WeightSDS!S$29*$AM451^4+WeightSDS!T$29*$AM451^3+WeightSDS!U$29*$AM451^2+WeightSDS!V$29*$AM451+WeightSDS!W$29-0.010431*(1-$AM451/210),IF($AM451&lt;123,WeightSDS!M$30*$AM451^10+WeightSDS!N$30*$AM451^9+WeightSDS!O$30*$AM451^8+WeightSDS!P$30*$AM451^7+WeightSDS!Q$30*$AM451^6+WeightSDS!R$30*$AM451^5+WeightSDS!S$30*$AM451^4+WeightSDS!T$30*$AM451^3+WeightSDS!U$30*$AM451^2+WeightSDS!V$30*$AM451+WeightSDS!W$30-0.010431*(1-1/$AM451),WeightSDS!M$32+WeightSDS!N$32/(1+EXP(WeightSDS!O$32+WeightSDS!P$32*$AM451))-0.010431*(1-$AM451/210))))</f>
        <v>2.9500001032655536</v>
      </c>
      <c r="AQ451" s="4">
        <f>IF(D451="M",IF($AM451&lt;162,WeightSDS!P$12*$AM451^7+WeightSDS!Q$12*$AM451^6+WeightSDS!R$12*$AM451^5+WeightSDS!S$12*$AM451^4+WeightSDS!T$12*$AM451^3+WeightSDS!U$12*$AM451^2+WeightSDS!V$12*$AM451+WeightSDS!W$12,WeightSDS!P$14*$AM451^7+WeightSDS!Q$14*$AM451^6+WeightSDS!R$14*$AM451^5+WeightSDS!S$14*$AM451^4+WeightSDS!T$14*$AM451^3+WeightSDS!U$14*$AM451^2+WeightSDS!V$14*$AM451+WeightSDS!W$14),IF($AM451&lt;156,WeightSDS!O$17*$AM451^8+WeightSDS!P$17*$AM451^7+WeightSDS!Q$17*$AM451^6+WeightSDS!R$17*$AM451^5+WeightSDS!S$17*$AM451^4+WeightSDS!T$17*$AM451^3+WeightSDS!U$17*$AM451^2+WeightSDS!V$17*$AM451+WeightSDS!W$17,IF($AM451&lt;186,WeightSDS!$U$18+(WeightSDS!$V$18-WeightSDS!$U$18)/24*($AM451-186)+WeightSDS!$W$18*(-$AM451+186)^2-0.005,WeightSDS!$U$18+(WeightSDS!$V$18-WeightSDS!$U$18)/24*($AM451-186)-0.005)))</f>
        <v>0.14604529399999999</v>
      </c>
      <c r="AT451" s="4">
        <f t="shared" ref="AT451:AT514" si="154">INDEX(IF(D451="M",IGFmale, IGFfemale), AA451+1,1)</f>
        <v>0.56299999999999994</v>
      </c>
      <c r="AU451" s="4">
        <f t="shared" ref="AU451:AU514" si="155">INDEX(IF(D451="M",IGFmale, IGFfemale), AA451+1,2)</f>
        <v>69</v>
      </c>
      <c r="AV451" s="4">
        <f t="shared" ref="AV451:AV514" si="156">INDEX(IF(D451="M",IGFmale, IGFfemale), AA451+1,3)</f>
        <v>0.51</v>
      </c>
    </row>
    <row r="452" spans="1:48" x14ac:dyDescent="0.15">
      <c r="A452" s="4"/>
      <c r="B452" s="21"/>
      <c r="C452" s="21"/>
      <c r="D452" s="21"/>
      <c r="E452" s="22"/>
      <c r="F452" s="22"/>
      <c r="G452" s="23"/>
      <c r="H452" s="23"/>
      <c r="I452" s="181"/>
      <c r="J452" s="8" t="str">
        <f t="shared" si="148"/>
        <v/>
      </c>
      <c r="K452" s="2" t="str">
        <f t="shared" ref="K452:K515" si="157">IF(COUNTA(D452,E452,F452,G452,H452)=5,IF(T452&lt;1,"       *",IF(T452&gt;=6,"       *",IF(G452&gt;=120,"       *",IF(G452&lt;70,"       *",(H452-AG452)/AG452*100)))),"")</f>
        <v/>
      </c>
      <c r="L452" s="2" t="str">
        <f t="shared" si="149"/>
        <v/>
      </c>
      <c r="M452" s="2" t="str">
        <f t="shared" ref="M452:M515" si="158">IF(COUNTA(D452,E452,F452,G452,H452)=5,IF(G452&gt;=IF(D452="M",181,174),"*",IF(G452&lt;101,"       *",IF(T452&lt;6,"       *",IF(AA452+AB452/12&gt;=17.583,"*",(H452-AH452)/AH452*100)))),"")</f>
        <v/>
      </c>
      <c r="N452" s="2" t="str">
        <f t="shared" si="145"/>
        <v/>
      </c>
      <c r="O452" s="2" t="str">
        <f t="shared" ref="O452:O515" si="159">IF(COUNTA(D452,E452,F452,G452,H452)=5,IF(AA452+AB452/12&gt;17.583,"   *",NORMSDIST(((N452/AK452)^(AJ452)-1)/AJ452/AL452)*100),"")</f>
        <v/>
      </c>
      <c r="P452" s="8" t="str">
        <f t="shared" ref="P452:P515" si="160">IF(COUNTA(D452,E452,F452,G452,H452)=5,IF(AA452+AB452/12&gt;17.583,"   *",((N452/AK452)^(AJ452)-1)/AJ452/AL452),"")</f>
        <v/>
      </c>
      <c r="Q452" s="8" t="str">
        <f t="shared" ref="Q452:Q515" si="161">IF(COUNTA(D452,E452,F452,H452)=4,IF(AA452+AB452/12&gt;17.583,"   *",((H452/AP452)^(AO452)-1)/AO452/AQ452),"")</f>
        <v/>
      </c>
      <c r="R452" s="111" t="str">
        <f t="shared" ref="R452:R515" si="162">IF(COUNTA(D452,E452,F452,I452)=4,IF(AC452&gt;77,"*",NORMSDIST(((I452/AU452)^(AT452)-1)/AT452/AV452)*100),"")</f>
        <v/>
      </c>
      <c r="S452" s="44" t="str">
        <f t="shared" ref="S452:S515" si="163">IF(COUNTA(D452,E452,F452,I452)=4,IF(AC452&gt;77,"*",((I452/AU452)^(AT452)-1)/AT452/AV452),"")</f>
        <v/>
      </c>
      <c r="T452" s="37" t="str">
        <f t="shared" ref="T452:T515" si="164">IF(COUNTA(E452,F452)=2,AC452,"")</f>
        <v/>
      </c>
      <c r="U452" s="44" t="str">
        <f t="shared" ref="U452:U515" si="165">IF(COUNTA(E452,F452)=2,AA452&amp;"歳"&amp;AB452&amp;"か月","")</f>
        <v/>
      </c>
      <c r="V452" s="26"/>
      <c r="W452" s="26"/>
      <c r="X452" s="26"/>
      <c r="Y452" s="26"/>
      <c r="Z452" s="24"/>
      <c r="AA452" s="169">
        <f t="shared" si="150"/>
        <v>0</v>
      </c>
      <c r="AB452" s="4">
        <f t="shared" si="151"/>
        <v>0</v>
      </c>
      <c r="AC452" s="170">
        <f t="shared" si="147"/>
        <v>0</v>
      </c>
      <c r="AD452" s="58"/>
      <c r="AE452" s="58"/>
      <c r="AF452" s="58"/>
      <c r="AG452" s="59">
        <f t="shared" si="152"/>
        <v>9.0359999999999996</v>
      </c>
      <c r="AH452" s="59">
        <f t="shared" si="153"/>
        <v>-184.49199999999999</v>
      </c>
      <c r="AJ452" s="4">
        <f>IF(D452="M",IF(AM452&lt;78,BMILMS!$D$5*AM452^3+BMILMS!$E$5*AM452^2+BMILMS!$F$5*AM452+BMILMS!$G$5,IF(AM452&lt;150,BMILMS!$D$6*AM452^3+BMILMS!$E$6*AM452^2+BMILMS!$F$6*AM452+BMILMS!$G$6,BMILMS!$D$7*AM452^3+BMILMS!$E$7*AM452^2+BMILMS!$F$7*AM452+BMILMS!$G$7)),IF(AM452&lt;69,BMILMS!$D$9*AM452^3+BMILMS!$E$9*AM452^2+BMILMS!$F$9*AM452+BMILMS!$G$9,IF(AM452&lt;150,BMILMS!$D$10*AM452^3+BMILMS!$E$10*AM452^2+BMILMS!$F$10*AM452+BMILMS!$G$10,BMILMS!$D$11*AM452^3+BMILMS!$E$11*AM452^2+BMILMS!$F$11*AM452+BMILMS!$G$11)))</f>
        <v>0.79584630099999998</v>
      </c>
      <c r="AK452" s="4">
        <f>IF(D452="M",(IF(AM452&lt;2.5,BMILMS!$D$21*AM452^3+BMILMS!$E$21*AM452^2+BMILMS!$F$21*AM452+BMILMS!$G$21,IF(AM452&lt;9.5,BMILMS!$D$22*AM452^3+BMILMS!$E$22*AM452^2+BMILMS!$F$22*AM452+BMILMS!$G$22,IF(AM452&lt;26.75,BMILMS!$D$23*AM452^3+BMILMS!$E$23*AM452^2+BMILMS!$F$23*AM452+BMILMS!$G$23,IF(AM452&lt;90,BMILMS!$D$24*AM452^3+BMILMS!$E$24*AM452^2+BMILMS!$F$24*AM452+BMILMS!$G$24,BMILMS!$D$25*AM452^3+BMILMS!$E$25*AM452^2+BMILMS!$F$25*AM452+BMILMS!$G$25))))),(IF(AM452&lt;2.5,BMILMS!$D$27*AM452^3+BMILMS!$E$27*AM452^2+BMILMS!$F$27*AM452+BMILMS!$G$27,IF(AM452&lt;9.5,BMILMS!$D$28*AM452^3+BMILMS!$E$28*AM452^2+BMILMS!$F$28*AM452+BMILMS!$G$28,IF(AM452&lt;26.75,BMILMS!$D$29*AM452^3+BMILMS!$E$29*AM452^2+BMILMS!$F$29*AM452+BMILMS!$G$29,IF(AM452&lt;90,BMILMS!$D$30*AM452^3+BMILMS!$E$30*AM452^2+BMILMS!$F$30*AM452+BMILMS!$G$30,IF(AM452&lt;150,BMILMS!$D$31*AM452^3+BMILMS!$E$31*AM452^2+BMILMS!$F$31*AM452+BMILMS!$G$31,BMILMS!$D$32*AM452^3+BMILMS!$E$32*AM452^2+BMILMS!$F$32*AM452+BMILMS!$G$32)))))))</f>
        <v>12.568967990000001</v>
      </c>
      <c r="AL452" s="4">
        <f>IF(D452="M",(IF(AM452&lt;90,BMILMS!$D$14*AM452^3+BMILMS!$E$14*AM452^2+BMILMS!$F$14*AM452+BMILMS!$G$14,BMILMS!$D$15*AM452^3+BMILMS!$E$15*AM452^2+BMILMS!$F$15*AM452+BMILMS!$G$15)),(IF(AM452&lt;90,BMILMS!$D$17*AM452^3+BMILMS!$E$17*AM452^2+BMILMS!$F$17*AM452+BMILMS!$G$17,BMILMS!$D$18*AM452^3+BMILMS!$E$18*AM452^2+BMILMS!$F$18*AM452+BMILMS!$G$18)))</f>
        <v>8.8969350000000003E-2</v>
      </c>
      <c r="AM452" s="4">
        <f t="shared" si="146"/>
        <v>0</v>
      </c>
      <c r="AO452" s="56">
        <f>IF(D452="M",WeightSDS!P$5*$AM452^7+WeightSDS!Q$5*$AM452^6+WeightSDS!R$5*$AM452^5+WeightSDS!S$5*$AM452^4+WeightSDS!T$5*$AM452^3+WeightSDS!U$5*$AM452^2+WeightSDS!V$5*$AM452+WeightSDS!W$5,IF($AM452&lt;186,WeightSDS!P$8*$AM452^7+WeightSDS!Q$8*$AM452^6+WeightSDS!R$8*$AM452^5+WeightSDS!S$8*$AM452^4+WeightSDS!T$8*$AM452^3+WeightSDS!U$8*$AM452^2+WeightSDS!V$8*$AM452+WeightSDS!W$8,WeightSDS!$U$9+WeightSDS!$V$9*($AM452-WeightSDS!$W$9)))</f>
        <v>0.75407122999999998</v>
      </c>
      <c r="AP452" s="4">
        <f>IF(D452="M",IF($AM452&lt;45,WeightSDS!M$23*$AM452^10+WeightSDS!N$23*$AM452^9+WeightSDS!O$23*$AM452^8+WeightSDS!P$23*$AM452^7+WeightSDS!Q$23*$AM452^6+WeightSDS!R$23*$AM452^5+WeightSDS!S$23*$AM452^4+WeightSDS!T$23*$AM452^3+WeightSDS!U$23*$AM452^2+WeightSDS!V$23*$AM452+WeightSDS!W$23,IF($AM452&lt;153,WeightSDS!M$25*$AM452^10+WeightSDS!N$25*$AM452^9+WeightSDS!O$25*$AM452^8+WeightSDS!P$25*$AM452^7+WeightSDS!Q$25*$AM452^6+WeightSDS!R$25*$AM452^5+WeightSDS!S$25*$AM452^4+WeightSDS!T$25*$AM452^3+WeightSDS!U$25*$AM452^2+WeightSDS!V$25*$AM452+WeightSDS!W$25,WeightSDS!M$27+WeightSDS!N$27/(1+EXP(WeightSDS!O$27+WeightSDS!P$27*$AM452)))),IF($AM452&lt;43.8,WeightSDS!M$29*$AM452^10+WeightSDS!N$29*$AM452^9+WeightSDS!O$29*$AM452^8+WeightSDS!P$29*$AM452^7+WeightSDS!Q$29*$AM452^6+WeightSDS!R$29*$AM452^5+WeightSDS!S$29*$AM452^4+WeightSDS!T$29*$AM452^3+WeightSDS!U$29*$AM452^2+WeightSDS!V$29*$AM452+WeightSDS!W$29-0.010431*(1-$AM452/210),IF($AM452&lt;123,WeightSDS!M$30*$AM452^10+WeightSDS!N$30*$AM452^9+WeightSDS!O$30*$AM452^8+WeightSDS!P$30*$AM452^7+WeightSDS!Q$30*$AM452^6+WeightSDS!R$30*$AM452^5+WeightSDS!S$30*$AM452^4+WeightSDS!T$30*$AM452^3+WeightSDS!U$30*$AM452^2+WeightSDS!V$30*$AM452+WeightSDS!W$30-0.010431*(1-1/$AM452),WeightSDS!M$32+WeightSDS!N$32/(1+EXP(WeightSDS!O$32+WeightSDS!P$32*$AM452))-0.010431*(1-$AM452/210))))</f>
        <v>2.9500001032655536</v>
      </c>
      <c r="AQ452" s="4">
        <f>IF(D452="M",IF($AM452&lt;162,WeightSDS!P$12*$AM452^7+WeightSDS!Q$12*$AM452^6+WeightSDS!R$12*$AM452^5+WeightSDS!S$12*$AM452^4+WeightSDS!T$12*$AM452^3+WeightSDS!U$12*$AM452^2+WeightSDS!V$12*$AM452+WeightSDS!W$12,WeightSDS!P$14*$AM452^7+WeightSDS!Q$14*$AM452^6+WeightSDS!R$14*$AM452^5+WeightSDS!S$14*$AM452^4+WeightSDS!T$14*$AM452^3+WeightSDS!U$14*$AM452^2+WeightSDS!V$14*$AM452+WeightSDS!W$14),IF($AM452&lt;156,WeightSDS!O$17*$AM452^8+WeightSDS!P$17*$AM452^7+WeightSDS!Q$17*$AM452^6+WeightSDS!R$17*$AM452^5+WeightSDS!S$17*$AM452^4+WeightSDS!T$17*$AM452^3+WeightSDS!U$17*$AM452^2+WeightSDS!V$17*$AM452+WeightSDS!W$17,IF($AM452&lt;186,WeightSDS!$U$18+(WeightSDS!$V$18-WeightSDS!$U$18)/24*($AM452-186)+WeightSDS!$W$18*(-$AM452+186)^2-0.005,WeightSDS!$U$18+(WeightSDS!$V$18-WeightSDS!$U$18)/24*($AM452-186)-0.005)))</f>
        <v>0.14604529399999999</v>
      </c>
      <c r="AT452" s="4">
        <f t="shared" si="154"/>
        <v>0.56299999999999994</v>
      </c>
      <c r="AU452" s="4">
        <f t="shared" si="155"/>
        <v>69</v>
      </c>
      <c r="AV452" s="4">
        <f t="shared" si="156"/>
        <v>0.51</v>
      </c>
    </row>
    <row r="453" spans="1:48" x14ac:dyDescent="0.15">
      <c r="A453" s="4"/>
      <c r="B453" s="21"/>
      <c r="C453" s="21"/>
      <c r="D453" s="21"/>
      <c r="E453" s="22"/>
      <c r="F453" s="22"/>
      <c r="G453" s="23"/>
      <c r="H453" s="23"/>
      <c r="I453" s="181"/>
      <c r="J453" s="8" t="str">
        <f t="shared" si="148"/>
        <v/>
      </c>
      <c r="K453" s="2" t="str">
        <f t="shared" si="157"/>
        <v/>
      </c>
      <c r="L453" s="2" t="str">
        <f t="shared" si="149"/>
        <v/>
      </c>
      <c r="M453" s="2" t="str">
        <f t="shared" si="158"/>
        <v/>
      </c>
      <c r="N453" s="2" t="str">
        <f t="shared" si="145"/>
        <v/>
      </c>
      <c r="O453" s="2" t="str">
        <f t="shared" si="159"/>
        <v/>
      </c>
      <c r="P453" s="8" t="str">
        <f t="shared" si="160"/>
        <v/>
      </c>
      <c r="Q453" s="8" t="str">
        <f t="shared" si="161"/>
        <v/>
      </c>
      <c r="R453" s="111" t="str">
        <f t="shared" si="162"/>
        <v/>
      </c>
      <c r="S453" s="44" t="str">
        <f t="shared" si="163"/>
        <v/>
      </c>
      <c r="T453" s="37" t="str">
        <f t="shared" si="164"/>
        <v/>
      </c>
      <c r="U453" s="44" t="str">
        <f t="shared" si="165"/>
        <v/>
      </c>
      <c r="V453" s="26"/>
      <c r="W453" s="26"/>
      <c r="X453" s="26"/>
      <c r="Y453" s="26"/>
      <c r="Z453" s="24"/>
      <c r="AA453" s="169">
        <f t="shared" si="150"/>
        <v>0</v>
      </c>
      <c r="AB453" s="4">
        <f t="shared" si="151"/>
        <v>0</v>
      </c>
      <c r="AC453" s="170">
        <f t="shared" si="147"/>
        <v>0</v>
      </c>
      <c r="AD453" s="58"/>
      <c r="AE453" s="58"/>
      <c r="AF453" s="58"/>
      <c r="AG453" s="59">
        <f t="shared" si="152"/>
        <v>9.0359999999999996</v>
      </c>
      <c r="AH453" s="59">
        <f t="shared" si="153"/>
        <v>-184.49199999999999</v>
      </c>
      <c r="AJ453" s="4">
        <f>IF(D453="M",IF(AM453&lt;78,BMILMS!$D$5*AM453^3+BMILMS!$E$5*AM453^2+BMILMS!$F$5*AM453+BMILMS!$G$5,IF(AM453&lt;150,BMILMS!$D$6*AM453^3+BMILMS!$E$6*AM453^2+BMILMS!$F$6*AM453+BMILMS!$G$6,BMILMS!$D$7*AM453^3+BMILMS!$E$7*AM453^2+BMILMS!$F$7*AM453+BMILMS!$G$7)),IF(AM453&lt;69,BMILMS!$D$9*AM453^3+BMILMS!$E$9*AM453^2+BMILMS!$F$9*AM453+BMILMS!$G$9,IF(AM453&lt;150,BMILMS!$D$10*AM453^3+BMILMS!$E$10*AM453^2+BMILMS!$F$10*AM453+BMILMS!$G$10,BMILMS!$D$11*AM453^3+BMILMS!$E$11*AM453^2+BMILMS!$F$11*AM453+BMILMS!$G$11)))</f>
        <v>0.79584630099999998</v>
      </c>
      <c r="AK453" s="4">
        <f>IF(D453="M",(IF(AM453&lt;2.5,BMILMS!$D$21*AM453^3+BMILMS!$E$21*AM453^2+BMILMS!$F$21*AM453+BMILMS!$G$21,IF(AM453&lt;9.5,BMILMS!$D$22*AM453^3+BMILMS!$E$22*AM453^2+BMILMS!$F$22*AM453+BMILMS!$G$22,IF(AM453&lt;26.75,BMILMS!$D$23*AM453^3+BMILMS!$E$23*AM453^2+BMILMS!$F$23*AM453+BMILMS!$G$23,IF(AM453&lt;90,BMILMS!$D$24*AM453^3+BMILMS!$E$24*AM453^2+BMILMS!$F$24*AM453+BMILMS!$G$24,BMILMS!$D$25*AM453^3+BMILMS!$E$25*AM453^2+BMILMS!$F$25*AM453+BMILMS!$G$25))))),(IF(AM453&lt;2.5,BMILMS!$D$27*AM453^3+BMILMS!$E$27*AM453^2+BMILMS!$F$27*AM453+BMILMS!$G$27,IF(AM453&lt;9.5,BMILMS!$D$28*AM453^3+BMILMS!$E$28*AM453^2+BMILMS!$F$28*AM453+BMILMS!$G$28,IF(AM453&lt;26.75,BMILMS!$D$29*AM453^3+BMILMS!$E$29*AM453^2+BMILMS!$F$29*AM453+BMILMS!$G$29,IF(AM453&lt;90,BMILMS!$D$30*AM453^3+BMILMS!$E$30*AM453^2+BMILMS!$F$30*AM453+BMILMS!$G$30,IF(AM453&lt;150,BMILMS!$D$31*AM453^3+BMILMS!$E$31*AM453^2+BMILMS!$F$31*AM453+BMILMS!$G$31,BMILMS!$D$32*AM453^3+BMILMS!$E$32*AM453^2+BMILMS!$F$32*AM453+BMILMS!$G$32)))))))</f>
        <v>12.568967990000001</v>
      </c>
      <c r="AL453" s="4">
        <f>IF(D453="M",(IF(AM453&lt;90,BMILMS!$D$14*AM453^3+BMILMS!$E$14*AM453^2+BMILMS!$F$14*AM453+BMILMS!$G$14,BMILMS!$D$15*AM453^3+BMILMS!$E$15*AM453^2+BMILMS!$F$15*AM453+BMILMS!$G$15)),(IF(AM453&lt;90,BMILMS!$D$17*AM453^3+BMILMS!$E$17*AM453^2+BMILMS!$F$17*AM453+BMILMS!$G$17,BMILMS!$D$18*AM453^3+BMILMS!$E$18*AM453^2+BMILMS!$F$18*AM453+BMILMS!$G$18)))</f>
        <v>8.8969350000000003E-2</v>
      </c>
      <c r="AM453" s="4">
        <f t="shared" si="146"/>
        <v>0</v>
      </c>
      <c r="AO453" s="56">
        <f>IF(D453="M",WeightSDS!P$5*$AM453^7+WeightSDS!Q$5*$AM453^6+WeightSDS!R$5*$AM453^5+WeightSDS!S$5*$AM453^4+WeightSDS!T$5*$AM453^3+WeightSDS!U$5*$AM453^2+WeightSDS!V$5*$AM453+WeightSDS!W$5,IF($AM453&lt;186,WeightSDS!P$8*$AM453^7+WeightSDS!Q$8*$AM453^6+WeightSDS!R$8*$AM453^5+WeightSDS!S$8*$AM453^4+WeightSDS!T$8*$AM453^3+WeightSDS!U$8*$AM453^2+WeightSDS!V$8*$AM453+WeightSDS!W$8,WeightSDS!$U$9+WeightSDS!$V$9*($AM453-WeightSDS!$W$9)))</f>
        <v>0.75407122999999998</v>
      </c>
      <c r="AP453" s="4">
        <f>IF(D453="M",IF($AM453&lt;45,WeightSDS!M$23*$AM453^10+WeightSDS!N$23*$AM453^9+WeightSDS!O$23*$AM453^8+WeightSDS!P$23*$AM453^7+WeightSDS!Q$23*$AM453^6+WeightSDS!R$23*$AM453^5+WeightSDS!S$23*$AM453^4+WeightSDS!T$23*$AM453^3+WeightSDS!U$23*$AM453^2+WeightSDS!V$23*$AM453+WeightSDS!W$23,IF($AM453&lt;153,WeightSDS!M$25*$AM453^10+WeightSDS!N$25*$AM453^9+WeightSDS!O$25*$AM453^8+WeightSDS!P$25*$AM453^7+WeightSDS!Q$25*$AM453^6+WeightSDS!R$25*$AM453^5+WeightSDS!S$25*$AM453^4+WeightSDS!T$25*$AM453^3+WeightSDS!U$25*$AM453^2+WeightSDS!V$25*$AM453+WeightSDS!W$25,WeightSDS!M$27+WeightSDS!N$27/(1+EXP(WeightSDS!O$27+WeightSDS!P$27*$AM453)))),IF($AM453&lt;43.8,WeightSDS!M$29*$AM453^10+WeightSDS!N$29*$AM453^9+WeightSDS!O$29*$AM453^8+WeightSDS!P$29*$AM453^7+WeightSDS!Q$29*$AM453^6+WeightSDS!R$29*$AM453^5+WeightSDS!S$29*$AM453^4+WeightSDS!T$29*$AM453^3+WeightSDS!U$29*$AM453^2+WeightSDS!V$29*$AM453+WeightSDS!W$29-0.010431*(1-$AM453/210),IF($AM453&lt;123,WeightSDS!M$30*$AM453^10+WeightSDS!N$30*$AM453^9+WeightSDS!O$30*$AM453^8+WeightSDS!P$30*$AM453^7+WeightSDS!Q$30*$AM453^6+WeightSDS!R$30*$AM453^5+WeightSDS!S$30*$AM453^4+WeightSDS!T$30*$AM453^3+WeightSDS!U$30*$AM453^2+WeightSDS!V$30*$AM453+WeightSDS!W$30-0.010431*(1-1/$AM453),WeightSDS!M$32+WeightSDS!N$32/(1+EXP(WeightSDS!O$32+WeightSDS!P$32*$AM453))-0.010431*(1-$AM453/210))))</f>
        <v>2.9500001032655536</v>
      </c>
      <c r="AQ453" s="4">
        <f>IF(D453="M",IF($AM453&lt;162,WeightSDS!P$12*$AM453^7+WeightSDS!Q$12*$AM453^6+WeightSDS!R$12*$AM453^5+WeightSDS!S$12*$AM453^4+WeightSDS!T$12*$AM453^3+WeightSDS!U$12*$AM453^2+WeightSDS!V$12*$AM453+WeightSDS!W$12,WeightSDS!P$14*$AM453^7+WeightSDS!Q$14*$AM453^6+WeightSDS!R$14*$AM453^5+WeightSDS!S$14*$AM453^4+WeightSDS!T$14*$AM453^3+WeightSDS!U$14*$AM453^2+WeightSDS!V$14*$AM453+WeightSDS!W$14),IF($AM453&lt;156,WeightSDS!O$17*$AM453^8+WeightSDS!P$17*$AM453^7+WeightSDS!Q$17*$AM453^6+WeightSDS!R$17*$AM453^5+WeightSDS!S$17*$AM453^4+WeightSDS!T$17*$AM453^3+WeightSDS!U$17*$AM453^2+WeightSDS!V$17*$AM453+WeightSDS!W$17,IF($AM453&lt;186,WeightSDS!$U$18+(WeightSDS!$V$18-WeightSDS!$U$18)/24*($AM453-186)+WeightSDS!$W$18*(-$AM453+186)^2-0.005,WeightSDS!$U$18+(WeightSDS!$V$18-WeightSDS!$U$18)/24*($AM453-186)-0.005)))</f>
        <v>0.14604529399999999</v>
      </c>
      <c r="AT453" s="4">
        <f t="shared" si="154"/>
        <v>0.56299999999999994</v>
      </c>
      <c r="AU453" s="4">
        <f t="shared" si="155"/>
        <v>69</v>
      </c>
      <c r="AV453" s="4">
        <f t="shared" si="156"/>
        <v>0.51</v>
      </c>
    </row>
    <row r="454" spans="1:48" x14ac:dyDescent="0.15">
      <c r="A454" s="4"/>
      <c r="B454" s="21"/>
      <c r="C454" s="21"/>
      <c r="D454" s="21"/>
      <c r="E454" s="22"/>
      <c r="F454" s="22"/>
      <c r="G454" s="23"/>
      <c r="H454" s="23"/>
      <c r="I454" s="181"/>
      <c r="J454" s="8" t="str">
        <f t="shared" si="148"/>
        <v/>
      </c>
      <c r="K454" s="2" t="str">
        <f t="shared" si="157"/>
        <v/>
      </c>
      <c r="L454" s="2" t="str">
        <f t="shared" si="149"/>
        <v/>
      </c>
      <c r="M454" s="2" t="str">
        <f t="shared" si="158"/>
        <v/>
      </c>
      <c r="N454" s="2" t="str">
        <f t="shared" si="145"/>
        <v/>
      </c>
      <c r="O454" s="2" t="str">
        <f t="shared" si="159"/>
        <v/>
      </c>
      <c r="P454" s="8" t="str">
        <f t="shared" si="160"/>
        <v/>
      </c>
      <c r="Q454" s="8" t="str">
        <f t="shared" si="161"/>
        <v/>
      </c>
      <c r="R454" s="111" t="str">
        <f t="shared" si="162"/>
        <v/>
      </c>
      <c r="S454" s="44" t="str">
        <f t="shared" si="163"/>
        <v/>
      </c>
      <c r="T454" s="37" t="str">
        <f t="shared" si="164"/>
        <v/>
      </c>
      <c r="U454" s="44" t="str">
        <f t="shared" si="165"/>
        <v/>
      </c>
      <c r="V454" s="26"/>
      <c r="W454" s="26"/>
      <c r="X454" s="26"/>
      <c r="Y454" s="26"/>
      <c r="Z454" s="24"/>
      <c r="AA454" s="169">
        <f t="shared" si="150"/>
        <v>0</v>
      </c>
      <c r="AB454" s="4">
        <f t="shared" si="151"/>
        <v>0</v>
      </c>
      <c r="AC454" s="170">
        <f t="shared" si="147"/>
        <v>0</v>
      </c>
      <c r="AD454" s="58"/>
      <c r="AE454" s="58"/>
      <c r="AF454" s="58"/>
      <c r="AG454" s="59">
        <f t="shared" si="152"/>
        <v>9.0359999999999996</v>
      </c>
      <c r="AH454" s="59">
        <f t="shared" si="153"/>
        <v>-184.49199999999999</v>
      </c>
      <c r="AJ454" s="4">
        <f>IF(D454="M",IF(AM454&lt;78,BMILMS!$D$5*AM454^3+BMILMS!$E$5*AM454^2+BMILMS!$F$5*AM454+BMILMS!$G$5,IF(AM454&lt;150,BMILMS!$D$6*AM454^3+BMILMS!$E$6*AM454^2+BMILMS!$F$6*AM454+BMILMS!$G$6,BMILMS!$D$7*AM454^3+BMILMS!$E$7*AM454^2+BMILMS!$F$7*AM454+BMILMS!$G$7)),IF(AM454&lt;69,BMILMS!$D$9*AM454^3+BMILMS!$E$9*AM454^2+BMILMS!$F$9*AM454+BMILMS!$G$9,IF(AM454&lt;150,BMILMS!$D$10*AM454^3+BMILMS!$E$10*AM454^2+BMILMS!$F$10*AM454+BMILMS!$G$10,BMILMS!$D$11*AM454^3+BMILMS!$E$11*AM454^2+BMILMS!$F$11*AM454+BMILMS!$G$11)))</f>
        <v>0.79584630099999998</v>
      </c>
      <c r="AK454" s="4">
        <f>IF(D454="M",(IF(AM454&lt;2.5,BMILMS!$D$21*AM454^3+BMILMS!$E$21*AM454^2+BMILMS!$F$21*AM454+BMILMS!$G$21,IF(AM454&lt;9.5,BMILMS!$D$22*AM454^3+BMILMS!$E$22*AM454^2+BMILMS!$F$22*AM454+BMILMS!$G$22,IF(AM454&lt;26.75,BMILMS!$D$23*AM454^3+BMILMS!$E$23*AM454^2+BMILMS!$F$23*AM454+BMILMS!$G$23,IF(AM454&lt;90,BMILMS!$D$24*AM454^3+BMILMS!$E$24*AM454^2+BMILMS!$F$24*AM454+BMILMS!$G$24,BMILMS!$D$25*AM454^3+BMILMS!$E$25*AM454^2+BMILMS!$F$25*AM454+BMILMS!$G$25))))),(IF(AM454&lt;2.5,BMILMS!$D$27*AM454^3+BMILMS!$E$27*AM454^2+BMILMS!$F$27*AM454+BMILMS!$G$27,IF(AM454&lt;9.5,BMILMS!$D$28*AM454^3+BMILMS!$E$28*AM454^2+BMILMS!$F$28*AM454+BMILMS!$G$28,IF(AM454&lt;26.75,BMILMS!$D$29*AM454^3+BMILMS!$E$29*AM454^2+BMILMS!$F$29*AM454+BMILMS!$G$29,IF(AM454&lt;90,BMILMS!$D$30*AM454^3+BMILMS!$E$30*AM454^2+BMILMS!$F$30*AM454+BMILMS!$G$30,IF(AM454&lt;150,BMILMS!$D$31*AM454^3+BMILMS!$E$31*AM454^2+BMILMS!$F$31*AM454+BMILMS!$G$31,BMILMS!$D$32*AM454^3+BMILMS!$E$32*AM454^2+BMILMS!$F$32*AM454+BMILMS!$G$32)))))))</f>
        <v>12.568967990000001</v>
      </c>
      <c r="AL454" s="4">
        <f>IF(D454="M",(IF(AM454&lt;90,BMILMS!$D$14*AM454^3+BMILMS!$E$14*AM454^2+BMILMS!$F$14*AM454+BMILMS!$G$14,BMILMS!$D$15*AM454^3+BMILMS!$E$15*AM454^2+BMILMS!$F$15*AM454+BMILMS!$G$15)),(IF(AM454&lt;90,BMILMS!$D$17*AM454^3+BMILMS!$E$17*AM454^2+BMILMS!$F$17*AM454+BMILMS!$G$17,BMILMS!$D$18*AM454^3+BMILMS!$E$18*AM454^2+BMILMS!$F$18*AM454+BMILMS!$G$18)))</f>
        <v>8.8969350000000003E-2</v>
      </c>
      <c r="AM454" s="4">
        <f t="shared" si="146"/>
        <v>0</v>
      </c>
      <c r="AO454" s="56">
        <f>IF(D454="M",WeightSDS!P$5*$AM454^7+WeightSDS!Q$5*$AM454^6+WeightSDS!R$5*$AM454^5+WeightSDS!S$5*$AM454^4+WeightSDS!T$5*$AM454^3+WeightSDS!U$5*$AM454^2+WeightSDS!V$5*$AM454+WeightSDS!W$5,IF($AM454&lt;186,WeightSDS!P$8*$AM454^7+WeightSDS!Q$8*$AM454^6+WeightSDS!R$8*$AM454^5+WeightSDS!S$8*$AM454^4+WeightSDS!T$8*$AM454^3+WeightSDS!U$8*$AM454^2+WeightSDS!V$8*$AM454+WeightSDS!W$8,WeightSDS!$U$9+WeightSDS!$V$9*($AM454-WeightSDS!$W$9)))</f>
        <v>0.75407122999999998</v>
      </c>
      <c r="AP454" s="4">
        <f>IF(D454="M",IF($AM454&lt;45,WeightSDS!M$23*$AM454^10+WeightSDS!N$23*$AM454^9+WeightSDS!O$23*$AM454^8+WeightSDS!P$23*$AM454^7+WeightSDS!Q$23*$AM454^6+WeightSDS!R$23*$AM454^5+WeightSDS!S$23*$AM454^4+WeightSDS!T$23*$AM454^3+WeightSDS!U$23*$AM454^2+WeightSDS!V$23*$AM454+WeightSDS!W$23,IF($AM454&lt;153,WeightSDS!M$25*$AM454^10+WeightSDS!N$25*$AM454^9+WeightSDS!O$25*$AM454^8+WeightSDS!P$25*$AM454^7+WeightSDS!Q$25*$AM454^6+WeightSDS!R$25*$AM454^5+WeightSDS!S$25*$AM454^4+WeightSDS!T$25*$AM454^3+WeightSDS!U$25*$AM454^2+WeightSDS!V$25*$AM454+WeightSDS!W$25,WeightSDS!M$27+WeightSDS!N$27/(1+EXP(WeightSDS!O$27+WeightSDS!P$27*$AM454)))),IF($AM454&lt;43.8,WeightSDS!M$29*$AM454^10+WeightSDS!N$29*$AM454^9+WeightSDS!O$29*$AM454^8+WeightSDS!P$29*$AM454^7+WeightSDS!Q$29*$AM454^6+WeightSDS!R$29*$AM454^5+WeightSDS!S$29*$AM454^4+WeightSDS!T$29*$AM454^3+WeightSDS!U$29*$AM454^2+WeightSDS!V$29*$AM454+WeightSDS!W$29-0.010431*(1-$AM454/210),IF($AM454&lt;123,WeightSDS!M$30*$AM454^10+WeightSDS!N$30*$AM454^9+WeightSDS!O$30*$AM454^8+WeightSDS!P$30*$AM454^7+WeightSDS!Q$30*$AM454^6+WeightSDS!R$30*$AM454^5+WeightSDS!S$30*$AM454^4+WeightSDS!T$30*$AM454^3+WeightSDS!U$30*$AM454^2+WeightSDS!V$30*$AM454+WeightSDS!W$30-0.010431*(1-1/$AM454),WeightSDS!M$32+WeightSDS!N$32/(1+EXP(WeightSDS!O$32+WeightSDS!P$32*$AM454))-0.010431*(1-$AM454/210))))</f>
        <v>2.9500001032655536</v>
      </c>
      <c r="AQ454" s="4">
        <f>IF(D454="M",IF($AM454&lt;162,WeightSDS!P$12*$AM454^7+WeightSDS!Q$12*$AM454^6+WeightSDS!R$12*$AM454^5+WeightSDS!S$12*$AM454^4+WeightSDS!T$12*$AM454^3+WeightSDS!U$12*$AM454^2+WeightSDS!V$12*$AM454+WeightSDS!W$12,WeightSDS!P$14*$AM454^7+WeightSDS!Q$14*$AM454^6+WeightSDS!R$14*$AM454^5+WeightSDS!S$14*$AM454^4+WeightSDS!T$14*$AM454^3+WeightSDS!U$14*$AM454^2+WeightSDS!V$14*$AM454+WeightSDS!W$14),IF($AM454&lt;156,WeightSDS!O$17*$AM454^8+WeightSDS!P$17*$AM454^7+WeightSDS!Q$17*$AM454^6+WeightSDS!R$17*$AM454^5+WeightSDS!S$17*$AM454^4+WeightSDS!T$17*$AM454^3+WeightSDS!U$17*$AM454^2+WeightSDS!V$17*$AM454+WeightSDS!W$17,IF($AM454&lt;186,WeightSDS!$U$18+(WeightSDS!$V$18-WeightSDS!$U$18)/24*($AM454-186)+WeightSDS!$W$18*(-$AM454+186)^2-0.005,WeightSDS!$U$18+(WeightSDS!$V$18-WeightSDS!$U$18)/24*($AM454-186)-0.005)))</f>
        <v>0.14604529399999999</v>
      </c>
      <c r="AT454" s="4">
        <f t="shared" si="154"/>
        <v>0.56299999999999994</v>
      </c>
      <c r="AU454" s="4">
        <f t="shared" si="155"/>
        <v>69</v>
      </c>
      <c r="AV454" s="4">
        <f t="shared" si="156"/>
        <v>0.51</v>
      </c>
    </row>
    <row r="455" spans="1:48" x14ac:dyDescent="0.15">
      <c r="A455" s="4"/>
      <c r="B455" s="21"/>
      <c r="C455" s="21"/>
      <c r="D455" s="21"/>
      <c r="E455" s="22"/>
      <c r="F455" s="22"/>
      <c r="G455" s="23"/>
      <c r="H455" s="23"/>
      <c r="I455" s="181"/>
      <c r="J455" s="8" t="str">
        <f t="shared" si="148"/>
        <v/>
      </c>
      <c r="K455" s="2" t="str">
        <f t="shared" si="157"/>
        <v/>
      </c>
      <c r="L455" s="2" t="str">
        <f t="shared" si="149"/>
        <v/>
      </c>
      <c r="M455" s="2" t="str">
        <f t="shared" si="158"/>
        <v/>
      </c>
      <c r="N455" s="2" t="str">
        <f t="shared" si="145"/>
        <v/>
      </c>
      <c r="O455" s="2" t="str">
        <f t="shared" si="159"/>
        <v/>
      </c>
      <c r="P455" s="8" t="str">
        <f t="shared" si="160"/>
        <v/>
      </c>
      <c r="Q455" s="8" t="str">
        <f t="shared" si="161"/>
        <v/>
      </c>
      <c r="R455" s="111" t="str">
        <f t="shared" si="162"/>
        <v/>
      </c>
      <c r="S455" s="44" t="str">
        <f t="shared" si="163"/>
        <v/>
      </c>
      <c r="T455" s="37" t="str">
        <f t="shared" si="164"/>
        <v/>
      </c>
      <c r="U455" s="44" t="str">
        <f t="shared" si="165"/>
        <v/>
      </c>
      <c r="V455" s="26"/>
      <c r="W455" s="26"/>
      <c r="X455" s="26"/>
      <c r="Y455" s="26"/>
      <c r="Z455" s="24"/>
      <c r="AA455" s="169">
        <f t="shared" si="150"/>
        <v>0</v>
      </c>
      <c r="AB455" s="4">
        <f t="shared" si="151"/>
        <v>0</v>
      </c>
      <c r="AC455" s="170">
        <f t="shared" si="147"/>
        <v>0</v>
      </c>
      <c r="AD455" s="58"/>
      <c r="AE455" s="58"/>
      <c r="AF455" s="58"/>
      <c r="AG455" s="59">
        <f t="shared" si="152"/>
        <v>9.0359999999999996</v>
      </c>
      <c r="AH455" s="59">
        <f t="shared" si="153"/>
        <v>-184.49199999999999</v>
      </c>
      <c r="AJ455" s="4">
        <f>IF(D455="M",IF(AM455&lt;78,BMILMS!$D$5*AM455^3+BMILMS!$E$5*AM455^2+BMILMS!$F$5*AM455+BMILMS!$G$5,IF(AM455&lt;150,BMILMS!$D$6*AM455^3+BMILMS!$E$6*AM455^2+BMILMS!$F$6*AM455+BMILMS!$G$6,BMILMS!$D$7*AM455^3+BMILMS!$E$7*AM455^2+BMILMS!$F$7*AM455+BMILMS!$G$7)),IF(AM455&lt;69,BMILMS!$D$9*AM455^3+BMILMS!$E$9*AM455^2+BMILMS!$F$9*AM455+BMILMS!$G$9,IF(AM455&lt;150,BMILMS!$D$10*AM455^3+BMILMS!$E$10*AM455^2+BMILMS!$F$10*AM455+BMILMS!$G$10,BMILMS!$D$11*AM455^3+BMILMS!$E$11*AM455^2+BMILMS!$F$11*AM455+BMILMS!$G$11)))</f>
        <v>0.79584630099999998</v>
      </c>
      <c r="AK455" s="4">
        <f>IF(D455="M",(IF(AM455&lt;2.5,BMILMS!$D$21*AM455^3+BMILMS!$E$21*AM455^2+BMILMS!$F$21*AM455+BMILMS!$G$21,IF(AM455&lt;9.5,BMILMS!$D$22*AM455^3+BMILMS!$E$22*AM455^2+BMILMS!$F$22*AM455+BMILMS!$G$22,IF(AM455&lt;26.75,BMILMS!$D$23*AM455^3+BMILMS!$E$23*AM455^2+BMILMS!$F$23*AM455+BMILMS!$G$23,IF(AM455&lt;90,BMILMS!$D$24*AM455^3+BMILMS!$E$24*AM455^2+BMILMS!$F$24*AM455+BMILMS!$G$24,BMILMS!$D$25*AM455^3+BMILMS!$E$25*AM455^2+BMILMS!$F$25*AM455+BMILMS!$G$25))))),(IF(AM455&lt;2.5,BMILMS!$D$27*AM455^3+BMILMS!$E$27*AM455^2+BMILMS!$F$27*AM455+BMILMS!$G$27,IF(AM455&lt;9.5,BMILMS!$D$28*AM455^3+BMILMS!$E$28*AM455^2+BMILMS!$F$28*AM455+BMILMS!$G$28,IF(AM455&lt;26.75,BMILMS!$D$29*AM455^3+BMILMS!$E$29*AM455^2+BMILMS!$F$29*AM455+BMILMS!$G$29,IF(AM455&lt;90,BMILMS!$D$30*AM455^3+BMILMS!$E$30*AM455^2+BMILMS!$F$30*AM455+BMILMS!$G$30,IF(AM455&lt;150,BMILMS!$D$31*AM455^3+BMILMS!$E$31*AM455^2+BMILMS!$F$31*AM455+BMILMS!$G$31,BMILMS!$D$32*AM455^3+BMILMS!$E$32*AM455^2+BMILMS!$F$32*AM455+BMILMS!$G$32)))))))</f>
        <v>12.568967990000001</v>
      </c>
      <c r="AL455" s="4">
        <f>IF(D455="M",(IF(AM455&lt;90,BMILMS!$D$14*AM455^3+BMILMS!$E$14*AM455^2+BMILMS!$F$14*AM455+BMILMS!$G$14,BMILMS!$D$15*AM455^3+BMILMS!$E$15*AM455^2+BMILMS!$F$15*AM455+BMILMS!$G$15)),(IF(AM455&lt;90,BMILMS!$D$17*AM455^3+BMILMS!$E$17*AM455^2+BMILMS!$F$17*AM455+BMILMS!$G$17,BMILMS!$D$18*AM455^3+BMILMS!$E$18*AM455^2+BMILMS!$F$18*AM455+BMILMS!$G$18)))</f>
        <v>8.8969350000000003E-2</v>
      </c>
      <c r="AM455" s="4">
        <f t="shared" si="146"/>
        <v>0</v>
      </c>
      <c r="AO455" s="56">
        <f>IF(D455="M",WeightSDS!P$5*$AM455^7+WeightSDS!Q$5*$AM455^6+WeightSDS!R$5*$AM455^5+WeightSDS!S$5*$AM455^4+WeightSDS!T$5*$AM455^3+WeightSDS!U$5*$AM455^2+WeightSDS!V$5*$AM455+WeightSDS!W$5,IF($AM455&lt;186,WeightSDS!P$8*$AM455^7+WeightSDS!Q$8*$AM455^6+WeightSDS!R$8*$AM455^5+WeightSDS!S$8*$AM455^4+WeightSDS!T$8*$AM455^3+WeightSDS!U$8*$AM455^2+WeightSDS!V$8*$AM455+WeightSDS!W$8,WeightSDS!$U$9+WeightSDS!$V$9*($AM455-WeightSDS!$W$9)))</f>
        <v>0.75407122999999998</v>
      </c>
      <c r="AP455" s="4">
        <f>IF(D455="M",IF($AM455&lt;45,WeightSDS!M$23*$AM455^10+WeightSDS!N$23*$AM455^9+WeightSDS!O$23*$AM455^8+WeightSDS!P$23*$AM455^7+WeightSDS!Q$23*$AM455^6+WeightSDS!R$23*$AM455^5+WeightSDS!S$23*$AM455^4+WeightSDS!T$23*$AM455^3+WeightSDS!U$23*$AM455^2+WeightSDS!V$23*$AM455+WeightSDS!W$23,IF($AM455&lt;153,WeightSDS!M$25*$AM455^10+WeightSDS!N$25*$AM455^9+WeightSDS!O$25*$AM455^8+WeightSDS!P$25*$AM455^7+WeightSDS!Q$25*$AM455^6+WeightSDS!R$25*$AM455^5+WeightSDS!S$25*$AM455^4+WeightSDS!T$25*$AM455^3+WeightSDS!U$25*$AM455^2+WeightSDS!V$25*$AM455+WeightSDS!W$25,WeightSDS!M$27+WeightSDS!N$27/(1+EXP(WeightSDS!O$27+WeightSDS!P$27*$AM455)))),IF($AM455&lt;43.8,WeightSDS!M$29*$AM455^10+WeightSDS!N$29*$AM455^9+WeightSDS!O$29*$AM455^8+WeightSDS!P$29*$AM455^7+WeightSDS!Q$29*$AM455^6+WeightSDS!R$29*$AM455^5+WeightSDS!S$29*$AM455^4+WeightSDS!T$29*$AM455^3+WeightSDS!U$29*$AM455^2+WeightSDS!V$29*$AM455+WeightSDS!W$29-0.010431*(1-$AM455/210),IF($AM455&lt;123,WeightSDS!M$30*$AM455^10+WeightSDS!N$30*$AM455^9+WeightSDS!O$30*$AM455^8+WeightSDS!P$30*$AM455^7+WeightSDS!Q$30*$AM455^6+WeightSDS!R$30*$AM455^5+WeightSDS!S$30*$AM455^4+WeightSDS!T$30*$AM455^3+WeightSDS!U$30*$AM455^2+WeightSDS!V$30*$AM455+WeightSDS!W$30-0.010431*(1-1/$AM455),WeightSDS!M$32+WeightSDS!N$32/(1+EXP(WeightSDS!O$32+WeightSDS!P$32*$AM455))-0.010431*(1-$AM455/210))))</f>
        <v>2.9500001032655536</v>
      </c>
      <c r="AQ455" s="4">
        <f>IF(D455="M",IF($AM455&lt;162,WeightSDS!P$12*$AM455^7+WeightSDS!Q$12*$AM455^6+WeightSDS!R$12*$AM455^5+WeightSDS!S$12*$AM455^4+WeightSDS!T$12*$AM455^3+WeightSDS!U$12*$AM455^2+WeightSDS!V$12*$AM455+WeightSDS!W$12,WeightSDS!P$14*$AM455^7+WeightSDS!Q$14*$AM455^6+WeightSDS!R$14*$AM455^5+WeightSDS!S$14*$AM455^4+WeightSDS!T$14*$AM455^3+WeightSDS!U$14*$AM455^2+WeightSDS!V$14*$AM455+WeightSDS!W$14),IF($AM455&lt;156,WeightSDS!O$17*$AM455^8+WeightSDS!P$17*$AM455^7+WeightSDS!Q$17*$AM455^6+WeightSDS!R$17*$AM455^5+WeightSDS!S$17*$AM455^4+WeightSDS!T$17*$AM455^3+WeightSDS!U$17*$AM455^2+WeightSDS!V$17*$AM455+WeightSDS!W$17,IF($AM455&lt;186,WeightSDS!$U$18+(WeightSDS!$V$18-WeightSDS!$U$18)/24*($AM455-186)+WeightSDS!$W$18*(-$AM455+186)^2-0.005,WeightSDS!$U$18+(WeightSDS!$V$18-WeightSDS!$U$18)/24*($AM455-186)-0.005)))</f>
        <v>0.14604529399999999</v>
      </c>
      <c r="AT455" s="4">
        <f t="shared" si="154"/>
        <v>0.56299999999999994</v>
      </c>
      <c r="AU455" s="4">
        <f t="shared" si="155"/>
        <v>69</v>
      </c>
      <c r="AV455" s="4">
        <f t="shared" si="156"/>
        <v>0.51</v>
      </c>
    </row>
    <row r="456" spans="1:48" x14ac:dyDescent="0.15">
      <c r="A456" s="4"/>
      <c r="B456" s="21"/>
      <c r="C456" s="21"/>
      <c r="D456" s="21"/>
      <c r="E456" s="22"/>
      <c r="F456" s="22"/>
      <c r="G456" s="23"/>
      <c r="H456" s="23"/>
      <c r="I456" s="181"/>
      <c r="J456" s="8" t="str">
        <f t="shared" si="148"/>
        <v/>
      </c>
      <c r="K456" s="2" t="str">
        <f t="shared" si="157"/>
        <v/>
      </c>
      <c r="L456" s="2" t="str">
        <f t="shared" si="149"/>
        <v/>
      </c>
      <c r="M456" s="2" t="str">
        <f t="shared" si="158"/>
        <v/>
      </c>
      <c r="N456" s="2" t="str">
        <f t="shared" ref="N456:N519" si="166">IF(COUNTA(D456,E456,F456,G456,H456)=5,H456/G456^2*10000,"")</f>
        <v/>
      </c>
      <c r="O456" s="2" t="str">
        <f t="shared" si="159"/>
        <v/>
      </c>
      <c r="P456" s="8" t="str">
        <f t="shared" si="160"/>
        <v/>
      </c>
      <c r="Q456" s="8" t="str">
        <f t="shared" si="161"/>
        <v/>
      </c>
      <c r="R456" s="111" t="str">
        <f t="shared" si="162"/>
        <v/>
      </c>
      <c r="S456" s="44" t="str">
        <f t="shared" si="163"/>
        <v/>
      </c>
      <c r="T456" s="37" t="str">
        <f t="shared" si="164"/>
        <v/>
      </c>
      <c r="U456" s="44" t="str">
        <f t="shared" si="165"/>
        <v/>
      </c>
      <c r="V456" s="26"/>
      <c r="W456" s="26"/>
      <c r="X456" s="26"/>
      <c r="Y456" s="26"/>
      <c r="Z456" s="24"/>
      <c r="AA456" s="169">
        <f t="shared" si="150"/>
        <v>0</v>
      </c>
      <c r="AB456" s="4">
        <f t="shared" si="151"/>
        <v>0</v>
      </c>
      <c r="AC456" s="170">
        <f t="shared" si="147"/>
        <v>0</v>
      </c>
      <c r="AD456" s="58"/>
      <c r="AE456" s="58"/>
      <c r="AF456" s="58"/>
      <c r="AG456" s="59">
        <f t="shared" si="152"/>
        <v>9.0359999999999996</v>
      </c>
      <c r="AH456" s="59">
        <f t="shared" si="153"/>
        <v>-184.49199999999999</v>
      </c>
      <c r="AJ456" s="4">
        <f>IF(D456="M",IF(AM456&lt;78,BMILMS!$D$5*AM456^3+BMILMS!$E$5*AM456^2+BMILMS!$F$5*AM456+BMILMS!$G$5,IF(AM456&lt;150,BMILMS!$D$6*AM456^3+BMILMS!$E$6*AM456^2+BMILMS!$F$6*AM456+BMILMS!$G$6,BMILMS!$D$7*AM456^3+BMILMS!$E$7*AM456^2+BMILMS!$F$7*AM456+BMILMS!$G$7)),IF(AM456&lt;69,BMILMS!$D$9*AM456^3+BMILMS!$E$9*AM456^2+BMILMS!$F$9*AM456+BMILMS!$G$9,IF(AM456&lt;150,BMILMS!$D$10*AM456^3+BMILMS!$E$10*AM456^2+BMILMS!$F$10*AM456+BMILMS!$G$10,BMILMS!$D$11*AM456^3+BMILMS!$E$11*AM456^2+BMILMS!$F$11*AM456+BMILMS!$G$11)))</f>
        <v>0.79584630099999998</v>
      </c>
      <c r="AK456" s="4">
        <f>IF(D456="M",(IF(AM456&lt;2.5,BMILMS!$D$21*AM456^3+BMILMS!$E$21*AM456^2+BMILMS!$F$21*AM456+BMILMS!$G$21,IF(AM456&lt;9.5,BMILMS!$D$22*AM456^3+BMILMS!$E$22*AM456^2+BMILMS!$F$22*AM456+BMILMS!$G$22,IF(AM456&lt;26.75,BMILMS!$D$23*AM456^3+BMILMS!$E$23*AM456^2+BMILMS!$F$23*AM456+BMILMS!$G$23,IF(AM456&lt;90,BMILMS!$D$24*AM456^3+BMILMS!$E$24*AM456^2+BMILMS!$F$24*AM456+BMILMS!$G$24,BMILMS!$D$25*AM456^3+BMILMS!$E$25*AM456^2+BMILMS!$F$25*AM456+BMILMS!$G$25))))),(IF(AM456&lt;2.5,BMILMS!$D$27*AM456^3+BMILMS!$E$27*AM456^2+BMILMS!$F$27*AM456+BMILMS!$G$27,IF(AM456&lt;9.5,BMILMS!$D$28*AM456^3+BMILMS!$E$28*AM456^2+BMILMS!$F$28*AM456+BMILMS!$G$28,IF(AM456&lt;26.75,BMILMS!$D$29*AM456^3+BMILMS!$E$29*AM456^2+BMILMS!$F$29*AM456+BMILMS!$G$29,IF(AM456&lt;90,BMILMS!$D$30*AM456^3+BMILMS!$E$30*AM456^2+BMILMS!$F$30*AM456+BMILMS!$G$30,IF(AM456&lt;150,BMILMS!$D$31*AM456^3+BMILMS!$E$31*AM456^2+BMILMS!$F$31*AM456+BMILMS!$G$31,BMILMS!$D$32*AM456^3+BMILMS!$E$32*AM456^2+BMILMS!$F$32*AM456+BMILMS!$G$32)))))))</f>
        <v>12.568967990000001</v>
      </c>
      <c r="AL456" s="4">
        <f>IF(D456="M",(IF(AM456&lt;90,BMILMS!$D$14*AM456^3+BMILMS!$E$14*AM456^2+BMILMS!$F$14*AM456+BMILMS!$G$14,BMILMS!$D$15*AM456^3+BMILMS!$E$15*AM456^2+BMILMS!$F$15*AM456+BMILMS!$G$15)),(IF(AM456&lt;90,BMILMS!$D$17*AM456^3+BMILMS!$E$17*AM456^2+BMILMS!$F$17*AM456+BMILMS!$G$17,BMILMS!$D$18*AM456^3+BMILMS!$E$18*AM456^2+BMILMS!$F$18*AM456+BMILMS!$G$18)))</f>
        <v>8.8969350000000003E-2</v>
      </c>
      <c r="AM456" s="4">
        <f t="shared" ref="AM456:AM519" si="167">AA456*12+AB456</f>
        <v>0</v>
      </c>
      <c r="AO456" s="56">
        <f>IF(D456="M",WeightSDS!P$5*$AM456^7+WeightSDS!Q$5*$AM456^6+WeightSDS!R$5*$AM456^5+WeightSDS!S$5*$AM456^4+WeightSDS!T$5*$AM456^3+WeightSDS!U$5*$AM456^2+WeightSDS!V$5*$AM456+WeightSDS!W$5,IF($AM456&lt;186,WeightSDS!P$8*$AM456^7+WeightSDS!Q$8*$AM456^6+WeightSDS!R$8*$AM456^5+WeightSDS!S$8*$AM456^4+WeightSDS!T$8*$AM456^3+WeightSDS!U$8*$AM456^2+WeightSDS!V$8*$AM456+WeightSDS!W$8,WeightSDS!$U$9+WeightSDS!$V$9*($AM456-WeightSDS!$W$9)))</f>
        <v>0.75407122999999998</v>
      </c>
      <c r="AP456" s="4">
        <f>IF(D456="M",IF($AM456&lt;45,WeightSDS!M$23*$AM456^10+WeightSDS!N$23*$AM456^9+WeightSDS!O$23*$AM456^8+WeightSDS!P$23*$AM456^7+WeightSDS!Q$23*$AM456^6+WeightSDS!R$23*$AM456^5+WeightSDS!S$23*$AM456^4+WeightSDS!T$23*$AM456^3+WeightSDS!U$23*$AM456^2+WeightSDS!V$23*$AM456+WeightSDS!W$23,IF($AM456&lt;153,WeightSDS!M$25*$AM456^10+WeightSDS!N$25*$AM456^9+WeightSDS!O$25*$AM456^8+WeightSDS!P$25*$AM456^7+WeightSDS!Q$25*$AM456^6+WeightSDS!R$25*$AM456^5+WeightSDS!S$25*$AM456^4+WeightSDS!T$25*$AM456^3+WeightSDS!U$25*$AM456^2+WeightSDS!V$25*$AM456+WeightSDS!W$25,WeightSDS!M$27+WeightSDS!N$27/(1+EXP(WeightSDS!O$27+WeightSDS!P$27*$AM456)))),IF($AM456&lt;43.8,WeightSDS!M$29*$AM456^10+WeightSDS!N$29*$AM456^9+WeightSDS!O$29*$AM456^8+WeightSDS!P$29*$AM456^7+WeightSDS!Q$29*$AM456^6+WeightSDS!R$29*$AM456^5+WeightSDS!S$29*$AM456^4+WeightSDS!T$29*$AM456^3+WeightSDS!U$29*$AM456^2+WeightSDS!V$29*$AM456+WeightSDS!W$29-0.010431*(1-$AM456/210),IF($AM456&lt;123,WeightSDS!M$30*$AM456^10+WeightSDS!N$30*$AM456^9+WeightSDS!O$30*$AM456^8+WeightSDS!P$30*$AM456^7+WeightSDS!Q$30*$AM456^6+WeightSDS!R$30*$AM456^5+WeightSDS!S$30*$AM456^4+WeightSDS!T$30*$AM456^3+WeightSDS!U$30*$AM456^2+WeightSDS!V$30*$AM456+WeightSDS!W$30-0.010431*(1-1/$AM456),WeightSDS!M$32+WeightSDS!N$32/(1+EXP(WeightSDS!O$32+WeightSDS!P$32*$AM456))-0.010431*(1-$AM456/210))))</f>
        <v>2.9500001032655536</v>
      </c>
      <c r="AQ456" s="4">
        <f>IF(D456="M",IF($AM456&lt;162,WeightSDS!P$12*$AM456^7+WeightSDS!Q$12*$AM456^6+WeightSDS!R$12*$AM456^5+WeightSDS!S$12*$AM456^4+WeightSDS!T$12*$AM456^3+WeightSDS!U$12*$AM456^2+WeightSDS!V$12*$AM456+WeightSDS!W$12,WeightSDS!P$14*$AM456^7+WeightSDS!Q$14*$AM456^6+WeightSDS!R$14*$AM456^5+WeightSDS!S$14*$AM456^4+WeightSDS!T$14*$AM456^3+WeightSDS!U$14*$AM456^2+WeightSDS!V$14*$AM456+WeightSDS!W$14),IF($AM456&lt;156,WeightSDS!O$17*$AM456^8+WeightSDS!P$17*$AM456^7+WeightSDS!Q$17*$AM456^6+WeightSDS!R$17*$AM456^5+WeightSDS!S$17*$AM456^4+WeightSDS!T$17*$AM456^3+WeightSDS!U$17*$AM456^2+WeightSDS!V$17*$AM456+WeightSDS!W$17,IF($AM456&lt;186,WeightSDS!$U$18+(WeightSDS!$V$18-WeightSDS!$U$18)/24*($AM456-186)+WeightSDS!$W$18*(-$AM456+186)^2-0.005,WeightSDS!$U$18+(WeightSDS!$V$18-WeightSDS!$U$18)/24*($AM456-186)-0.005)))</f>
        <v>0.14604529399999999</v>
      </c>
      <c r="AT456" s="4">
        <f t="shared" si="154"/>
        <v>0.56299999999999994</v>
      </c>
      <c r="AU456" s="4">
        <f t="shared" si="155"/>
        <v>69</v>
      </c>
      <c r="AV456" s="4">
        <f t="shared" si="156"/>
        <v>0.51</v>
      </c>
    </row>
    <row r="457" spans="1:48" x14ac:dyDescent="0.15">
      <c r="A457" s="4"/>
      <c r="B457" s="21"/>
      <c r="C457" s="21"/>
      <c r="D457" s="21"/>
      <c r="E457" s="22"/>
      <c r="F457" s="22"/>
      <c r="G457" s="23"/>
      <c r="H457" s="23"/>
      <c r="I457" s="181"/>
      <c r="J457" s="8" t="str">
        <f t="shared" si="148"/>
        <v/>
      </c>
      <c r="K457" s="2" t="str">
        <f t="shared" si="157"/>
        <v/>
      </c>
      <c r="L457" s="2" t="str">
        <f t="shared" si="149"/>
        <v/>
      </c>
      <c r="M457" s="2" t="str">
        <f t="shared" si="158"/>
        <v/>
      </c>
      <c r="N457" s="2" t="str">
        <f t="shared" si="166"/>
        <v/>
      </c>
      <c r="O457" s="2" t="str">
        <f t="shared" si="159"/>
        <v/>
      </c>
      <c r="P457" s="8" t="str">
        <f t="shared" si="160"/>
        <v/>
      </c>
      <c r="Q457" s="8" t="str">
        <f t="shared" si="161"/>
        <v/>
      </c>
      <c r="R457" s="111" t="str">
        <f t="shared" si="162"/>
        <v/>
      </c>
      <c r="S457" s="44" t="str">
        <f t="shared" si="163"/>
        <v/>
      </c>
      <c r="T457" s="37" t="str">
        <f t="shared" si="164"/>
        <v/>
      </c>
      <c r="U457" s="44" t="str">
        <f t="shared" si="165"/>
        <v/>
      </c>
      <c r="V457" s="26"/>
      <c r="W457" s="26"/>
      <c r="X457" s="26"/>
      <c r="Y457" s="26"/>
      <c r="Z457" s="24"/>
      <c r="AA457" s="169">
        <f t="shared" si="150"/>
        <v>0</v>
      </c>
      <c r="AB457" s="4">
        <f t="shared" si="151"/>
        <v>0</v>
      </c>
      <c r="AC457" s="170">
        <f t="shared" si="147"/>
        <v>0</v>
      </c>
      <c r="AD457" s="58"/>
      <c r="AE457" s="58"/>
      <c r="AF457" s="58"/>
      <c r="AG457" s="59">
        <f t="shared" si="152"/>
        <v>9.0359999999999996</v>
      </c>
      <c r="AH457" s="59">
        <f t="shared" si="153"/>
        <v>-184.49199999999999</v>
      </c>
      <c r="AJ457" s="4">
        <f>IF(D457="M",IF(AM457&lt;78,BMILMS!$D$5*AM457^3+BMILMS!$E$5*AM457^2+BMILMS!$F$5*AM457+BMILMS!$G$5,IF(AM457&lt;150,BMILMS!$D$6*AM457^3+BMILMS!$E$6*AM457^2+BMILMS!$F$6*AM457+BMILMS!$G$6,BMILMS!$D$7*AM457^3+BMILMS!$E$7*AM457^2+BMILMS!$F$7*AM457+BMILMS!$G$7)),IF(AM457&lt;69,BMILMS!$D$9*AM457^3+BMILMS!$E$9*AM457^2+BMILMS!$F$9*AM457+BMILMS!$G$9,IF(AM457&lt;150,BMILMS!$D$10*AM457^3+BMILMS!$E$10*AM457^2+BMILMS!$F$10*AM457+BMILMS!$G$10,BMILMS!$D$11*AM457^3+BMILMS!$E$11*AM457^2+BMILMS!$F$11*AM457+BMILMS!$G$11)))</f>
        <v>0.79584630099999998</v>
      </c>
      <c r="AK457" s="4">
        <f>IF(D457="M",(IF(AM457&lt;2.5,BMILMS!$D$21*AM457^3+BMILMS!$E$21*AM457^2+BMILMS!$F$21*AM457+BMILMS!$G$21,IF(AM457&lt;9.5,BMILMS!$D$22*AM457^3+BMILMS!$E$22*AM457^2+BMILMS!$F$22*AM457+BMILMS!$G$22,IF(AM457&lt;26.75,BMILMS!$D$23*AM457^3+BMILMS!$E$23*AM457^2+BMILMS!$F$23*AM457+BMILMS!$G$23,IF(AM457&lt;90,BMILMS!$D$24*AM457^3+BMILMS!$E$24*AM457^2+BMILMS!$F$24*AM457+BMILMS!$G$24,BMILMS!$D$25*AM457^3+BMILMS!$E$25*AM457^2+BMILMS!$F$25*AM457+BMILMS!$G$25))))),(IF(AM457&lt;2.5,BMILMS!$D$27*AM457^3+BMILMS!$E$27*AM457^2+BMILMS!$F$27*AM457+BMILMS!$G$27,IF(AM457&lt;9.5,BMILMS!$D$28*AM457^3+BMILMS!$E$28*AM457^2+BMILMS!$F$28*AM457+BMILMS!$G$28,IF(AM457&lt;26.75,BMILMS!$D$29*AM457^3+BMILMS!$E$29*AM457^2+BMILMS!$F$29*AM457+BMILMS!$G$29,IF(AM457&lt;90,BMILMS!$D$30*AM457^3+BMILMS!$E$30*AM457^2+BMILMS!$F$30*AM457+BMILMS!$G$30,IF(AM457&lt;150,BMILMS!$D$31*AM457^3+BMILMS!$E$31*AM457^2+BMILMS!$F$31*AM457+BMILMS!$G$31,BMILMS!$D$32*AM457^3+BMILMS!$E$32*AM457^2+BMILMS!$F$32*AM457+BMILMS!$G$32)))))))</f>
        <v>12.568967990000001</v>
      </c>
      <c r="AL457" s="4">
        <f>IF(D457="M",(IF(AM457&lt;90,BMILMS!$D$14*AM457^3+BMILMS!$E$14*AM457^2+BMILMS!$F$14*AM457+BMILMS!$G$14,BMILMS!$D$15*AM457^3+BMILMS!$E$15*AM457^2+BMILMS!$F$15*AM457+BMILMS!$G$15)),(IF(AM457&lt;90,BMILMS!$D$17*AM457^3+BMILMS!$E$17*AM457^2+BMILMS!$F$17*AM457+BMILMS!$G$17,BMILMS!$D$18*AM457^3+BMILMS!$E$18*AM457^2+BMILMS!$F$18*AM457+BMILMS!$G$18)))</f>
        <v>8.8969350000000003E-2</v>
      </c>
      <c r="AM457" s="4">
        <f t="shared" si="167"/>
        <v>0</v>
      </c>
      <c r="AO457" s="56">
        <f>IF(D457="M",WeightSDS!P$5*$AM457^7+WeightSDS!Q$5*$AM457^6+WeightSDS!R$5*$AM457^5+WeightSDS!S$5*$AM457^4+WeightSDS!T$5*$AM457^3+WeightSDS!U$5*$AM457^2+WeightSDS!V$5*$AM457+WeightSDS!W$5,IF($AM457&lt;186,WeightSDS!P$8*$AM457^7+WeightSDS!Q$8*$AM457^6+WeightSDS!R$8*$AM457^5+WeightSDS!S$8*$AM457^4+WeightSDS!T$8*$AM457^3+WeightSDS!U$8*$AM457^2+WeightSDS!V$8*$AM457+WeightSDS!W$8,WeightSDS!$U$9+WeightSDS!$V$9*($AM457-WeightSDS!$W$9)))</f>
        <v>0.75407122999999998</v>
      </c>
      <c r="AP457" s="4">
        <f>IF(D457="M",IF($AM457&lt;45,WeightSDS!M$23*$AM457^10+WeightSDS!N$23*$AM457^9+WeightSDS!O$23*$AM457^8+WeightSDS!P$23*$AM457^7+WeightSDS!Q$23*$AM457^6+WeightSDS!R$23*$AM457^5+WeightSDS!S$23*$AM457^4+WeightSDS!T$23*$AM457^3+WeightSDS!U$23*$AM457^2+WeightSDS!V$23*$AM457+WeightSDS!W$23,IF($AM457&lt;153,WeightSDS!M$25*$AM457^10+WeightSDS!N$25*$AM457^9+WeightSDS!O$25*$AM457^8+WeightSDS!P$25*$AM457^7+WeightSDS!Q$25*$AM457^6+WeightSDS!R$25*$AM457^5+WeightSDS!S$25*$AM457^4+WeightSDS!T$25*$AM457^3+WeightSDS!U$25*$AM457^2+WeightSDS!V$25*$AM457+WeightSDS!W$25,WeightSDS!M$27+WeightSDS!N$27/(1+EXP(WeightSDS!O$27+WeightSDS!P$27*$AM457)))),IF($AM457&lt;43.8,WeightSDS!M$29*$AM457^10+WeightSDS!N$29*$AM457^9+WeightSDS!O$29*$AM457^8+WeightSDS!P$29*$AM457^7+WeightSDS!Q$29*$AM457^6+WeightSDS!R$29*$AM457^5+WeightSDS!S$29*$AM457^4+WeightSDS!T$29*$AM457^3+WeightSDS!U$29*$AM457^2+WeightSDS!V$29*$AM457+WeightSDS!W$29-0.010431*(1-$AM457/210),IF($AM457&lt;123,WeightSDS!M$30*$AM457^10+WeightSDS!N$30*$AM457^9+WeightSDS!O$30*$AM457^8+WeightSDS!P$30*$AM457^7+WeightSDS!Q$30*$AM457^6+WeightSDS!R$30*$AM457^5+WeightSDS!S$30*$AM457^4+WeightSDS!T$30*$AM457^3+WeightSDS!U$30*$AM457^2+WeightSDS!V$30*$AM457+WeightSDS!W$30-0.010431*(1-1/$AM457),WeightSDS!M$32+WeightSDS!N$32/(1+EXP(WeightSDS!O$32+WeightSDS!P$32*$AM457))-0.010431*(1-$AM457/210))))</f>
        <v>2.9500001032655536</v>
      </c>
      <c r="AQ457" s="4">
        <f>IF(D457="M",IF($AM457&lt;162,WeightSDS!P$12*$AM457^7+WeightSDS!Q$12*$AM457^6+WeightSDS!R$12*$AM457^5+WeightSDS!S$12*$AM457^4+WeightSDS!T$12*$AM457^3+WeightSDS!U$12*$AM457^2+WeightSDS!V$12*$AM457+WeightSDS!W$12,WeightSDS!P$14*$AM457^7+WeightSDS!Q$14*$AM457^6+WeightSDS!R$14*$AM457^5+WeightSDS!S$14*$AM457^4+WeightSDS!T$14*$AM457^3+WeightSDS!U$14*$AM457^2+WeightSDS!V$14*$AM457+WeightSDS!W$14),IF($AM457&lt;156,WeightSDS!O$17*$AM457^8+WeightSDS!P$17*$AM457^7+WeightSDS!Q$17*$AM457^6+WeightSDS!R$17*$AM457^5+WeightSDS!S$17*$AM457^4+WeightSDS!T$17*$AM457^3+WeightSDS!U$17*$AM457^2+WeightSDS!V$17*$AM457+WeightSDS!W$17,IF($AM457&lt;186,WeightSDS!$U$18+(WeightSDS!$V$18-WeightSDS!$U$18)/24*($AM457-186)+WeightSDS!$W$18*(-$AM457+186)^2-0.005,WeightSDS!$U$18+(WeightSDS!$V$18-WeightSDS!$U$18)/24*($AM457-186)-0.005)))</f>
        <v>0.14604529399999999</v>
      </c>
      <c r="AT457" s="4">
        <f t="shared" si="154"/>
        <v>0.56299999999999994</v>
      </c>
      <c r="AU457" s="4">
        <f t="shared" si="155"/>
        <v>69</v>
      </c>
      <c r="AV457" s="4">
        <f t="shared" si="156"/>
        <v>0.51</v>
      </c>
    </row>
    <row r="458" spans="1:48" x14ac:dyDescent="0.15">
      <c r="A458" s="4"/>
      <c r="B458" s="21"/>
      <c r="C458" s="21"/>
      <c r="D458" s="21"/>
      <c r="E458" s="22"/>
      <c r="F458" s="22"/>
      <c r="G458" s="23"/>
      <c r="H458" s="23"/>
      <c r="I458" s="181"/>
      <c r="J458" s="8" t="str">
        <f t="shared" si="148"/>
        <v/>
      </c>
      <c r="K458" s="2" t="str">
        <f t="shared" si="157"/>
        <v/>
      </c>
      <c r="L458" s="2" t="str">
        <f t="shared" si="149"/>
        <v/>
      </c>
      <c r="M458" s="2" t="str">
        <f t="shared" si="158"/>
        <v/>
      </c>
      <c r="N458" s="2" t="str">
        <f t="shared" si="166"/>
        <v/>
      </c>
      <c r="O458" s="2" t="str">
        <f t="shared" si="159"/>
        <v/>
      </c>
      <c r="P458" s="8" t="str">
        <f t="shared" si="160"/>
        <v/>
      </c>
      <c r="Q458" s="8" t="str">
        <f t="shared" si="161"/>
        <v/>
      </c>
      <c r="R458" s="111" t="str">
        <f t="shared" si="162"/>
        <v/>
      </c>
      <c r="S458" s="44" t="str">
        <f t="shared" si="163"/>
        <v/>
      </c>
      <c r="T458" s="37" t="str">
        <f t="shared" si="164"/>
        <v/>
      </c>
      <c r="U458" s="44" t="str">
        <f t="shared" si="165"/>
        <v/>
      </c>
      <c r="V458" s="26"/>
      <c r="W458" s="26"/>
      <c r="X458" s="26"/>
      <c r="Y458" s="26"/>
      <c r="Z458" s="24"/>
      <c r="AA458" s="169">
        <f t="shared" si="150"/>
        <v>0</v>
      </c>
      <c r="AB458" s="4">
        <f t="shared" si="151"/>
        <v>0</v>
      </c>
      <c r="AC458" s="170">
        <f t="shared" si="147"/>
        <v>0</v>
      </c>
      <c r="AD458" s="58"/>
      <c r="AE458" s="58"/>
      <c r="AF458" s="58"/>
      <c r="AG458" s="59">
        <f t="shared" si="152"/>
        <v>9.0359999999999996</v>
      </c>
      <c r="AH458" s="59">
        <f t="shared" si="153"/>
        <v>-184.49199999999999</v>
      </c>
      <c r="AJ458" s="4">
        <f>IF(D458="M",IF(AM458&lt;78,BMILMS!$D$5*AM458^3+BMILMS!$E$5*AM458^2+BMILMS!$F$5*AM458+BMILMS!$G$5,IF(AM458&lt;150,BMILMS!$D$6*AM458^3+BMILMS!$E$6*AM458^2+BMILMS!$F$6*AM458+BMILMS!$G$6,BMILMS!$D$7*AM458^3+BMILMS!$E$7*AM458^2+BMILMS!$F$7*AM458+BMILMS!$G$7)),IF(AM458&lt;69,BMILMS!$D$9*AM458^3+BMILMS!$E$9*AM458^2+BMILMS!$F$9*AM458+BMILMS!$G$9,IF(AM458&lt;150,BMILMS!$D$10*AM458^3+BMILMS!$E$10*AM458^2+BMILMS!$F$10*AM458+BMILMS!$G$10,BMILMS!$D$11*AM458^3+BMILMS!$E$11*AM458^2+BMILMS!$F$11*AM458+BMILMS!$G$11)))</f>
        <v>0.79584630099999998</v>
      </c>
      <c r="AK458" s="4">
        <f>IF(D458="M",(IF(AM458&lt;2.5,BMILMS!$D$21*AM458^3+BMILMS!$E$21*AM458^2+BMILMS!$F$21*AM458+BMILMS!$G$21,IF(AM458&lt;9.5,BMILMS!$D$22*AM458^3+BMILMS!$E$22*AM458^2+BMILMS!$F$22*AM458+BMILMS!$G$22,IF(AM458&lt;26.75,BMILMS!$D$23*AM458^3+BMILMS!$E$23*AM458^2+BMILMS!$F$23*AM458+BMILMS!$G$23,IF(AM458&lt;90,BMILMS!$D$24*AM458^3+BMILMS!$E$24*AM458^2+BMILMS!$F$24*AM458+BMILMS!$G$24,BMILMS!$D$25*AM458^3+BMILMS!$E$25*AM458^2+BMILMS!$F$25*AM458+BMILMS!$G$25))))),(IF(AM458&lt;2.5,BMILMS!$D$27*AM458^3+BMILMS!$E$27*AM458^2+BMILMS!$F$27*AM458+BMILMS!$G$27,IF(AM458&lt;9.5,BMILMS!$D$28*AM458^3+BMILMS!$E$28*AM458^2+BMILMS!$F$28*AM458+BMILMS!$G$28,IF(AM458&lt;26.75,BMILMS!$D$29*AM458^3+BMILMS!$E$29*AM458^2+BMILMS!$F$29*AM458+BMILMS!$G$29,IF(AM458&lt;90,BMILMS!$D$30*AM458^3+BMILMS!$E$30*AM458^2+BMILMS!$F$30*AM458+BMILMS!$G$30,IF(AM458&lt;150,BMILMS!$D$31*AM458^3+BMILMS!$E$31*AM458^2+BMILMS!$F$31*AM458+BMILMS!$G$31,BMILMS!$D$32*AM458^3+BMILMS!$E$32*AM458^2+BMILMS!$F$32*AM458+BMILMS!$G$32)))))))</f>
        <v>12.568967990000001</v>
      </c>
      <c r="AL458" s="4">
        <f>IF(D458="M",(IF(AM458&lt;90,BMILMS!$D$14*AM458^3+BMILMS!$E$14*AM458^2+BMILMS!$F$14*AM458+BMILMS!$G$14,BMILMS!$D$15*AM458^3+BMILMS!$E$15*AM458^2+BMILMS!$F$15*AM458+BMILMS!$G$15)),(IF(AM458&lt;90,BMILMS!$D$17*AM458^3+BMILMS!$E$17*AM458^2+BMILMS!$F$17*AM458+BMILMS!$G$17,BMILMS!$D$18*AM458^3+BMILMS!$E$18*AM458^2+BMILMS!$F$18*AM458+BMILMS!$G$18)))</f>
        <v>8.8969350000000003E-2</v>
      </c>
      <c r="AM458" s="4">
        <f t="shared" si="167"/>
        <v>0</v>
      </c>
      <c r="AO458" s="56">
        <f>IF(D458="M",WeightSDS!P$5*$AM458^7+WeightSDS!Q$5*$AM458^6+WeightSDS!R$5*$AM458^5+WeightSDS!S$5*$AM458^4+WeightSDS!T$5*$AM458^3+WeightSDS!U$5*$AM458^2+WeightSDS!V$5*$AM458+WeightSDS!W$5,IF($AM458&lt;186,WeightSDS!P$8*$AM458^7+WeightSDS!Q$8*$AM458^6+WeightSDS!R$8*$AM458^5+WeightSDS!S$8*$AM458^4+WeightSDS!T$8*$AM458^3+WeightSDS!U$8*$AM458^2+WeightSDS!V$8*$AM458+WeightSDS!W$8,WeightSDS!$U$9+WeightSDS!$V$9*($AM458-WeightSDS!$W$9)))</f>
        <v>0.75407122999999998</v>
      </c>
      <c r="AP458" s="4">
        <f>IF(D458="M",IF($AM458&lt;45,WeightSDS!M$23*$AM458^10+WeightSDS!N$23*$AM458^9+WeightSDS!O$23*$AM458^8+WeightSDS!P$23*$AM458^7+WeightSDS!Q$23*$AM458^6+WeightSDS!R$23*$AM458^5+WeightSDS!S$23*$AM458^4+WeightSDS!T$23*$AM458^3+WeightSDS!U$23*$AM458^2+WeightSDS!V$23*$AM458+WeightSDS!W$23,IF($AM458&lt;153,WeightSDS!M$25*$AM458^10+WeightSDS!N$25*$AM458^9+WeightSDS!O$25*$AM458^8+WeightSDS!P$25*$AM458^7+WeightSDS!Q$25*$AM458^6+WeightSDS!R$25*$AM458^5+WeightSDS!S$25*$AM458^4+WeightSDS!T$25*$AM458^3+WeightSDS!U$25*$AM458^2+WeightSDS!V$25*$AM458+WeightSDS!W$25,WeightSDS!M$27+WeightSDS!N$27/(1+EXP(WeightSDS!O$27+WeightSDS!P$27*$AM458)))),IF($AM458&lt;43.8,WeightSDS!M$29*$AM458^10+WeightSDS!N$29*$AM458^9+WeightSDS!O$29*$AM458^8+WeightSDS!P$29*$AM458^7+WeightSDS!Q$29*$AM458^6+WeightSDS!R$29*$AM458^5+WeightSDS!S$29*$AM458^4+WeightSDS!T$29*$AM458^3+WeightSDS!U$29*$AM458^2+WeightSDS!V$29*$AM458+WeightSDS!W$29-0.010431*(1-$AM458/210),IF($AM458&lt;123,WeightSDS!M$30*$AM458^10+WeightSDS!N$30*$AM458^9+WeightSDS!O$30*$AM458^8+WeightSDS!P$30*$AM458^7+WeightSDS!Q$30*$AM458^6+WeightSDS!R$30*$AM458^5+WeightSDS!S$30*$AM458^4+WeightSDS!T$30*$AM458^3+WeightSDS!U$30*$AM458^2+WeightSDS!V$30*$AM458+WeightSDS!W$30-0.010431*(1-1/$AM458),WeightSDS!M$32+WeightSDS!N$32/(1+EXP(WeightSDS!O$32+WeightSDS!P$32*$AM458))-0.010431*(1-$AM458/210))))</f>
        <v>2.9500001032655536</v>
      </c>
      <c r="AQ458" s="4">
        <f>IF(D458="M",IF($AM458&lt;162,WeightSDS!P$12*$AM458^7+WeightSDS!Q$12*$AM458^6+WeightSDS!R$12*$AM458^5+WeightSDS!S$12*$AM458^4+WeightSDS!T$12*$AM458^3+WeightSDS!U$12*$AM458^2+WeightSDS!V$12*$AM458+WeightSDS!W$12,WeightSDS!P$14*$AM458^7+WeightSDS!Q$14*$AM458^6+WeightSDS!R$14*$AM458^5+WeightSDS!S$14*$AM458^4+WeightSDS!T$14*$AM458^3+WeightSDS!U$14*$AM458^2+WeightSDS!V$14*$AM458+WeightSDS!W$14),IF($AM458&lt;156,WeightSDS!O$17*$AM458^8+WeightSDS!P$17*$AM458^7+WeightSDS!Q$17*$AM458^6+WeightSDS!R$17*$AM458^5+WeightSDS!S$17*$AM458^4+WeightSDS!T$17*$AM458^3+WeightSDS!U$17*$AM458^2+WeightSDS!V$17*$AM458+WeightSDS!W$17,IF($AM458&lt;186,WeightSDS!$U$18+(WeightSDS!$V$18-WeightSDS!$U$18)/24*($AM458-186)+WeightSDS!$W$18*(-$AM458+186)^2-0.005,WeightSDS!$U$18+(WeightSDS!$V$18-WeightSDS!$U$18)/24*($AM458-186)-0.005)))</f>
        <v>0.14604529399999999</v>
      </c>
      <c r="AT458" s="4">
        <f t="shared" si="154"/>
        <v>0.56299999999999994</v>
      </c>
      <c r="AU458" s="4">
        <f t="shared" si="155"/>
        <v>69</v>
      </c>
      <c r="AV458" s="4">
        <f t="shared" si="156"/>
        <v>0.51</v>
      </c>
    </row>
    <row r="459" spans="1:48" x14ac:dyDescent="0.15">
      <c r="A459" s="4"/>
      <c r="B459" s="21"/>
      <c r="C459" s="21"/>
      <c r="D459" s="21"/>
      <c r="E459" s="22"/>
      <c r="F459" s="22"/>
      <c r="G459" s="23"/>
      <c r="H459" s="23"/>
      <c r="I459" s="181"/>
      <c r="J459" s="8" t="str">
        <f t="shared" si="148"/>
        <v/>
      </c>
      <c r="K459" s="2" t="str">
        <f t="shared" si="157"/>
        <v/>
      </c>
      <c r="L459" s="2" t="str">
        <f t="shared" si="149"/>
        <v/>
      </c>
      <c r="M459" s="2" t="str">
        <f t="shared" si="158"/>
        <v/>
      </c>
      <c r="N459" s="2" t="str">
        <f t="shared" si="166"/>
        <v/>
      </c>
      <c r="O459" s="2" t="str">
        <f t="shared" si="159"/>
        <v/>
      </c>
      <c r="P459" s="8" t="str">
        <f t="shared" si="160"/>
        <v/>
      </c>
      <c r="Q459" s="8" t="str">
        <f t="shared" si="161"/>
        <v/>
      </c>
      <c r="R459" s="111" t="str">
        <f t="shared" si="162"/>
        <v/>
      </c>
      <c r="S459" s="44" t="str">
        <f t="shared" si="163"/>
        <v/>
      </c>
      <c r="T459" s="37" t="str">
        <f t="shared" si="164"/>
        <v/>
      </c>
      <c r="U459" s="44" t="str">
        <f t="shared" si="165"/>
        <v/>
      </c>
      <c r="V459" s="26"/>
      <c r="W459" s="26"/>
      <c r="X459" s="26"/>
      <c r="Y459" s="26"/>
      <c r="Z459" s="24"/>
      <c r="AA459" s="169">
        <f t="shared" si="150"/>
        <v>0</v>
      </c>
      <c r="AB459" s="4">
        <f t="shared" si="151"/>
        <v>0</v>
      </c>
      <c r="AC459" s="170">
        <f t="shared" si="147"/>
        <v>0</v>
      </c>
      <c r="AD459" s="58"/>
      <c r="AE459" s="58"/>
      <c r="AF459" s="58"/>
      <c r="AG459" s="59">
        <f t="shared" si="152"/>
        <v>9.0359999999999996</v>
      </c>
      <c r="AH459" s="59">
        <f t="shared" si="153"/>
        <v>-184.49199999999999</v>
      </c>
      <c r="AJ459" s="4">
        <f>IF(D459="M",IF(AM459&lt;78,BMILMS!$D$5*AM459^3+BMILMS!$E$5*AM459^2+BMILMS!$F$5*AM459+BMILMS!$G$5,IF(AM459&lt;150,BMILMS!$D$6*AM459^3+BMILMS!$E$6*AM459^2+BMILMS!$F$6*AM459+BMILMS!$G$6,BMILMS!$D$7*AM459^3+BMILMS!$E$7*AM459^2+BMILMS!$F$7*AM459+BMILMS!$G$7)),IF(AM459&lt;69,BMILMS!$D$9*AM459^3+BMILMS!$E$9*AM459^2+BMILMS!$F$9*AM459+BMILMS!$G$9,IF(AM459&lt;150,BMILMS!$D$10*AM459^3+BMILMS!$E$10*AM459^2+BMILMS!$F$10*AM459+BMILMS!$G$10,BMILMS!$D$11*AM459^3+BMILMS!$E$11*AM459^2+BMILMS!$F$11*AM459+BMILMS!$G$11)))</f>
        <v>0.79584630099999998</v>
      </c>
      <c r="AK459" s="4">
        <f>IF(D459="M",(IF(AM459&lt;2.5,BMILMS!$D$21*AM459^3+BMILMS!$E$21*AM459^2+BMILMS!$F$21*AM459+BMILMS!$G$21,IF(AM459&lt;9.5,BMILMS!$D$22*AM459^3+BMILMS!$E$22*AM459^2+BMILMS!$F$22*AM459+BMILMS!$G$22,IF(AM459&lt;26.75,BMILMS!$D$23*AM459^3+BMILMS!$E$23*AM459^2+BMILMS!$F$23*AM459+BMILMS!$G$23,IF(AM459&lt;90,BMILMS!$D$24*AM459^3+BMILMS!$E$24*AM459^2+BMILMS!$F$24*AM459+BMILMS!$G$24,BMILMS!$D$25*AM459^3+BMILMS!$E$25*AM459^2+BMILMS!$F$25*AM459+BMILMS!$G$25))))),(IF(AM459&lt;2.5,BMILMS!$D$27*AM459^3+BMILMS!$E$27*AM459^2+BMILMS!$F$27*AM459+BMILMS!$G$27,IF(AM459&lt;9.5,BMILMS!$D$28*AM459^3+BMILMS!$E$28*AM459^2+BMILMS!$F$28*AM459+BMILMS!$G$28,IF(AM459&lt;26.75,BMILMS!$D$29*AM459^3+BMILMS!$E$29*AM459^2+BMILMS!$F$29*AM459+BMILMS!$G$29,IF(AM459&lt;90,BMILMS!$D$30*AM459^3+BMILMS!$E$30*AM459^2+BMILMS!$F$30*AM459+BMILMS!$G$30,IF(AM459&lt;150,BMILMS!$D$31*AM459^3+BMILMS!$E$31*AM459^2+BMILMS!$F$31*AM459+BMILMS!$G$31,BMILMS!$D$32*AM459^3+BMILMS!$E$32*AM459^2+BMILMS!$F$32*AM459+BMILMS!$G$32)))))))</f>
        <v>12.568967990000001</v>
      </c>
      <c r="AL459" s="4">
        <f>IF(D459="M",(IF(AM459&lt;90,BMILMS!$D$14*AM459^3+BMILMS!$E$14*AM459^2+BMILMS!$F$14*AM459+BMILMS!$G$14,BMILMS!$D$15*AM459^3+BMILMS!$E$15*AM459^2+BMILMS!$F$15*AM459+BMILMS!$G$15)),(IF(AM459&lt;90,BMILMS!$D$17*AM459^3+BMILMS!$E$17*AM459^2+BMILMS!$F$17*AM459+BMILMS!$G$17,BMILMS!$D$18*AM459^3+BMILMS!$E$18*AM459^2+BMILMS!$F$18*AM459+BMILMS!$G$18)))</f>
        <v>8.8969350000000003E-2</v>
      </c>
      <c r="AM459" s="4">
        <f t="shared" si="167"/>
        <v>0</v>
      </c>
      <c r="AO459" s="56">
        <f>IF(D459="M",WeightSDS!P$5*$AM459^7+WeightSDS!Q$5*$AM459^6+WeightSDS!R$5*$AM459^5+WeightSDS!S$5*$AM459^4+WeightSDS!T$5*$AM459^3+WeightSDS!U$5*$AM459^2+WeightSDS!V$5*$AM459+WeightSDS!W$5,IF($AM459&lt;186,WeightSDS!P$8*$AM459^7+WeightSDS!Q$8*$AM459^6+WeightSDS!R$8*$AM459^5+WeightSDS!S$8*$AM459^4+WeightSDS!T$8*$AM459^3+WeightSDS!U$8*$AM459^2+WeightSDS!V$8*$AM459+WeightSDS!W$8,WeightSDS!$U$9+WeightSDS!$V$9*($AM459-WeightSDS!$W$9)))</f>
        <v>0.75407122999999998</v>
      </c>
      <c r="AP459" s="4">
        <f>IF(D459="M",IF($AM459&lt;45,WeightSDS!M$23*$AM459^10+WeightSDS!N$23*$AM459^9+WeightSDS!O$23*$AM459^8+WeightSDS!P$23*$AM459^7+WeightSDS!Q$23*$AM459^6+WeightSDS!R$23*$AM459^5+WeightSDS!S$23*$AM459^4+WeightSDS!T$23*$AM459^3+WeightSDS!U$23*$AM459^2+WeightSDS!V$23*$AM459+WeightSDS!W$23,IF($AM459&lt;153,WeightSDS!M$25*$AM459^10+WeightSDS!N$25*$AM459^9+WeightSDS!O$25*$AM459^8+WeightSDS!P$25*$AM459^7+WeightSDS!Q$25*$AM459^6+WeightSDS!R$25*$AM459^5+WeightSDS!S$25*$AM459^4+WeightSDS!T$25*$AM459^3+WeightSDS!U$25*$AM459^2+WeightSDS!V$25*$AM459+WeightSDS!W$25,WeightSDS!M$27+WeightSDS!N$27/(1+EXP(WeightSDS!O$27+WeightSDS!P$27*$AM459)))),IF($AM459&lt;43.8,WeightSDS!M$29*$AM459^10+WeightSDS!N$29*$AM459^9+WeightSDS!O$29*$AM459^8+WeightSDS!P$29*$AM459^7+WeightSDS!Q$29*$AM459^6+WeightSDS!R$29*$AM459^5+WeightSDS!S$29*$AM459^4+WeightSDS!T$29*$AM459^3+WeightSDS!U$29*$AM459^2+WeightSDS!V$29*$AM459+WeightSDS!W$29-0.010431*(1-$AM459/210),IF($AM459&lt;123,WeightSDS!M$30*$AM459^10+WeightSDS!N$30*$AM459^9+WeightSDS!O$30*$AM459^8+WeightSDS!P$30*$AM459^7+WeightSDS!Q$30*$AM459^6+WeightSDS!R$30*$AM459^5+WeightSDS!S$30*$AM459^4+WeightSDS!T$30*$AM459^3+WeightSDS!U$30*$AM459^2+WeightSDS!V$30*$AM459+WeightSDS!W$30-0.010431*(1-1/$AM459),WeightSDS!M$32+WeightSDS!N$32/(1+EXP(WeightSDS!O$32+WeightSDS!P$32*$AM459))-0.010431*(1-$AM459/210))))</f>
        <v>2.9500001032655536</v>
      </c>
      <c r="AQ459" s="4">
        <f>IF(D459="M",IF($AM459&lt;162,WeightSDS!P$12*$AM459^7+WeightSDS!Q$12*$AM459^6+WeightSDS!R$12*$AM459^5+WeightSDS!S$12*$AM459^4+WeightSDS!T$12*$AM459^3+WeightSDS!U$12*$AM459^2+WeightSDS!V$12*$AM459+WeightSDS!W$12,WeightSDS!P$14*$AM459^7+WeightSDS!Q$14*$AM459^6+WeightSDS!R$14*$AM459^5+WeightSDS!S$14*$AM459^4+WeightSDS!T$14*$AM459^3+WeightSDS!U$14*$AM459^2+WeightSDS!V$14*$AM459+WeightSDS!W$14),IF($AM459&lt;156,WeightSDS!O$17*$AM459^8+WeightSDS!P$17*$AM459^7+WeightSDS!Q$17*$AM459^6+WeightSDS!R$17*$AM459^5+WeightSDS!S$17*$AM459^4+WeightSDS!T$17*$AM459^3+WeightSDS!U$17*$AM459^2+WeightSDS!V$17*$AM459+WeightSDS!W$17,IF($AM459&lt;186,WeightSDS!$U$18+(WeightSDS!$V$18-WeightSDS!$U$18)/24*($AM459-186)+WeightSDS!$W$18*(-$AM459+186)^2-0.005,WeightSDS!$U$18+(WeightSDS!$V$18-WeightSDS!$U$18)/24*($AM459-186)-0.005)))</f>
        <v>0.14604529399999999</v>
      </c>
      <c r="AT459" s="4">
        <f t="shared" si="154"/>
        <v>0.56299999999999994</v>
      </c>
      <c r="AU459" s="4">
        <f t="shared" si="155"/>
        <v>69</v>
      </c>
      <c r="AV459" s="4">
        <f t="shared" si="156"/>
        <v>0.51</v>
      </c>
    </row>
    <row r="460" spans="1:48" x14ac:dyDescent="0.15">
      <c r="A460" s="4"/>
      <c r="B460" s="21"/>
      <c r="C460" s="21"/>
      <c r="D460" s="21"/>
      <c r="E460" s="22"/>
      <c r="F460" s="22"/>
      <c r="G460" s="23"/>
      <c r="H460" s="23"/>
      <c r="I460" s="181"/>
      <c r="J460" s="8" t="str">
        <f t="shared" si="148"/>
        <v/>
      </c>
      <c r="K460" s="2" t="str">
        <f t="shared" si="157"/>
        <v/>
      </c>
      <c r="L460" s="2" t="str">
        <f t="shared" si="149"/>
        <v/>
      </c>
      <c r="M460" s="2" t="str">
        <f t="shared" si="158"/>
        <v/>
      </c>
      <c r="N460" s="2" t="str">
        <f t="shared" si="166"/>
        <v/>
      </c>
      <c r="O460" s="2" t="str">
        <f t="shared" si="159"/>
        <v/>
      </c>
      <c r="P460" s="8" t="str">
        <f t="shared" si="160"/>
        <v/>
      </c>
      <c r="Q460" s="8" t="str">
        <f t="shared" si="161"/>
        <v/>
      </c>
      <c r="R460" s="111" t="str">
        <f t="shared" si="162"/>
        <v/>
      </c>
      <c r="S460" s="44" t="str">
        <f t="shared" si="163"/>
        <v/>
      </c>
      <c r="T460" s="37" t="str">
        <f t="shared" si="164"/>
        <v/>
      </c>
      <c r="U460" s="44" t="str">
        <f t="shared" si="165"/>
        <v/>
      </c>
      <c r="V460" s="26"/>
      <c r="W460" s="26"/>
      <c r="X460" s="26"/>
      <c r="Y460" s="26"/>
      <c r="Z460" s="24"/>
      <c r="AA460" s="169">
        <f t="shared" si="150"/>
        <v>0</v>
      </c>
      <c r="AB460" s="4">
        <f t="shared" si="151"/>
        <v>0</v>
      </c>
      <c r="AC460" s="170">
        <f t="shared" si="147"/>
        <v>0</v>
      </c>
      <c r="AD460" s="58"/>
      <c r="AE460" s="58"/>
      <c r="AF460" s="58"/>
      <c r="AG460" s="59">
        <f t="shared" si="152"/>
        <v>9.0359999999999996</v>
      </c>
      <c r="AH460" s="59">
        <f t="shared" si="153"/>
        <v>-184.49199999999999</v>
      </c>
      <c r="AJ460" s="4">
        <f>IF(D460="M",IF(AM460&lt;78,BMILMS!$D$5*AM460^3+BMILMS!$E$5*AM460^2+BMILMS!$F$5*AM460+BMILMS!$G$5,IF(AM460&lt;150,BMILMS!$D$6*AM460^3+BMILMS!$E$6*AM460^2+BMILMS!$F$6*AM460+BMILMS!$G$6,BMILMS!$D$7*AM460^3+BMILMS!$E$7*AM460^2+BMILMS!$F$7*AM460+BMILMS!$G$7)),IF(AM460&lt;69,BMILMS!$D$9*AM460^3+BMILMS!$E$9*AM460^2+BMILMS!$F$9*AM460+BMILMS!$G$9,IF(AM460&lt;150,BMILMS!$D$10*AM460^3+BMILMS!$E$10*AM460^2+BMILMS!$F$10*AM460+BMILMS!$G$10,BMILMS!$D$11*AM460^3+BMILMS!$E$11*AM460^2+BMILMS!$F$11*AM460+BMILMS!$G$11)))</f>
        <v>0.79584630099999998</v>
      </c>
      <c r="AK460" s="4">
        <f>IF(D460="M",(IF(AM460&lt;2.5,BMILMS!$D$21*AM460^3+BMILMS!$E$21*AM460^2+BMILMS!$F$21*AM460+BMILMS!$G$21,IF(AM460&lt;9.5,BMILMS!$D$22*AM460^3+BMILMS!$E$22*AM460^2+BMILMS!$F$22*AM460+BMILMS!$G$22,IF(AM460&lt;26.75,BMILMS!$D$23*AM460^3+BMILMS!$E$23*AM460^2+BMILMS!$F$23*AM460+BMILMS!$G$23,IF(AM460&lt;90,BMILMS!$D$24*AM460^3+BMILMS!$E$24*AM460^2+BMILMS!$F$24*AM460+BMILMS!$G$24,BMILMS!$D$25*AM460^3+BMILMS!$E$25*AM460^2+BMILMS!$F$25*AM460+BMILMS!$G$25))))),(IF(AM460&lt;2.5,BMILMS!$D$27*AM460^3+BMILMS!$E$27*AM460^2+BMILMS!$F$27*AM460+BMILMS!$G$27,IF(AM460&lt;9.5,BMILMS!$D$28*AM460^3+BMILMS!$E$28*AM460^2+BMILMS!$F$28*AM460+BMILMS!$G$28,IF(AM460&lt;26.75,BMILMS!$D$29*AM460^3+BMILMS!$E$29*AM460^2+BMILMS!$F$29*AM460+BMILMS!$G$29,IF(AM460&lt;90,BMILMS!$D$30*AM460^3+BMILMS!$E$30*AM460^2+BMILMS!$F$30*AM460+BMILMS!$G$30,IF(AM460&lt;150,BMILMS!$D$31*AM460^3+BMILMS!$E$31*AM460^2+BMILMS!$F$31*AM460+BMILMS!$G$31,BMILMS!$D$32*AM460^3+BMILMS!$E$32*AM460^2+BMILMS!$F$32*AM460+BMILMS!$G$32)))))))</f>
        <v>12.568967990000001</v>
      </c>
      <c r="AL460" s="4">
        <f>IF(D460="M",(IF(AM460&lt;90,BMILMS!$D$14*AM460^3+BMILMS!$E$14*AM460^2+BMILMS!$F$14*AM460+BMILMS!$G$14,BMILMS!$D$15*AM460^3+BMILMS!$E$15*AM460^2+BMILMS!$F$15*AM460+BMILMS!$G$15)),(IF(AM460&lt;90,BMILMS!$D$17*AM460^3+BMILMS!$E$17*AM460^2+BMILMS!$F$17*AM460+BMILMS!$G$17,BMILMS!$D$18*AM460^3+BMILMS!$E$18*AM460^2+BMILMS!$F$18*AM460+BMILMS!$G$18)))</f>
        <v>8.8969350000000003E-2</v>
      </c>
      <c r="AM460" s="4">
        <f t="shared" si="167"/>
        <v>0</v>
      </c>
      <c r="AO460" s="56">
        <f>IF(D460="M",WeightSDS!P$5*$AM460^7+WeightSDS!Q$5*$AM460^6+WeightSDS!R$5*$AM460^5+WeightSDS!S$5*$AM460^4+WeightSDS!T$5*$AM460^3+WeightSDS!U$5*$AM460^2+WeightSDS!V$5*$AM460+WeightSDS!W$5,IF($AM460&lt;186,WeightSDS!P$8*$AM460^7+WeightSDS!Q$8*$AM460^6+WeightSDS!R$8*$AM460^5+WeightSDS!S$8*$AM460^4+WeightSDS!T$8*$AM460^3+WeightSDS!U$8*$AM460^2+WeightSDS!V$8*$AM460+WeightSDS!W$8,WeightSDS!$U$9+WeightSDS!$V$9*($AM460-WeightSDS!$W$9)))</f>
        <v>0.75407122999999998</v>
      </c>
      <c r="AP460" s="4">
        <f>IF(D460="M",IF($AM460&lt;45,WeightSDS!M$23*$AM460^10+WeightSDS!N$23*$AM460^9+WeightSDS!O$23*$AM460^8+WeightSDS!P$23*$AM460^7+WeightSDS!Q$23*$AM460^6+WeightSDS!R$23*$AM460^5+WeightSDS!S$23*$AM460^4+WeightSDS!T$23*$AM460^3+WeightSDS!U$23*$AM460^2+WeightSDS!V$23*$AM460+WeightSDS!W$23,IF($AM460&lt;153,WeightSDS!M$25*$AM460^10+WeightSDS!N$25*$AM460^9+WeightSDS!O$25*$AM460^8+WeightSDS!P$25*$AM460^7+WeightSDS!Q$25*$AM460^6+WeightSDS!R$25*$AM460^5+WeightSDS!S$25*$AM460^4+WeightSDS!T$25*$AM460^3+WeightSDS!U$25*$AM460^2+WeightSDS!V$25*$AM460+WeightSDS!W$25,WeightSDS!M$27+WeightSDS!N$27/(1+EXP(WeightSDS!O$27+WeightSDS!P$27*$AM460)))),IF($AM460&lt;43.8,WeightSDS!M$29*$AM460^10+WeightSDS!N$29*$AM460^9+WeightSDS!O$29*$AM460^8+WeightSDS!P$29*$AM460^7+WeightSDS!Q$29*$AM460^6+WeightSDS!R$29*$AM460^5+WeightSDS!S$29*$AM460^4+WeightSDS!T$29*$AM460^3+WeightSDS!U$29*$AM460^2+WeightSDS!V$29*$AM460+WeightSDS!W$29-0.010431*(1-$AM460/210),IF($AM460&lt;123,WeightSDS!M$30*$AM460^10+WeightSDS!N$30*$AM460^9+WeightSDS!O$30*$AM460^8+WeightSDS!P$30*$AM460^7+WeightSDS!Q$30*$AM460^6+WeightSDS!R$30*$AM460^5+WeightSDS!S$30*$AM460^4+WeightSDS!T$30*$AM460^3+WeightSDS!U$30*$AM460^2+WeightSDS!V$30*$AM460+WeightSDS!W$30-0.010431*(1-1/$AM460),WeightSDS!M$32+WeightSDS!N$32/(1+EXP(WeightSDS!O$32+WeightSDS!P$32*$AM460))-0.010431*(1-$AM460/210))))</f>
        <v>2.9500001032655536</v>
      </c>
      <c r="AQ460" s="4">
        <f>IF(D460="M",IF($AM460&lt;162,WeightSDS!P$12*$AM460^7+WeightSDS!Q$12*$AM460^6+WeightSDS!R$12*$AM460^5+WeightSDS!S$12*$AM460^4+WeightSDS!T$12*$AM460^3+WeightSDS!U$12*$AM460^2+WeightSDS!V$12*$AM460+WeightSDS!W$12,WeightSDS!P$14*$AM460^7+WeightSDS!Q$14*$AM460^6+WeightSDS!R$14*$AM460^5+WeightSDS!S$14*$AM460^4+WeightSDS!T$14*$AM460^3+WeightSDS!U$14*$AM460^2+WeightSDS!V$14*$AM460+WeightSDS!W$14),IF($AM460&lt;156,WeightSDS!O$17*$AM460^8+WeightSDS!P$17*$AM460^7+WeightSDS!Q$17*$AM460^6+WeightSDS!R$17*$AM460^5+WeightSDS!S$17*$AM460^4+WeightSDS!T$17*$AM460^3+WeightSDS!U$17*$AM460^2+WeightSDS!V$17*$AM460+WeightSDS!W$17,IF($AM460&lt;186,WeightSDS!$U$18+(WeightSDS!$V$18-WeightSDS!$U$18)/24*($AM460-186)+WeightSDS!$W$18*(-$AM460+186)^2-0.005,WeightSDS!$U$18+(WeightSDS!$V$18-WeightSDS!$U$18)/24*($AM460-186)-0.005)))</f>
        <v>0.14604529399999999</v>
      </c>
      <c r="AT460" s="4">
        <f t="shared" si="154"/>
        <v>0.56299999999999994</v>
      </c>
      <c r="AU460" s="4">
        <f t="shared" si="155"/>
        <v>69</v>
      </c>
      <c r="AV460" s="4">
        <f t="shared" si="156"/>
        <v>0.51</v>
      </c>
    </row>
    <row r="461" spans="1:48" x14ac:dyDescent="0.15">
      <c r="A461" s="4"/>
      <c r="B461" s="21"/>
      <c r="C461" s="21"/>
      <c r="D461" s="21"/>
      <c r="E461" s="22"/>
      <c r="F461" s="22"/>
      <c r="G461" s="23"/>
      <c r="H461" s="23"/>
      <c r="I461" s="181"/>
      <c r="J461" s="8" t="str">
        <f t="shared" si="148"/>
        <v/>
      </c>
      <c r="K461" s="2" t="str">
        <f t="shared" si="157"/>
        <v/>
      </c>
      <c r="L461" s="2" t="str">
        <f t="shared" si="149"/>
        <v/>
      </c>
      <c r="M461" s="2" t="str">
        <f t="shared" si="158"/>
        <v/>
      </c>
      <c r="N461" s="2" t="str">
        <f t="shared" si="166"/>
        <v/>
      </c>
      <c r="O461" s="2" t="str">
        <f t="shared" si="159"/>
        <v/>
      </c>
      <c r="P461" s="8" t="str">
        <f t="shared" si="160"/>
        <v/>
      </c>
      <c r="Q461" s="8" t="str">
        <f t="shared" si="161"/>
        <v/>
      </c>
      <c r="R461" s="111" t="str">
        <f t="shared" si="162"/>
        <v/>
      </c>
      <c r="S461" s="44" t="str">
        <f t="shared" si="163"/>
        <v/>
      </c>
      <c r="T461" s="37" t="str">
        <f t="shared" si="164"/>
        <v/>
      </c>
      <c r="U461" s="44" t="str">
        <f t="shared" si="165"/>
        <v/>
      </c>
      <c r="V461" s="26"/>
      <c r="W461" s="26"/>
      <c r="X461" s="26"/>
      <c r="Y461" s="26"/>
      <c r="Z461" s="24"/>
      <c r="AA461" s="169">
        <f t="shared" si="150"/>
        <v>0</v>
      </c>
      <c r="AB461" s="4">
        <f t="shared" si="151"/>
        <v>0</v>
      </c>
      <c r="AC461" s="170">
        <f t="shared" si="147"/>
        <v>0</v>
      </c>
      <c r="AD461" s="58"/>
      <c r="AE461" s="58"/>
      <c r="AF461" s="58"/>
      <c r="AG461" s="59">
        <f t="shared" si="152"/>
        <v>9.0359999999999996</v>
      </c>
      <c r="AH461" s="59">
        <f t="shared" si="153"/>
        <v>-184.49199999999999</v>
      </c>
      <c r="AJ461" s="4">
        <f>IF(D461="M",IF(AM461&lt;78,BMILMS!$D$5*AM461^3+BMILMS!$E$5*AM461^2+BMILMS!$F$5*AM461+BMILMS!$G$5,IF(AM461&lt;150,BMILMS!$D$6*AM461^3+BMILMS!$E$6*AM461^2+BMILMS!$F$6*AM461+BMILMS!$G$6,BMILMS!$D$7*AM461^3+BMILMS!$E$7*AM461^2+BMILMS!$F$7*AM461+BMILMS!$G$7)),IF(AM461&lt;69,BMILMS!$D$9*AM461^3+BMILMS!$E$9*AM461^2+BMILMS!$F$9*AM461+BMILMS!$G$9,IF(AM461&lt;150,BMILMS!$D$10*AM461^3+BMILMS!$E$10*AM461^2+BMILMS!$F$10*AM461+BMILMS!$G$10,BMILMS!$D$11*AM461^3+BMILMS!$E$11*AM461^2+BMILMS!$F$11*AM461+BMILMS!$G$11)))</f>
        <v>0.79584630099999998</v>
      </c>
      <c r="AK461" s="4">
        <f>IF(D461="M",(IF(AM461&lt;2.5,BMILMS!$D$21*AM461^3+BMILMS!$E$21*AM461^2+BMILMS!$F$21*AM461+BMILMS!$G$21,IF(AM461&lt;9.5,BMILMS!$D$22*AM461^3+BMILMS!$E$22*AM461^2+BMILMS!$F$22*AM461+BMILMS!$G$22,IF(AM461&lt;26.75,BMILMS!$D$23*AM461^3+BMILMS!$E$23*AM461^2+BMILMS!$F$23*AM461+BMILMS!$G$23,IF(AM461&lt;90,BMILMS!$D$24*AM461^3+BMILMS!$E$24*AM461^2+BMILMS!$F$24*AM461+BMILMS!$G$24,BMILMS!$D$25*AM461^3+BMILMS!$E$25*AM461^2+BMILMS!$F$25*AM461+BMILMS!$G$25))))),(IF(AM461&lt;2.5,BMILMS!$D$27*AM461^3+BMILMS!$E$27*AM461^2+BMILMS!$F$27*AM461+BMILMS!$G$27,IF(AM461&lt;9.5,BMILMS!$D$28*AM461^3+BMILMS!$E$28*AM461^2+BMILMS!$F$28*AM461+BMILMS!$G$28,IF(AM461&lt;26.75,BMILMS!$D$29*AM461^3+BMILMS!$E$29*AM461^2+BMILMS!$F$29*AM461+BMILMS!$G$29,IF(AM461&lt;90,BMILMS!$D$30*AM461^3+BMILMS!$E$30*AM461^2+BMILMS!$F$30*AM461+BMILMS!$G$30,IF(AM461&lt;150,BMILMS!$D$31*AM461^3+BMILMS!$E$31*AM461^2+BMILMS!$F$31*AM461+BMILMS!$G$31,BMILMS!$D$32*AM461^3+BMILMS!$E$32*AM461^2+BMILMS!$F$32*AM461+BMILMS!$G$32)))))))</f>
        <v>12.568967990000001</v>
      </c>
      <c r="AL461" s="4">
        <f>IF(D461="M",(IF(AM461&lt;90,BMILMS!$D$14*AM461^3+BMILMS!$E$14*AM461^2+BMILMS!$F$14*AM461+BMILMS!$G$14,BMILMS!$D$15*AM461^3+BMILMS!$E$15*AM461^2+BMILMS!$F$15*AM461+BMILMS!$G$15)),(IF(AM461&lt;90,BMILMS!$D$17*AM461^3+BMILMS!$E$17*AM461^2+BMILMS!$F$17*AM461+BMILMS!$G$17,BMILMS!$D$18*AM461^3+BMILMS!$E$18*AM461^2+BMILMS!$F$18*AM461+BMILMS!$G$18)))</f>
        <v>8.8969350000000003E-2</v>
      </c>
      <c r="AM461" s="4">
        <f t="shared" si="167"/>
        <v>0</v>
      </c>
      <c r="AO461" s="56">
        <f>IF(D461="M",WeightSDS!P$5*$AM461^7+WeightSDS!Q$5*$AM461^6+WeightSDS!R$5*$AM461^5+WeightSDS!S$5*$AM461^4+WeightSDS!T$5*$AM461^3+WeightSDS!U$5*$AM461^2+WeightSDS!V$5*$AM461+WeightSDS!W$5,IF($AM461&lt;186,WeightSDS!P$8*$AM461^7+WeightSDS!Q$8*$AM461^6+WeightSDS!R$8*$AM461^5+WeightSDS!S$8*$AM461^4+WeightSDS!T$8*$AM461^3+WeightSDS!U$8*$AM461^2+WeightSDS!V$8*$AM461+WeightSDS!W$8,WeightSDS!$U$9+WeightSDS!$V$9*($AM461-WeightSDS!$W$9)))</f>
        <v>0.75407122999999998</v>
      </c>
      <c r="AP461" s="4">
        <f>IF(D461="M",IF($AM461&lt;45,WeightSDS!M$23*$AM461^10+WeightSDS!N$23*$AM461^9+WeightSDS!O$23*$AM461^8+WeightSDS!P$23*$AM461^7+WeightSDS!Q$23*$AM461^6+WeightSDS!R$23*$AM461^5+WeightSDS!S$23*$AM461^4+WeightSDS!T$23*$AM461^3+WeightSDS!U$23*$AM461^2+WeightSDS!V$23*$AM461+WeightSDS!W$23,IF($AM461&lt;153,WeightSDS!M$25*$AM461^10+WeightSDS!N$25*$AM461^9+WeightSDS!O$25*$AM461^8+WeightSDS!P$25*$AM461^7+WeightSDS!Q$25*$AM461^6+WeightSDS!R$25*$AM461^5+WeightSDS!S$25*$AM461^4+WeightSDS!T$25*$AM461^3+WeightSDS!U$25*$AM461^2+WeightSDS!V$25*$AM461+WeightSDS!W$25,WeightSDS!M$27+WeightSDS!N$27/(1+EXP(WeightSDS!O$27+WeightSDS!P$27*$AM461)))),IF($AM461&lt;43.8,WeightSDS!M$29*$AM461^10+WeightSDS!N$29*$AM461^9+WeightSDS!O$29*$AM461^8+WeightSDS!P$29*$AM461^7+WeightSDS!Q$29*$AM461^6+WeightSDS!R$29*$AM461^5+WeightSDS!S$29*$AM461^4+WeightSDS!T$29*$AM461^3+WeightSDS!U$29*$AM461^2+WeightSDS!V$29*$AM461+WeightSDS!W$29-0.010431*(1-$AM461/210),IF($AM461&lt;123,WeightSDS!M$30*$AM461^10+WeightSDS!N$30*$AM461^9+WeightSDS!O$30*$AM461^8+WeightSDS!P$30*$AM461^7+WeightSDS!Q$30*$AM461^6+WeightSDS!R$30*$AM461^5+WeightSDS!S$30*$AM461^4+WeightSDS!T$30*$AM461^3+WeightSDS!U$30*$AM461^2+WeightSDS!V$30*$AM461+WeightSDS!W$30-0.010431*(1-1/$AM461),WeightSDS!M$32+WeightSDS!N$32/(1+EXP(WeightSDS!O$32+WeightSDS!P$32*$AM461))-0.010431*(1-$AM461/210))))</f>
        <v>2.9500001032655536</v>
      </c>
      <c r="AQ461" s="4">
        <f>IF(D461="M",IF($AM461&lt;162,WeightSDS!P$12*$AM461^7+WeightSDS!Q$12*$AM461^6+WeightSDS!R$12*$AM461^5+WeightSDS!S$12*$AM461^4+WeightSDS!T$12*$AM461^3+WeightSDS!U$12*$AM461^2+WeightSDS!V$12*$AM461+WeightSDS!W$12,WeightSDS!P$14*$AM461^7+WeightSDS!Q$14*$AM461^6+WeightSDS!R$14*$AM461^5+WeightSDS!S$14*$AM461^4+WeightSDS!T$14*$AM461^3+WeightSDS!U$14*$AM461^2+WeightSDS!V$14*$AM461+WeightSDS!W$14),IF($AM461&lt;156,WeightSDS!O$17*$AM461^8+WeightSDS!P$17*$AM461^7+WeightSDS!Q$17*$AM461^6+WeightSDS!R$17*$AM461^5+WeightSDS!S$17*$AM461^4+WeightSDS!T$17*$AM461^3+WeightSDS!U$17*$AM461^2+WeightSDS!V$17*$AM461+WeightSDS!W$17,IF($AM461&lt;186,WeightSDS!$U$18+(WeightSDS!$V$18-WeightSDS!$U$18)/24*($AM461-186)+WeightSDS!$W$18*(-$AM461+186)^2-0.005,WeightSDS!$U$18+(WeightSDS!$V$18-WeightSDS!$U$18)/24*($AM461-186)-0.005)))</f>
        <v>0.14604529399999999</v>
      </c>
      <c r="AT461" s="4">
        <f t="shared" si="154"/>
        <v>0.56299999999999994</v>
      </c>
      <c r="AU461" s="4">
        <f t="shared" si="155"/>
        <v>69</v>
      </c>
      <c r="AV461" s="4">
        <f t="shared" si="156"/>
        <v>0.51</v>
      </c>
    </row>
    <row r="462" spans="1:48" x14ac:dyDescent="0.15">
      <c r="A462" s="4"/>
      <c r="B462" s="21"/>
      <c r="C462" s="21"/>
      <c r="D462" s="21"/>
      <c r="E462" s="22"/>
      <c r="F462" s="22"/>
      <c r="G462" s="23"/>
      <c r="H462" s="23"/>
      <c r="I462" s="181"/>
      <c r="J462" s="8" t="str">
        <f t="shared" si="148"/>
        <v/>
      </c>
      <c r="K462" s="2" t="str">
        <f t="shared" si="157"/>
        <v/>
      </c>
      <c r="L462" s="2" t="str">
        <f t="shared" si="149"/>
        <v/>
      </c>
      <c r="M462" s="2" t="str">
        <f t="shared" si="158"/>
        <v/>
      </c>
      <c r="N462" s="2" t="str">
        <f t="shared" si="166"/>
        <v/>
      </c>
      <c r="O462" s="2" t="str">
        <f t="shared" si="159"/>
        <v/>
      </c>
      <c r="P462" s="8" t="str">
        <f t="shared" si="160"/>
        <v/>
      </c>
      <c r="Q462" s="8" t="str">
        <f t="shared" si="161"/>
        <v/>
      </c>
      <c r="R462" s="111" t="str">
        <f t="shared" si="162"/>
        <v/>
      </c>
      <c r="S462" s="44" t="str">
        <f t="shared" si="163"/>
        <v/>
      </c>
      <c r="T462" s="37" t="str">
        <f t="shared" si="164"/>
        <v/>
      </c>
      <c r="U462" s="44" t="str">
        <f t="shared" si="165"/>
        <v/>
      </c>
      <c r="V462" s="26"/>
      <c r="W462" s="26"/>
      <c r="X462" s="26"/>
      <c r="Y462" s="26"/>
      <c r="Z462" s="24"/>
      <c r="AA462" s="169">
        <f t="shared" si="150"/>
        <v>0</v>
      </c>
      <c r="AB462" s="4">
        <f t="shared" si="151"/>
        <v>0</v>
      </c>
      <c r="AC462" s="170">
        <f t="shared" si="147"/>
        <v>0</v>
      </c>
      <c r="AD462" s="58"/>
      <c r="AE462" s="58"/>
      <c r="AF462" s="58"/>
      <c r="AG462" s="59">
        <f t="shared" si="152"/>
        <v>9.0359999999999996</v>
      </c>
      <c r="AH462" s="59">
        <f t="shared" si="153"/>
        <v>-184.49199999999999</v>
      </c>
      <c r="AJ462" s="4">
        <f>IF(D462="M",IF(AM462&lt;78,BMILMS!$D$5*AM462^3+BMILMS!$E$5*AM462^2+BMILMS!$F$5*AM462+BMILMS!$G$5,IF(AM462&lt;150,BMILMS!$D$6*AM462^3+BMILMS!$E$6*AM462^2+BMILMS!$F$6*AM462+BMILMS!$G$6,BMILMS!$D$7*AM462^3+BMILMS!$E$7*AM462^2+BMILMS!$F$7*AM462+BMILMS!$G$7)),IF(AM462&lt;69,BMILMS!$D$9*AM462^3+BMILMS!$E$9*AM462^2+BMILMS!$F$9*AM462+BMILMS!$G$9,IF(AM462&lt;150,BMILMS!$D$10*AM462^3+BMILMS!$E$10*AM462^2+BMILMS!$F$10*AM462+BMILMS!$G$10,BMILMS!$D$11*AM462^3+BMILMS!$E$11*AM462^2+BMILMS!$F$11*AM462+BMILMS!$G$11)))</f>
        <v>0.79584630099999998</v>
      </c>
      <c r="AK462" s="4">
        <f>IF(D462="M",(IF(AM462&lt;2.5,BMILMS!$D$21*AM462^3+BMILMS!$E$21*AM462^2+BMILMS!$F$21*AM462+BMILMS!$G$21,IF(AM462&lt;9.5,BMILMS!$D$22*AM462^3+BMILMS!$E$22*AM462^2+BMILMS!$F$22*AM462+BMILMS!$G$22,IF(AM462&lt;26.75,BMILMS!$D$23*AM462^3+BMILMS!$E$23*AM462^2+BMILMS!$F$23*AM462+BMILMS!$G$23,IF(AM462&lt;90,BMILMS!$D$24*AM462^3+BMILMS!$E$24*AM462^2+BMILMS!$F$24*AM462+BMILMS!$G$24,BMILMS!$D$25*AM462^3+BMILMS!$E$25*AM462^2+BMILMS!$F$25*AM462+BMILMS!$G$25))))),(IF(AM462&lt;2.5,BMILMS!$D$27*AM462^3+BMILMS!$E$27*AM462^2+BMILMS!$F$27*AM462+BMILMS!$G$27,IF(AM462&lt;9.5,BMILMS!$D$28*AM462^3+BMILMS!$E$28*AM462^2+BMILMS!$F$28*AM462+BMILMS!$G$28,IF(AM462&lt;26.75,BMILMS!$D$29*AM462^3+BMILMS!$E$29*AM462^2+BMILMS!$F$29*AM462+BMILMS!$G$29,IF(AM462&lt;90,BMILMS!$D$30*AM462^3+BMILMS!$E$30*AM462^2+BMILMS!$F$30*AM462+BMILMS!$G$30,IF(AM462&lt;150,BMILMS!$D$31*AM462^3+BMILMS!$E$31*AM462^2+BMILMS!$F$31*AM462+BMILMS!$G$31,BMILMS!$D$32*AM462^3+BMILMS!$E$32*AM462^2+BMILMS!$F$32*AM462+BMILMS!$G$32)))))))</f>
        <v>12.568967990000001</v>
      </c>
      <c r="AL462" s="4">
        <f>IF(D462="M",(IF(AM462&lt;90,BMILMS!$D$14*AM462^3+BMILMS!$E$14*AM462^2+BMILMS!$F$14*AM462+BMILMS!$G$14,BMILMS!$D$15*AM462^3+BMILMS!$E$15*AM462^2+BMILMS!$F$15*AM462+BMILMS!$G$15)),(IF(AM462&lt;90,BMILMS!$D$17*AM462^3+BMILMS!$E$17*AM462^2+BMILMS!$F$17*AM462+BMILMS!$G$17,BMILMS!$D$18*AM462^3+BMILMS!$E$18*AM462^2+BMILMS!$F$18*AM462+BMILMS!$G$18)))</f>
        <v>8.8969350000000003E-2</v>
      </c>
      <c r="AM462" s="4">
        <f t="shared" si="167"/>
        <v>0</v>
      </c>
      <c r="AO462" s="56">
        <f>IF(D462="M",WeightSDS!P$5*$AM462^7+WeightSDS!Q$5*$AM462^6+WeightSDS!R$5*$AM462^5+WeightSDS!S$5*$AM462^4+WeightSDS!T$5*$AM462^3+WeightSDS!U$5*$AM462^2+WeightSDS!V$5*$AM462+WeightSDS!W$5,IF($AM462&lt;186,WeightSDS!P$8*$AM462^7+WeightSDS!Q$8*$AM462^6+WeightSDS!R$8*$AM462^5+WeightSDS!S$8*$AM462^4+WeightSDS!T$8*$AM462^3+WeightSDS!U$8*$AM462^2+WeightSDS!V$8*$AM462+WeightSDS!W$8,WeightSDS!$U$9+WeightSDS!$V$9*($AM462-WeightSDS!$W$9)))</f>
        <v>0.75407122999999998</v>
      </c>
      <c r="AP462" s="4">
        <f>IF(D462="M",IF($AM462&lt;45,WeightSDS!M$23*$AM462^10+WeightSDS!N$23*$AM462^9+WeightSDS!O$23*$AM462^8+WeightSDS!P$23*$AM462^7+WeightSDS!Q$23*$AM462^6+WeightSDS!R$23*$AM462^5+WeightSDS!S$23*$AM462^4+WeightSDS!T$23*$AM462^3+WeightSDS!U$23*$AM462^2+WeightSDS!V$23*$AM462+WeightSDS!W$23,IF($AM462&lt;153,WeightSDS!M$25*$AM462^10+WeightSDS!N$25*$AM462^9+WeightSDS!O$25*$AM462^8+WeightSDS!P$25*$AM462^7+WeightSDS!Q$25*$AM462^6+WeightSDS!R$25*$AM462^5+WeightSDS!S$25*$AM462^4+WeightSDS!T$25*$AM462^3+WeightSDS!U$25*$AM462^2+WeightSDS!V$25*$AM462+WeightSDS!W$25,WeightSDS!M$27+WeightSDS!N$27/(1+EXP(WeightSDS!O$27+WeightSDS!P$27*$AM462)))),IF($AM462&lt;43.8,WeightSDS!M$29*$AM462^10+WeightSDS!N$29*$AM462^9+WeightSDS!O$29*$AM462^8+WeightSDS!P$29*$AM462^7+WeightSDS!Q$29*$AM462^6+WeightSDS!R$29*$AM462^5+WeightSDS!S$29*$AM462^4+WeightSDS!T$29*$AM462^3+WeightSDS!U$29*$AM462^2+WeightSDS!V$29*$AM462+WeightSDS!W$29-0.010431*(1-$AM462/210),IF($AM462&lt;123,WeightSDS!M$30*$AM462^10+WeightSDS!N$30*$AM462^9+WeightSDS!O$30*$AM462^8+WeightSDS!P$30*$AM462^7+WeightSDS!Q$30*$AM462^6+WeightSDS!R$30*$AM462^5+WeightSDS!S$30*$AM462^4+WeightSDS!T$30*$AM462^3+WeightSDS!U$30*$AM462^2+WeightSDS!V$30*$AM462+WeightSDS!W$30-0.010431*(1-1/$AM462),WeightSDS!M$32+WeightSDS!N$32/(1+EXP(WeightSDS!O$32+WeightSDS!P$32*$AM462))-0.010431*(1-$AM462/210))))</f>
        <v>2.9500001032655536</v>
      </c>
      <c r="AQ462" s="4">
        <f>IF(D462="M",IF($AM462&lt;162,WeightSDS!P$12*$AM462^7+WeightSDS!Q$12*$AM462^6+WeightSDS!R$12*$AM462^5+WeightSDS!S$12*$AM462^4+WeightSDS!T$12*$AM462^3+WeightSDS!U$12*$AM462^2+WeightSDS!V$12*$AM462+WeightSDS!W$12,WeightSDS!P$14*$AM462^7+WeightSDS!Q$14*$AM462^6+WeightSDS!R$14*$AM462^5+WeightSDS!S$14*$AM462^4+WeightSDS!T$14*$AM462^3+WeightSDS!U$14*$AM462^2+WeightSDS!V$14*$AM462+WeightSDS!W$14),IF($AM462&lt;156,WeightSDS!O$17*$AM462^8+WeightSDS!P$17*$AM462^7+WeightSDS!Q$17*$AM462^6+WeightSDS!R$17*$AM462^5+WeightSDS!S$17*$AM462^4+WeightSDS!T$17*$AM462^3+WeightSDS!U$17*$AM462^2+WeightSDS!V$17*$AM462+WeightSDS!W$17,IF($AM462&lt;186,WeightSDS!$U$18+(WeightSDS!$V$18-WeightSDS!$U$18)/24*($AM462-186)+WeightSDS!$W$18*(-$AM462+186)^2-0.005,WeightSDS!$U$18+(WeightSDS!$V$18-WeightSDS!$U$18)/24*($AM462-186)-0.005)))</f>
        <v>0.14604529399999999</v>
      </c>
      <c r="AT462" s="4">
        <f t="shared" si="154"/>
        <v>0.56299999999999994</v>
      </c>
      <c r="AU462" s="4">
        <f t="shared" si="155"/>
        <v>69</v>
      </c>
      <c r="AV462" s="4">
        <f t="shared" si="156"/>
        <v>0.51</v>
      </c>
    </row>
    <row r="463" spans="1:48" x14ac:dyDescent="0.15">
      <c r="A463" s="4"/>
      <c r="B463" s="21"/>
      <c r="C463" s="21"/>
      <c r="D463" s="21"/>
      <c r="E463" s="22"/>
      <c r="F463" s="22"/>
      <c r="G463" s="23"/>
      <c r="H463" s="23"/>
      <c r="I463" s="181"/>
      <c r="J463" s="8" t="str">
        <f t="shared" si="148"/>
        <v/>
      </c>
      <c r="K463" s="2" t="str">
        <f t="shared" si="157"/>
        <v/>
      </c>
      <c r="L463" s="2" t="str">
        <f t="shared" si="149"/>
        <v/>
      </c>
      <c r="M463" s="2" t="str">
        <f t="shared" si="158"/>
        <v/>
      </c>
      <c r="N463" s="2" t="str">
        <f t="shared" si="166"/>
        <v/>
      </c>
      <c r="O463" s="2" t="str">
        <f t="shared" si="159"/>
        <v/>
      </c>
      <c r="P463" s="8" t="str">
        <f t="shared" si="160"/>
        <v/>
      </c>
      <c r="Q463" s="8" t="str">
        <f t="shared" si="161"/>
        <v/>
      </c>
      <c r="R463" s="111" t="str">
        <f t="shared" si="162"/>
        <v/>
      </c>
      <c r="S463" s="44" t="str">
        <f t="shared" si="163"/>
        <v/>
      </c>
      <c r="T463" s="37" t="str">
        <f t="shared" si="164"/>
        <v/>
      </c>
      <c r="U463" s="44" t="str">
        <f t="shared" si="165"/>
        <v/>
      </c>
      <c r="V463" s="26"/>
      <c r="W463" s="26"/>
      <c r="X463" s="26"/>
      <c r="Y463" s="26"/>
      <c r="Z463" s="24"/>
      <c r="AA463" s="169">
        <f t="shared" si="150"/>
        <v>0</v>
      </c>
      <c r="AB463" s="4">
        <f t="shared" si="151"/>
        <v>0</v>
      </c>
      <c r="AC463" s="170">
        <f t="shared" si="147"/>
        <v>0</v>
      </c>
      <c r="AD463" s="58"/>
      <c r="AE463" s="58"/>
      <c r="AF463" s="58"/>
      <c r="AG463" s="59">
        <f t="shared" si="152"/>
        <v>9.0359999999999996</v>
      </c>
      <c r="AH463" s="59">
        <f t="shared" si="153"/>
        <v>-184.49199999999999</v>
      </c>
      <c r="AJ463" s="4">
        <f>IF(D463="M",IF(AM463&lt;78,BMILMS!$D$5*AM463^3+BMILMS!$E$5*AM463^2+BMILMS!$F$5*AM463+BMILMS!$G$5,IF(AM463&lt;150,BMILMS!$D$6*AM463^3+BMILMS!$E$6*AM463^2+BMILMS!$F$6*AM463+BMILMS!$G$6,BMILMS!$D$7*AM463^3+BMILMS!$E$7*AM463^2+BMILMS!$F$7*AM463+BMILMS!$G$7)),IF(AM463&lt;69,BMILMS!$D$9*AM463^3+BMILMS!$E$9*AM463^2+BMILMS!$F$9*AM463+BMILMS!$G$9,IF(AM463&lt;150,BMILMS!$D$10*AM463^3+BMILMS!$E$10*AM463^2+BMILMS!$F$10*AM463+BMILMS!$G$10,BMILMS!$D$11*AM463^3+BMILMS!$E$11*AM463^2+BMILMS!$F$11*AM463+BMILMS!$G$11)))</f>
        <v>0.79584630099999998</v>
      </c>
      <c r="AK463" s="4">
        <f>IF(D463="M",(IF(AM463&lt;2.5,BMILMS!$D$21*AM463^3+BMILMS!$E$21*AM463^2+BMILMS!$F$21*AM463+BMILMS!$G$21,IF(AM463&lt;9.5,BMILMS!$D$22*AM463^3+BMILMS!$E$22*AM463^2+BMILMS!$F$22*AM463+BMILMS!$G$22,IF(AM463&lt;26.75,BMILMS!$D$23*AM463^3+BMILMS!$E$23*AM463^2+BMILMS!$F$23*AM463+BMILMS!$G$23,IF(AM463&lt;90,BMILMS!$D$24*AM463^3+BMILMS!$E$24*AM463^2+BMILMS!$F$24*AM463+BMILMS!$G$24,BMILMS!$D$25*AM463^3+BMILMS!$E$25*AM463^2+BMILMS!$F$25*AM463+BMILMS!$G$25))))),(IF(AM463&lt;2.5,BMILMS!$D$27*AM463^3+BMILMS!$E$27*AM463^2+BMILMS!$F$27*AM463+BMILMS!$G$27,IF(AM463&lt;9.5,BMILMS!$D$28*AM463^3+BMILMS!$E$28*AM463^2+BMILMS!$F$28*AM463+BMILMS!$G$28,IF(AM463&lt;26.75,BMILMS!$D$29*AM463^3+BMILMS!$E$29*AM463^2+BMILMS!$F$29*AM463+BMILMS!$G$29,IF(AM463&lt;90,BMILMS!$D$30*AM463^3+BMILMS!$E$30*AM463^2+BMILMS!$F$30*AM463+BMILMS!$G$30,IF(AM463&lt;150,BMILMS!$D$31*AM463^3+BMILMS!$E$31*AM463^2+BMILMS!$F$31*AM463+BMILMS!$G$31,BMILMS!$D$32*AM463^3+BMILMS!$E$32*AM463^2+BMILMS!$F$32*AM463+BMILMS!$G$32)))))))</f>
        <v>12.568967990000001</v>
      </c>
      <c r="AL463" s="4">
        <f>IF(D463="M",(IF(AM463&lt;90,BMILMS!$D$14*AM463^3+BMILMS!$E$14*AM463^2+BMILMS!$F$14*AM463+BMILMS!$G$14,BMILMS!$D$15*AM463^3+BMILMS!$E$15*AM463^2+BMILMS!$F$15*AM463+BMILMS!$G$15)),(IF(AM463&lt;90,BMILMS!$D$17*AM463^3+BMILMS!$E$17*AM463^2+BMILMS!$F$17*AM463+BMILMS!$G$17,BMILMS!$D$18*AM463^3+BMILMS!$E$18*AM463^2+BMILMS!$F$18*AM463+BMILMS!$G$18)))</f>
        <v>8.8969350000000003E-2</v>
      </c>
      <c r="AM463" s="4">
        <f t="shared" si="167"/>
        <v>0</v>
      </c>
      <c r="AO463" s="56">
        <f>IF(D463="M",WeightSDS!P$5*$AM463^7+WeightSDS!Q$5*$AM463^6+WeightSDS!R$5*$AM463^5+WeightSDS!S$5*$AM463^4+WeightSDS!T$5*$AM463^3+WeightSDS!U$5*$AM463^2+WeightSDS!V$5*$AM463+WeightSDS!W$5,IF($AM463&lt;186,WeightSDS!P$8*$AM463^7+WeightSDS!Q$8*$AM463^6+WeightSDS!R$8*$AM463^5+WeightSDS!S$8*$AM463^4+WeightSDS!T$8*$AM463^3+WeightSDS!U$8*$AM463^2+WeightSDS!V$8*$AM463+WeightSDS!W$8,WeightSDS!$U$9+WeightSDS!$V$9*($AM463-WeightSDS!$W$9)))</f>
        <v>0.75407122999999998</v>
      </c>
      <c r="AP463" s="4">
        <f>IF(D463="M",IF($AM463&lt;45,WeightSDS!M$23*$AM463^10+WeightSDS!N$23*$AM463^9+WeightSDS!O$23*$AM463^8+WeightSDS!P$23*$AM463^7+WeightSDS!Q$23*$AM463^6+WeightSDS!R$23*$AM463^5+WeightSDS!S$23*$AM463^4+WeightSDS!T$23*$AM463^3+WeightSDS!U$23*$AM463^2+WeightSDS!V$23*$AM463+WeightSDS!W$23,IF($AM463&lt;153,WeightSDS!M$25*$AM463^10+WeightSDS!N$25*$AM463^9+WeightSDS!O$25*$AM463^8+WeightSDS!P$25*$AM463^7+WeightSDS!Q$25*$AM463^6+WeightSDS!R$25*$AM463^5+WeightSDS!S$25*$AM463^4+WeightSDS!T$25*$AM463^3+WeightSDS!U$25*$AM463^2+WeightSDS!V$25*$AM463+WeightSDS!W$25,WeightSDS!M$27+WeightSDS!N$27/(1+EXP(WeightSDS!O$27+WeightSDS!P$27*$AM463)))),IF($AM463&lt;43.8,WeightSDS!M$29*$AM463^10+WeightSDS!N$29*$AM463^9+WeightSDS!O$29*$AM463^8+WeightSDS!P$29*$AM463^7+WeightSDS!Q$29*$AM463^6+WeightSDS!R$29*$AM463^5+WeightSDS!S$29*$AM463^4+WeightSDS!T$29*$AM463^3+WeightSDS!U$29*$AM463^2+WeightSDS!V$29*$AM463+WeightSDS!W$29-0.010431*(1-$AM463/210),IF($AM463&lt;123,WeightSDS!M$30*$AM463^10+WeightSDS!N$30*$AM463^9+WeightSDS!O$30*$AM463^8+WeightSDS!P$30*$AM463^7+WeightSDS!Q$30*$AM463^6+WeightSDS!R$30*$AM463^5+WeightSDS!S$30*$AM463^4+WeightSDS!T$30*$AM463^3+WeightSDS!U$30*$AM463^2+WeightSDS!V$30*$AM463+WeightSDS!W$30-0.010431*(1-1/$AM463),WeightSDS!M$32+WeightSDS!N$32/(1+EXP(WeightSDS!O$32+WeightSDS!P$32*$AM463))-0.010431*(1-$AM463/210))))</f>
        <v>2.9500001032655536</v>
      </c>
      <c r="AQ463" s="4">
        <f>IF(D463="M",IF($AM463&lt;162,WeightSDS!P$12*$AM463^7+WeightSDS!Q$12*$AM463^6+WeightSDS!R$12*$AM463^5+WeightSDS!S$12*$AM463^4+WeightSDS!T$12*$AM463^3+WeightSDS!U$12*$AM463^2+WeightSDS!V$12*$AM463+WeightSDS!W$12,WeightSDS!P$14*$AM463^7+WeightSDS!Q$14*$AM463^6+WeightSDS!R$14*$AM463^5+WeightSDS!S$14*$AM463^4+WeightSDS!T$14*$AM463^3+WeightSDS!U$14*$AM463^2+WeightSDS!V$14*$AM463+WeightSDS!W$14),IF($AM463&lt;156,WeightSDS!O$17*$AM463^8+WeightSDS!P$17*$AM463^7+WeightSDS!Q$17*$AM463^6+WeightSDS!R$17*$AM463^5+WeightSDS!S$17*$AM463^4+WeightSDS!T$17*$AM463^3+WeightSDS!U$17*$AM463^2+WeightSDS!V$17*$AM463+WeightSDS!W$17,IF($AM463&lt;186,WeightSDS!$U$18+(WeightSDS!$V$18-WeightSDS!$U$18)/24*($AM463-186)+WeightSDS!$W$18*(-$AM463+186)^2-0.005,WeightSDS!$U$18+(WeightSDS!$V$18-WeightSDS!$U$18)/24*($AM463-186)-0.005)))</f>
        <v>0.14604529399999999</v>
      </c>
      <c r="AT463" s="4">
        <f t="shared" si="154"/>
        <v>0.56299999999999994</v>
      </c>
      <c r="AU463" s="4">
        <f t="shared" si="155"/>
        <v>69</v>
      </c>
      <c r="AV463" s="4">
        <f t="shared" si="156"/>
        <v>0.51</v>
      </c>
    </row>
    <row r="464" spans="1:48" x14ac:dyDescent="0.15">
      <c r="A464" s="4"/>
      <c r="B464" s="21"/>
      <c r="C464" s="21"/>
      <c r="D464" s="21"/>
      <c r="E464" s="22"/>
      <c r="F464" s="22"/>
      <c r="G464" s="23"/>
      <c r="H464" s="23"/>
      <c r="I464" s="181"/>
      <c r="J464" s="8" t="str">
        <f t="shared" si="148"/>
        <v/>
      </c>
      <c r="K464" s="2" t="str">
        <f t="shared" si="157"/>
        <v/>
      </c>
      <c r="L464" s="2" t="str">
        <f t="shared" si="149"/>
        <v/>
      </c>
      <c r="M464" s="2" t="str">
        <f t="shared" si="158"/>
        <v/>
      </c>
      <c r="N464" s="2" t="str">
        <f t="shared" si="166"/>
        <v/>
      </c>
      <c r="O464" s="2" t="str">
        <f t="shared" si="159"/>
        <v/>
      </c>
      <c r="P464" s="8" t="str">
        <f t="shared" si="160"/>
        <v/>
      </c>
      <c r="Q464" s="8" t="str">
        <f t="shared" si="161"/>
        <v/>
      </c>
      <c r="R464" s="111" t="str">
        <f t="shared" si="162"/>
        <v/>
      </c>
      <c r="S464" s="44" t="str">
        <f t="shared" si="163"/>
        <v/>
      </c>
      <c r="T464" s="37" t="str">
        <f t="shared" si="164"/>
        <v/>
      </c>
      <c r="U464" s="44" t="str">
        <f t="shared" si="165"/>
        <v/>
      </c>
      <c r="V464" s="26"/>
      <c r="W464" s="26"/>
      <c r="X464" s="26"/>
      <c r="Y464" s="26"/>
      <c r="Z464" s="24"/>
      <c r="AA464" s="169">
        <f t="shared" si="150"/>
        <v>0</v>
      </c>
      <c r="AB464" s="4">
        <f t="shared" si="151"/>
        <v>0</v>
      </c>
      <c r="AC464" s="170">
        <f t="shared" si="147"/>
        <v>0</v>
      </c>
      <c r="AD464" s="58"/>
      <c r="AE464" s="58"/>
      <c r="AF464" s="58"/>
      <c r="AG464" s="59">
        <f t="shared" si="152"/>
        <v>9.0359999999999996</v>
      </c>
      <c r="AH464" s="59">
        <f t="shared" si="153"/>
        <v>-184.49199999999999</v>
      </c>
      <c r="AJ464" s="4">
        <f>IF(D464="M",IF(AM464&lt;78,BMILMS!$D$5*AM464^3+BMILMS!$E$5*AM464^2+BMILMS!$F$5*AM464+BMILMS!$G$5,IF(AM464&lt;150,BMILMS!$D$6*AM464^3+BMILMS!$E$6*AM464^2+BMILMS!$F$6*AM464+BMILMS!$G$6,BMILMS!$D$7*AM464^3+BMILMS!$E$7*AM464^2+BMILMS!$F$7*AM464+BMILMS!$G$7)),IF(AM464&lt;69,BMILMS!$D$9*AM464^3+BMILMS!$E$9*AM464^2+BMILMS!$F$9*AM464+BMILMS!$G$9,IF(AM464&lt;150,BMILMS!$D$10*AM464^3+BMILMS!$E$10*AM464^2+BMILMS!$F$10*AM464+BMILMS!$G$10,BMILMS!$D$11*AM464^3+BMILMS!$E$11*AM464^2+BMILMS!$F$11*AM464+BMILMS!$G$11)))</f>
        <v>0.79584630099999998</v>
      </c>
      <c r="AK464" s="4">
        <f>IF(D464="M",(IF(AM464&lt;2.5,BMILMS!$D$21*AM464^3+BMILMS!$E$21*AM464^2+BMILMS!$F$21*AM464+BMILMS!$G$21,IF(AM464&lt;9.5,BMILMS!$D$22*AM464^3+BMILMS!$E$22*AM464^2+BMILMS!$F$22*AM464+BMILMS!$G$22,IF(AM464&lt;26.75,BMILMS!$D$23*AM464^3+BMILMS!$E$23*AM464^2+BMILMS!$F$23*AM464+BMILMS!$G$23,IF(AM464&lt;90,BMILMS!$D$24*AM464^3+BMILMS!$E$24*AM464^2+BMILMS!$F$24*AM464+BMILMS!$G$24,BMILMS!$D$25*AM464^3+BMILMS!$E$25*AM464^2+BMILMS!$F$25*AM464+BMILMS!$G$25))))),(IF(AM464&lt;2.5,BMILMS!$D$27*AM464^3+BMILMS!$E$27*AM464^2+BMILMS!$F$27*AM464+BMILMS!$G$27,IF(AM464&lt;9.5,BMILMS!$D$28*AM464^3+BMILMS!$E$28*AM464^2+BMILMS!$F$28*AM464+BMILMS!$G$28,IF(AM464&lt;26.75,BMILMS!$D$29*AM464^3+BMILMS!$E$29*AM464^2+BMILMS!$F$29*AM464+BMILMS!$G$29,IF(AM464&lt;90,BMILMS!$D$30*AM464^3+BMILMS!$E$30*AM464^2+BMILMS!$F$30*AM464+BMILMS!$G$30,IF(AM464&lt;150,BMILMS!$D$31*AM464^3+BMILMS!$E$31*AM464^2+BMILMS!$F$31*AM464+BMILMS!$G$31,BMILMS!$D$32*AM464^3+BMILMS!$E$32*AM464^2+BMILMS!$F$32*AM464+BMILMS!$G$32)))))))</f>
        <v>12.568967990000001</v>
      </c>
      <c r="AL464" s="4">
        <f>IF(D464="M",(IF(AM464&lt;90,BMILMS!$D$14*AM464^3+BMILMS!$E$14*AM464^2+BMILMS!$F$14*AM464+BMILMS!$G$14,BMILMS!$D$15*AM464^3+BMILMS!$E$15*AM464^2+BMILMS!$F$15*AM464+BMILMS!$G$15)),(IF(AM464&lt;90,BMILMS!$D$17*AM464^3+BMILMS!$E$17*AM464^2+BMILMS!$F$17*AM464+BMILMS!$G$17,BMILMS!$D$18*AM464^3+BMILMS!$E$18*AM464^2+BMILMS!$F$18*AM464+BMILMS!$G$18)))</f>
        <v>8.8969350000000003E-2</v>
      </c>
      <c r="AM464" s="4">
        <f t="shared" si="167"/>
        <v>0</v>
      </c>
      <c r="AO464" s="56">
        <f>IF(D464="M",WeightSDS!P$5*$AM464^7+WeightSDS!Q$5*$AM464^6+WeightSDS!R$5*$AM464^5+WeightSDS!S$5*$AM464^4+WeightSDS!T$5*$AM464^3+WeightSDS!U$5*$AM464^2+WeightSDS!V$5*$AM464+WeightSDS!W$5,IF($AM464&lt;186,WeightSDS!P$8*$AM464^7+WeightSDS!Q$8*$AM464^6+WeightSDS!R$8*$AM464^5+WeightSDS!S$8*$AM464^4+WeightSDS!T$8*$AM464^3+WeightSDS!U$8*$AM464^2+WeightSDS!V$8*$AM464+WeightSDS!W$8,WeightSDS!$U$9+WeightSDS!$V$9*($AM464-WeightSDS!$W$9)))</f>
        <v>0.75407122999999998</v>
      </c>
      <c r="AP464" s="4">
        <f>IF(D464="M",IF($AM464&lt;45,WeightSDS!M$23*$AM464^10+WeightSDS!N$23*$AM464^9+WeightSDS!O$23*$AM464^8+WeightSDS!P$23*$AM464^7+WeightSDS!Q$23*$AM464^6+WeightSDS!R$23*$AM464^5+WeightSDS!S$23*$AM464^4+WeightSDS!T$23*$AM464^3+WeightSDS!U$23*$AM464^2+WeightSDS!V$23*$AM464+WeightSDS!W$23,IF($AM464&lt;153,WeightSDS!M$25*$AM464^10+WeightSDS!N$25*$AM464^9+WeightSDS!O$25*$AM464^8+WeightSDS!P$25*$AM464^7+WeightSDS!Q$25*$AM464^6+WeightSDS!R$25*$AM464^5+WeightSDS!S$25*$AM464^4+WeightSDS!T$25*$AM464^3+WeightSDS!U$25*$AM464^2+WeightSDS!V$25*$AM464+WeightSDS!W$25,WeightSDS!M$27+WeightSDS!N$27/(1+EXP(WeightSDS!O$27+WeightSDS!P$27*$AM464)))),IF($AM464&lt;43.8,WeightSDS!M$29*$AM464^10+WeightSDS!N$29*$AM464^9+WeightSDS!O$29*$AM464^8+WeightSDS!P$29*$AM464^7+WeightSDS!Q$29*$AM464^6+WeightSDS!R$29*$AM464^5+WeightSDS!S$29*$AM464^4+WeightSDS!T$29*$AM464^3+WeightSDS!U$29*$AM464^2+WeightSDS!V$29*$AM464+WeightSDS!W$29-0.010431*(1-$AM464/210),IF($AM464&lt;123,WeightSDS!M$30*$AM464^10+WeightSDS!N$30*$AM464^9+WeightSDS!O$30*$AM464^8+WeightSDS!P$30*$AM464^7+WeightSDS!Q$30*$AM464^6+WeightSDS!R$30*$AM464^5+WeightSDS!S$30*$AM464^4+WeightSDS!T$30*$AM464^3+WeightSDS!U$30*$AM464^2+WeightSDS!V$30*$AM464+WeightSDS!W$30-0.010431*(1-1/$AM464),WeightSDS!M$32+WeightSDS!N$32/(1+EXP(WeightSDS!O$32+WeightSDS!P$32*$AM464))-0.010431*(1-$AM464/210))))</f>
        <v>2.9500001032655536</v>
      </c>
      <c r="AQ464" s="4">
        <f>IF(D464="M",IF($AM464&lt;162,WeightSDS!P$12*$AM464^7+WeightSDS!Q$12*$AM464^6+WeightSDS!R$12*$AM464^5+WeightSDS!S$12*$AM464^4+WeightSDS!T$12*$AM464^3+WeightSDS!U$12*$AM464^2+WeightSDS!V$12*$AM464+WeightSDS!W$12,WeightSDS!P$14*$AM464^7+WeightSDS!Q$14*$AM464^6+WeightSDS!R$14*$AM464^5+WeightSDS!S$14*$AM464^4+WeightSDS!T$14*$AM464^3+WeightSDS!U$14*$AM464^2+WeightSDS!V$14*$AM464+WeightSDS!W$14),IF($AM464&lt;156,WeightSDS!O$17*$AM464^8+WeightSDS!P$17*$AM464^7+WeightSDS!Q$17*$AM464^6+WeightSDS!R$17*$AM464^5+WeightSDS!S$17*$AM464^4+WeightSDS!T$17*$AM464^3+WeightSDS!U$17*$AM464^2+WeightSDS!V$17*$AM464+WeightSDS!W$17,IF($AM464&lt;186,WeightSDS!$U$18+(WeightSDS!$V$18-WeightSDS!$U$18)/24*($AM464-186)+WeightSDS!$W$18*(-$AM464+186)^2-0.005,WeightSDS!$U$18+(WeightSDS!$V$18-WeightSDS!$U$18)/24*($AM464-186)-0.005)))</f>
        <v>0.14604529399999999</v>
      </c>
      <c r="AT464" s="4">
        <f t="shared" si="154"/>
        <v>0.56299999999999994</v>
      </c>
      <c r="AU464" s="4">
        <f t="shared" si="155"/>
        <v>69</v>
      </c>
      <c r="AV464" s="4">
        <f t="shared" si="156"/>
        <v>0.51</v>
      </c>
    </row>
    <row r="465" spans="1:48" x14ac:dyDescent="0.15">
      <c r="A465" s="4"/>
      <c r="B465" s="21"/>
      <c r="C465" s="21"/>
      <c r="D465" s="21"/>
      <c r="E465" s="22"/>
      <c r="F465" s="22"/>
      <c r="G465" s="23"/>
      <c r="H465" s="23"/>
      <c r="I465" s="181"/>
      <c r="J465" s="8" t="str">
        <f t="shared" si="148"/>
        <v/>
      </c>
      <c r="K465" s="2" t="str">
        <f t="shared" si="157"/>
        <v/>
      </c>
      <c r="L465" s="2" t="str">
        <f t="shared" si="149"/>
        <v/>
      </c>
      <c r="M465" s="2" t="str">
        <f t="shared" si="158"/>
        <v/>
      </c>
      <c r="N465" s="2" t="str">
        <f t="shared" si="166"/>
        <v/>
      </c>
      <c r="O465" s="2" t="str">
        <f t="shared" si="159"/>
        <v/>
      </c>
      <c r="P465" s="8" t="str">
        <f t="shared" si="160"/>
        <v/>
      </c>
      <c r="Q465" s="8" t="str">
        <f t="shared" si="161"/>
        <v/>
      </c>
      <c r="R465" s="111" t="str">
        <f t="shared" si="162"/>
        <v/>
      </c>
      <c r="S465" s="44" t="str">
        <f t="shared" si="163"/>
        <v/>
      </c>
      <c r="T465" s="37" t="str">
        <f t="shared" si="164"/>
        <v/>
      </c>
      <c r="U465" s="44" t="str">
        <f t="shared" si="165"/>
        <v/>
      </c>
      <c r="V465" s="26"/>
      <c r="W465" s="26"/>
      <c r="X465" s="26"/>
      <c r="Y465" s="26"/>
      <c r="Z465" s="24"/>
      <c r="AA465" s="169">
        <f t="shared" si="150"/>
        <v>0</v>
      </c>
      <c r="AB465" s="4">
        <f t="shared" si="151"/>
        <v>0</v>
      </c>
      <c r="AC465" s="170">
        <f t="shared" si="147"/>
        <v>0</v>
      </c>
      <c r="AD465" s="58"/>
      <c r="AE465" s="58"/>
      <c r="AF465" s="58"/>
      <c r="AG465" s="59">
        <f t="shared" si="152"/>
        <v>9.0359999999999996</v>
      </c>
      <c r="AH465" s="59">
        <f t="shared" si="153"/>
        <v>-184.49199999999999</v>
      </c>
      <c r="AJ465" s="4">
        <f>IF(D465="M",IF(AM465&lt;78,BMILMS!$D$5*AM465^3+BMILMS!$E$5*AM465^2+BMILMS!$F$5*AM465+BMILMS!$G$5,IF(AM465&lt;150,BMILMS!$D$6*AM465^3+BMILMS!$E$6*AM465^2+BMILMS!$F$6*AM465+BMILMS!$G$6,BMILMS!$D$7*AM465^3+BMILMS!$E$7*AM465^2+BMILMS!$F$7*AM465+BMILMS!$G$7)),IF(AM465&lt;69,BMILMS!$D$9*AM465^3+BMILMS!$E$9*AM465^2+BMILMS!$F$9*AM465+BMILMS!$G$9,IF(AM465&lt;150,BMILMS!$D$10*AM465^3+BMILMS!$E$10*AM465^2+BMILMS!$F$10*AM465+BMILMS!$G$10,BMILMS!$D$11*AM465^3+BMILMS!$E$11*AM465^2+BMILMS!$F$11*AM465+BMILMS!$G$11)))</f>
        <v>0.79584630099999998</v>
      </c>
      <c r="AK465" s="4">
        <f>IF(D465="M",(IF(AM465&lt;2.5,BMILMS!$D$21*AM465^3+BMILMS!$E$21*AM465^2+BMILMS!$F$21*AM465+BMILMS!$G$21,IF(AM465&lt;9.5,BMILMS!$D$22*AM465^3+BMILMS!$E$22*AM465^2+BMILMS!$F$22*AM465+BMILMS!$G$22,IF(AM465&lt;26.75,BMILMS!$D$23*AM465^3+BMILMS!$E$23*AM465^2+BMILMS!$F$23*AM465+BMILMS!$G$23,IF(AM465&lt;90,BMILMS!$D$24*AM465^3+BMILMS!$E$24*AM465^2+BMILMS!$F$24*AM465+BMILMS!$G$24,BMILMS!$D$25*AM465^3+BMILMS!$E$25*AM465^2+BMILMS!$F$25*AM465+BMILMS!$G$25))))),(IF(AM465&lt;2.5,BMILMS!$D$27*AM465^3+BMILMS!$E$27*AM465^2+BMILMS!$F$27*AM465+BMILMS!$G$27,IF(AM465&lt;9.5,BMILMS!$D$28*AM465^3+BMILMS!$E$28*AM465^2+BMILMS!$F$28*AM465+BMILMS!$G$28,IF(AM465&lt;26.75,BMILMS!$D$29*AM465^3+BMILMS!$E$29*AM465^2+BMILMS!$F$29*AM465+BMILMS!$G$29,IF(AM465&lt;90,BMILMS!$D$30*AM465^3+BMILMS!$E$30*AM465^2+BMILMS!$F$30*AM465+BMILMS!$G$30,IF(AM465&lt;150,BMILMS!$D$31*AM465^3+BMILMS!$E$31*AM465^2+BMILMS!$F$31*AM465+BMILMS!$G$31,BMILMS!$D$32*AM465^3+BMILMS!$E$32*AM465^2+BMILMS!$F$32*AM465+BMILMS!$G$32)))))))</f>
        <v>12.568967990000001</v>
      </c>
      <c r="AL465" s="4">
        <f>IF(D465="M",(IF(AM465&lt;90,BMILMS!$D$14*AM465^3+BMILMS!$E$14*AM465^2+BMILMS!$F$14*AM465+BMILMS!$G$14,BMILMS!$D$15*AM465^3+BMILMS!$E$15*AM465^2+BMILMS!$F$15*AM465+BMILMS!$G$15)),(IF(AM465&lt;90,BMILMS!$D$17*AM465^3+BMILMS!$E$17*AM465^2+BMILMS!$F$17*AM465+BMILMS!$G$17,BMILMS!$D$18*AM465^3+BMILMS!$E$18*AM465^2+BMILMS!$F$18*AM465+BMILMS!$G$18)))</f>
        <v>8.8969350000000003E-2</v>
      </c>
      <c r="AM465" s="4">
        <f t="shared" si="167"/>
        <v>0</v>
      </c>
      <c r="AO465" s="56">
        <f>IF(D465="M",WeightSDS!P$5*$AM465^7+WeightSDS!Q$5*$AM465^6+WeightSDS!R$5*$AM465^5+WeightSDS!S$5*$AM465^4+WeightSDS!T$5*$AM465^3+WeightSDS!U$5*$AM465^2+WeightSDS!V$5*$AM465+WeightSDS!W$5,IF($AM465&lt;186,WeightSDS!P$8*$AM465^7+WeightSDS!Q$8*$AM465^6+WeightSDS!R$8*$AM465^5+WeightSDS!S$8*$AM465^4+WeightSDS!T$8*$AM465^3+WeightSDS!U$8*$AM465^2+WeightSDS!V$8*$AM465+WeightSDS!W$8,WeightSDS!$U$9+WeightSDS!$V$9*($AM465-WeightSDS!$W$9)))</f>
        <v>0.75407122999999998</v>
      </c>
      <c r="AP465" s="4">
        <f>IF(D465="M",IF($AM465&lt;45,WeightSDS!M$23*$AM465^10+WeightSDS!N$23*$AM465^9+WeightSDS!O$23*$AM465^8+WeightSDS!P$23*$AM465^7+WeightSDS!Q$23*$AM465^6+WeightSDS!R$23*$AM465^5+WeightSDS!S$23*$AM465^4+WeightSDS!T$23*$AM465^3+WeightSDS!U$23*$AM465^2+WeightSDS!V$23*$AM465+WeightSDS!W$23,IF($AM465&lt;153,WeightSDS!M$25*$AM465^10+WeightSDS!N$25*$AM465^9+WeightSDS!O$25*$AM465^8+WeightSDS!P$25*$AM465^7+WeightSDS!Q$25*$AM465^6+WeightSDS!R$25*$AM465^5+WeightSDS!S$25*$AM465^4+WeightSDS!T$25*$AM465^3+WeightSDS!U$25*$AM465^2+WeightSDS!V$25*$AM465+WeightSDS!W$25,WeightSDS!M$27+WeightSDS!N$27/(1+EXP(WeightSDS!O$27+WeightSDS!P$27*$AM465)))),IF($AM465&lt;43.8,WeightSDS!M$29*$AM465^10+WeightSDS!N$29*$AM465^9+WeightSDS!O$29*$AM465^8+WeightSDS!P$29*$AM465^7+WeightSDS!Q$29*$AM465^6+WeightSDS!R$29*$AM465^5+WeightSDS!S$29*$AM465^4+WeightSDS!T$29*$AM465^3+WeightSDS!U$29*$AM465^2+WeightSDS!V$29*$AM465+WeightSDS!W$29-0.010431*(1-$AM465/210),IF($AM465&lt;123,WeightSDS!M$30*$AM465^10+WeightSDS!N$30*$AM465^9+WeightSDS!O$30*$AM465^8+WeightSDS!P$30*$AM465^7+WeightSDS!Q$30*$AM465^6+WeightSDS!R$30*$AM465^5+WeightSDS!S$30*$AM465^4+WeightSDS!T$30*$AM465^3+WeightSDS!U$30*$AM465^2+WeightSDS!V$30*$AM465+WeightSDS!W$30-0.010431*(1-1/$AM465),WeightSDS!M$32+WeightSDS!N$32/(1+EXP(WeightSDS!O$32+WeightSDS!P$32*$AM465))-0.010431*(1-$AM465/210))))</f>
        <v>2.9500001032655536</v>
      </c>
      <c r="AQ465" s="4">
        <f>IF(D465="M",IF($AM465&lt;162,WeightSDS!P$12*$AM465^7+WeightSDS!Q$12*$AM465^6+WeightSDS!R$12*$AM465^5+WeightSDS!S$12*$AM465^4+WeightSDS!T$12*$AM465^3+WeightSDS!U$12*$AM465^2+WeightSDS!V$12*$AM465+WeightSDS!W$12,WeightSDS!P$14*$AM465^7+WeightSDS!Q$14*$AM465^6+WeightSDS!R$14*$AM465^5+WeightSDS!S$14*$AM465^4+WeightSDS!T$14*$AM465^3+WeightSDS!U$14*$AM465^2+WeightSDS!V$14*$AM465+WeightSDS!W$14),IF($AM465&lt;156,WeightSDS!O$17*$AM465^8+WeightSDS!P$17*$AM465^7+WeightSDS!Q$17*$AM465^6+WeightSDS!R$17*$AM465^5+WeightSDS!S$17*$AM465^4+WeightSDS!T$17*$AM465^3+WeightSDS!U$17*$AM465^2+WeightSDS!V$17*$AM465+WeightSDS!W$17,IF($AM465&lt;186,WeightSDS!$U$18+(WeightSDS!$V$18-WeightSDS!$U$18)/24*($AM465-186)+WeightSDS!$W$18*(-$AM465+186)^2-0.005,WeightSDS!$U$18+(WeightSDS!$V$18-WeightSDS!$U$18)/24*($AM465-186)-0.005)))</f>
        <v>0.14604529399999999</v>
      </c>
      <c r="AT465" s="4">
        <f t="shared" si="154"/>
        <v>0.56299999999999994</v>
      </c>
      <c r="AU465" s="4">
        <f t="shared" si="155"/>
        <v>69</v>
      </c>
      <c r="AV465" s="4">
        <f t="shared" si="156"/>
        <v>0.51</v>
      </c>
    </row>
    <row r="466" spans="1:48" x14ac:dyDescent="0.15">
      <c r="A466" s="4"/>
      <c r="B466" s="21"/>
      <c r="C466" s="21"/>
      <c r="D466" s="21"/>
      <c r="E466" s="22"/>
      <c r="F466" s="22"/>
      <c r="G466" s="23"/>
      <c r="H466" s="23"/>
      <c r="I466" s="181"/>
      <c r="J466" s="8" t="str">
        <f t="shared" si="148"/>
        <v/>
      </c>
      <c r="K466" s="2" t="str">
        <f t="shared" si="157"/>
        <v/>
      </c>
      <c r="L466" s="2" t="str">
        <f t="shared" si="149"/>
        <v/>
      </c>
      <c r="M466" s="2" t="str">
        <f t="shared" si="158"/>
        <v/>
      </c>
      <c r="N466" s="2" t="str">
        <f t="shared" si="166"/>
        <v/>
      </c>
      <c r="O466" s="2" t="str">
        <f t="shared" si="159"/>
        <v/>
      </c>
      <c r="P466" s="8" t="str">
        <f t="shared" si="160"/>
        <v/>
      </c>
      <c r="Q466" s="8" t="str">
        <f t="shared" si="161"/>
        <v/>
      </c>
      <c r="R466" s="111" t="str">
        <f t="shared" si="162"/>
        <v/>
      </c>
      <c r="S466" s="44" t="str">
        <f t="shared" si="163"/>
        <v/>
      </c>
      <c r="T466" s="37" t="str">
        <f t="shared" si="164"/>
        <v/>
      </c>
      <c r="U466" s="44" t="str">
        <f t="shared" si="165"/>
        <v/>
      </c>
      <c r="V466" s="26"/>
      <c r="W466" s="26"/>
      <c r="X466" s="26"/>
      <c r="Y466" s="26"/>
      <c r="Z466" s="24"/>
      <c r="AA466" s="169">
        <f t="shared" si="150"/>
        <v>0</v>
      </c>
      <c r="AB466" s="4">
        <f t="shared" si="151"/>
        <v>0</v>
      </c>
      <c r="AC466" s="170">
        <f t="shared" si="147"/>
        <v>0</v>
      </c>
      <c r="AD466" s="58"/>
      <c r="AE466" s="58"/>
      <c r="AF466" s="58"/>
      <c r="AG466" s="59">
        <f t="shared" si="152"/>
        <v>9.0359999999999996</v>
      </c>
      <c r="AH466" s="59">
        <f t="shared" si="153"/>
        <v>-184.49199999999999</v>
      </c>
      <c r="AJ466" s="4">
        <f>IF(D466="M",IF(AM466&lt;78,BMILMS!$D$5*AM466^3+BMILMS!$E$5*AM466^2+BMILMS!$F$5*AM466+BMILMS!$G$5,IF(AM466&lt;150,BMILMS!$D$6*AM466^3+BMILMS!$E$6*AM466^2+BMILMS!$F$6*AM466+BMILMS!$G$6,BMILMS!$D$7*AM466^3+BMILMS!$E$7*AM466^2+BMILMS!$F$7*AM466+BMILMS!$G$7)),IF(AM466&lt;69,BMILMS!$D$9*AM466^3+BMILMS!$E$9*AM466^2+BMILMS!$F$9*AM466+BMILMS!$G$9,IF(AM466&lt;150,BMILMS!$D$10*AM466^3+BMILMS!$E$10*AM466^2+BMILMS!$F$10*AM466+BMILMS!$G$10,BMILMS!$D$11*AM466^3+BMILMS!$E$11*AM466^2+BMILMS!$F$11*AM466+BMILMS!$G$11)))</f>
        <v>0.79584630099999998</v>
      </c>
      <c r="AK466" s="4">
        <f>IF(D466="M",(IF(AM466&lt;2.5,BMILMS!$D$21*AM466^3+BMILMS!$E$21*AM466^2+BMILMS!$F$21*AM466+BMILMS!$G$21,IF(AM466&lt;9.5,BMILMS!$D$22*AM466^3+BMILMS!$E$22*AM466^2+BMILMS!$F$22*AM466+BMILMS!$G$22,IF(AM466&lt;26.75,BMILMS!$D$23*AM466^3+BMILMS!$E$23*AM466^2+BMILMS!$F$23*AM466+BMILMS!$G$23,IF(AM466&lt;90,BMILMS!$D$24*AM466^3+BMILMS!$E$24*AM466^2+BMILMS!$F$24*AM466+BMILMS!$G$24,BMILMS!$D$25*AM466^3+BMILMS!$E$25*AM466^2+BMILMS!$F$25*AM466+BMILMS!$G$25))))),(IF(AM466&lt;2.5,BMILMS!$D$27*AM466^3+BMILMS!$E$27*AM466^2+BMILMS!$F$27*AM466+BMILMS!$G$27,IF(AM466&lt;9.5,BMILMS!$D$28*AM466^3+BMILMS!$E$28*AM466^2+BMILMS!$F$28*AM466+BMILMS!$G$28,IF(AM466&lt;26.75,BMILMS!$D$29*AM466^3+BMILMS!$E$29*AM466^2+BMILMS!$F$29*AM466+BMILMS!$G$29,IF(AM466&lt;90,BMILMS!$D$30*AM466^3+BMILMS!$E$30*AM466^2+BMILMS!$F$30*AM466+BMILMS!$G$30,IF(AM466&lt;150,BMILMS!$D$31*AM466^3+BMILMS!$E$31*AM466^2+BMILMS!$F$31*AM466+BMILMS!$G$31,BMILMS!$D$32*AM466^3+BMILMS!$E$32*AM466^2+BMILMS!$F$32*AM466+BMILMS!$G$32)))))))</f>
        <v>12.568967990000001</v>
      </c>
      <c r="AL466" s="4">
        <f>IF(D466="M",(IF(AM466&lt;90,BMILMS!$D$14*AM466^3+BMILMS!$E$14*AM466^2+BMILMS!$F$14*AM466+BMILMS!$G$14,BMILMS!$D$15*AM466^3+BMILMS!$E$15*AM466^2+BMILMS!$F$15*AM466+BMILMS!$G$15)),(IF(AM466&lt;90,BMILMS!$D$17*AM466^3+BMILMS!$E$17*AM466^2+BMILMS!$F$17*AM466+BMILMS!$G$17,BMILMS!$D$18*AM466^3+BMILMS!$E$18*AM466^2+BMILMS!$F$18*AM466+BMILMS!$G$18)))</f>
        <v>8.8969350000000003E-2</v>
      </c>
      <c r="AM466" s="4">
        <f t="shared" si="167"/>
        <v>0</v>
      </c>
      <c r="AO466" s="56">
        <f>IF(D466="M",WeightSDS!P$5*$AM466^7+WeightSDS!Q$5*$AM466^6+WeightSDS!R$5*$AM466^5+WeightSDS!S$5*$AM466^4+WeightSDS!T$5*$AM466^3+WeightSDS!U$5*$AM466^2+WeightSDS!V$5*$AM466+WeightSDS!W$5,IF($AM466&lt;186,WeightSDS!P$8*$AM466^7+WeightSDS!Q$8*$AM466^6+WeightSDS!R$8*$AM466^5+WeightSDS!S$8*$AM466^4+WeightSDS!T$8*$AM466^3+WeightSDS!U$8*$AM466^2+WeightSDS!V$8*$AM466+WeightSDS!W$8,WeightSDS!$U$9+WeightSDS!$V$9*($AM466-WeightSDS!$W$9)))</f>
        <v>0.75407122999999998</v>
      </c>
      <c r="AP466" s="4">
        <f>IF(D466="M",IF($AM466&lt;45,WeightSDS!M$23*$AM466^10+WeightSDS!N$23*$AM466^9+WeightSDS!O$23*$AM466^8+WeightSDS!P$23*$AM466^7+WeightSDS!Q$23*$AM466^6+WeightSDS!R$23*$AM466^5+WeightSDS!S$23*$AM466^4+WeightSDS!T$23*$AM466^3+WeightSDS!U$23*$AM466^2+WeightSDS!V$23*$AM466+WeightSDS!W$23,IF($AM466&lt;153,WeightSDS!M$25*$AM466^10+WeightSDS!N$25*$AM466^9+WeightSDS!O$25*$AM466^8+WeightSDS!P$25*$AM466^7+WeightSDS!Q$25*$AM466^6+WeightSDS!R$25*$AM466^5+WeightSDS!S$25*$AM466^4+WeightSDS!T$25*$AM466^3+WeightSDS!U$25*$AM466^2+WeightSDS!V$25*$AM466+WeightSDS!W$25,WeightSDS!M$27+WeightSDS!N$27/(1+EXP(WeightSDS!O$27+WeightSDS!P$27*$AM466)))),IF($AM466&lt;43.8,WeightSDS!M$29*$AM466^10+WeightSDS!N$29*$AM466^9+WeightSDS!O$29*$AM466^8+WeightSDS!P$29*$AM466^7+WeightSDS!Q$29*$AM466^6+WeightSDS!R$29*$AM466^5+WeightSDS!S$29*$AM466^4+WeightSDS!T$29*$AM466^3+WeightSDS!U$29*$AM466^2+WeightSDS!V$29*$AM466+WeightSDS!W$29-0.010431*(1-$AM466/210),IF($AM466&lt;123,WeightSDS!M$30*$AM466^10+WeightSDS!N$30*$AM466^9+WeightSDS!O$30*$AM466^8+WeightSDS!P$30*$AM466^7+WeightSDS!Q$30*$AM466^6+WeightSDS!R$30*$AM466^5+WeightSDS!S$30*$AM466^4+WeightSDS!T$30*$AM466^3+WeightSDS!U$30*$AM466^2+WeightSDS!V$30*$AM466+WeightSDS!W$30-0.010431*(1-1/$AM466),WeightSDS!M$32+WeightSDS!N$32/(1+EXP(WeightSDS!O$32+WeightSDS!P$32*$AM466))-0.010431*(1-$AM466/210))))</f>
        <v>2.9500001032655536</v>
      </c>
      <c r="AQ466" s="4">
        <f>IF(D466="M",IF($AM466&lt;162,WeightSDS!P$12*$AM466^7+WeightSDS!Q$12*$AM466^6+WeightSDS!R$12*$AM466^5+WeightSDS!S$12*$AM466^4+WeightSDS!T$12*$AM466^3+WeightSDS!U$12*$AM466^2+WeightSDS!V$12*$AM466+WeightSDS!W$12,WeightSDS!P$14*$AM466^7+WeightSDS!Q$14*$AM466^6+WeightSDS!R$14*$AM466^5+WeightSDS!S$14*$AM466^4+WeightSDS!T$14*$AM466^3+WeightSDS!U$14*$AM466^2+WeightSDS!V$14*$AM466+WeightSDS!W$14),IF($AM466&lt;156,WeightSDS!O$17*$AM466^8+WeightSDS!P$17*$AM466^7+WeightSDS!Q$17*$AM466^6+WeightSDS!R$17*$AM466^5+WeightSDS!S$17*$AM466^4+WeightSDS!T$17*$AM466^3+WeightSDS!U$17*$AM466^2+WeightSDS!V$17*$AM466+WeightSDS!W$17,IF($AM466&lt;186,WeightSDS!$U$18+(WeightSDS!$V$18-WeightSDS!$U$18)/24*($AM466-186)+WeightSDS!$W$18*(-$AM466+186)^2-0.005,WeightSDS!$U$18+(WeightSDS!$V$18-WeightSDS!$U$18)/24*($AM466-186)-0.005)))</f>
        <v>0.14604529399999999</v>
      </c>
      <c r="AT466" s="4">
        <f t="shared" si="154"/>
        <v>0.56299999999999994</v>
      </c>
      <c r="AU466" s="4">
        <f t="shared" si="155"/>
        <v>69</v>
      </c>
      <c r="AV466" s="4">
        <f t="shared" si="156"/>
        <v>0.51</v>
      </c>
    </row>
    <row r="467" spans="1:48" x14ac:dyDescent="0.15">
      <c r="A467" s="4"/>
      <c r="B467" s="21"/>
      <c r="C467" s="21"/>
      <c r="D467" s="21"/>
      <c r="E467" s="22"/>
      <c r="F467" s="22"/>
      <c r="G467" s="23"/>
      <c r="H467" s="23"/>
      <c r="I467" s="181"/>
      <c r="J467" s="8" t="str">
        <f t="shared" si="148"/>
        <v/>
      </c>
      <c r="K467" s="2" t="str">
        <f t="shared" si="157"/>
        <v/>
      </c>
      <c r="L467" s="2" t="str">
        <f t="shared" si="149"/>
        <v/>
      </c>
      <c r="M467" s="2" t="str">
        <f t="shared" si="158"/>
        <v/>
      </c>
      <c r="N467" s="2" t="str">
        <f t="shared" si="166"/>
        <v/>
      </c>
      <c r="O467" s="2" t="str">
        <f t="shared" si="159"/>
        <v/>
      </c>
      <c r="P467" s="8" t="str">
        <f t="shared" si="160"/>
        <v/>
      </c>
      <c r="Q467" s="8" t="str">
        <f t="shared" si="161"/>
        <v/>
      </c>
      <c r="R467" s="111" t="str">
        <f t="shared" si="162"/>
        <v/>
      </c>
      <c r="S467" s="44" t="str">
        <f t="shared" si="163"/>
        <v/>
      </c>
      <c r="T467" s="37" t="str">
        <f t="shared" si="164"/>
        <v/>
      </c>
      <c r="U467" s="44" t="str">
        <f t="shared" si="165"/>
        <v/>
      </c>
      <c r="V467" s="26"/>
      <c r="W467" s="26"/>
      <c r="X467" s="26"/>
      <c r="Y467" s="26"/>
      <c r="Z467" s="24"/>
      <c r="AA467" s="169">
        <f t="shared" si="150"/>
        <v>0</v>
      </c>
      <c r="AB467" s="4">
        <f t="shared" si="151"/>
        <v>0</v>
      </c>
      <c r="AC467" s="170">
        <f t="shared" si="147"/>
        <v>0</v>
      </c>
      <c r="AD467" s="58"/>
      <c r="AE467" s="58"/>
      <c r="AF467" s="58"/>
      <c r="AG467" s="59">
        <f t="shared" si="152"/>
        <v>9.0359999999999996</v>
      </c>
      <c r="AH467" s="59">
        <f t="shared" si="153"/>
        <v>-184.49199999999999</v>
      </c>
      <c r="AJ467" s="4">
        <f>IF(D467="M",IF(AM467&lt;78,BMILMS!$D$5*AM467^3+BMILMS!$E$5*AM467^2+BMILMS!$F$5*AM467+BMILMS!$G$5,IF(AM467&lt;150,BMILMS!$D$6*AM467^3+BMILMS!$E$6*AM467^2+BMILMS!$F$6*AM467+BMILMS!$G$6,BMILMS!$D$7*AM467^3+BMILMS!$E$7*AM467^2+BMILMS!$F$7*AM467+BMILMS!$G$7)),IF(AM467&lt;69,BMILMS!$D$9*AM467^3+BMILMS!$E$9*AM467^2+BMILMS!$F$9*AM467+BMILMS!$G$9,IF(AM467&lt;150,BMILMS!$D$10*AM467^3+BMILMS!$E$10*AM467^2+BMILMS!$F$10*AM467+BMILMS!$G$10,BMILMS!$D$11*AM467^3+BMILMS!$E$11*AM467^2+BMILMS!$F$11*AM467+BMILMS!$G$11)))</f>
        <v>0.79584630099999998</v>
      </c>
      <c r="AK467" s="4">
        <f>IF(D467="M",(IF(AM467&lt;2.5,BMILMS!$D$21*AM467^3+BMILMS!$E$21*AM467^2+BMILMS!$F$21*AM467+BMILMS!$G$21,IF(AM467&lt;9.5,BMILMS!$D$22*AM467^3+BMILMS!$E$22*AM467^2+BMILMS!$F$22*AM467+BMILMS!$G$22,IF(AM467&lt;26.75,BMILMS!$D$23*AM467^3+BMILMS!$E$23*AM467^2+BMILMS!$F$23*AM467+BMILMS!$G$23,IF(AM467&lt;90,BMILMS!$D$24*AM467^3+BMILMS!$E$24*AM467^2+BMILMS!$F$24*AM467+BMILMS!$G$24,BMILMS!$D$25*AM467^3+BMILMS!$E$25*AM467^2+BMILMS!$F$25*AM467+BMILMS!$G$25))))),(IF(AM467&lt;2.5,BMILMS!$D$27*AM467^3+BMILMS!$E$27*AM467^2+BMILMS!$F$27*AM467+BMILMS!$G$27,IF(AM467&lt;9.5,BMILMS!$D$28*AM467^3+BMILMS!$E$28*AM467^2+BMILMS!$F$28*AM467+BMILMS!$G$28,IF(AM467&lt;26.75,BMILMS!$D$29*AM467^3+BMILMS!$E$29*AM467^2+BMILMS!$F$29*AM467+BMILMS!$G$29,IF(AM467&lt;90,BMILMS!$D$30*AM467^3+BMILMS!$E$30*AM467^2+BMILMS!$F$30*AM467+BMILMS!$G$30,IF(AM467&lt;150,BMILMS!$D$31*AM467^3+BMILMS!$E$31*AM467^2+BMILMS!$F$31*AM467+BMILMS!$G$31,BMILMS!$D$32*AM467^3+BMILMS!$E$32*AM467^2+BMILMS!$F$32*AM467+BMILMS!$G$32)))))))</f>
        <v>12.568967990000001</v>
      </c>
      <c r="AL467" s="4">
        <f>IF(D467="M",(IF(AM467&lt;90,BMILMS!$D$14*AM467^3+BMILMS!$E$14*AM467^2+BMILMS!$F$14*AM467+BMILMS!$G$14,BMILMS!$D$15*AM467^3+BMILMS!$E$15*AM467^2+BMILMS!$F$15*AM467+BMILMS!$G$15)),(IF(AM467&lt;90,BMILMS!$D$17*AM467^3+BMILMS!$E$17*AM467^2+BMILMS!$F$17*AM467+BMILMS!$G$17,BMILMS!$D$18*AM467^3+BMILMS!$E$18*AM467^2+BMILMS!$F$18*AM467+BMILMS!$G$18)))</f>
        <v>8.8969350000000003E-2</v>
      </c>
      <c r="AM467" s="4">
        <f t="shared" si="167"/>
        <v>0</v>
      </c>
      <c r="AO467" s="56">
        <f>IF(D467="M",WeightSDS!P$5*$AM467^7+WeightSDS!Q$5*$AM467^6+WeightSDS!R$5*$AM467^5+WeightSDS!S$5*$AM467^4+WeightSDS!T$5*$AM467^3+WeightSDS!U$5*$AM467^2+WeightSDS!V$5*$AM467+WeightSDS!W$5,IF($AM467&lt;186,WeightSDS!P$8*$AM467^7+WeightSDS!Q$8*$AM467^6+WeightSDS!R$8*$AM467^5+WeightSDS!S$8*$AM467^4+WeightSDS!T$8*$AM467^3+WeightSDS!U$8*$AM467^2+WeightSDS!V$8*$AM467+WeightSDS!W$8,WeightSDS!$U$9+WeightSDS!$V$9*($AM467-WeightSDS!$W$9)))</f>
        <v>0.75407122999999998</v>
      </c>
      <c r="AP467" s="4">
        <f>IF(D467="M",IF($AM467&lt;45,WeightSDS!M$23*$AM467^10+WeightSDS!N$23*$AM467^9+WeightSDS!O$23*$AM467^8+WeightSDS!P$23*$AM467^7+WeightSDS!Q$23*$AM467^6+WeightSDS!R$23*$AM467^5+WeightSDS!S$23*$AM467^4+WeightSDS!T$23*$AM467^3+WeightSDS!U$23*$AM467^2+WeightSDS!V$23*$AM467+WeightSDS!W$23,IF($AM467&lt;153,WeightSDS!M$25*$AM467^10+WeightSDS!N$25*$AM467^9+WeightSDS!O$25*$AM467^8+WeightSDS!P$25*$AM467^7+WeightSDS!Q$25*$AM467^6+WeightSDS!R$25*$AM467^5+WeightSDS!S$25*$AM467^4+WeightSDS!T$25*$AM467^3+WeightSDS!U$25*$AM467^2+WeightSDS!V$25*$AM467+WeightSDS!W$25,WeightSDS!M$27+WeightSDS!N$27/(1+EXP(WeightSDS!O$27+WeightSDS!P$27*$AM467)))),IF($AM467&lt;43.8,WeightSDS!M$29*$AM467^10+WeightSDS!N$29*$AM467^9+WeightSDS!O$29*$AM467^8+WeightSDS!P$29*$AM467^7+WeightSDS!Q$29*$AM467^6+WeightSDS!R$29*$AM467^5+WeightSDS!S$29*$AM467^4+WeightSDS!T$29*$AM467^3+WeightSDS!U$29*$AM467^2+WeightSDS!V$29*$AM467+WeightSDS!W$29-0.010431*(1-$AM467/210),IF($AM467&lt;123,WeightSDS!M$30*$AM467^10+WeightSDS!N$30*$AM467^9+WeightSDS!O$30*$AM467^8+WeightSDS!P$30*$AM467^7+WeightSDS!Q$30*$AM467^6+WeightSDS!R$30*$AM467^5+WeightSDS!S$30*$AM467^4+WeightSDS!T$30*$AM467^3+WeightSDS!U$30*$AM467^2+WeightSDS!V$30*$AM467+WeightSDS!W$30-0.010431*(1-1/$AM467),WeightSDS!M$32+WeightSDS!N$32/(1+EXP(WeightSDS!O$32+WeightSDS!P$32*$AM467))-0.010431*(1-$AM467/210))))</f>
        <v>2.9500001032655536</v>
      </c>
      <c r="AQ467" s="4">
        <f>IF(D467="M",IF($AM467&lt;162,WeightSDS!P$12*$AM467^7+WeightSDS!Q$12*$AM467^6+WeightSDS!R$12*$AM467^5+WeightSDS!S$12*$AM467^4+WeightSDS!T$12*$AM467^3+WeightSDS!U$12*$AM467^2+WeightSDS!V$12*$AM467+WeightSDS!W$12,WeightSDS!P$14*$AM467^7+WeightSDS!Q$14*$AM467^6+WeightSDS!R$14*$AM467^5+WeightSDS!S$14*$AM467^4+WeightSDS!T$14*$AM467^3+WeightSDS!U$14*$AM467^2+WeightSDS!V$14*$AM467+WeightSDS!W$14),IF($AM467&lt;156,WeightSDS!O$17*$AM467^8+WeightSDS!P$17*$AM467^7+WeightSDS!Q$17*$AM467^6+WeightSDS!R$17*$AM467^5+WeightSDS!S$17*$AM467^4+WeightSDS!T$17*$AM467^3+WeightSDS!U$17*$AM467^2+WeightSDS!V$17*$AM467+WeightSDS!W$17,IF($AM467&lt;186,WeightSDS!$U$18+(WeightSDS!$V$18-WeightSDS!$U$18)/24*($AM467-186)+WeightSDS!$W$18*(-$AM467+186)^2-0.005,WeightSDS!$U$18+(WeightSDS!$V$18-WeightSDS!$U$18)/24*($AM467-186)-0.005)))</f>
        <v>0.14604529399999999</v>
      </c>
      <c r="AT467" s="4">
        <f t="shared" si="154"/>
        <v>0.56299999999999994</v>
      </c>
      <c r="AU467" s="4">
        <f t="shared" si="155"/>
        <v>69</v>
      </c>
      <c r="AV467" s="4">
        <f t="shared" si="156"/>
        <v>0.51</v>
      </c>
    </row>
    <row r="468" spans="1:48" x14ac:dyDescent="0.15">
      <c r="A468" s="4"/>
      <c r="B468" s="21"/>
      <c r="C468" s="21"/>
      <c r="D468" s="21"/>
      <c r="E468" s="22"/>
      <c r="F468" s="22"/>
      <c r="G468" s="23"/>
      <c r="H468" s="23"/>
      <c r="I468" s="181"/>
      <c r="J468" s="8" t="str">
        <f t="shared" si="148"/>
        <v/>
      </c>
      <c r="K468" s="2" t="str">
        <f t="shared" si="157"/>
        <v/>
      </c>
      <c r="L468" s="2" t="str">
        <f t="shared" si="149"/>
        <v/>
      </c>
      <c r="M468" s="2" t="str">
        <f t="shared" si="158"/>
        <v/>
      </c>
      <c r="N468" s="2" t="str">
        <f t="shared" si="166"/>
        <v/>
      </c>
      <c r="O468" s="2" t="str">
        <f t="shared" si="159"/>
        <v/>
      </c>
      <c r="P468" s="8" t="str">
        <f t="shared" si="160"/>
        <v/>
      </c>
      <c r="Q468" s="8" t="str">
        <f t="shared" si="161"/>
        <v/>
      </c>
      <c r="R468" s="111" t="str">
        <f t="shared" si="162"/>
        <v/>
      </c>
      <c r="S468" s="44" t="str">
        <f t="shared" si="163"/>
        <v/>
      </c>
      <c r="T468" s="37" t="str">
        <f t="shared" si="164"/>
        <v/>
      </c>
      <c r="U468" s="44" t="str">
        <f t="shared" si="165"/>
        <v/>
      </c>
      <c r="V468" s="26"/>
      <c r="W468" s="26"/>
      <c r="X468" s="26"/>
      <c r="Y468" s="26"/>
      <c r="Z468" s="24"/>
      <c r="AA468" s="169">
        <f t="shared" si="150"/>
        <v>0</v>
      </c>
      <c r="AB468" s="4">
        <f t="shared" si="151"/>
        <v>0</v>
      </c>
      <c r="AC468" s="170">
        <f t="shared" si="147"/>
        <v>0</v>
      </c>
      <c r="AD468" s="58"/>
      <c r="AE468" s="58"/>
      <c r="AF468" s="58"/>
      <c r="AG468" s="59">
        <f t="shared" si="152"/>
        <v>9.0359999999999996</v>
      </c>
      <c r="AH468" s="59">
        <f t="shared" si="153"/>
        <v>-184.49199999999999</v>
      </c>
      <c r="AJ468" s="4">
        <f>IF(D468="M",IF(AM468&lt;78,BMILMS!$D$5*AM468^3+BMILMS!$E$5*AM468^2+BMILMS!$F$5*AM468+BMILMS!$G$5,IF(AM468&lt;150,BMILMS!$D$6*AM468^3+BMILMS!$E$6*AM468^2+BMILMS!$F$6*AM468+BMILMS!$G$6,BMILMS!$D$7*AM468^3+BMILMS!$E$7*AM468^2+BMILMS!$F$7*AM468+BMILMS!$G$7)),IF(AM468&lt;69,BMILMS!$D$9*AM468^3+BMILMS!$E$9*AM468^2+BMILMS!$F$9*AM468+BMILMS!$G$9,IF(AM468&lt;150,BMILMS!$D$10*AM468^3+BMILMS!$E$10*AM468^2+BMILMS!$F$10*AM468+BMILMS!$G$10,BMILMS!$D$11*AM468^3+BMILMS!$E$11*AM468^2+BMILMS!$F$11*AM468+BMILMS!$G$11)))</f>
        <v>0.79584630099999998</v>
      </c>
      <c r="AK468" s="4">
        <f>IF(D468="M",(IF(AM468&lt;2.5,BMILMS!$D$21*AM468^3+BMILMS!$E$21*AM468^2+BMILMS!$F$21*AM468+BMILMS!$G$21,IF(AM468&lt;9.5,BMILMS!$D$22*AM468^3+BMILMS!$E$22*AM468^2+BMILMS!$F$22*AM468+BMILMS!$G$22,IF(AM468&lt;26.75,BMILMS!$D$23*AM468^3+BMILMS!$E$23*AM468^2+BMILMS!$F$23*AM468+BMILMS!$G$23,IF(AM468&lt;90,BMILMS!$D$24*AM468^3+BMILMS!$E$24*AM468^2+BMILMS!$F$24*AM468+BMILMS!$G$24,BMILMS!$D$25*AM468^3+BMILMS!$E$25*AM468^2+BMILMS!$F$25*AM468+BMILMS!$G$25))))),(IF(AM468&lt;2.5,BMILMS!$D$27*AM468^3+BMILMS!$E$27*AM468^2+BMILMS!$F$27*AM468+BMILMS!$G$27,IF(AM468&lt;9.5,BMILMS!$D$28*AM468^3+BMILMS!$E$28*AM468^2+BMILMS!$F$28*AM468+BMILMS!$G$28,IF(AM468&lt;26.75,BMILMS!$D$29*AM468^3+BMILMS!$E$29*AM468^2+BMILMS!$F$29*AM468+BMILMS!$G$29,IF(AM468&lt;90,BMILMS!$D$30*AM468^3+BMILMS!$E$30*AM468^2+BMILMS!$F$30*AM468+BMILMS!$G$30,IF(AM468&lt;150,BMILMS!$D$31*AM468^3+BMILMS!$E$31*AM468^2+BMILMS!$F$31*AM468+BMILMS!$G$31,BMILMS!$D$32*AM468^3+BMILMS!$E$32*AM468^2+BMILMS!$F$32*AM468+BMILMS!$G$32)))))))</f>
        <v>12.568967990000001</v>
      </c>
      <c r="AL468" s="4">
        <f>IF(D468="M",(IF(AM468&lt;90,BMILMS!$D$14*AM468^3+BMILMS!$E$14*AM468^2+BMILMS!$F$14*AM468+BMILMS!$G$14,BMILMS!$D$15*AM468^3+BMILMS!$E$15*AM468^2+BMILMS!$F$15*AM468+BMILMS!$G$15)),(IF(AM468&lt;90,BMILMS!$D$17*AM468^3+BMILMS!$E$17*AM468^2+BMILMS!$F$17*AM468+BMILMS!$G$17,BMILMS!$D$18*AM468^3+BMILMS!$E$18*AM468^2+BMILMS!$F$18*AM468+BMILMS!$G$18)))</f>
        <v>8.8969350000000003E-2</v>
      </c>
      <c r="AM468" s="4">
        <f t="shared" si="167"/>
        <v>0</v>
      </c>
      <c r="AO468" s="56">
        <f>IF(D468="M",WeightSDS!P$5*$AM468^7+WeightSDS!Q$5*$AM468^6+WeightSDS!R$5*$AM468^5+WeightSDS!S$5*$AM468^4+WeightSDS!T$5*$AM468^3+WeightSDS!U$5*$AM468^2+WeightSDS!V$5*$AM468+WeightSDS!W$5,IF($AM468&lt;186,WeightSDS!P$8*$AM468^7+WeightSDS!Q$8*$AM468^6+WeightSDS!R$8*$AM468^5+WeightSDS!S$8*$AM468^4+WeightSDS!T$8*$AM468^3+WeightSDS!U$8*$AM468^2+WeightSDS!V$8*$AM468+WeightSDS!W$8,WeightSDS!$U$9+WeightSDS!$V$9*($AM468-WeightSDS!$W$9)))</f>
        <v>0.75407122999999998</v>
      </c>
      <c r="AP468" s="4">
        <f>IF(D468="M",IF($AM468&lt;45,WeightSDS!M$23*$AM468^10+WeightSDS!N$23*$AM468^9+WeightSDS!O$23*$AM468^8+WeightSDS!P$23*$AM468^7+WeightSDS!Q$23*$AM468^6+WeightSDS!R$23*$AM468^5+WeightSDS!S$23*$AM468^4+WeightSDS!T$23*$AM468^3+WeightSDS!U$23*$AM468^2+WeightSDS!V$23*$AM468+WeightSDS!W$23,IF($AM468&lt;153,WeightSDS!M$25*$AM468^10+WeightSDS!N$25*$AM468^9+WeightSDS!O$25*$AM468^8+WeightSDS!P$25*$AM468^7+WeightSDS!Q$25*$AM468^6+WeightSDS!R$25*$AM468^5+WeightSDS!S$25*$AM468^4+WeightSDS!T$25*$AM468^3+WeightSDS!U$25*$AM468^2+WeightSDS!V$25*$AM468+WeightSDS!W$25,WeightSDS!M$27+WeightSDS!N$27/(1+EXP(WeightSDS!O$27+WeightSDS!P$27*$AM468)))),IF($AM468&lt;43.8,WeightSDS!M$29*$AM468^10+WeightSDS!N$29*$AM468^9+WeightSDS!O$29*$AM468^8+WeightSDS!P$29*$AM468^7+WeightSDS!Q$29*$AM468^6+WeightSDS!R$29*$AM468^5+WeightSDS!S$29*$AM468^4+WeightSDS!T$29*$AM468^3+WeightSDS!U$29*$AM468^2+WeightSDS!V$29*$AM468+WeightSDS!W$29-0.010431*(1-$AM468/210),IF($AM468&lt;123,WeightSDS!M$30*$AM468^10+WeightSDS!N$30*$AM468^9+WeightSDS!O$30*$AM468^8+WeightSDS!P$30*$AM468^7+WeightSDS!Q$30*$AM468^6+WeightSDS!R$30*$AM468^5+WeightSDS!S$30*$AM468^4+WeightSDS!T$30*$AM468^3+WeightSDS!U$30*$AM468^2+WeightSDS!V$30*$AM468+WeightSDS!W$30-0.010431*(1-1/$AM468),WeightSDS!M$32+WeightSDS!N$32/(1+EXP(WeightSDS!O$32+WeightSDS!P$32*$AM468))-0.010431*(1-$AM468/210))))</f>
        <v>2.9500001032655536</v>
      </c>
      <c r="AQ468" s="4">
        <f>IF(D468="M",IF($AM468&lt;162,WeightSDS!P$12*$AM468^7+WeightSDS!Q$12*$AM468^6+WeightSDS!R$12*$AM468^5+WeightSDS!S$12*$AM468^4+WeightSDS!T$12*$AM468^3+WeightSDS!U$12*$AM468^2+WeightSDS!V$12*$AM468+WeightSDS!W$12,WeightSDS!P$14*$AM468^7+WeightSDS!Q$14*$AM468^6+WeightSDS!R$14*$AM468^5+WeightSDS!S$14*$AM468^4+WeightSDS!T$14*$AM468^3+WeightSDS!U$14*$AM468^2+WeightSDS!V$14*$AM468+WeightSDS!W$14),IF($AM468&lt;156,WeightSDS!O$17*$AM468^8+WeightSDS!P$17*$AM468^7+WeightSDS!Q$17*$AM468^6+WeightSDS!R$17*$AM468^5+WeightSDS!S$17*$AM468^4+WeightSDS!T$17*$AM468^3+WeightSDS!U$17*$AM468^2+WeightSDS!V$17*$AM468+WeightSDS!W$17,IF($AM468&lt;186,WeightSDS!$U$18+(WeightSDS!$V$18-WeightSDS!$U$18)/24*($AM468-186)+WeightSDS!$W$18*(-$AM468+186)^2-0.005,WeightSDS!$U$18+(WeightSDS!$V$18-WeightSDS!$U$18)/24*($AM468-186)-0.005)))</f>
        <v>0.14604529399999999</v>
      </c>
      <c r="AT468" s="4">
        <f t="shared" si="154"/>
        <v>0.56299999999999994</v>
      </c>
      <c r="AU468" s="4">
        <f t="shared" si="155"/>
        <v>69</v>
      </c>
      <c r="AV468" s="4">
        <f t="shared" si="156"/>
        <v>0.51</v>
      </c>
    </row>
    <row r="469" spans="1:48" x14ac:dyDescent="0.15">
      <c r="A469" s="4"/>
      <c r="B469" s="21"/>
      <c r="C469" s="21"/>
      <c r="D469" s="21"/>
      <c r="E469" s="22"/>
      <c r="F469" s="22"/>
      <c r="G469" s="23"/>
      <c r="H469" s="23"/>
      <c r="I469" s="181"/>
      <c r="J469" s="8" t="str">
        <f t="shared" si="148"/>
        <v/>
      </c>
      <c r="K469" s="2" t="str">
        <f t="shared" si="157"/>
        <v/>
      </c>
      <c r="L469" s="2" t="str">
        <f t="shared" si="149"/>
        <v/>
      </c>
      <c r="M469" s="2" t="str">
        <f t="shared" si="158"/>
        <v/>
      </c>
      <c r="N469" s="2" t="str">
        <f t="shared" si="166"/>
        <v/>
      </c>
      <c r="O469" s="2" t="str">
        <f t="shared" si="159"/>
        <v/>
      </c>
      <c r="P469" s="8" t="str">
        <f t="shared" si="160"/>
        <v/>
      </c>
      <c r="Q469" s="8" t="str">
        <f t="shared" si="161"/>
        <v/>
      </c>
      <c r="R469" s="111" t="str">
        <f t="shared" si="162"/>
        <v/>
      </c>
      <c r="S469" s="44" t="str">
        <f t="shared" si="163"/>
        <v/>
      </c>
      <c r="T469" s="37" t="str">
        <f t="shared" si="164"/>
        <v/>
      </c>
      <c r="U469" s="44" t="str">
        <f t="shared" si="165"/>
        <v/>
      </c>
      <c r="V469" s="26"/>
      <c r="W469" s="26"/>
      <c r="X469" s="26"/>
      <c r="Y469" s="26"/>
      <c r="Z469" s="24"/>
      <c r="AA469" s="169">
        <f t="shared" si="150"/>
        <v>0</v>
      </c>
      <c r="AB469" s="4">
        <f t="shared" si="151"/>
        <v>0</v>
      </c>
      <c r="AC469" s="170">
        <f t="shared" si="147"/>
        <v>0</v>
      </c>
      <c r="AD469" s="58"/>
      <c r="AE469" s="58"/>
      <c r="AF469" s="58"/>
      <c r="AG469" s="59">
        <f t="shared" si="152"/>
        <v>9.0359999999999996</v>
      </c>
      <c r="AH469" s="59">
        <f t="shared" si="153"/>
        <v>-184.49199999999999</v>
      </c>
      <c r="AJ469" s="4">
        <f>IF(D469="M",IF(AM469&lt;78,BMILMS!$D$5*AM469^3+BMILMS!$E$5*AM469^2+BMILMS!$F$5*AM469+BMILMS!$G$5,IF(AM469&lt;150,BMILMS!$D$6*AM469^3+BMILMS!$E$6*AM469^2+BMILMS!$F$6*AM469+BMILMS!$G$6,BMILMS!$D$7*AM469^3+BMILMS!$E$7*AM469^2+BMILMS!$F$7*AM469+BMILMS!$G$7)),IF(AM469&lt;69,BMILMS!$D$9*AM469^3+BMILMS!$E$9*AM469^2+BMILMS!$F$9*AM469+BMILMS!$G$9,IF(AM469&lt;150,BMILMS!$D$10*AM469^3+BMILMS!$E$10*AM469^2+BMILMS!$F$10*AM469+BMILMS!$G$10,BMILMS!$D$11*AM469^3+BMILMS!$E$11*AM469^2+BMILMS!$F$11*AM469+BMILMS!$G$11)))</f>
        <v>0.79584630099999998</v>
      </c>
      <c r="AK469" s="4">
        <f>IF(D469="M",(IF(AM469&lt;2.5,BMILMS!$D$21*AM469^3+BMILMS!$E$21*AM469^2+BMILMS!$F$21*AM469+BMILMS!$G$21,IF(AM469&lt;9.5,BMILMS!$D$22*AM469^3+BMILMS!$E$22*AM469^2+BMILMS!$F$22*AM469+BMILMS!$G$22,IF(AM469&lt;26.75,BMILMS!$D$23*AM469^3+BMILMS!$E$23*AM469^2+BMILMS!$F$23*AM469+BMILMS!$G$23,IF(AM469&lt;90,BMILMS!$D$24*AM469^3+BMILMS!$E$24*AM469^2+BMILMS!$F$24*AM469+BMILMS!$G$24,BMILMS!$D$25*AM469^3+BMILMS!$E$25*AM469^2+BMILMS!$F$25*AM469+BMILMS!$G$25))))),(IF(AM469&lt;2.5,BMILMS!$D$27*AM469^3+BMILMS!$E$27*AM469^2+BMILMS!$F$27*AM469+BMILMS!$G$27,IF(AM469&lt;9.5,BMILMS!$D$28*AM469^3+BMILMS!$E$28*AM469^2+BMILMS!$F$28*AM469+BMILMS!$G$28,IF(AM469&lt;26.75,BMILMS!$D$29*AM469^3+BMILMS!$E$29*AM469^2+BMILMS!$F$29*AM469+BMILMS!$G$29,IF(AM469&lt;90,BMILMS!$D$30*AM469^3+BMILMS!$E$30*AM469^2+BMILMS!$F$30*AM469+BMILMS!$G$30,IF(AM469&lt;150,BMILMS!$D$31*AM469^3+BMILMS!$E$31*AM469^2+BMILMS!$F$31*AM469+BMILMS!$G$31,BMILMS!$D$32*AM469^3+BMILMS!$E$32*AM469^2+BMILMS!$F$32*AM469+BMILMS!$G$32)))))))</f>
        <v>12.568967990000001</v>
      </c>
      <c r="AL469" s="4">
        <f>IF(D469="M",(IF(AM469&lt;90,BMILMS!$D$14*AM469^3+BMILMS!$E$14*AM469^2+BMILMS!$F$14*AM469+BMILMS!$G$14,BMILMS!$D$15*AM469^3+BMILMS!$E$15*AM469^2+BMILMS!$F$15*AM469+BMILMS!$G$15)),(IF(AM469&lt;90,BMILMS!$D$17*AM469^3+BMILMS!$E$17*AM469^2+BMILMS!$F$17*AM469+BMILMS!$G$17,BMILMS!$D$18*AM469^3+BMILMS!$E$18*AM469^2+BMILMS!$F$18*AM469+BMILMS!$G$18)))</f>
        <v>8.8969350000000003E-2</v>
      </c>
      <c r="AM469" s="4">
        <f t="shared" si="167"/>
        <v>0</v>
      </c>
      <c r="AO469" s="56">
        <f>IF(D469="M",WeightSDS!P$5*$AM469^7+WeightSDS!Q$5*$AM469^6+WeightSDS!R$5*$AM469^5+WeightSDS!S$5*$AM469^4+WeightSDS!T$5*$AM469^3+WeightSDS!U$5*$AM469^2+WeightSDS!V$5*$AM469+WeightSDS!W$5,IF($AM469&lt;186,WeightSDS!P$8*$AM469^7+WeightSDS!Q$8*$AM469^6+WeightSDS!R$8*$AM469^5+WeightSDS!S$8*$AM469^4+WeightSDS!T$8*$AM469^3+WeightSDS!U$8*$AM469^2+WeightSDS!V$8*$AM469+WeightSDS!W$8,WeightSDS!$U$9+WeightSDS!$V$9*($AM469-WeightSDS!$W$9)))</f>
        <v>0.75407122999999998</v>
      </c>
      <c r="AP469" s="4">
        <f>IF(D469="M",IF($AM469&lt;45,WeightSDS!M$23*$AM469^10+WeightSDS!N$23*$AM469^9+WeightSDS!O$23*$AM469^8+WeightSDS!P$23*$AM469^7+WeightSDS!Q$23*$AM469^6+WeightSDS!R$23*$AM469^5+WeightSDS!S$23*$AM469^4+WeightSDS!T$23*$AM469^3+WeightSDS!U$23*$AM469^2+WeightSDS!V$23*$AM469+WeightSDS!W$23,IF($AM469&lt;153,WeightSDS!M$25*$AM469^10+WeightSDS!N$25*$AM469^9+WeightSDS!O$25*$AM469^8+WeightSDS!P$25*$AM469^7+WeightSDS!Q$25*$AM469^6+WeightSDS!R$25*$AM469^5+WeightSDS!S$25*$AM469^4+WeightSDS!T$25*$AM469^3+WeightSDS!U$25*$AM469^2+WeightSDS!V$25*$AM469+WeightSDS!W$25,WeightSDS!M$27+WeightSDS!N$27/(1+EXP(WeightSDS!O$27+WeightSDS!P$27*$AM469)))),IF($AM469&lt;43.8,WeightSDS!M$29*$AM469^10+WeightSDS!N$29*$AM469^9+WeightSDS!O$29*$AM469^8+WeightSDS!P$29*$AM469^7+WeightSDS!Q$29*$AM469^6+WeightSDS!R$29*$AM469^5+WeightSDS!S$29*$AM469^4+WeightSDS!T$29*$AM469^3+WeightSDS!U$29*$AM469^2+WeightSDS!V$29*$AM469+WeightSDS!W$29-0.010431*(1-$AM469/210),IF($AM469&lt;123,WeightSDS!M$30*$AM469^10+WeightSDS!N$30*$AM469^9+WeightSDS!O$30*$AM469^8+WeightSDS!P$30*$AM469^7+WeightSDS!Q$30*$AM469^6+WeightSDS!R$30*$AM469^5+WeightSDS!S$30*$AM469^4+WeightSDS!T$30*$AM469^3+WeightSDS!U$30*$AM469^2+WeightSDS!V$30*$AM469+WeightSDS!W$30-0.010431*(1-1/$AM469),WeightSDS!M$32+WeightSDS!N$32/(1+EXP(WeightSDS!O$32+WeightSDS!P$32*$AM469))-0.010431*(1-$AM469/210))))</f>
        <v>2.9500001032655536</v>
      </c>
      <c r="AQ469" s="4">
        <f>IF(D469="M",IF($AM469&lt;162,WeightSDS!P$12*$AM469^7+WeightSDS!Q$12*$AM469^6+WeightSDS!R$12*$AM469^5+WeightSDS!S$12*$AM469^4+WeightSDS!T$12*$AM469^3+WeightSDS!U$12*$AM469^2+WeightSDS!V$12*$AM469+WeightSDS!W$12,WeightSDS!P$14*$AM469^7+WeightSDS!Q$14*$AM469^6+WeightSDS!R$14*$AM469^5+WeightSDS!S$14*$AM469^4+WeightSDS!T$14*$AM469^3+WeightSDS!U$14*$AM469^2+WeightSDS!V$14*$AM469+WeightSDS!W$14),IF($AM469&lt;156,WeightSDS!O$17*$AM469^8+WeightSDS!P$17*$AM469^7+WeightSDS!Q$17*$AM469^6+WeightSDS!R$17*$AM469^5+WeightSDS!S$17*$AM469^4+WeightSDS!T$17*$AM469^3+WeightSDS!U$17*$AM469^2+WeightSDS!V$17*$AM469+WeightSDS!W$17,IF($AM469&lt;186,WeightSDS!$U$18+(WeightSDS!$V$18-WeightSDS!$U$18)/24*($AM469-186)+WeightSDS!$W$18*(-$AM469+186)^2-0.005,WeightSDS!$U$18+(WeightSDS!$V$18-WeightSDS!$U$18)/24*($AM469-186)-0.005)))</f>
        <v>0.14604529399999999</v>
      </c>
      <c r="AT469" s="4">
        <f t="shared" si="154"/>
        <v>0.56299999999999994</v>
      </c>
      <c r="AU469" s="4">
        <f t="shared" si="155"/>
        <v>69</v>
      </c>
      <c r="AV469" s="4">
        <f t="shared" si="156"/>
        <v>0.51</v>
      </c>
    </row>
    <row r="470" spans="1:48" x14ac:dyDescent="0.15">
      <c r="A470" s="4"/>
      <c r="B470" s="21"/>
      <c r="C470" s="21"/>
      <c r="D470" s="21"/>
      <c r="E470" s="22"/>
      <c r="F470" s="22"/>
      <c r="G470" s="23"/>
      <c r="H470" s="23"/>
      <c r="I470" s="181"/>
      <c r="J470" s="8" t="str">
        <f t="shared" si="148"/>
        <v/>
      </c>
      <c r="K470" s="2" t="str">
        <f t="shared" si="157"/>
        <v/>
      </c>
      <c r="L470" s="2" t="str">
        <f t="shared" si="149"/>
        <v/>
      </c>
      <c r="M470" s="2" t="str">
        <f t="shared" si="158"/>
        <v/>
      </c>
      <c r="N470" s="2" t="str">
        <f t="shared" si="166"/>
        <v/>
      </c>
      <c r="O470" s="2" t="str">
        <f t="shared" si="159"/>
        <v/>
      </c>
      <c r="P470" s="8" t="str">
        <f t="shared" si="160"/>
        <v/>
      </c>
      <c r="Q470" s="8" t="str">
        <f t="shared" si="161"/>
        <v/>
      </c>
      <c r="R470" s="111" t="str">
        <f t="shared" si="162"/>
        <v/>
      </c>
      <c r="S470" s="44" t="str">
        <f t="shared" si="163"/>
        <v/>
      </c>
      <c r="T470" s="37" t="str">
        <f t="shared" si="164"/>
        <v/>
      </c>
      <c r="U470" s="44" t="str">
        <f t="shared" si="165"/>
        <v/>
      </c>
      <c r="V470" s="26"/>
      <c r="W470" s="26"/>
      <c r="X470" s="26"/>
      <c r="Y470" s="26"/>
      <c r="Z470" s="24"/>
      <c r="AA470" s="169">
        <f t="shared" si="150"/>
        <v>0</v>
      </c>
      <c r="AB470" s="4">
        <f t="shared" si="151"/>
        <v>0</v>
      </c>
      <c r="AC470" s="170">
        <f t="shared" si="147"/>
        <v>0</v>
      </c>
      <c r="AD470" s="58"/>
      <c r="AE470" s="58"/>
      <c r="AF470" s="58"/>
      <c r="AG470" s="59">
        <f t="shared" si="152"/>
        <v>9.0359999999999996</v>
      </c>
      <c r="AH470" s="59">
        <f t="shared" si="153"/>
        <v>-184.49199999999999</v>
      </c>
      <c r="AJ470" s="4">
        <f>IF(D470="M",IF(AM470&lt;78,BMILMS!$D$5*AM470^3+BMILMS!$E$5*AM470^2+BMILMS!$F$5*AM470+BMILMS!$G$5,IF(AM470&lt;150,BMILMS!$D$6*AM470^3+BMILMS!$E$6*AM470^2+BMILMS!$F$6*AM470+BMILMS!$G$6,BMILMS!$D$7*AM470^3+BMILMS!$E$7*AM470^2+BMILMS!$F$7*AM470+BMILMS!$G$7)),IF(AM470&lt;69,BMILMS!$D$9*AM470^3+BMILMS!$E$9*AM470^2+BMILMS!$F$9*AM470+BMILMS!$G$9,IF(AM470&lt;150,BMILMS!$D$10*AM470^3+BMILMS!$E$10*AM470^2+BMILMS!$F$10*AM470+BMILMS!$G$10,BMILMS!$D$11*AM470^3+BMILMS!$E$11*AM470^2+BMILMS!$F$11*AM470+BMILMS!$G$11)))</f>
        <v>0.79584630099999998</v>
      </c>
      <c r="AK470" s="4">
        <f>IF(D470="M",(IF(AM470&lt;2.5,BMILMS!$D$21*AM470^3+BMILMS!$E$21*AM470^2+BMILMS!$F$21*AM470+BMILMS!$G$21,IF(AM470&lt;9.5,BMILMS!$D$22*AM470^3+BMILMS!$E$22*AM470^2+BMILMS!$F$22*AM470+BMILMS!$G$22,IF(AM470&lt;26.75,BMILMS!$D$23*AM470^3+BMILMS!$E$23*AM470^2+BMILMS!$F$23*AM470+BMILMS!$G$23,IF(AM470&lt;90,BMILMS!$D$24*AM470^3+BMILMS!$E$24*AM470^2+BMILMS!$F$24*AM470+BMILMS!$G$24,BMILMS!$D$25*AM470^3+BMILMS!$E$25*AM470^2+BMILMS!$F$25*AM470+BMILMS!$G$25))))),(IF(AM470&lt;2.5,BMILMS!$D$27*AM470^3+BMILMS!$E$27*AM470^2+BMILMS!$F$27*AM470+BMILMS!$G$27,IF(AM470&lt;9.5,BMILMS!$D$28*AM470^3+BMILMS!$E$28*AM470^2+BMILMS!$F$28*AM470+BMILMS!$G$28,IF(AM470&lt;26.75,BMILMS!$D$29*AM470^3+BMILMS!$E$29*AM470^2+BMILMS!$F$29*AM470+BMILMS!$G$29,IF(AM470&lt;90,BMILMS!$D$30*AM470^3+BMILMS!$E$30*AM470^2+BMILMS!$F$30*AM470+BMILMS!$G$30,IF(AM470&lt;150,BMILMS!$D$31*AM470^3+BMILMS!$E$31*AM470^2+BMILMS!$F$31*AM470+BMILMS!$G$31,BMILMS!$D$32*AM470^3+BMILMS!$E$32*AM470^2+BMILMS!$F$32*AM470+BMILMS!$G$32)))))))</f>
        <v>12.568967990000001</v>
      </c>
      <c r="AL470" s="4">
        <f>IF(D470="M",(IF(AM470&lt;90,BMILMS!$D$14*AM470^3+BMILMS!$E$14*AM470^2+BMILMS!$F$14*AM470+BMILMS!$G$14,BMILMS!$D$15*AM470^3+BMILMS!$E$15*AM470^2+BMILMS!$F$15*AM470+BMILMS!$G$15)),(IF(AM470&lt;90,BMILMS!$D$17*AM470^3+BMILMS!$E$17*AM470^2+BMILMS!$F$17*AM470+BMILMS!$G$17,BMILMS!$D$18*AM470^3+BMILMS!$E$18*AM470^2+BMILMS!$F$18*AM470+BMILMS!$G$18)))</f>
        <v>8.8969350000000003E-2</v>
      </c>
      <c r="AM470" s="4">
        <f t="shared" si="167"/>
        <v>0</v>
      </c>
      <c r="AO470" s="56">
        <f>IF(D470="M",WeightSDS!P$5*$AM470^7+WeightSDS!Q$5*$AM470^6+WeightSDS!R$5*$AM470^5+WeightSDS!S$5*$AM470^4+WeightSDS!T$5*$AM470^3+WeightSDS!U$5*$AM470^2+WeightSDS!V$5*$AM470+WeightSDS!W$5,IF($AM470&lt;186,WeightSDS!P$8*$AM470^7+WeightSDS!Q$8*$AM470^6+WeightSDS!R$8*$AM470^5+WeightSDS!S$8*$AM470^4+WeightSDS!T$8*$AM470^3+WeightSDS!U$8*$AM470^2+WeightSDS!V$8*$AM470+WeightSDS!W$8,WeightSDS!$U$9+WeightSDS!$V$9*($AM470-WeightSDS!$W$9)))</f>
        <v>0.75407122999999998</v>
      </c>
      <c r="AP470" s="4">
        <f>IF(D470="M",IF($AM470&lt;45,WeightSDS!M$23*$AM470^10+WeightSDS!N$23*$AM470^9+WeightSDS!O$23*$AM470^8+WeightSDS!P$23*$AM470^7+WeightSDS!Q$23*$AM470^6+WeightSDS!R$23*$AM470^5+WeightSDS!S$23*$AM470^4+WeightSDS!T$23*$AM470^3+WeightSDS!U$23*$AM470^2+WeightSDS!V$23*$AM470+WeightSDS!W$23,IF($AM470&lt;153,WeightSDS!M$25*$AM470^10+WeightSDS!N$25*$AM470^9+WeightSDS!O$25*$AM470^8+WeightSDS!P$25*$AM470^7+WeightSDS!Q$25*$AM470^6+WeightSDS!R$25*$AM470^5+WeightSDS!S$25*$AM470^4+WeightSDS!T$25*$AM470^3+WeightSDS!U$25*$AM470^2+WeightSDS!V$25*$AM470+WeightSDS!W$25,WeightSDS!M$27+WeightSDS!N$27/(1+EXP(WeightSDS!O$27+WeightSDS!P$27*$AM470)))),IF($AM470&lt;43.8,WeightSDS!M$29*$AM470^10+WeightSDS!N$29*$AM470^9+WeightSDS!O$29*$AM470^8+WeightSDS!P$29*$AM470^7+WeightSDS!Q$29*$AM470^6+WeightSDS!R$29*$AM470^5+WeightSDS!S$29*$AM470^4+WeightSDS!T$29*$AM470^3+WeightSDS!U$29*$AM470^2+WeightSDS!V$29*$AM470+WeightSDS!W$29-0.010431*(1-$AM470/210),IF($AM470&lt;123,WeightSDS!M$30*$AM470^10+WeightSDS!N$30*$AM470^9+WeightSDS!O$30*$AM470^8+WeightSDS!P$30*$AM470^7+WeightSDS!Q$30*$AM470^6+WeightSDS!R$30*$AM470^5+WeightSDS!S$30*$AM470^4+WeightSDS!T$30*$AM470^3+WeightSDS!U$30*$AM470^2+WeightSDS!V$30*$AM470+WeightSDS!W$30-0.010431*(1-1/$AM470),WeightSDS!M$32+WeightSDS!N$32/(1+EXP(WeightSDS!O$32+WeightSDS!P$32*$AM470))-0.010431*(1-$AM470/210))))</f>
        <v>2.9500001032655536</v>
      </c>
      <c r="AQ470" s="4">
        <f>IF(D470="M",IF($AM470&lt;162,WeightSDS!P$12*$AM470^7+WeightSDS!Q$12*$AM470^6+WeightSDS!R$12*$AM470^5+WeightSDS!S$12*$AM470^4+WeightSDS!T$12*$AM470^3+WeightSDS!U$12*$AM470^2+WeightSDS!V$12*$AM470+WeightSDS!W$12,WeightSDS!P$14*$AM470^7+WeightSDS!Q$14*$AM470^6+WeightSDS!R$14*$AM470^5+WeightSDS!S$14*$AM470^4+WeightSDS!T$14*$AM470^3+WeightSDS!U$14*$AM470^2+WeightSDS!V$14*$AM470+WeightSDS!W$14),IF($AM470&lt;156,WeightSDS!O$17*$AM470^8+WeightSDS!P$17*$AM470^7+WeightSDS!Q$17*$AM470^6+WeightSDS!R$17*$AM470^5+WeightSDS!S$17*$AM470^4+WeightSDS!T$17*$AM470^3+WeightSDS!U$17*$AM470^2+WeightSDS!V$17*$AM470+WeightSDS!W$17,IF($AM470&lt;186,WeightSDS!$U$18+(WeightSDS!$V$18-WeightSDS!$U$18)/24*($AM470-186)+WeightSDS!$W$18*(-$AM470+186)^2-0.005,WeightSDS!$U$18+(WeightSDS!$V$18-WeightSDS!$U$18)/24*($AM470-186)-0.005)))</f>
        <v>0.14604529399999999</v>
      </c>
      <c r="AT470" s="4">
        <f t="shared" si="154"/>
        <v>0.56299999999999994</v>
      </c>
      <c r="AU470" s="4">
        <f t="shared" si="155"/>
        <v>69</v>
      </c>
      <c r="AV470" s="4">
        <f t="shared" si="156"/>
        <v>0.51</v>
      </c>
    </row>
    <row r="471" spans="1:48" x14ac:dyDescent="0.15">
      <c r="A471" s="4"/>
      <c r="B471" s="21"/>
      <c r="C471" s="21"/>
      <c r="D471" s="21"/>
      <c r="E471" s="22"/>
      <c r="F471" s="22"/>
      <c r="G471" s="23"/>
      <c r="H471" s="23"/>
      <c r="I471" s="181"/>
      <c r="J471" s="8" t="str">
        <f t="shared" si="148"/>
        <v/>
      </c>
      <c r="K471" s="2" t="str">
        <f t="shared" si="157"/>
        <v/>
      </c>
      <c r="L471" s="2" t="str">
        <f t="shared" si="149"/>
        <v/>
      </c>
      <c r="M471" s="2" t="str">
        <f t="shared" si="158"/>
        <v/>
      </c>
      <c r="N471" s="2" t="str">
        <f t="shared" si="166"/>
        <v/>
      </c>
      <c r="O471" s="2" t="str">
        <f t="shared" si="159"/>
        <v/>
      </c>
      <c r="P471" s="8" t="str">
        <f t="shared" si="160"/>
        <v/>
      </c>
      <c r="Q471" s="8" t="str">
        <f t="shared" si="161"/>
        <v/>
      </c>
      <c r="R471" s="111" t="str">
        <f t="shared" si="162"/>
        <v/>
      </c>
      <c r="S471" s="44" t="str">
        <f t="shared" si="163"/>
        <v/>
      </c>
      <c r="T471" s="37" t="str">
        <f t="shared" si="164"/>
        <v/>
      </c>
      <c r="U471" s="44" t="str">
        <f t="shared" si="165"/>
        <v/>
      </c>
      <c r="V471" s="26"/>
      <c r="W471" s="26"/>
      <c r="X471" s="26"/>
      <c r="Y471" s="26"/>
      <c r="Z471" s="24"/>
      <c r="AA471" s="169">
        <f t="shared" si="150"/>
        <v>0</v>
      </c>
      <c r="AB471" s="4">
        <f t="shared" si="151"/>
        <v>0</v>
      </c>
      <c r="AC471" s="170">
        <f t="shared" si="147"/>
        <v>0</v>
      </c>
      <c r="AD471" s="58"/>
      <c r="AE471" s="58"/>
      <c r="AF471" s="58"/>
      <c r="AG471" s="59">
        <f t="shared" si="152"/>
        <v>9.0359999999999996</v>
      </c>
      <c r="AH471" s="59">
        <f t="shared" si="153"/>
        <v>-184.49199999999999</v>
      </c>
      <c r="AJ471" s="4">
        <f>IF(D471="M",IF(AM471&lt;78,BMILMS!$D$5*AM471^3+BMILMS!$E$5*AM471^2+BMILMS!$F$5*AM471+BMILMS!$G$5,IF(AM471&lt;150,BMILMS!$D$6*AM471^3+BMILMS!$E$6*AM471^2+BMILMS!$F$6*AM471+BMILMS!$G$6,BMILMS!$D$7*AM471^3+BMILMS!$E$7*AM471^2+BMILMS!$F$7*AM471+BMILMS!$G$7)),IF(AM471&lt;69,BMILMS!$D$9*AM471^3+BMILMS!$E$9*AM471^2+BMILMS!$F$9*AM471+BMILMS!$G$9,IF(AM471&lt;150,BMILMS!$D$10*AM471^3+BMILMS!$E$10*AM471^2+BMILMS!$F$10*AM471+BMILMS!$G$10,BMILMS!$D$11*AM471^3+BMILMS!$E$11*AM471^2+BMILMS!$F$11*AM471+BMILMS!$G$11)))</f>
        <v>0.79584630099999998</v>
      </c>
      <c r="AK471" s="4">
        <f>IF(D471="M",(IF(AM471&lt;2.5,BMILMS!$D$21*AM471^3+BMILMS!$E$21*AM471^2+BMILMS!$F$21*AM471+BMILMS!$G$21,IF(AM471&lt;9.5,BMILMS!$D$22*AM471^3+BMILMS!$E$22*AM471^2+BMILMS!$F$22*AM471+BMILMS!$G$22,IF(AM471&lt;26.75,BMILMS!$D$23*AM471^3+BMILMS!$E$23*AM471^2+BMILMS!$F$23*AM471+BMILMS!$G$23,IF(AM471&lt;90,BMILMS!$D$24*AM471^3+BMILMS!$E$24*AM471^2+BMILMS!$F$24*AM471+BMILMS!$G$24,BMILMS!$D$25*AM471^3+BMILMS!$E$25*AM471^2+BMILMS!$F$25*AM471+BMILMS!$G$25))))),(IF(AM471&lt;2.5,BMILMS!$D$27*AM471^3+BMILMS!$E$27*AM471^2+BMILMS!$F$27*AM471+BMILMS!$G$27,IF(AM471&lt;9.5,BMILMS!$D$28*AM471^3+BMILMS!$E$28*AM471^2+BMILMS!$F$28*AM471+BMILMS!$G$28,IF(AM471&lt;26.75,BMILMS!$D$29*AM471^3+BMILMS!$E$29*AM471^2+BMILMS!$F$29*AM471+BMILMS!$G$29,IF(AM471&lt;90,BMILMS!$D$30*AM471^3+BMILMS!$E$30*AM471^2+BMILMS!$F$30*AM471+BMILMS!$G$30,IF(AM471&lt;150,BMILMS!$D$31*AM471^3+BMILMS!$E$31*AM471^2+BMILMS!$F$31*AM471+BMILMS!$G$31,BMILMS!$D$32*AM471^3+BMILMS!$E$32*AM471^2+BMILMS!$F$32*AM471+BMILMS!$G$32)))))))</f>
        <v>12.568967990000001</v>
      </c>
      <c r="AL471" s="4">
        <f>IF(D471="M",(IF(AM471&lt;90,BMILMS!$D$14*AM471^3+BMILMS!$E$14*AM471^2+BMILMS!$F$14*AM471+BMILMS!$G$14,BMILMS!$D$15*AM471^3+BMILMS!$E$15*AM471^2+BMILMS!$F$15*AM471+BMILMS!$G$15)),(IF(AM471&lt;90,BMILMS!$D$17*AM471^3+BMILMS!$E$17*AM471^2+BMILMS!$F$17*AM471+BMILMS!$G$17,BMILMS!$D$18*AM471^3+BMILMS!$E$18*AM471^2+BMILMS!$F$18*AM471+BMILMS!$G$18)))</f>
        <v>8.8969350000000003E-2</v>
      </c>
      <c r="AM471" s="4">
        <f t="shared" si="167"/>
        <v>0</v>
      </c>
      <c r="AO471" s="56">
        <f>IF(D471="M",WeightSDS!P$5*$AM471^7+WeightSDS!Q$5*$AM471^6+WeightSDS!R$5*$AM471^5+WeightSDS!S$5*$AM471^4+WeightSDS!T$5*$AM471^3+WeightSDS!U$5*$AM471^2+WeightSDS!V$5*$AM471+WeightSDS!W$5,IF($AM471&lt;186,WeightSDS!P$8*$AM471^7+WeightSDS!Q$8*$AM471^6+WeightSDS!R$8*$AM471^5+WeightSDS!S$8*$AM471^4+WeightSDS!T$8*$AM471^3+WeightSDS!U$8*$AM471^2+WeightSDS!V$8*$AM471+WeightSDS!W$8,WeightSDS!$U$9+WeightSDS!$V$9*($AM471-WeightSDS!$W$9)))</f>
        <v>0.75407122999999998</v>
      </c>
      <c r="AP471" s="4">
        <f>IF(D471="M",IF($AM471&lt;45,WeightSDS!M$23*$AM471^10+WeightSDS!N$23*$AM471^9+WeightSDS!O$23*$AM471^8+WeightSDS!P$23*$AM471^7+WeightSDS!Q$23*$AM471^6+WeightSDS!R$23*$AM471^5+WeightSDS!S$23*$AM471^4+WeightSDS!T$23*$AM471^3+WeightSDS!U$23*$AM471^2+WeightSDS!V$23*$AM471+WeightSDS!W$23,IF($AM471&lt;153,WeightSDS!M$25*$AM471^10+WeightSDS!N$25*$AM471^9+WeightSDS!O$25*$AM471^8+WeightSDS!P$25*$AM471^7+WeightSDS!Q$25*$AM471^6+WeightSDS!R$25*$AM471^5+WeightSDS!S$25*$AM471^4+WeightSDS!T$25*$AM471^3+WeightSDS!U$25*$AM471^2+WeightSDS!V$25*$AM471+WeightSDS!W$25,WeightSDS!M$27+WeightSDS!N$27/(1+EXP(WeightSDS!O$27+WeightSDS!P$27*$AM471)))),IF($AM471&lt;43.8,WeightSDS!M$29*$AM471^10+WeightSDS!N$29*$AM471^9+WeightSDS!O$29*$AM471^8+WeightSDS!P$29*$AM471^7+WeightSDS!Q$29*$AM471^6+WeightSDS!R$29*$AM471^5+WeightSDS!S$29*$AM471^4+WeightSDS!T$29*$AM471^3+WeightSDS!U$29*$AM471^2+WeightSDS!V$29*$AM471+WeightSDS!W$29-0.010431*(1-$AM471/210),IF($AM471&lt;123,WeightSDS!M$30*$AM471^10+WeightSDS!N$30*$AM471^9+WeightSDS!O$30*$AM471^8+WeightSDS!P$30*$AM471^7+WeightSDS!Q$30*$AM471^6+WeightSDS!R$30*$AM471^5+WeightSDS!S$30*$AM471^4+WeightSDS!T$30*$AM471^3+WeightSDS!U$30*$AM471^2+WeightSDS!V$30*$AM471+WeightSDS!W$30-0.010431*(1-1/$AM471),WeightSDS!M$32+WeightSDS!N$32/(1+EXP(WeightSDS!O$32+WeightSDS!P$32*$AM471))-0.010431*(1-$AM471/210))))</f>
        <v>2.9500001032655536</v>
      </c>
      <c r="AQ471" s="4">
        <f>IF(D471="M",IF($AM471&lt;162,WeightSDS!P$12*$AM471^7+WeightSDS!Q$12*$AM471^6+WeightSDS!R$12*$AM471^5+WeightSDS!S$12*$AM471^4+WeightSDS!T$12*$AM471^3+WeightSDS!U$12*$AM471^2+WeightSDS!V$12*$AM471+WeightSDS!W$12,WeightSDS!P$14*$AM471^7+WeightSDS!Q$14*$AM471^6+WeightSDS!R$14*$AM471^5+WeightSDS!S$14*$AM471^4+WeightSDS!T$14*$AM471^3+WeightSDS!U$14*$AM471^2+WeightSDS!V$14*$AM471+WeightSDS!W$14),IF($AM471&lt;156,WeightSDS!O$17*$AM471^8+WeightSDS!P$17*$AM471^7+WeightSDS!Q$17*$AM471^6+WeightSDS!R$17*$AM471^5+WeightSDS!S$17*$AM471^4+WeightSDS!T$17*$AM471^3+WeightSDS!U$17*$AM471^2+WeightSDS!V$17*$AM471+WeightSDS!W$17,IF($AM471&lt;186,WeightSDS!$U$18+(WeightSDS!$V$18-WeightSDS!$U$18)/24*($AM471-186)+WeightSDS!$W$18*(-$AM471+186)^2-0.005,WeightSDS!$U$18+(WeightSDS!$V$18-WeightSDS!$U$18)/24*($AM471-186)-0.005)))</f>
        <v>0.14604529399999999</v>
      </c>
      <c r="AT471" s="4">
        <f t="shared" si="154"/>
        <v>0.56299999999999994</v>
      </c>
      <c r="AU471" s="4">
        <f t="shared" si="155"/>
        <v>69</v>
      </c>
      <c r="AV471" s="4">
        <f t="shared" si="156"/>
        <v>0.51</v>
      </c>
    </row>
    <row r="472" spans="1:48" x14ac:dyDescent="0.15">
      <c r="A472" s="4"/>
      <c r="B472" s="21"/>
      <c r="C472" s="21"/>
      <c r="D472" s="21"/>
      <c r="E472" s="22"/>
      <c r="F472" s="22"/>
      <c r="G472" s="23"/>
      <c r="H472" s="23"/>
      <c r="I472" s="181"/>
      <c r="J472" s="8" t="str">
        <f t="shared" si="148"/>
        <v/>
      </c>
      <c r="K472" s="2" t="str">
        <f t="shared" si="157"/>
        <v/>
      </c>
      <c r="L472" s="2" t="str">
        <f t="shared" si="149"/>
        <v/>
      </c>
      <c r="M472" s="2" t="str">
        <f t="shared" si="158"/>
        <v/>
      </c>
      <c r="N472" s="2" t="str">
        <f t="shared" si="166"/>
        <v/>
      </c>
      <c r="O472" s="2" t="str">
        <f t="shared" si="159"/>
        <v/>
      </c>
      <c r="P472" s="8" t="str">
        <f t="shared" si="160"/>
        <v/>
      </c>
      <c r="Q472" s="8" t="str">
        <f t="shared" si="161"/>
        <v/>
      </c>
      <c r="R472" s="111" t="str">
        <f t="shared" si="162"/>
        <v/>
      </c>
      <c r="S472" s="44" t="str">
        <f t="shared" si="163"/>
        <v/>
      </c>
      <c r="T472" s="37" t="str">
        <f t="shared" si="164"/>
        <v/>
      </c>
      <c r="U472" s="44" t="str">
        <f t="shared" si="165"/>
        <v/>
      </c>
      <c r="V472" s="26"/>
      <c r="W472" s="26"/>
      <c r="X472" s="26"/>
      <c r="Y472" s="26"/>
      <c r="Z472" s="24"/>
      <c r="AA472" s="169">
        <f t="shared" si="150"/>
        <v>0</v>
      </c>
      <c r="AB472" s="4">
        <f t="shared" si="151"/>
        <v>0</v>
      </c>
      <c r="AC472" s="170">
        <f t="shared" si="147"/>
        <v>0</v>
      </c>
      <c r="AD472" s="58"/>
      <c r="AE472" s="58"/>
      <c r="AF472" s="58"/>
      <c r="AG472" s="59">
        <f t="shared" si="152"/>
        <v>9.0359999999999996</v>
      </c>
      <c r="AH472" s="59">
        <f t="shared" si="153"/>
        <v>-184.49199999999999</v>
      </c>
      <c r="AJ472" s="4">
        <f>IF(D472="M",IF(AM472&lt;78,BMILMS!$D$5*AM472^3+BMILMS!$E$5*AM472^2+BMILMS!$F$5*AM472+BMILMS!$G$5,IF(AM472&lt;150,BMILMS!$D$6*AM472^3+BMILMS!$E$6*AM472^2+BMILMS!$F$6*AM472+BMILMS!$G$6,BMILMS!$D$7*AM472^3+BMILMS!$E$7*AM472^2+BMILMS!$F$7*AM472+BMILMS!$G$7)),IF(AM472&lt;69,BMILMS!$D$9*AM472^3+BMILMS!$E$9*AM472^2+BMILMS!$F$9*AM472+BMILMS!$G$9,IF(AM472&lt;150,BMILMS!$D$10*AM472^3+BMILMS!$E$10*AM472^2+BMILMS!$F$10*AM472+BMILMS!$G$10,BMILMS!$D$11*AM472^3+BMILMS!$E$11*AM472^2+BMILMS!$F$11*AM472+BMILMS!$G$11)))</f>
        <v>0.79584630099999998</v>
      </c>
      <c r="AK472" s="4">
        <f>IF(D472="M",(IF(AM472&lt;2.5,BMILMS!$D$21*AM472^3+BMILMS!$E$21*AM472^2+BMILMS!$F$21*AM472+BMILMS!$G$21,IF(AM472&lt;9.5,BMILMS!$D$22*AM472^3+BMILMS!$E$22*AM472^2+BMILMS!$F$22*AM472+BMILMS!$G$22,IF(AM472&lt;26.75,BMILMS!$D$23*AM472^3+BMILMS!$E$23*AM472^2+BMILMS!$F$23*AM472+BMILMS!$G$23,IF(AM472&lt;90,BMILMS!$D$24*AM472^3+BMILMS!$E$24*AM472^2+BMILMS!$F$24*AM472+BMILMS!$G$24,BMILMS!$D$25*AM472^3+BMILMS!$E$25*AM472^2+BMILMS!$F$25*AM472+BMILMS!$G$25))))),(IF(AM472&lt;2.5,BMILMS!$D$27*AM472^3+BMILMS!$E$27*AM472^2+BMILMS!$F$27*AM472+BMILMS!$G$27,IF(AM472&lt;9.5,BMILMS!$D$28*AM472^3+BMILMS!$E$28*AM472^2+BMILMS!$F$28*AM472+BMILMS!$G$28,IF(AM472&lt;26.75,BMILMS!$D$29*AM472^3+BMILMS!$E$29*AM472^2+BMILMS!$F$29*AM472+BMILMS!$G$29,IF(AM472&lt;90,BMILMS!$D$30*AM472^3+BMILMS!$E$30*AM472^2+BMILMS!$F$30*AM472+BMILMS!$G$30,IF(AM472&lt;150,BMILMS!$D$31*AM472^3+BMILMS!$E$31*AM472^2+BMILMS!$F$31*AM472+BMILMS!$G$31,BMILMS!$D$32*AM472^3+BMILMS!$E$32*AM472^2+BMILMS!$F$32*AM472+BMILMS!$G$32)))))))</f>
        <v>12.568967990000001</v>
      </c>
      <c r="AL472" s="4">
        <f>IF(D472="M",(IF(AM472&lt;90,BMILMS!$D$14*AM472^3+BMILMS!$E$14*AM472^2+BMILMS!$F$14*AM472+BMILMS!$G$14,BMILMS!$D$15*AM472^3+BMILMS!$E$15*AM472^2+BMILMS!$F$15*AM472+BMILMS!$G$15)),(IF(AM472&lt;90,BMILMS!$D$17*AM472^3+BMILMS!$E$17*AM472^2+BMILMS!$F$17*AM472+BMILMS!$G$17,BMILMS!$D$18*AM472^3+BMILMS!$E$18*AM472^2+BMILMS!$F$18*AM472+BMILMS!$G$18)))</f>
        <v>8.8969350000000003E-2</v>
      </c>
      <c r="AM472" s="4">
        <f t="shared" si="167"/>
        <v>0</v>
      </c>
      <c r="AO472" s="56">
        <f>IF(D472="M",WeightSDS!P$5*$AM472^7+WeightSDS!Q$5*$AM472^6+WeightSDS!R$5*$AM472^5+WeightSDS!S$5*$AM472^4+WeightSDS!T$5*$AM472^3+WeightSDS!U$5*$AM472^2+WeightSDS!V$5*$AM472+WeightSDS!W$5,IF($AM472&lt;186,WeightSDS!P$8*$AM472^7+WeightSDS!Q$8*$AM472^6+WeightSDS!R$8*$AM472^5+WeightSDS!S$8*$AM472^4+WeightSDS!T$8*$AM472^3+WeightSDS!U$8*$AM472^2+WeightSDS!V$8*$AM472+WeightSDS!W$8,WeightSDS!$U$9+WeightSDS!$V$9*($AM472-WeightSDS!$W$9)))</f>
        <v>0.75407122999999998</v>
      </c>
      <c r="AP472" s="4">
        <f>IF(D472="M",IF($AM472&lt;45,WeightSDS!M$23*$AM472^10+WeightSDS!N$23*$AM472^9+WeightSDS!O$23*$AM472^8+WeightSDS!P$23*$AM472^7+WeightSDS!Q$23*$AM472^6+WeightSDS!R$23*$AM472^5+WeightSDS!S$23*$AM472^4+WeightSDS!T$23*$AM472^3+WeightSDS!U$23*$AM472^2+WeightSDS!V$23*$AM472+WeightSDS!W$23,IF($AM472&lt;153,WeightSDS!M$25*$AM472^10+WeightSDS!N$25*$AM472^9+WeightSDS!O$25*$AM472^8+WeightSDS!P$25*$AM472^7+WeightSDS!Q$25*$AM472^6+WeightSDS!R$25*$AM472^5+WeightSDS!S$25*$AM472^4+WeightSDS!T$25*$AM472^3+WeightSDS!U$25*$AM472^2+WeightSDS!V$25*$AM472+WeightSDS!W$25,WeightSDS!M$27+WeightSDS!N$27/(1+EXP(WeightSDS!O$27+WeightSDS!P$27*$AM472)))),IF($AM472&lt;43.8,WeightSDS!M$29*$AM472^10+WeightSDS!N$29*$AM472^9+WeightSDS!O$29*$AM472^8+WeightSDS!P$29*$AM472^7+WeightSDS!Q$29*$AM472^6+WeightSDS!R$29*$AM472^5+WeightSDS!S$29*$AM472^4+WeightSDS!T$29*$AM472^3+WeightSDS!U$29*$AM472^2+WeightSDS!V$29*$AM472+WeightSDS!W$29-0.010431*(1-$AM472/210),IF($AM472&lt;123,WeightSDS!M$30*$AM472^10+WeightSDS!N$30*$AM472^9+WeightSDS!O$30*$AM472^8+WeightSDS!P$30*$AM472^7+WeightSDS!Q$30*$AM472^6+WeightSDS!R$30*$AM472^5+WeightSDS!S$30*$AM472^4+WeightSDS!T$30*$AM472^3+WeightSDS!U$30*$AM472^2+WeightSDS!V$30*$AM472+WeightSDS!W$30-0.010431*(1-1/$AM472),WeightSDS!M$32+WeightSDS!N$32/(1+EXP(WeightSDS!O$32+WeightSDS!P$32*$AM472))-0.010431*(1-$AM472/210))))</f>
        <v>2.9500001032655536</v>
      </c>
      <c r="AQ472" s="4">
        <f>IF(D472="M",IF($AM472&lt;162,WeightSDS!P$12*$AM472^7+WeightSDS!Q$12*$AM472^6+WeightSDS!R$12*$AM472^5+WeightSDS!S$12*$AM472^4+WeightSDS!T$12*$AM472^3+WeightSDS!U$12*$AM472^2+WeightSDS!V$12*$AM472+WeightSDS!W$12,WeightSDS!P$14*$AM472^7+WeightSDS!Q$14*$AM472^6+WeightSDS!R$14*$AM472^5+WeightSDS!S$14*$AM472^4+WeightSDS!T$14*$AM472^3+WeightSDS!U$14*$AM472^2+WeightSDS!V$14*$AM472+WeightSDS!W$14),IF($AM472&lt;156,WeightSDS!O$17*$AM472^8+WeightSDS!P$17*$AM472^7+WeightSDS!Q$17*$AM472^6+WeightSDS!R$17*$AM472^5+WeightSDS!S$17*$AM472^4+WeightSDS!T$17*$AM472^3+WeightSDS!U$17*$AM472^2+WeightSDS!V$17*$AM472+WeightSDS!W$17,IF($AM472&lt;186,WeightSDS!$U$18+(WeightSDS!$V$18-WeightSDS!$U$18)/24*($AM472-186)+WeightSDS!$W$18*(-$AM472+186)^2-0.005,WeightSDS!$U$18+(WeightSDS!$V$18-WeightSDS!$U$18)/24*($AM472-186)-0.005)))</f>
        <v>0.14604529399999999</v>
      </c>
      <c r="AT472" s="4">
        <f t="shared" si="154"/>
        <v>0.56299999999999994</v>
      </c>
      <c r="AU472" s="4">
        <f t="shared" si="155"/>
        <v>69</v>
      </c>
      <c r="AV472" s="4">
        <f t="shared" si="156"/>
        <v>0.51</v>
      </c>
    </row>
    <row r="473" spans="1:48" x14ac:dyDescent="0.15">
      <c r="A473" s="4"/>
      <c r="B473" s="21"/>
      <c r="C473" s="21"/>
      <c r="D473" s="21"/>
      <c r="E473" s="22"/>
      <c r="F473" s="22"/>
      <c r="G473" s="23"/>
      <c r="H473" s="23"/>
      <c r="I473" s="181"/>
      <c r="J473" s="8" t="str">
        <f t="shared" si="148"/>
        <v/>
      </c>
      <c r="K473" s="2" t="str">
        <f t="shared" si="157"/>
        <v/>
      </c>
      <c r="L473" s="2" t="str">
        <f t="shared" si="149"/>
        <v/>
      </c>
      <c r="M473" s="2" t="str">
        <f t="shared" si="158"/>
        <v/>
      </c>
      <c r="N473" s="2" t="str">
        <f t="shared" si="166"/>
        <v/>
      </c>
      <c r="O473" s="2" t="str">
        <f t="shared" si="159"/>
        <v/>
      </c>
      <c r="P473" s="8" t="str">
        <f t="shared" si="160"/>
        <v/>
      </c>
      <c r="Q473" s="8" t="str">
        <f t="shared" si="161"/>
        <v/>
      </c>
      <c r="R473" s="111" t="str">
        <f t="shared" si="162"/>
        <v/>
      </c>
      <c r="S473" s="44" t="str">
        <f t="shared" si="163"/>
        <v/>
      </c>
      <c r="T473" s="37" t="str">
        <f t="shared" si="164"/>
        <v/>
      </c>
      <c r="U473" s="44" t="str">
        <f t="shared" si="165"/>
        <v/>
      </c>
      <c r="V473" s="26"/>
      <c r="W473" s="26"/>
      <c r="X473" s="26"/>
      <c r="Y473" s="26"/>
      <c r="Z473" s="24"/>
      <c r="AA473" s="169">
        <f t="shared" si="150"/>
        <v>0</v>
      </c>
      <c r="AB473" s="4">
        <f t="shared" si="151"/>
        <v>0</v>
      </c>
      <c r="AC473" s="170">
        <f t="shared" si="147"/>
        <v>0</v>
      </c>
      <c r="AD473" s="58"/>
      <c r="AE473" s="58"/>
      <c r="AF473" s="58"/>
      <c r="AG473" s="59">
        <f t="shared" si="152"/>
        <v>9.0359999999999996</v>
      </c>
      <c r="AH473" s="59">
        <f t="shared" si="153"/>
        <v>-184.49199999999999</v>
      </c>
      <c r="AJ473" s="4">
        <f>IF(D473="M",IF(AM473&lt;78,BMILMS!$D$5*AM473^3+BMILMS!$E$5*AM473^2+BMILMS!$F$5*AM473+BMILMS!$G$5,IF(AM473&lt;150,BMILMS!$D$6*AM473^3+BMILMS!$E$6*AM473^2+BMILMS!$F$6*AM473+BMILMS!$G$6,BMILMS!$D$7*AM473^3+BMILMS!$E$7*AM473^2+BMILMS!$F$7*AM473+BMILMS!$G$7)),IF(AM473&lt;69,BMILMS!$D$9*AM473^3+BMILMS!$E$9*AM473^2+BMILMS!$F$9*AM473+BMILMS!$G$9,IF(AM473&lt;150,BMILMS!$D$10*AM473^3+BMILMS!$E$10*AM473^2+BMILMS!$F$10*AM473+BMILMS!$G$10,BMILMS!$D$11*AM473^3+BMILMS!$E$11*AM473^2+BMILMS!$F$11*AM473+BMILMS!$G$11)))</f>
        <v>0.79584630099999998</v>
      </c>
      <c r="AK473" s="4">
        <f>IF(D473="M",(IF(AM473&lt;2.5,BMILMS!$D$21*AM473^3+BMILMS!$E$21*AM473^2+BMILMS!$F$21*AM473+BMILMS!$G$21,IF(AM473&lt;9.5,BMILMS!$D$22*AM473^3+BMILMS!$E$22*AM473^2+BMILMS!$F$22*AM473+BMILMS!$G$22,IF(AM473&lt;26.75,BMILMS!$D$23*AM473^3+BMILMS!$E$23*AM473^2+BMILMS!$F$23*AM473+BMILMS!$G$23,IF(AM473&lt;90,BMILMS!$D$24*AM473^3+BMILMS!$E$24*AM473^2+BMILMS!$F$24*AM473+BMILMS!$G$24,BMILMS!$D$25*AM473^3+BMILMS!$E$25*AM473^2+BMILMS!$F$25*AM473+BMILMS!$G$25))))),(IF(AM473&lt;2.5,BMILMS!$D$27*AM473^3+BMILMS!$E$27*AM473^2+BMILMS!$F$27*AM473+BMILMS!$G$27,IF(AM473&lt;9.5,BMILMS!$D$28*AM473^3+BMILMS!$E$28*AM473^2+BMILMS!$F$28*AM473+BMILMS!$G$28,IF(AM473&lt;26.75,BMILMS!$D$29*AM473^3+BMILMS!$E$29*AM473^2+BMILMS!$F$29*AM473+BMILMS!$G$29,IF(AM473&lt;90,BMILMS!$D$30*AM473^3+BMILMS!$E$30*AM473^2+BMILMS!$F$30*AM473+BMILMS!$G$30,IF(AM473&lt;150,BMILMS!$D$31*AM473^3+BMILMS!$E$31*AM473^2+BMILMS!$F$31*AM473+BMILMS!$G$31,BMILMS!$D$32*AM473^3+BMILMS!$E$32*AM473^2+BMILMS!$F$32*AM473+BMILMS!$G$32)))))))</f>
        <v>12.568967990000001</v>
      </c>
      <c r="AL473" s="4">
        <f>IF(D473="M",(IF(AM473&lt;90,BMILMS!$D$14*AM473^3+BMILMS!$E$14*AM473^2+BMILMS!$F$14*AM473+BMILMS!$G$14,BMILMS!$D$15*AM473^3+BMILMS!$E$15*AM473^2+BMILMS!$F$15*AM473+BMILMS!$G$15)),(IF(AM473&lt;90,BMILMS!$D$17*AM473^3+BMILMS!$E$17*AM473^2+BMILMS!$F$17*AM473+BMILMS!$G$17,BMILMS!$D$18*AM473^3+BMILMS!$E$18*AM473^2+BMILMS!$F$18*AM473+BMILMS!$G$18)))</f>
        <v>8.8969350000000003E-2</v>
      </c>
      <c r="AM473" s="4">
        <f t="shared" si="167"/>
        <v>0</v>
      </c>
      <c r="AO473" s="56">
        <f>IF(D473="M",WeightSDS!P$5*$AM473^7+WeightSDS!Q$5*$AM473^6+WeightSDS!R$5*$AM473^5+WeightSDS!S$5*$AM473^4+WeightSDS!T$5*$AM473^3+WeightSDS!U$5*$AM473^2+WeightSDS!V$5*$AM473+WeightSDS!W$5,IF($AM473&lt;186,WeightSDS!P$8*$AM473^7+WeightSDS!Q$8*$AM473^6+WeightSDS!R$8*$AM473^5+WeightSDS!S$8*$AM473^4+WeightSDS!T$8*$AM473^3+WeightSDS!U$8*$AM473^2+WeightSDS!V$8*$AM473+WeightSDS!W$8,WeightSDS!$U$9+WeightSDS!$V$9*($AM473-WeightSDS!$W$9)))</f>
        <v>0.75407122999999998</v>
      </c>
      <c r="AP473" s="4">
        <f>IF(D473="M",IF($AM473&lt;45,WeightSDS!M$23*$AM473^10+WeightSDS!N$23*$AM473^9+WeightSDS!O$23*$AM473^8+WeightSDS!P$23*$AM473^7+WeightSDS!Q$23*$AM473^6+WeightSDS!R$23*$AM473^5+WeightSDS!S$23*$AM473^4+WeightSDS!T$23*$AM473^3+WeightSDS!U$23*$AM473^2+WeightSDS!V$23*$AM473+WeightSDS!W$23,IF($AM473&lt;153,WeightSDS!M$25*$AM473^10+WeightSDS!N$25*$AM473^9+WeightSDS!O$25*$AM473^8+WeightSDS!P$25*$AM473^7+WeightSDS!Q$25*$AM473^6+WeightSDS!R$25*$AM473^5+WeightSDS!S$25*$AM473^4+WeightSDS!T$25*$AM473^3+WeightSDS!U$25*$AM473^2+WeightSDS!V$25*$AM473+WeightSDS!W$25,WeightSDS!M$27+WeightSDS!N$27/(1+EXP(WeightSDS!O$27+WeightSDS!P$27*$AM473)))),IF($AM473&lt;43.8,WeightSDS!M$29*$AM473^10+WeightSDS!N$29*$AM473^9+WeightSDS!O$29*$AM473^8+WeightSDS!P$29*$AM473^7+WeightSDS!Q$29*$AM473^6+WeightSDS!R$29*$AM473^5+WeightSDS!S$29*$AM473^4+WeightSDS!T$29*$AM473^3+WeightSDS!U$29*$AM473^2+WeightSDS!V$29*$AM473+WeightSDS!W$29-0.010431*(1-$AM473/210),IF($AM473&lt;123,WeightSDS!M$30*$AM473^10+WeightSDS!N$30*$AM473^9+WeightSDS!O$30*$AM473^8+WeightSDS!P$30*$AM473^7+WeightSDS!Q$30*$AM473^6+WeightSDS!R$30*$AM473^5+WeightSDS!S$30*$AM473^4+WeightSDS!T$30*$AM473^3+WeightSDS!U$30*$AM473^2+WeightSDS!V$30*$AM473+WeightSDS!W$30-0.010431*(1-1/$AM473),WeightSDS!M$32+WeightSDS!N$32/(1+EXP(WeightSDS!O$32+WeightSDS!P$32*$AM473))-0.010431*(1-$AM473/210))))</f>
        <v>2.9500001032655536</v>
      </c>
      <c r="AQ473" s="4">
        <f>IF(D473="M",IF($AM473&lt;162,WeightSDS!P$12*$AM473^7+WeightSDS!Q$12*$AM473^6+WeightSDS!R$12*$AM473^5+WeightSDS!S$12*$AM473^4+WeightSDS!T$12*$AM473^3+WeightSDS!U$12*$AM473^2+WeightSDS!V$12*$AM473+WeightSDS!W$12,WeightSDS!P$14*$AM473^7+WeightSDS!Q$14*$AM473^6+WeightSDS!R$14*$AM473^5+WeightSDS!S$14*$AM473^4+WeightSDS!T$14*$AM473^3+WeightSDS!U$14*$AM473^2+WeightSDS!V$14*$AM473+WeightSDS!W$14),IF($AM473&lt;156,WeightSDS!O$17*$AM473^8+WeightSDS!P$17*$AM473^7+WeightSDS!Q$17*$AM473^6+WeightSDS!R$17*$AM473^5+WeightSDS!S$17*$AM473^4+WeightSDS!T$17*$AM473^3+WeightSDS!U$17*$AM473^2+WeightSDS!V$17*$AM473+WeightSDS!W$17,IF($AM473&lt;186,WeightSDS!$U$18+(WeightSDS!$V$18-WeightSDS!$U$18)/24*($AM473-186)+WeightSDS!$W$18*(-$AM473+186)^2-0.005,WeightSDS!$U$18+(WeightSDS!$V$18-WeightSDS!$U$18)/24*($AM473-186)-0.005)))</f>
        <v>0.14604529399999999</v>
      </c>
      <c r="AT473" s="4">
        <f t="shared" si="154"/>
        <v>0.56299999999999994</v>
      </c>
      <c r="AU473" s="4">
        <f t="shared" si="155"/>
        <v>69</v>
      </c>
      <c r="AV473" s="4">
        <f t="shared" si="156"/>
        <v>0.51</v>
      </c>
    </row>
    <row r="474" spans="1:48" x14ac:dyDescent="0.15">
      <c r="A474" s="4"/>
      <c r="B474" s="21"/>
      <c r="C474" s="21"/>
      <c r="D474" s="21"/>
      <c r="E474" s="22"/>
      <c r="F474" s="22"/>
      <c r="G474" s="23"/>
      <c r="H474" s="23"/>
      <c r="I474" s="181"/>
      <c r="J474" s="8" t="str">
        <f t="shared" si="148"/>
        <v/>
      </c>
      <c r="K474" s="2" t="str">
        <f t="shared" si="157"/>
        <v/>
      </c>
      <c r="L474" s="2" t="str">
        <f t="shared" si="149"/>
        <v/>
      </c>
      <c r="M474" s="2" t="str">
        <f t="shared" si="158"/>
        <v/>
      </c>
      <c r="N474" s="2" t="str">
        <f t="shared" si="166"/>
        <v/>
      </c>
      <c r="O474" s="2" t="str">
        <f t="shared" si="159"/>
        <v/>
      </c>
      <c r="P474" s="8" t="str">
        <f t="shared" si="160"/>
        <v/>
      </c>
      <c r="Q474" s="8" t="str">
        <f t="shared" si="161"/>
        <v/>
      </c>
      <c r="R474" s="111" t="str">
        <f t="shared" si="162"/>
        <v/>
      </c>
      <c r="S474" s="44" t="str">
        <f t="shared" si="163"/>
        <v/>
      </c>
      <c r="T474" s="37" t="str">
        <f t="shared" si="164"/>
        <v/>
      </c>
      <c r="U474" s="44" t="str">
        <f t="shared" si="165"/>
        <v/>
      </c>
      <c r="V474" s="26"/>
      <c r="W474" s="26"/>
      <c r="X474" s="26"/>
      <c r="Y474" s="26"/>
      <c r="Z474" s="24"/>
      <c r="AA474" s="169">
        <f t="shared" si="150"/>
        <v>0</v>
      </c>
      <c r="AB474" s="4">
        <f t="shared" si="151"/>
        <v>0</v>
      </c>
      <c r="AC474" s="170">
        <f t="shared" si="147"/>
        <v>0</v>
      </c>
      <c r="AD474" s="58"/>
      <c r="AE474" s="58"/>
      <c r="AF474" s="58"/>
      <c r="AG474" s="59">
        <f t="shared" si="152"/>
        <v>9.0359999999999996</v>
      </c>
      <c r="AH474" s="59">
        <f t="shared" si="153"/>
        <v>-184.49199999999999</v>
      </c>
      <c r="AJ474" s="4">
        <f>IF(D474="M",IF(AM474&lt;78,BMILMS!$D$5*AM474^3+BMILMS!$E$5*AM474^2+BMILMS!$F$5*AM474+BMILMS!$G$5,IF(AM474&lt;150,BMILMS!$D$6*AM474^3+BMILMS!$E$6*AM474^2+BMILMS!$F$6*AM474+BMILMS!$G$6,BMILMS!$D$7*AM474^3+BMILMS!$E$7*AM474^2+BMILMS!$F$7*AM474+BMILMS!$G$7)),IF(AM474&lt;69,BMILMS!$D$9*AM474^3+BMILMS!$E$9*AM474^2+BMILMS!$F$9*AM474+BMILMS!$G$9,IF(AM474&lt;150,BMILMS!$D$10*AM474^3+BMILMS!$E$10*AM474^2+BMILMS!$F$10*AM474+BMILMS!$G$10,BMILMS!$D$11*AM474^3+BMILMS!$E$11*AM474^2+BMILMS!$F$11*AM474+BMILMS!$G$11)))</f>
        <v>0.79584630099999998</v>
      </c>
      <c r="AK474" s="4">
        <f>IF(D474="M",(IF(AM474&lt;2.5,BMILMS!$D$21*AM474^3+BMILMS!$E$21*AM474^2+BMILMS!$F$21*AM474+BMILMS!$G$21,IF(AM474&lt;9.5,BMILMS!$D$22*AM474^3+BMILMS!$E$22*AM474^2+BMILMS!$F$22*AM474+BMILMS!$G$22,IF(AM474&lt;26.75,BMILMS!$D$23*AM474^3+BMILMS!$E$23*AM474^2+BMILMS!$F$23*AM474+BMILMS!$G$23,IF(AM474&lt;90,BMILMS!$D$24*AM474^3+BMILMS!$E$24*AM474^2+BMILMS!$F$24*AM474+BMILMS!$G$24,BMILMS!$D$25*AM474^3+BMILMS!$E$25*AM474^2+BMILMS!$F$25*AM474+BMILMS!$G$25))))),(IF(AM474&lt;2.5,BMILMS!$D$27*AM474^3+BMILMS!$E$27*AM474^2+BMILMS!$F$27*AM474+BMILMS!$G$27,IF(AM474&lt;9.5,BMILMS!$D$28*AM474^3+BMILMS!$E$28*AM474^2+BMILMS!$F$28*AM474+BMILMS!$G$28,IF(AM474&lt;26.75,BMILMS!$D$29*AM474^3+BMILMS!$E$29*AM474^2+BMILMS!$F$29*AM474+BMILMS!$G$29,IF(AM474&lt;90,BMILMS!$D$30*AM474^3+BMILMS!$E$30*AM474^2+BMILMS!$F$30*AM474+BMILMS!$G$30,IF(AM474&lt;150,BMILMS!$D$31*AM474^3+BMILMS!$E$31*AM474^2+BMILMS!$F$31*AM474+BMILMS!$G$31,BMILMS!$D$32*AM474^3+BMILMS!$E$32*AM474^2+BMILMS!$F$32*AM474+BMILMS!$G$32)))))))</f>
        <v>12.568967990000001</v>
      </c>
      <c r="AL474" s="4">
        <f>IF(D474="M",(IF(AM474&lt;90,BMILMS!$D$14*AM474^3+BMILMS!$E$14*AM474^2+BMILMS!$F$14*AM474+BMILMS!$G$14,BMILMS!$D$15*AM474^3+BMILMS!$E$15*AM474^2+BMILMS!$F$15*AM474+BMILMS!$G$15)),(IF(AM474&lt;90,BMILMS!$D$17*AM474^3+BMILMS!$E$17*AM474^2+BMILMS!$F$17*AM474+BMILMS!$G$17,BMILMS!$D$18*AM474^3+BMILMS!$E$18*AM474^2+BMILMS!$F$18*AM474+BMILMS!$G$18)))</f>
        <v>8.8969350000000003E-2</v>
      </c>
      <c r="AM474" s="4">
        <f t="shared" si="167"/>
        <v>0</v>
      </c>
      <c r="AO474" s="56">
        <f>IF(D474="M",WeightSDS!P$5*$AM474^7+WeightSDS!Q$5*$AM474^6+WeightSDS!R$5*$AM474^5+WeightSDS!S$5*$AM474^4+WeightSDS!T$5*$AM474^3+WeightSDS!U$5*$AM474^2+WeightSDS!V$5*$AM474+WeightSDS!W$5,IF($AM474&lt;186,WeightSDS!P$8*$AM474^7+WeightSDS!Q$8*$AM474^6+WeightSDS!R$8*$AM474^5+WeightSDS!S$8*$AM474^4+WeightSDS!T$8*$AM474^3+WeightSDS!U$8*$AM474^2+WeightSDS!V$8*$AM474+WeightSDS!W$8,WeightSDS!$U$9+WeightSDS!$V$9*($AM474-WeightSDS!$W$9)))</f>
        <v>0.75407122999999998</v>
      </c>
      <c r="AP474" s="4">
        <f>IF(D474="M",IF($AM474&lt;45,WeightSDS!M$23*$AM474^10+WeightSDS!N$23*$AM474^9+WeightSDS!O$23*$AM474^8+WeightSDS!P$23*$AM474^7+WeightSDS!Q$23*$AM474^6+WeightSDS!R$23*$AM474^5+WeightSDS!S$23*$AM474^4+WeightSDS!T$23*$AM474^3+WeightSDS!U$23*$AM474^2+WeightSDS!V$23*$AM474+WeightSDS!W$23,IF($AM474&lt;153,WeightSDS!M$25*$AM474^10+WeightSDS!N$25*$AM474^9+WeightSDS!O$25*$AM474^8+WeightSDS!P$25*$AM474^7+WeightSDS!Q$25*$AM474^6+WeightSDS!R$25*$AM474^5+WeightSDS!S$25*$AM474^4+WeightSDS!T$25*$AM474^3+WeightSDS!U$25*$AM474^2+WeightSDS!V$25*$AM474+WeightSDS!W$25,WeightSDS!M$27+WeightSDS!N$27/(1+EXP(WeightSDS!O$27+WeightSDS!P$27*$AM474)))),IF($AM474&lt;43.8,WeightSDS!M$29*$AM474^10+WeightSDS!N$29*$AM474^9+WeightSDS!O$29*$AM474^8+WeightSDS!P$29*$AM474^7+WeightSDS!Q$29*$AM474^6+WeightSDS!R$29*$AM474^5+WeightSDS!S$29*$AM474^4+WeightSDS!T$29*$AM474^3+WeightSDS!U$29*$AM474^2+WeightSDS!V$29*$AM474+WeightSDS!W$29-0.010431*(1-$AM474/210),IF($AM474&lt;123,WeightSDS!M$30*$AM474^10+WeightSDS!N$30*$AM474^9+WeightSDS!O$30*$AM474^8+WeightSDS!P$30*$AM474^7+WeightSDS!Q$30*$AM474^6+WeightSDS!R$30*$AM474^5+WeightSDS!S$30*$AM474^4+WeightSDS!T$30*$AM474^3+WeightSDS!U$30*$AM474^2+WeightSDS!V$30*$AM474+WeightSDS!W$30-0.010431*(1-1/$AM474),WeightSDS!M$32+WeightSDS!N$32/(1+EXP(WeightSDS!O$32+WeightSDS!P$32*$AM474))-0.010431*(1-$AM474/210))))</f>
        <v>2.9500001032655536</v>
      </c>
      <c r="AQ474" s="4">
        <f>IF(D474="M",IF($AM474&lt;162,WeightSDS!P$12*$AM474^7+WeightSDS!Q$12*$AM474^6+WeightSDS!R$12*$AM474^5+WeightSDS!S$12*$AM474^4+WeightSDS!T$12*$AM474^3+WeightSDS!U$12*$AM474^2+WeightSDS!V$12*$AM474+WeightSDS!W$12,WeightSDS!P$14*$AM474^7+WeightSDS!Q$14*$AM474^6+WeightSDS!R$14*$AM474^5+WeightSDS!S$14*$AM474^4+WeightSDS!T$14*$AM474^3+WeightSDS!U$14*$AM474^2+WeightSDS!V$14*$AM474+WeightSDS!W$14),IF($AM474&lt;156,WeightSDS!O$17*$AM474^8+WeightSDS!P$17*$AM474^7+WeightSDS!Q$17*$AM474^6+WeightSDS!R$17*$AM474^5+WeightSDS!S$17*$AM474^4+WeightSDS!T$17*$AM474^3+WeightSDS!U$17*$AM474^2+WeightSDS!V$17*$AM474+WeightSDS!W$17,IF($AM474&lt;186,WeightSDS!$U$18+(WeightSDS!$V$18-WeightSDS!$U$18)/24*($AM474-186)+WeightSDS!$W$18*(-$AM474+186)^2-0.005,WeightSDS!$U$18+(WeightSDS!$V$18-WeightSDS!$U$18)/24*($AM474-186)-0.005)))</f>
        <v>0.14604529399999999</v>
      </c>
      <c r="AT474" s="4">
        <f t="shared" si="154"/>
        <v>0.56299999999999994</v>
      </c>
      <c r="AU474" s="4">
        <f t="shared" si="155"/>
        <v>69</v>
      </c>
      <c r="AV474" s="4">
        <f t="shared" si="156"/>
        <v>0.51</v>
      </c>
    </row>
    <row r="475" spans="1:48" x14ac:dyDescent="0.15">
      <c r="A475" s="4"/>
      <c r="B475" s="21"/>
      <c r="C475" s="21"/>
      <c r="D475" s="21"/>
      <c r="E475" s="22"/>
      <c r="F475" s="22"/>
      <c r="G475" s="23"/>
      <c r="H475" s="23"/>
      <c r="I475" s="181"/>
      <c r="J475" s="8" t="str">
        <f t="shared" si="148"/>
        <v/>
      </c>
      <c r="K475" s="2" t="str">
        <f t="shared" si="157"/>
        <v/>
      </c>
      <c r="L475" s="2" t="str">
        <f t="shared" si="149"/>
        <v/>
      </c>
      <c r="M475" s="2" t="str">
        <f t="shared" si="158"/>
        <v/>
      </c>
      <c r="N475" s="2" t="str">
        <f t="shared" si="166"/>
        <v/>
      </c>
      <c r="O475" s="2" t="str">
        <f t="shared" si="159"/>
        <v/>
      </c>
      <c r="P475" s="8" t="str">
        <f t="shared" si="160"/>
        <v/>
      </c>
      <c r="Q475" s="8" t="str">
        <f t="shared" si="161"/>
        <v/>
      </c>
      <c r="R475" s="111" t="str">
        <f t="shared" si="162"/>
        <v/>
      </c>
      <c r="S475" s="44" t="str">
        <f t="shared" si="163"/>
        <v/>
      </c>
      <c r="T475" s="37" t="str">
        <f t="shared" si="164"/>
        <v/>
      </c>
      <c r="U475" s="44" t="str">
        <f t="shared" si="165"/>
        <v/>
      </c>
      <c r="V475" s="26"/>
      <c r="W475" s="26"/>
      <c r="X475" s="26"/>
      <c r="Y475" s="26"/>
      <c r="Z475" s="24"/>
      <c r="AA475" s="169">
        <f t="shared" si="150"/>
        <v>0</v>
      </c>
      <c r="AB475" s="4">
        <f t="shared" si="151"/>
        <v>0</v>
      </c>
      <c r="AC475" s="170">
        <f t="shared" si="147"/>
        <v>0</v>
      </c>
      <c r="AD475" s="58"/>
      <c r="AE475" s="58"/>
      <c r="AF475" s="58"/>
      <c r="AG475" s="59">
        <f t="shared" si="152"/>
        <v>9.0359999999999996</v>
      </c>
      <c r="AH475" s="59">
        <f t="shared" si="153"/>
        <v>-184.49199999999999</v>
      </c>
      <c r="AJ475" s="4">
        <f>IF(D475="M",IF(AM475&lt;78,BMILMS!$D$5*AM475^3+BMILMS!$E$5*AM475^2+BMILMS!$F$5*AM475+BMILMS!$G$5,IF(AM475&lt;150,BMILMS!$D$6*AM475^3+BMILMS!$E$6*AM475^2+BMILMS!$F$6*AM475+BMILMS!$G$6,BMILMS!$D$7*AM475^3+BMILMS!$E$7*AM475^2+BMILMS!$F$7*AM475+BMILMS!$G$7)),IF(AM475&lt;69,BMILMS!$D$9*AM475^3+BMILMS!$E$9*AM475^2+BMILMS!$F$9*AM475+BMILMS!$G$9,IF(AM475&lt;150,BMILMS!$D$10*AM475^3+BMILMS!$E$10*AM475^2+BMILMS!$F$10*AM475+BMILMS!$G$10,BMILMS!$D$11*AM475^3+BMILMS!$E$11*AM475^2+BMILMS!$F$11*AM475+BMILMS!$G$11)))</f>
        <v>0.79584630099999998</v>
      </c>
      <c r="AK475" s="4">
        <f>IF(D475="M",(IF(AM475&lt;2.5,BMILMS!$D$21*AM475^3+BMILMS!$E$21*AM475^2+BMILMS!$F$21*AM475+BMILMS!$G$21,IF(AM475&lt;9.5,BMILMS!$D$22*AM475^3+BMILMS!$E$22*AM475^2+BMILMS!$F$22*AM475+BMILMS!$G$22,IF(AM475&lt;26.75,BMILMS!$D$23*AM475^3+BMILMS!$E$23*AM475^2+BMILMS!$F$23*AM475+BMILMS!$G$23,IF(AM475&lt;90,BMILMS!$D$24*AM475^3+BMILMS!$E$24*AM475^2+BMILMS!$F$24*AM475+BMILMS!$G$24,BMILMS!$D$25*AM475^3+BMILMS!$E$25*AM475^2+BMILMS!$F$25*AM475+BMILMS!$G$25))))),(IF(AM475&lt;2.5,BMILMS!$D$27*AM475^3+BMILMS!$E$27*AM475^2+BMILMS!$F$27*AM475+BMILMS!$G$27,IF(AM475&lt;9.5,BMILMS!$D$28*AM475^3+BMILMS!$E$28*AM475^2+BMILMS!$F$28*AM475+BMILMS!$G$28,IF(AM475&lt;26.75,BMILMS!$D$29*AM475^3+BMILMS!$E$29*AM475^2+BMILMS!$F$29*AM475+BMILMS!$G$29,IF(AM475&lt;90,BMILMS!$D$30*AM475^3+BMILMS!$E$30*AM475^2+BMILMS!$F$30*AM475+BMILMS!$G$30,IF(AM475&lt;150,BMILMS!$D$31*AM475^3+BMILMS!$E$31*AM475^2+BMILMS!$F$31*AM475+BMILMS!$G$31,BMILMS!$D$32*AM475^3+BMILMS!$E$32*AM475^2+BMILMS!$F$32*AM475+BMILMS!$G$32)))))))</f>
        <v>12.568967990000001</v>
      </c>
      <c r="AL475" s="4">
        <f>IF(D475="M",(IF(AM475&lt;90,BMILMS!$D$14*AM475^3+BMILMS!$E$14*AM475^2+BMILMS!$F$14*AM475+BMILMS!$G$14,BMILMS!$D$15*AM475^3+BMILMS!$E$15*AM475^2+BMILMS!$F$15*AM475+BMILMS!$G$15)),(IF(AM475&lt;90,BMILMS!$D$17*AM475^3+BMILMS!$E$17*AM475^2+BMILMS!$F$17*AM475+BMILMS!$G$17,BMILMS!$D$18*AM475^3+BMILMS!$E$18*AM475^2+BMILMS!$F$18*AM475+BMILMS!$G$18)))</f>
        <v>8.8969350000000003E-2</v>
      </c>
      <c r="AM475" s="4">
        <f t="shared" si="167"/>
        <v>0</v>
      </c>
      <c r="AO475" s="56">
        <f>IF(D475="M",WeightSDS!P$5*$AM475^7+WeightSDS!Q$5*$AM475^6+WeightSDS!R$5*$AM475^5+WeightSDS!S$5*$AM475^4+WeightSDS!T$5*$AM475^3+WeightSDS!U$5*$AM475^2+WeightSDS!V$5*$AM475+WeightSDS!W$5,IF($AM475&lt;186,WeightSDS!P$8*$AM475^7+WeightSDS!Q$8*$AM475^6+WeightSDS!R$8*$AM475^5+WeightSDS!S$8*$AM475^4+WeightSDS!T$8*$AM475^3+WeightSDS!U$8*$AM475^2+WeightSDS!V$8*$AM475+WeightSDS!W$8,WeightSDS!$U$9+WeightSDS!$V$9*($AM475-WeightSDS!$W$9)))</f>
        <v>0.75407122999999998</v>
      </c>
      <c r="AP475" s="4">
        <f>IF(D475="M",IF($AM475&lt;45,WeightSDS!M$23*$AM475^10+WeightSDS!N$23*$AM475^9+WeightSDS!O$23*$AM475^8+WeightSDS!P$23*$AM475^7+WeightSDS!Q$23*$AM475^6+WeightSDS!R$23*$AM475^5+WeightSDS!S$23*$AM475^4+WeightSDS!T$23*$AM475^3+WeightSDS!U$23*$AM475^2+WeightSDS!V$23*$AM475+WeightSDS!W$23,IF($AM475&lt;153,WeightSDS!M$25*$AM475^10+WeightSDS!N$25*$AM475^9+WeightSDS!O$25*$AM475^8+WeightSDS!P$25*$AM475^7+WeightSDS!Q$25*$AM475^6+WeightSDS!R$25*$AM475^5+WeightSDS!S$25*$AM475^4+WeightSDS!T$25*$AM475^3+WeightSDS!U$25*$AM475^2+WeightSDS!V$25*$AM475+WeightSDS!W$25,WeightSDS!M$27+WeightSDS!N$27/(1+EXP(WeightSDS!O$27+WeightSDS!P$27*$AM475)))),IF($AM475&lt;43.8,WeightSDS!M$29*$AM475^10+WeightSDS!N$29*$AM475^9+WeightSDS!O$29*$AM475^8+WeightSDS!P$29*$AM475^7+WeightSDS!Q$29*$AM475^6+WeightSDS!R$29*$AM475^5+WeightSDS!S$29*$AM475^4+WeightSDS!T$29*$AM475^3+WeightSDS!U$29*$AM475^2+WeightSDS!V$29*$AM475+WeightSDS!W$29-0.010431*(1-$AM475/210),IF($AM475&lt;123,WeightSDS!M$30*$AM475^10+WeightSDS!N$30*$AM475^9+WeightSDS!O$30*$AM475^8+WeightSDS!P$30*$AM475^7+WeightSDS!Q$30*$AM475^6+WeightSDS!R$30*$AM475^5+WeightSDS!S$30*$AM475^4+WeightSDS!T$30*$AM475^3+WeightSDS!U$30*$AM475^2+WeightSDS!V$30*$AM475+WeightSDS!W$30-0.010431*(1-1/$AM475),WeightSDS!M$32+WeightSDS!N$32/(1+EXP(WeightSDS!O$32+WeightSDS!P$32*$AM475))-0.010431*(1-$AM475/210))))</f>
        <v>2.9500001032655536</v>
      </c>
      <c r="AQ475" s="4">
        <f>IF(D475="M",IF($AM475&lt;162,WeightSDS!P$12*$AM475^7+WeightSDS!Q$12*$AM475^6+WeightSDS!R$12*$AM475^5+WeightSDS!S$12*$AM475^4+WeightSDS!T$12*$AM475^3+WeightSDS!U$12*$AM475^2+WeightSDS!V$12*$AM475+WeightSDS!W$12,WeightSDS!P$14*$AM475^7+WeightSDS!Q$14*$AM475^6+WeightSDS!R$14*$AM475^5+WeightSDS!S$14*$AM475^4+WeightSDS!T$14*$AM475^3+WeightSDS!U$14*$AM475^2+WeightSDS!V$14*$AM475+WeightSDS!W$14),IF($AM475&lt;156,WeightSDS!O$17*$AM475^8+WeightSDS!P$17*$AM475^7+WeightSDS!Q$17*$AM475^6+WeightSDS!R$17*$AM475^5+WeightSDS!S$17*$AM475^4+WeightSDS!T$17*$AM475^3+WeightSDS!U$17*$AM475^2+WeightSDS!V$17*$AM475+WeightSDS!W$17,IF($AM475&lt;186,WeightSDS!$U$18+(WeightSDS!$V$18-WeightSDS!$U$18)/24*($AM475-186)+WeightSDS!$W$18*(-$AM475+186)^2-0.005,WeightSDS!$U$18+(WeightSDS!$V$18-WeightSDS!$U$18)/24*($AM475-186)-0.005)))</f>
        <v>0.14604529399999999</v>
      </c>
      <c r="AT475" s="4">
        <f t="shared" si="154"/>
        <v>0.56299999999999994</v>
      </c>
      <c r="AU475" s="4">
        <f t="shared" si="155"/>
        <v>69</v>
      </c>
      <c r="AV475" s="4">
        <f t="shared" si="156"/>
        <v>0.51</v>
      </c>
    </row>
    <row r="476" spans="1:48" x14ac:dyDescent="0.15">
      <c r="A476" s="4"/>
      <c r="B476" s="21"/>
      <c r="C476" s="21"/>
      <c r="D476" s="21"/>
      <c r="E476" s="22"/>
      <c r="F476" s="22"/>
      <c r="G476" s="23"/>
      <c r="H476" s="23"/>
      <c r="I476" s="181"/>
      <c r="J476" s="8" t="str">
        <f t="shared" si="148"/>
        <v/>
      </c>
      <c r="K476" s="2" t="str">
        <f t="shared" si="157"/>
        <v/>
      </c>
      <c r="L476" s="2" t="str">
        <f t="shared" si="149"/>
        <v/>
      </c>
      <c r="M476" s="2" t="str">
        <f t="shared" si="158"/>
        <v/>
      </c>
      <c r="N476" s="2" t="str">
        <f t="shared" si="166"/>
        <v/>
      </c>
      <c r="O476" s="2" t="str">
        <f t="shared" si="159"/>
        <v/>
      </c>
      <c r="P476" s="8" t="str">
        <f t="shared" si="160"/>
        <v/>
      </c>
      <c r="Q476" s="8" t="str">
        <f t="shared" si="161"/>
        <v/>
      </c>
      <c r="R476" s="111" t="str">
        <f t="shared" si="162"/>
        <v/>
      </c>
      <c r="S476" s="44" t="str">
        <f t="shared" si="163"/>
        <v/>
      </c>
      <c r="T476" s="37" t="str">
        <f t="shared" si="164"/>
        <v/>
      </c>
      <c r="U476" s="44" t="str">
        <f t="shared" si="165"/>
        <v/>
      </c>
      <c r="V476" s="26"/>
      <c r="W476" s="26"/>
      <c r="X476" s="26"/>
      <c r="Y476" s="26"/>
      <c r="Z476" s="24"/>
      <c r="AA476" s="169">
        <f t="shared" si="150"/>
        <v>0</v>
      </c>
      <c r="AB476" s="4">
        <f t="shared" si="151"/>
        <v>0</v>
      </c>
      <c r="AC476" s="170">
        <f t="shared" si="147"/>
        <v>0</v>
      </c>
      <c r="AD476" s="58"/>
      <c r="AE476" s="58"/>
      <c r="AF476" s="58"/>
      <c r="AG476" s="59">
        <f t="shared" si="152"/>
        <v>9.0359999999999996</v>
      </c>
      <c r="AH476" s="59">
        <f t="shared" si="153"/>
        <v>-184.49199999999999</v>
      </c>
      <c r="AJ476" s="4">
        <f>IF(D476="M",IF(AM476&lt;78,BMILMS!$D$5*AM476^3+BMILMS!$E$5*AM476^2+BMILMS!$F$5*AM476+BMILMS!$G$5,IF(AM476&lt;150,BMILMS!$D$6*AM476^3+BMILMS!$E$6*AM476^2+BMILMS!$F$6*AM476+BMILMS!$G$6,BMILMS!$D$7*AM476^3+BMILMS!$E$7*AM476^2+BMILMS!$F$7*AM476+BMILMS!$G$7)),IF(AM476&lt;69,BMILMS!$D$9*AM476^3+BMILMS!$E$9*AM476^2+BMILMS!$F$9*AM476+BMILMS!$G$9,IF(AM476&lt;150,BMILMS!$D$10*AM476^3+BMILMS!$E$10*AM476^2+BMILMS!$F$10*AM476+BMILMS!$G$10,BMILMS!$D$11*AM476^3+BMILMS!$E$11*AM476^2+BMILMS!$F$11*AM476+BMILMS!$G$11)))</f>
        <v>0.79584630099999998</v>
      </c>
      <c r="AK476" s="4">
        <f>IF(D476="M",(IF(AM476&lt;2.5,BMILMS!$D$21*AM476^3+BMILMS!$E$21*AM476^2+BMILMS!$F$21*AM476+BMILMS!$G$21,IF(AM476&lt;9.5,BMILMS!$D$22*AM476^3+BMILMS!$E$22*AM476^2+BMILMS!$F$22*AM476+BMILMS!$G$22,IF(AM476&lt;26.75,BMILMS!$D$23*AM476^3+BMILMS!$E$23*AM476^2+BMILMS!$F$23*AM476+BMILMS!$G$23,IF(AM476&lt;90,BMILMS!$D$24*AM476^3+BMILMS!$E$24*AM476^2+BMILMS!$F$24*AM476+BMILMS!$G$24,BMILMS!$D$25*AM476^3+BMILMS!$E$25*AM476^2+BMILMS!$F$25*AM476+BMILMS!$G$25))))),(IF(AM476&lt;2.5,BMILMS!$D$27*AM476^3+BMILMS!$E$27*AM476^2+BMILMS!$F$27*AM476+BMILMS!$G$27,IF(AM476&lt;9.5,BMILMS!$D$28*AM476^3+BMILMS!$E$28*AM476^2+BMILMS!$F$28*AM476+BMILMS!$G$28,IF(AM476&lt;26.75,BMILMS!$D$29*AM476^3+BMILMS!$E$29*AM476^2+BMILMS!$F$29*AM476+BMILMS!$G$29,IF(AM476&lt;90,BMILMS!$D$30*AM476^3+BMILMS!$E$30*AM476^2+BMILMS!$F$30*AM476+BMILMS!$G$30,IF(AM476&lt;150,BMILMS!$D$31*AM476^3+BMILMS!$E$31*AM476^2+BMILMS!$F$31*AM476+BMILMS!$G$31,BMILMS!$D$32*AM476^3+BMILMS!$E$32*AM476^2+BMILMS!$F$32*AM476+BMILMS!$G$32)))))))</f>
        <v>12.568967990000001</v>
      </c>
      <c r="AL476" s="4">
        <f>IF(D476="M",(IF(AM476&lt;90,BMILMS!$D$14*AM476^3+BMILMS!$E$14*AM476^2+BMILMS!$F$14*AM476+BMILMS!$G$14,BMILMS!$D$15*AM476^3+BMILMS!$E$15*AM476^2+BMILMS!$F$15*AM476+BMILMS!$G$15)),(IF(AM476&lt;90,BMILMS!$D$17*AM476^3+BMILMS!$E$17*AM476^2+BMILMS!$F$17*AM476+BMILMS!$G$17,BMILMS!$D$18*AM476^3+BMILMS!$E$18*AM476^2+BMILMS!$F$18*AM476+BMILMS!$G$18)))</f>
        <v>8.8969350000000003E-2</v>
      </c>
      <c r="AM476" s="4">
        <f t="shared" si="167"/>
        <v>0</v>
      </c>
      <c r="AO476" s="56">
        <f>IF(D476="M",WeightSDS!P$5*$AM476^7+WeightSDS!Q$5*$AM476^6+WeightSDS!R$5*$AM476^5+WeightSDS!S$5*$AM476^4+WeightSDS!T$5*$AM476^3+WeightSDS!U$5*$AM476^2+WeightSDS!V$5*$AM476+WeightSDS!W$5,IF($AM476&lt;186,WeightSDS!P$8*$AM476^7+WeightSDS!Q$8*$AM476^6+WeightSDS!R$8*$AM476^5+WeightSDS!S$8*$AM476^4+WeightSDS!T$8*$AM476^3+WeightSDS!U$8*$AM476^2+WeightSDS!V$8*$AM476+WeightSDS!W$8,WeightSDS!$U$9+WeightSDS!$V$9*($AM476-WeightSDS!$W$9)))</f>
        <v>0.75407122999999998</v>
      </c>
      <c r="AP476" s="4">
        <f>IF(D476="M",IF($AM476&lt;45,WeightSDS!M$23*$AM476^10+WeightSDS!N$23*$AM476^9+WeightSDS!O$23*$AM476^8+WeightSDS!P$23*$AM476^7+WeightSDS!Q$23*$AM476^6+WeightSDS!R$23*$AM476^5+WeightSDS!S$23*$AM476^4+WeightSDS!T$23*$AM476^3+WeightSDS!U$23*$AM476^2+WeightSDS!V$23*$AM476+WeightSDS!W$23,IF($AM476&lt;153,WeightSDS!M$25*$AM476^10+WeightSDS!N$25*$AM476^9+WeightSDS!O$25*$AM476^8+WeightSDS!P$25*$AM476^7+WeightSDS!Q$25*$AM476^6+WeightSDS!R$25*$AM476^5+WeightSDS!S$25*$AM476^4+WeightSDS!T$25*$AM476^3+WeightSDS!U$25*$AM476^2+WeightSDS!V$25*$AM476+WeightSDS!W$25,WeightSDS!M$27+WeightSDS!N$27/(1+EXP(WeightSDS!O$27+WeightSDS!P$27*$AM476)))),IF($AM476&lt;43.8,WeightSDS!M$29*$AM476^10+WeightSDS!N$29*$AM476^9+WeightSDS!O$29*$AM476^8+WeightSDS!P$29*$AM476^7+WeightSDS!Q$29*$AM476^6+WeightSDS!R$29*$AM476^5+WeightSDS!S$29*$AM476^4+WeightSDS!T$29*$AM476^3+WeightSDS!U$29*$AM476^2+WeightSDS!V$29*$AM476+WeightSDS!W$29-0.010431*(1-$AM476/210),IF($AM476&lt;123,WeightSDS!M$30*$AM476^10+WeightSDS!N$30*$AM476^9+WeightSDS!O$30*$AM476^8+WeightSDS!P$30*$AM476^7+WeightSDS!Q$30*$AM476^6+WeightSDS!R$30*$AM476^5+WeightSDS!S$30*$AM476^4+WeightSDS!T$30*$AM476^3+WeightSDS!U$30*$AM476^2+WeightSDS!V$30*$AM476+WeightSDS!W$30-0.010431*(1-1/$AM476),WeightSDS!M$32+WeightSDS!N$32/(1+EXP(WeightSDS!O$32+WeightSDS!P$32*$AM476))-0.010431*(1-$AM476/210))))</f>
        <v>2.9500001032655536</v>
      </c>
      <c r="AQ476" s="4">
        <f>IF(D476="M",IF($AM476&lt;162,WeightSDS!P$12*$AM476^7+WeightSDS!Q$12*$AM476^6+WeightSDS!R$12*$AM476^5+WeightSDS!S$12*$AM476^4+WeightSDS!T$12*$AM476^3+WeightSDS!U$12*$AM476^2+WeightSDS!V$12*$AM476+WeightSDS!W$12,WeightSDS!P$14*$AM476^7+WeightSDS!Q$14*$AM476^6+WeightSDS!R$14*$AM476^5+WeightSDS!S$14*$AM476^4+WeightSDS!T$14*$AM476^3+WeightSDS!U$14*$AM476^2+WeightSDS!V$14*$AM476+WeightSDS!W$14),IF($AM476&lt;156,WeightSDS!O$17*$AM476^8+WeightSDS!P$17*$AM476^7+WeightSDS!Q$17*$AM476^6+WeightSDS!R$17*$AM476^5+WeightSDS!S$17*$AM476^4+WeightSDS!T$17*$AM476^3+WeightSDS!U$17*$AM476^2+WeightSDS!V$17*$AM476+WeightSDS!W$17,IF($AM476&lt;186,WeightSDS!$U$18+(WeightSDS!$V$18-WeightSDS!$U$18)/24*($AM476-186)+WeightSDS!$W$18*(-$AM476+186)^2-0.005,WeightSDS!$U$18+(WeightSDS!$V$18-WeightSDS!$U$18)/24*($AM476-186)-0.005)))</f>
        <v>0.14604529399999999</v>
      </c>
      <c r="AT476" s="4">
        <f t="shared" si="154"/>
        <v>0.56299999999999994</v>
      </c>
      <c r="AU476" s="4">
        <f t="shared" si="155"/>
        <v>69</v>
      </c>
      <c r="AV476" s="4">
        <f t="shared" si="156"/>
        <v>0.51</v>
      </c>
    </row>
    <row r="477" spans="1:48" x14ac:dyDescent="0.15">
      <c r="A477" s="4"/>
      <c r="B477" s="21"/>
      <c r="C477" s="21"/>
      <c r="D477" s="21"/>
      <c r="E477" s="22"/>
      <c r="F477" s="22"/>
      <c r="G477" s="23"/>
      <c r="H477" s="23"/>
      <c r="I477" s="181"/>
      <c r="J477" s="8" t="str">
        <f t="shared" si="148"/>
        <v/>
      </c>
      <c r="K477" s="2" t="str">
        <f t="shared" si="157"/>
        <v/>
      </c>
      <c r="L477" s="2" t="str">
        <f t="shared" si="149"/>
        <v/>
      </c>
      <c r="M477" s="2" t="str">
        <f t="shared" si="158"/>
        <v/>
      </c>
      <c r="N477" s="2" t="str">
        <f t="shared" si="166"/>
        <v/>
      </c>
      <c r="O477" s="2" t="str">
        <f t="shared" si="159"/>
        <v/>
      </c>
      <c r="P477" s="8" t="str">
        <f t="shared" si="160"/>
        <v/>
      </c>
      <c r="Q477" s="8" t="str">
        <f t="shared" si="161"/>
        <v/>
      </c>
      <c r="R477" s="111" t="str">
        <f t="shared" si="162"/>
        <v/>
      </c>
      <c r="S477" s="44" t="str">
        <f t="shared" si="163"/>
        <v/>
      </c>
      <c r="T477" s="37" t="str">
        <f t="shared" si="164"/>
        <v/>
      </c>
      <c r="U477" s="44" t="str">
        <f t="shared" si="165"/>
        <v/>
      </c>
      <c r="V477" s="26"/>
      <c r="W477" s="26"/>
      <c r="X477" s="26"/>
      <c r="Y477" s="26"/>
      <c r="Z477" s="24"/>
      <c r="AA477" s="169">
        <f t="shared" si="150"/>
        <v>0</v>
      </c>
      <c r="AB477" s="4">
        <f t="shared" si="151"/>
        <v>0</v>
      </c>
      <c r="AC477" s="170">
        <f t="shared" si="147"/>
        <v>0</v>
      </c>
      <c r="AD477" s="58"/>
      <c r="AE477" s="58"/>
      <c r="AF477" s="58"/>
      <c r="AG477" s="59">
        <f t="shared" si="152"/>
        <v>9.0359999999999996</v>
      </c>
      <c r="AH477" s="59">
        <f t="shared" si="153"/>
        <v>-184.49199999999999</v>
      </c>
      <c r="AJ477" s="4">
        <f>IF(D477="M",IF(AM477&lt;78,BMILMS!$D$5*AM477^3+BMILMS!$E$5*AM477^2+BMILMS!$F$5*AM477+BMILMS!$G$5,IF(AM477&lt;150,BMILMS!$D$6*AM477^3+BMILMS!$E$6*AM477^2+BMILMS!$F$6*AM477+BMILMS!$G$6,BMILMS!$D$7*AM477^3+BMILMS!$E$7*AM477^2+BMILMS!$F$7*AM477+BMILMS!$G$7)),IF(AM477&lt;69,BMILMS!$D$9*AM477^3+BMILMS!$E$9*AM477^2+BMILMS!$F$9*AM477+BMILMS!$G$9,IF(AM477&lt;150,BMILMS!$D$10*AM477^3+BMILMS!$E$10*AM477^2+BMILMS!$F$10*AM477+BMILMS!$G$10,BMILMS!$D$11*AM477^3+BMILMS!$E$11*AM477^2+BMILMS!$F$11*AM477+BMILMS!$G$11)))</f>
        <v>0.79584630099999998</v>
      </c>
      <c r="AK477" s="4">
        <f>IF(D477="M",(IF(AM477&lt;2.5,BMILMS!$D$21*AM477^3+BMILMS!$E$21*AM477^2+BMILMS!$F$21*AM477+BMILMS!$G$21,IF(AM477&lt;9.5,BMILMS!$D$22*AM477^3+BMILMS!$E$22*AM477^2+BMILMS!$F$22*AM477+BMILMS!$G$22,IF(AM477&lt;26.75,BMILMS!$D$23*AM477^3+BMILMS!$E$23*AM477^2+BMILMS!$F$23*AM477+BMILMS!$G$23,IF(AM477&lt;90,BMILMS!$D$24*AM477^3+BMILMS!$E$24*AM477^2+BMILMS!$F$24*AM477+BMILMS!$G$24,BMILMS!$D$25*AM477^3+BMILMS!$E$25*AM477^2+BMILMS!$F$25*AM477+BMILMS!$G$25))))),(IF(AM477&lt;2.5,BMILMS!$D$27*AM477^3+BMILMS!$E$27*AM477^2+BMILMS!$F$27*AM477+BMILMS!$G$27,IF(AM477&lt;9.5,BMILMS!$D$28*AM477^3+BMILMS!$E$28*AM477^2+BMILMS!$F$28*AM477+BMILMS!$G$28,IF(AM477&lt;26.75,BMILMS!$D$29*AM477^3+BMILMS!$E$29*AM477^2+BMILMS!$F$29*AM477+BMILMS!$G$29,IF(AM477&lt;90,BMILMS!$D$30*AM477^3+BMILMS!$E$30*AM477^2+BMILMS!$F$30*AM477+BMILMS!$G$30,IF(AM477&lt;150,BMILMS!$D$31*AM477^3+BMILMS!$E$31*AM477^2+BMILMS!$F$31*AM477+BMILMS!$G$31,BMILMS!$D$32*AM477^3+BMILMS!$E$32*AM477^2+BMILMS!$F$32*AM477+BMILMS!$G$32)))))))</f>
        <v>12.568967990000001</v>
      </c>
      <c r="AL477" s="4">
        <f>IF(D477="M",(IF(AM477&lt;90,BMILMS!$D$14*AM477^3+BMILMS!$E$14*AM477^2+BMILMS!$F$14*AM477+BMILMS!$G$14,BMILMS!$D$15*AM477^3+BMILMS!$E$15*AM477^2+BMILMS!$F$15*AM477+BMILMS!$G$15)),(IF(AM477&lt;90,BMILMS!$D$17*AM477^3+BMILMS!$E$17*AM477^2+BMILMS!$F$17*AM477+BMILMS!$G$17,BMILMS!$D$18*AM477^3+BMILMS!$E$18*AM477^2+BMILMS!$F$18*AM477+BMILMS!$G$18)))</f>
        <v>8.8969350000000003E-2</v>
      </c>
      <c r="AM477" s="4">
        <f t="shared" si="167"/>
        <v>0</v>
      </c>
      <c r="AO477" s="56">
        <f>IF(D477="M",WeightSDS!P$5*$AM477^7+WeightSDS!Q$5*$AM477^6+WeightSDS!R$5*$AM477^5+WeightSDS!S$5*$AM477^4+WeightSDS!T$5*$AM477^3+WeightSDS!U$5*$AM477^2+WeightSDS!V$5*$AM477+WeightSDS!W$5,IF($AM477&lt;186,WeightSDS!P$8*$AM477^7+WeightSDS!Q$8*$AM477^6+WeightSDS!R$8*$AM477^5+WeightSDS!S$8*$AM477^4+WeightSDS!T$8*$AM477^3+WeightSDS!U$8*$AM477^2+WeightSDS!V$8*$AM477+WeightSDS!W$8,WeightSDS!$U$9+WeightSDS!$V$9*($AM477-WeightSDS!$W$9)))</f>
        <v>0.75407122999999998</v>
      </c>
      <c r="AP477" s="4">
        <f>IF(D477="M",IF($AM477&lt;45,WeightSDS!M$23*$AM477^10+WeightSDS!N$23*$AM477^9+WeightSDS!O$23*$AM477^8+WeightSDS!P$23*$AM477^7+WeightSDS!Q$23*$AM477^6+WeightSDS!R$23*$AM477^5+WeightSDS!S$23*$AM477^4+WeightSDS!T$23*$AM477^3+WeightSDS!U$23*$AM477^2+WeightSDS!V$23*$AM477+WeightSDS!W$23,IF($AM477&lt;153,WeightSDS!M$25*$AM477^10+WeightSDS!N$25*$AM477^9+WeightSDS!O$25*$AM477^8+WeightSDS!P$25*$AM477^7+WeightSDS!Q$25*$AM477^6+WeightSDS!R$25*$AM477^5+WeightSDS!S$25*$AM477^4+WeightSDS!T$25*$AM477^3+WeightSDS!U$25*$AM477^2+WeightSDS!V$25*$AM477+WeightSDS!W$25,WeightSDS!M$27+WeightSDS!N$27/(1+EXP(WeightSDS!O$27+WeightSDS!P$27*$AM477)))),IF($AM477&lt;43.8,WeightSDS!M$29*$AM477^10+WeightSDS!N$29*$AM477^9+WeightSDS!O$29*$AM477^8+WeightSDS!P$29*$AM477^7+WeightSDS!Q$29*$AM477^6+WeightSDS!R$29*$AM477^5+WeightSDS!S$29*$AM477^4+WeightSDS!T$29*$AM477^3+WeightSDS!U$29*$AM477^2+WeightSDS!V$29*$AM477+WeightSDS!W$29-0.010431*(1-$AM477/210),IF($AM477&lt;123,WeightSDS!M$30*$AM477^10+WeightSDS!N$30*$AM477^9+WeightSDS!O$30*$AM477^8+WeightSDS!P$30*$AM477^7+WeightSDS!Q$30*$AM477^6+WeightSDS!R$30*$AM477^5+WeightSDS!S$30*$AM477^4+WeightSDS!T$30*$AM477^3+WeightSDS!U$30*$AM477^2+WeightSDS!V$30*$AM477+WeightSDS!W$30-0.010431*(1-1/$AM477),WeightSDS!M$32+WeightSDS!N$32/(1+EXP(WeightSDS!O$32+WeightSDS!P$32*$AM477))-0.010431*(1-$AM477/210))))</f>
        <v>2.9500001032655536</v>
      </c>
      <c r="AQ477" s="4">
        <f>IF(D477="M",IF($AM477&lt;162,WeightSDS!P$12*$AM477^7+WeightSDS!Q$12*$AM477^6+WeightSDS!R$12*$AM477^5+WeightSDS!S$12*$AM477^4+WeightSDS!T$12*$AM477^3+WeightSDS!U$12*$AM477^2+WeightSDS!V$12*$AM477+WeightSDS!W$12,WeightSDS!P$14*$AM477^7+WeightSDS!Q$14*$AM477^6+WeightSDS!R$14*$AM477^5+WeightSDS!S$14*$AM477^4+WeightSDS!T$14*$AM477^3+WeightSDS!U$14*$AM477^2+WeightSDS!V$14*$AM477+WeightSDS!W$14),IF($AM477&lt;156,WeightSDS!O$17*$AM477^8+WeightSDS!P$17*$AM477^7+WeightSDS!Q$17*$AM477^6+WeightSDS!R$17*$AM477^5+WeightSDS!S$17*$AM477^4+WeightSDS!T$17*$AM477^3+WeightSDS!U$17*$AM477^2+WeightSDS!V$17*$AM477+WeightSDS!W$17,IF($AM477&lt;186,WeightSDS!$U$18+(WeightSDS!$V$18-WeightSDS!$U$18)/24*($AM477-186)+WeightSDS!$W$18*(-$AM477+186)^2-0.005,WeightSDS!$U$18+(WeightSDS!$V$18-WeightSDS!$U$18)/24*($AM477-186)-0.005)))</f>
        <v>0.14604529399999999</v>
      </c>
      <c r="AT477" s="4">
        <f t="shared" si="154"/>
        <v>0.56299999999999994</v>
      </c>
      <c r="AU477" s="4">
        <f t="shared" si="155"/>
        <v>69</v>
      </c>
      <c r="AV477" s="4">
        <f t="shared" si="156"/>
        <v>0.51</v>
      </c>
    </row>
    <row r="478" spans="1:48" x14ac:dyDescent="0.15">
      <c r="A478" s="4"/>
      <c r="B478" s="21"/>
      <c r="C478" s="21"/>
      <c r="D478" s="21"/>
      <c r="E478" s="22"/>
      <c r="F478" s="22"/>
      <c r="G478" s="23"/>
      <c r="H478" s="23"/>
      <c r="I478" s="181"/>
      <c r="J478" s="8" t="str">
        <f t="shared" si="148"/>
        <v/>
      </c>
      <c r="K478" s="2" t="str">
        <f t="shared" si="157"/>
        <v/>
      </c>
      <c r="L478" s="2" t="str">
        <f t="shared" si="149"/>
        <v/>
      </c>
      <c r="M478" s="2" t="str">
        <f t="shared" si="158"/>
        <v/>
      </c>
      <c r="N478" s="2" t="str">
        <f t="shared" si="166"/>
        <v/>
      </c>
      <c r="O478" s="2" t="str">
        <f t="shared" si="159"/>
        <v/>
      </c>
      <c r="P478" s="8" t="str">
        <f t="shared" si="160"/>
        <v/>
      </c>
      <c r="Q478" s="8" t="str">
        <f t="shared" si="161"/>
        <v/>
      </c>
      <c r="R478" s="111" t="str">
        <f t="shared" si="162"/>
        <v/>
      </c>
      <c r="S478" s="44" t="str">
        <f t="shared" si="163"/>
        <v/>
      </c>
      <c r="T478" s="37" t="str">
        <f t="shared" si="164"/>
        <v/>
      </c>
      <c r="U478" s="44" t="str">
        <f t="shared" si="165"/>
        <v/>
      </c>
      <c r="V478" s="26"/>
      <c r="W478" s="26"/>
      <c r="X478" s="26"/>
      <c r="Y478" s="26"/>
      <c r="Z478" s="24"/>
      <c r="AA478" s="169">
        <f t="shared" si="150"/>
        <v>0</v>
      </c>
      <c r="AB478" s="4">
        <f t="shared" si="151"/>
        <v>0</v>
      </c>
      <c r="AC478" s="170">
        <f t="shared" ref="AC478:AC541" si="168">DATEDIF(E478,F478,"Y")+(F478-(DATE(YEAR(E478)+DATEDIF(E478,F478,"Y"),MONTH(E478),DAY(E478))))/(365+IF(MOD(YEAR((DATE(YEAR(F478)-1,MONTH(E478),DAY(E478)))),4)=0,IF((DATE(YEAR(F478)-1,MONTH(E478),DAY(E478)))&gt;DATE(YEAR((DATE(YEAR(F478)-1,MONTH(E478),DAY(E478)))),2,29),0,1),0)+IF(MOD(YEAR(F478),4)=0,IF(F478&gt;DATE(YEAR(F478),2,29),1,0),0))</f>
        <v>0</v>
      </c>
      <c r="AD478" s="58"/>
      <c r="AE478" s="58"/>
      <c r="AF478" s="58"/>
      <c r="AG478" s="59">
        <f t="shared" si="152"/>
        <v>9.0359999999999996</v>
      </c>
      <c r="AH478" s="59">
        <f t="shared" si="153"/>
        <v>-184.49199999999999</v>
      </c>
      <c r="AJ478" s="4">
        <f>IF(D478="M",IF(AM478&lt;78,BMILMS!$D$5*AM478^3+BMILMS!$E$5*AM478^2+BMILMS!$F$5*AM478+BMILMS!$G$5,IF(AM478&lt;150,BMILMS!$D$6*AM478^3+BMILMS!$E$6*AM478^2+BMILMS!$F$6*AM478+BMILMS!$G$6,BMILMS!$D$7*AM478^3+BMILMS!$E$7*AM478^2+BMILMS!$F$7*AM478+BMILMS!$G$7)),IF(AM478&lt;69,BMILMS!$D$9*AM478^3+BMILMS!$E$9*AM478^2+BMILMS!$F$9*AM478+BMILMS!$G$9,IF(AM478&lt;150,BMILMS!$D$10*AM478^3+BMILMS!$E$10*AM478^2+BMILMS!$F$10*AM478+BMILMS!$G$10,BMILMS!$D$11*AM478^3+BMILMS!$E$11*AM478^2+BMILMS!$F$11*AM478+BMILMS!$G$11)))</f>
        <v>0.79584630099999998</v>
      </c>
      <c r="AK478" s="4">
        <f>IF(D478="M",(IF(AM478&lt;2.5,BMILMS!$D$21*AM478^3+BMILMS!$E$21*AM478^2+BMILMS!$F$21*AM478+BMILMS!$G$21,IF(AM478&lt;9.5,BMILMS!$D$22*AM478^3+BMILMS!$E$22*AM478^2+BMILMS!$F$22*AM478+BMILMS!$G$22,IF(AM478&lt;26.75,BMILMS!$D$23*AM478^3+BMILMS!$E$23*AM478^2+BMILMS!$F$23*AM478+BMILMS!$G$23,IF(AM478&lt;90,BMILMS!$D$24*AM478^3+BMILMS!$E$24*AM478^2+BMILMS!$F$24*AM478+BMILMS!$G$24,BMILMS!$D$25*AM478^3+BMILMS!$E$25*AM478^2+BMILMS!$F$25*AM478+BMILMS!$G$25))))),(IF(AM478&lt;2.5,BMILMS!$D$27*AM478^3+BMILMS!$E$27*AM478^2+BMILMS!$F$27*AM478+BMILMS!$G$27,IF(AM478&lt;9.5,BMILMS!$D$28*AM478^3+BMILMS!$E$28*AM478^2+BMILMS!$F$28*AM478+BMILMS!$G$28,IF(AM478&lt;26.75,BMILMS!$D$29*AM478^3+BMILMS!$E$29*AM478^2+BMILMS!$F$29*AM478+BMILMS!$G$29,IF(AM478&lt;90,BMILMS!$D$30*AM478^3+BMILMS!$E$30*AM478^2+BMILMS!$F$30*AM478+BMILMS!$G$30,IF(AM478&lt;150,BMILMS!$D$31*AM478^3+BMILMS!$E$31*AM478^2+BMILMS!$F$31*AM478+BMILMS!$G$31,BMILMS!$D$32*AM478^3+BMILMS!$E$32*AM478^2+BMILMS!$F$32*AM478+BMILMS!$G$32)))))))</f>
        <v>12.568967990000001</v>
      </c>
      <c r="AL478" s="4">
        <f>IF(D478="M",(IF(AM478&lt;90,BMILMS!$D$14*AM478^3+BMILMS!$E$14*AM478^2+BMILMS!$F$14*AM478+BMILMS!$G$14,BMILMS!$D$15*AM478^3+BMILMS!$E$15*AM478^2+BMILMS!$F$15*AM478+BMILMS!$G$15)),(IF(AM478&lt;90,BMILMS!$D$17*AM478^3+BMILMS!$E$17*AM478^2+BMILMS!$F$17*AM478+BMILMS!$G$17,BMILMS!$D$18*AM478^3+BMILMS!$E$18*AM478^2+BMILMS!$F$18*AM478+BMILMS!$G$18)))</f>
        <v>8.8969350000000003E-2</v>
      </c>
      <c r="AM478" s="4">
        <f t="shared" si="167"/>
        <v>0</v>
      </c>
      <c r="AO478" s="56">
        <f>IF(D478="M",WeightSDS!P$5*$AM478^7+WeightSDS!Q$5*$AM478^6+WeightSDS!R$5*$AM478^5+WeightSDS!S$5*$AM478^4+WeightSDS!T$5*$AM478^3+WeightSDS!U$5*$AM478^2+WeightSDS!V$5*$AM478+WeightSDS!W$5,IF($AM478&lt;186,WeightSDS!P$8*$AM478^7+WeightSDS!Q$8*$AM478^6+WeightSDS!R$8*$AM478^5+WeightSDS!S$8*$AM478^4+WeightSDS!T$8*$AM478^3+WeightSDS!U$8*$AM478^2+WeightSDS!V$8*$AM478+WeightSDS!W$8,WeightSDS!$U$9+WeightSDS!$V$9*($AM478-WeightSDS!$W$9)))</f>
        <v>0.75407122999999998</v>
      </c>
      <c r="AP478" s="4">
        <f>IF(D478="M",IF($AM478&lt;45,WeightSDS!M$23*$AM478^10+WeightSDS!N$23*$AM478^9+WeightSDS!O$23*$AM478^8+WeightSDS!P$23*$AM478^7+WeightSDS!Q$23*$AM478^6+WeightSDS!R$23*$AM478^5+WeightSDS!S$23*$AM478^4+WeightSDS!T$23*$AM478^3+WeightSDS!U$23*$AM478^2+WeightSDS!V$23*$AM478+WeightSDS!W$23,IF($AM478&lt;153,WeightSDS!M$25*$AM478^10+WeightSDS!N$25*$AM478^9+WeightSDS!O$25*$AM478^8+WeightSDS!P$25*$AM478^7+WeightSDS!Q$25*$AM478^6+WeightSDS!R$25*$AM478^5+WeightSDS!S$25*$AM478^4+WeightSDS!T$25*$AM478^3+WeightSDS!U$25*$AM478^2+WeightSDS!V$25*$AM478+WeightSDS!W$25,WeightSDS!M$27+WeightSDS!N$27/(1+EXP(WeightSDS!O$27+WeightSDS!P$27*$AM478)))),IF($AM478&lt;43.8,WeightSDS!M$29*$AM478^10+WeightSDS!N$29*$AM478^9+WeightSDS!O$29*$AM478^8+WeightSDS!P$29*$AM478^7+WeightSDS!Q$29*$AM478^6+WeightSDS!R$29*$AM478^5+WeightSDS!S$29*$AM478^4+WeightSDS!T$29*$AM478^3+WeightSDS!U$29*$AM478^2+WeightSDS!V$29*$AM478+WeightSDS!W$29-0.010431*(1-$AM478/210),IF($AM478&lt;123,WeightSDS!M$30*$AM478^10+WeightSDS!N$30*$AM478^9+WeightSDS!O$30*$AM478^8+WeightSDS!P$30*$AM478^7+WeightSDS!Q$30*$AM478^6+WeightSDS!R$30*$AM478^5+WeightSDS!S$30*$AM478^4+WeightSDS!T$30*$AM478^3+WeightSDS!U$30*$AM478^2+WeightSDS!V$30*$AM478+WeightSDS!W$30-0.010431*(1-1/$AM478),WeightSDS!M$32+WeightSDS!N$32/(1+EXP(WeightSDS!O$32+WeightSDS!P$32*$AM478))-0.010431*(1-$AM478/210))))</f>
        <v>2.9500001032655536</v>
      </c>
      <c r="AQ478" s="4">
        <f>IF(D478="M",IF($AM478&lt;162,WeightSDS!P$12*$AM478^7+WeightSDS!Q$12*$AM478^6+WeightSDS!R$12*$AM478^5+WeightSDS!S$12*$AM478^4+WeightSDS!T$12*$AM478^3+WeightSDS!U$12*$AM478^2+WeightSDS!V$12*$AM478+WeightSDS!W$12,WeightSDS!P$14*$AM478^7+WeightSDS!Q$14*$AM478^6+WeightSDS!R$14*$AM478^5+WeightSDS!S$14*$AM478^4+WeightSDS!T$14*$AM478^3+WeightSDS!U$14*$AM478^2+WeightSDS!V$14*$AM478+WeightSDS!W$14),IF($AM478&lt;156,WeightSDS!O$17*$AM478^8+WeightSDS!P$17*$AM478^7+WeightSDS!Q$17*$AM478^6+WeightSDS!R$17*$AM478^5+WeightSDS!S$17*$AM478^4+WeightSDS!T$17*$AM478^3+WeightSDS!U$17*$AM478^2+WeightSDS!V$17*$AM478+WeightSDS!W$17,IF($AM478&lt;186,WeightSDS!$U$18+(WeightSDS!$V$18-WeightSDS!$U$18)/24*($AM478-186)+WeightSDS!$W$18*(-$AM478+186)^2-0.005,WeightSDS!$U$18+(WeightSDS!$V$18-WeightSDS!$U$18)/24*($AM478-186)-0.005)))</f>
        <v>0.14604529399999999</v>
      </c>
      <c r="AT478" s="4">
        <f t="shared" si="154"/>
        <v>0.56299999999999994</v>
      </c>
      <c r="AU478" s="4">
        <f t="shared" si="155"/>
        <v>69</v>
      </c>
      <c r="AV478" s="4">
        <f t="shared" si="156"/>
        <v>0.51</v>
      </c>
    </row>
    <row r="479" spans="1:48" x14ac:dyDescent="0.15">
      <c r="A479" s="4"/>
      <c r="B479" s="21"/>
      <c r="C479" s="21"/>
      <c r="D479" s="21"/>
      <c r="E479" s="22"/>
      <c r="F479" s="22"/>
      <c r="G479" s="23"/>
      <c r="H479" s="23"/>
      <c r="I479" s="181"/>
      <c r="J479" s="8" t="str">
        <f t="shared" si="148"/>
        <v/>
      </c>
      <c r="K479" s="2" t="str">
        <f t="shared" si="157"/>
        <v/>
      </c>
      <c r="L479" s="2" t="str">
        <f t="shared" si="149"/>
        <v/>
      </c>
      <c r="M479" s="2" t="str">
        <f t="shared" si="158"/>
        <v/>
      </c>
      <c r="N479" s="2" t="str">
        <f t="shared" si="166"/>
        <v/>
      </c>
      <c r="O479" s="2" t="str">
        <f t="shared" si="159"/>
        <v/>
      </c>
      <c r="P479" s="8" t="str">
        <f t="shared" si="160"/>
        <v/>
      </c>
      <c r="Q479" s="8" t="str">
        <f t="shared" si="161"/>
        <v/>
      </c>
      <c r="R479" s="111" t="str">
        <f t="shared" si="162"/>
        <v/>
      </c>
      <c r="S479" s="44" t="str">
        <f t="shared" si="163"/>
        <v/>
      </c>
      <c r="T479" s="37" t="str">
        <f t="shared" si="164"/>
        <v/>
      </c>
      <c r="U479" s="44" t="str">
        <f t="shared" si="165"/>
        <v/>
      </c>
      <c r="V479" s="26"/>
      <c r="W479" s="26"/>
      <c r="X479" s="26"/>
      <c r="Y479" s="26"/>
      <c r="Z479" s="24"/>
      <c r="AA479" s="169">
        <f t="shared" si="150"/>
        <v>0</v>
      </c>
      <c r="AB479" s="4">
        <f t="shared" si="151"/>
        <v>0</v>
      </c>
      <c r="AC479" s="170">
        <f t="shared" si="168"/>
        <v>0</v>
      </c>
      <c r="AD479" s="58"/>
      <c r="AE479" s="58"/>
      <c r="AF479" s="58"/>
      <c r="AG479" s="59">
        <f t="shared" si="152"/>
        <v>9.0359999999999996</v>
      </c>
      <c r="AH479" s="59">
        <f t="shared" si="153"/>
        <v>-184.49199999999999</v>
      </c>
      <c r="AJ479" s="4">
        <f>IF(D479="M",IF(AM479&lt;78,BMILMS!$D$5*AM479^3+BMILMS!$E$5*AM479^2+BMILMS!$F$5*AM479+BMILMS!$G$5,IF(AM479&lt;150,BMILMS!$D$6*AM479^3+BMILMS!$E$6*AM479^2+BMILMS!$F$6*AM479+BMILMS!$G$6,BMILMS!$D$7*AM479^3+BMILMS!$E$7*AM479^2+BMILMS!$F$7*AM479+BMILMS!$G$7)),IF(AM479&lt;69,BMILMS!$D$9*AM479^3+BMILMS!$E$9*AM479^2+BMILMS!$F$9*AM479+BMILMS!$G$9,IF(AM479&lt;150,BMILMS!$D$10*AM479^3+BMILMS!$E$10*AM479^2+BMILMS!$F$10*AM479+BMILMS!$G$10,BMILMS!$D$11*AM479^3+BMILMS!$E$11*AM479^2+BMILMS!$F$11*AM479+BMILMS!$G$11)))</f>
        <v>0.79584630099999998</v>
      </c>
      <c r="AK479" s="4">
        <f>IF(D479="M",(IF(AM479&lt;2.5,BMILMS!$D$21*AM479^3+BMILMS!$E$21*AM479^2+BMILMS!$F$21*AM479+BMILMS!$G$21,IF(AM479&lt;9.5,BMILMS!$D$22*AM479^3+BMILMS!$E$22*AM479^2+BMILMS!$F$22*AM479+BMILMS!$G$22,IF(AM479&lt;26.75,BMILMS!$D$23*AM479^3+BMILMS!$E$23*AM479^2+BMILMS!$F$23*AM479+BMILMS!$G$23,IF(AM479&lt;90,BMILMS!$D$24*AM479^3+BMILMS!$E$24*AM479^2+BMILMS!$F$24*AM479+BMILMS!$G$24,BMILMS!$D$25*AM479^3+BMILMS!$E$25*AM479^2+BMILMS!$F$25*AM479+BMILMS!$G$25))))),(IF(AM479&lt;2.5,BMILMS!$D$27*AM479^3+BMILMS!$E$27*AM479^2+BMILMS!$F$27*AM479+BMILMS!$G$27,IF(AM479&lt;9.5,BMILMS!$D$28*AM479^3+BMILMS!$E$28*AM479^2+BMILMS!$F$28*AM479+BMILMS!$G$28,IF(AM479&lt;26.75,BMILMS!$D$29*AM479^3+BMILMS!$E$29*AM479^2+BMILMS!$F$29*AM479+BMILMS!$G$29,IF(AM479&lt;90,BMILMS!$D$30*AM479^3+BMILMS!$E$30*AM479^2+BMILMS!$F$30*AM479+BMILMS!$G$30,IF(AM479&lt;150,BMILMS!$D$31*AM479^3+BMILMS!$E$31*AM479^2+BMILMS!$F$31*AM479+BMILMS!$G$31,BMILMS!$D$32*AM479^3+BMILMS!$E$32*AM479^2+BMILMS!$F$32*AM479+BMILMS!$G$32)))))))</f>
        <v>12.568967990000001</v>
      </c>
      <c r="AL479" s="4">
        <f>IF(D479="M",(IF(AM479&lt;90,BMILMS!$D$14*AM479^3+BMILMS!$E$14*AM479^2+BMILMS!$F$14*AM479+BMILMS!$G$14,BMILMS!$D$15*AM479^3+BMILMS!$E$15*AM479^2+BMILMS!$F$15*AM479+BMILMS!$G$15)),(IF(AM479&lt;90,BMILMS!$D$17*AM479^3+BMILMS!$E$17*AM479^2+BMILMS!$F$17*AM479+BMILMS!$G$17,BMILMS!$D$18*AM479^3+BMILMS!$E$18*AM479^2+BMILMS!$F$18*AM479+BMILMS!$G$18)))</f>
        <v>8.8969350000000003E-2</v>
      </c>
      <c r="AM479" s="4">
        <f t="shared" si="167"/>
        <v>0</v>
      </c>
      <c r="AO479" s="56">
        <f>IF(D479="M",WeightSDS!P$5*$AM479^7+WeightSDS!Q$5*$AM479^6+WeightSDS!R$5*$AM479^5+WeightSDS!S$5*$AM479^4+WeightSDS!T$5*$AM479^3+WeightSDS!U$5*$AM479^2+WeightSDS!V$5*$AM479+WeightSDS!W$5,IF($AM479&lt;186,WeightSDS!P$8*$AM479^7+WeightSDS!Q$8*$AM479^6+WeightSDS!R$8*$AM479^5+WeightSDS!S$8*$AM479^4+WeightSDS!T$8*$AM479^3+WeightSDS!U$8*$AM479^2+WeightSDS!V$8*$AM479+WeightSDS!W$8,WeightSDS!$U$9+WeightSDS!$V$9*($AM479-WeightSDS!$W$9)))</f>
        <v>0.75407122999999998</v>
      </c>
      <c r="AP479" s="4">
        <f>IF(D479="M",IF($AM479&lt;45,WeightSDS!M$23*$AM479^10+WeightSDS!N$23*$AM479^9+WeightSDS!O$23*$AM479^8+WeightSDS!P$23*$AM479^7+WeightSDS!Q$23*$AM479^6+WeightSDS!R$23*$AM479^5+WeightSDS!S$23*$AM479^4+WeightSDS!T$23*$AM479^3+WeightSDS!U$23*$AM479^2+WeightSDS!V$23*$AM479+WeightSDS!W$23,IF($AM479&lt;153,WeightSDS!M$25*$AM479^10+WeightSDS!N$25*$AM479^9+WeightSDS!O$25*$AM479^8+WeightSDS!P$25*$AM479^7+WeightSDS!Q$25*$AM479^6+WeightSDS!R$25*$AM479^5+WeightSDS!S$25*$AM479^4+WeightSDS!T$25*$AM479^3+WeightSDS!U$25*$AM479^2+WeightSDS!V$25*$AM479+WeightSDS!W$25,WeightSDS!M$27+WeightSDS!N$27/(1+EXP(WeightSDS!O$27+WeightSDS!P$27*$AM479)))),IF($AM479&lt;43.8,WeightSDS!M$29*$AM479^10+WeightSDS!N$29*$AM479^9+WeightSDS!O$29*$AM479^8+WeightSDS!P$29*$AM479^7+WeightSDS!Q$29*$AM479^6+WeightSDS!R$29*$AM479^5+WeightSDS!S$29*$AM479^4+WeightSDS!T$29*$AM479^3+WeightSDS!U$29*$AM479^2+WeightSDS!V$29*$AM479+WeightSDS!W$29-0.010431*(1-$AM479/210),IF($AM479&lt;123,WeightSDS!M$30*$AM479^10+WeightSDS!N$30*$AM479^9+WeightSDS!O$30*$AM479^8+WeightSDS!P$30*$AM479^7+WeightSDS!Q$30*$AM479^6+WeightSDS!R$30*$AM479^5+WeightSDS!S$30*$AM479^4+WeightSDS!T$30*$AM479^3+WeightSDS!U$30*$AM479^2+WeightSDS!V$30*$AM479+WeightSDS!W$30-0.010431*(1-1/$AM479),WeightSDS!M$32+WeightSDS!N$32/(1+EXP(WeightSDS!O$32+WeightSDS!P$32*$AM479))-0.010431*(1-$AM479/210))))</f>
        <v>2.9500001032655536</v>
      </c>
      <c r="AQ479" s="4">
        <f>IF(D479="M",IF($AM479&lt;162,WeightSDS!P$12*$AM479^7+WeightSDS!Q$12*$AM479^6+WeightSDS!R$12*$AM479^5+WeightSDS!S$12*$AM479^4+WeightSDS!T$12*$AM479^3+WeightSDS!U$12*$AM479^2+WeightSDS!V$12*$AM479+WeightSDS!W$12,WeightSDS!P$14*$AM479^7+WeightSDS!Q$14*$AM479^6+WeightSDS!R$14*$AM479^5+WeightSDS!S$14*$AM479^4+WeightSDS!T$14*$AM479^3+WeightSDS!U$14*$AM479^2+WeightSDS!V$14*$AM479+WeightSDS!W$14),IF($AM479&lt;156,WeightSDS!O$17*$AM479^8+WeightSDS!P$17*$AM479^7+WeightSDS!Q$17*$AM479^6+WeightSDS!R$17*$AM479^5+WeightSDS!S$17*$AM479^4+WeightSDS!T$17*$AM479^3+WeightSDS!U$17*$AM479^2+WeightSDS!V$17*$AM479+WeightSDS!W$17,IF($AM479&lt;186,WeightSDS!$U$18+(WeightSDS!$V$18-WeightSDS!$U$18)/24*($AM479-186)+WeightSDS!$W$18*(-$AM479+186)^2-0.005,WeightSDS!$U$18+(WeightSDS!$V$18-WeightSDS!$U$18)/24*($AM479-186)-0.005)))</f>
        <v>0.14604529399999999</v>
      </c>
      <c r="AT479" s="4">
        <f t="shared" si="154"/>
        <v>0.56299999999999994</v>
      </c>
      <c r="AU479" s="4">
        <f t="shared" si="155"/>
        <v>69</v>
      </c>
      <c r="AV479" s="4">
        <f t="shared" si="156"/>
        <v>0.51</v>
      </c>
    </row>
    <row r="480" spans="1:48" x14ac:dyDescent="0.15">
      <c r="A480" s="4"/>
      <c r="B480" s="21"/>
      <c r="C480" s="21"/>
      <c r="D480" s="21"/>
      <c r="E480" s="22"/>
      <c r="F480" s="22"/>
      <c r="G480" s="23"/>
      <c r="H480" s="23"/>
      <c r="I480" s="181"/>
      <c r="J480" s="8" t="str">
        <f t="shared" si="148"/>
        <v/>
      </c>
      <c r="K480" s="2" t="str">
        <f t="shared" si="157"/>
        <v/>
      </c>
      <c r="L480" s="2" t="str">
        <f t="shared" si="149"/>
        <v/>
      </c>
      <c r="M480" s="2" t="str">
        <f t="shared" si="158"/>
        <v/>
      </c>
      <c r="N480" s="2" t="str">
        <f t="shared" si="166"/>
        <v/>
      </c>
      <c r="O480" s="2" t="str">
        <f t="shared" si="159"/>
        <v/>
      </c>
      <c r="P480" s="8" t="str">
        <f t="shared" si="160"/>
        <v/>
      </c>
      <c r="Q480" s="8" t="str">
        <f t="shared" si="161"/>
        <v/>
      </c>
      <c r="R480" s="111" t="str">
        <f t="shared" si="162"/>
        <v/>
      </c>
      <c r="S480" s="44" t="str">
        <f t="shared" si="163"/>
        <v/>
      </c>
      <c r="T480" s="37" t="str">
        <f t="shared" si="164"/>
        <v/>
      </c>
      <c r="U480" s="44" t="str">
        <f t="shared" si="165"/>
        <v/>
      </c>
      <c r="V480" s="26"/>
      <c r="W480" s="26"/>
      <c r="X480" s="26"/>
      <c r="Y480" s="26"/>
      <c r="Z480" s="24"/>
      <c r="AA480" s="169">
        <f t="shared" si="150"/>
        <v>0</v>
      </c>
      <c r="AB480" s="4">
        <f t="shared" si="151"/>
        <v>0</v>
      </c>
      <c r="AC480" s="170">
        <f t="shared" si="168"/>
        <v>0</v>
      </c>
      <c r="AD480" s="58"/>
      <c r="AE480" s="58"/>
      <c r="AF480" s="58"/>
      <c r="AG480" s="59">
        <f t="shared" si="152"/>
        <v>9.0359999999999996</v>
      </c>
      <c r="AH480" s="59">
        <f t="shared" si="153"/>
        <v>-184.49199999999999</v>
      </c>
      <c r="AJ480" s="4">
        <f>IF(D480="M",IF(AM480&lt;78,BMILMS!$D$5*AM480^3+BMILMS!$E$5*AM480^2+BMILMS!$F$5*AM480+BMILMS!$G$5,IF(AM480&lt;150,BMILMS!$D$6*AM480^3+BMILMS!$E$6*AM480^2+BMILMS!$F$6*AM480+BMILMS!$G$6,BMILMS!$D$7*AM480^3+BMILMS!$E$7*AM480^2+BMILMS!$F$7*AM480+BMILMS!$G$7)),IF(AM480&lt;69,BMILMS!$D$9*AM480^3+BMILMS!$E$9*AM480^2+BMILMS!$F$9*AM480+BMILMS!$G$9,IF(AM480&lt;150,BMILMS!$D$10*AM480^3+BMILMS!$E$10*AM480^2+BMILMS!$F$10*AM480+BMILMS!$G$10,BMILMS!$D$11*AM480^3+BMILMS!$E$11*AM480^2+BMILMS!$F$11*AM480+BMILMS!$G$11)))</f>
        <v>0.79584630099999998</v>
      </c>
      <c r="AK480" s="4">
        <f>IF(D480="M",(IF(AM480&lt;2.5,BMILMS!$D$21*AM480^3+BMILMS!$E$21*AM480^2+BMILMS!$F$21*AM480+BMILMS!$G$21,IF(AM480&lt;9.5,BMILMS!$D$22*AM480^3+BMILMS!$E$22*AM480^2+BMILMS!$F$22*AM480+BMILMS!$G$22,IF(AM480&lt;26.75,BMILMS!$D$23*AM480^3+BMILMS!$E$23*AM480^2+BMILMS!$F$23*AM480+BMILMS!$G$23,IF(AM480&lt;90,BMILMS!$D$24*AM480^3+BMILMS!$E$24*AM480^2+BMILMS!$F$24*AM480+BMILMS!$G$24,BMILMS!$D$25*AM480^3+BMILMS!$E$25*AM480^2+BMILMS!$F$25*AM480+BMILMS!$G$25))))),(IF(AM480&lt;2.5,BMILMS!$D$27*AM480^3+BMILMS!$E$27*AM480^2+BMILMS!$F$27*AM480+BMILMS!$G$27,IF(AM480&lt;9.5,BMILMS!$D$28*AM480^3+BMILMS!$E$28*AM480^2+BMILMS!$F$28*AM480+BMILMS!$G$28,IF(AM480&lt;26.75,BMILMS!$D$29*AM480^3+BMILMS!$E$29*AM480^2+BMILMS!$F$29*AM480+BMILMS!$G$29,IF(AM480&lt;90,BMILMS!$D$30*AM480^3+BMILMS!$E$30*AM480^2+BMILMS!$F$30*AM480+BMILMS!$G$30,IF(AM480&lt;150,BMILMS!$D$31*AM480^3+BMILMS!$E$31*AM480^2+BMILMS!$F$31*AM480+BMILMS!$G$31,BMILMS!$D$32*AM480^3+BMILMS!$E$32*AM480^2+BMILMS!$F$32*AM480+BMILMS!$G$32)))))))</f>
        <v>12.568967990000001</v>
      </c>
      <c r="AL480" s="4">
        <f>IF(D480="M",(IF(AM480&lt;90,BMILMS!$D$14*AM480^3+BMILMS!$E$14*AM480^2+BMILMS!$F$14*AM480+BMILMS!$G$14,BMILMS!$D$15*AM480^3+BMILMS!$E$15*AM480^2+BMILMS!$F$15*AM480+BMILMS!$G$15)),(IF(AM480&lt;90,BMILMS!$D$17*AM480^3+BMILMS!$E$17*AM480^2+BMILMS!$F$17*AM480+BMILMS!$G$17,BMILMS!$D$18*AM480^3+BMILMS!$E$18*AM480^2+BMILMS!$F$18*AM480+BMILMS!$G$18)))</f>
        <v>8.8969350000000003E-2</v>
      </c>
      <c r="AM480" s="4">
        <f t="shared" si="167"/>
        <v>0</v>
      </c>
      <c r="AO480" s="56">
        <f>IF(D480="M",WeightSDS!P$5*$AM480^7+WeightSDS!Q$5*$AM480^6+WeightSDS!R$5*$AM480^5+WeightSDS!S$5*$AM480^4+WeightSDS!T$5*$AM480^3+WeightSDS!U$5*$AM480^2+WeightSDS!V$5*$AM480+WeightSDS!W$5,IF($AM480&lt;186,WeightSDS!P$8*$AM480^7+WeightSDS!Q$8*$AM480^6+WeightSDS!R$8*$AM480^5+WeightSDS!S$8*$AM480^4+WeightSDS!T$8*$AM480^3+WeightSDS!U$8*$AM480^2+WeightSDS!V$8*$AM480+WeightSDS!W$8,WeightSDS!$U$9+WeightSDS!$V$9*($AM480-WeightSDS!$W$9)))</f>
        <v>0.75407122999999998</v>
      </c>
      <c r="AP480" s="4">
        <f>IF(D480="M",IF($AM480&lt;45,WeightSDS!M$23*$AM480^10+WeightSDS!N$23*$AM480^9+WeightSDS!O$23*$AM480^8+WeightSDS!P$23*$AM480^7+WeightSDS!Q$23*$AM480^6+WeightSDS!R$23*$AM480^5+WeightSDS!S$23*$AM480^4+WeightSDS!T$23*$AM480^3+WeightSDS!U$23*$AM480^2+WeightSDS!V$23*$AM480+WeightSDS!W$23,IF($AM480&lt;153,WeightSDS!M$25*$AM480^10+WeightSDS!N$25*$AM480^9+WeightSDS!O$25*$AM480^8+WeightSDS!P$25*$AM480^7+WeightSDS!Q$25*$AM480^6+WeightSDS!R$25*$AM480^5+WeightSDS!S$25*$AM480^4+WeightSDS!T$25*$AM480^3+WeightSDS!U$25*$AM480^2+WeightSDS!V$25*$AM480+WeightSDS!W$25,WeightSDS!M$27+WeightSDS!N$27/(1+EXP(WeightSDS!O$27+WeightSDS!P$27*$AM480)))),IF($AM480&lt;43.8,WeightSDS!M$29*$AM480^10+WeightSDS!N$29*$AM480^9+WeightSDS!O$29*$AM480^8+WeightSDS!P$29*$AM480^7+WeightSDS!Q$29*$AM480^6+WeightSDS!R$29*$AM480^5+WeightSDS!S$29*$AM480^4+WeightSDS!T$29*$AM480^3+WeightSDS!U$29*$AM480^2+WeightSDS!V$29*$AM480+WeightSDS!W$29-0.010431*(1-$AM480/210),IF($AM480&lt;123,WeightSDS!M$30*$AM480^10+WeightSDS!N$30*$AM480^9+WeightSDS!O$30*$AM480^8+WeightSDS!P$30*$AM480^7+WeightSDS!Q$30*$AM480^6+WeightSDS!R$30*$AM480^5+WeightSDS!S$30*$AM480^4+WeightSDS!T$30*$AM480^3+WeightSDS!U$30*$AM480^2+WeightSDS!V$30*$AM480+WeightSDS!W$30-0.010431*(1-1/$AM480),WeightSDS!M$32+WeightSDS!N$32/(1+EXP(WeightSDS!O$32+WeightSDS!P$32*$AM480))-0.010431*(1-$AM480/210))))</f>
        <v>2.9500001032655536</v>
      </c>
      <c r="AQ480" s="4">
        <f>IF(D480="M",IF($AM480&lt;162,WeightSDS!P$12*$AM480^7+WeightSDS!Q$12*$AM480^6+WeightSDS!R$12*$AM480^5+WeightSDS!S$12*$AM480^4+WeightSDS!T$12*$AM480^3+WeightSDS!U$12*$AM480^2+WeightSDS!V$12*$AM480+WeightSDS!W$12,WeightSDS!P$14*$AM480^7+WeightSDS!Q$14*$AM480^6+WeightSDS!R$14*$AM480^5+WeightSDS!S$14*$AM480^4+WeightSDS!T$14*$AM480^3+WeightSDS!U$14*$AM480^2+WeightSDS!V$14*$AM480+WeightSDS!W$14),IF($AM480&lt;156,WeightSDS!O$17*$AM480^8+WeightSDS!P$17*$AM480^7+WeightSDS!Q$17*$AM480^6+WeightSDS!R$17*$AM480^5+WeightSDS!S$17*$AM480^4+WeightSDS!T$17*$AM480^3+WeightSDS!U$17*$AM480^2+WeightSDS!V$17*$AM480+WeightSDS!W$17,IF($AM480&lt;186,WeightSDS!$U$18+(WeightSDS!$V$18-WeightSDS!$U$18)/24*($AM480-186)+WeightSDS!$W$18*(-$AM480+186)^2-0.005,WeightSDS!$U$18+(WeightSDS!$V$18-WeightSDS!$U$18)/24*($AM480-186)-0.005)))</f>
        <v>0.14604529399999999</v>
      </c>
      <c r="AT480" s="4">
        <f t="shared" si="154"/>
        <v>0.56299999999999994</v>
      </c>
      <c r="AU480" s="4">
        <f t="shared" si="155"/>
        <v>69</v>
      </c>
      <c r="AV480" s="4">
        <f t="shared" si="156"/>
        <v>0.51</v>
      </c>
    </row>
    <row r="481" spans="1:48" x14ac:dyDescent="0.15">
      <c r="A481" s="4"/>
      <c r="B481" s="21"/>
      <c r="C481" s="21"/>
      <c r="D481" s="21"/>
      <c r="E481" s="22"/>
      <c r="F481" s="22"/>
      <c r="G481" s="23"/>
      <c r="H481" s="23"/>
      <c r="I481" s="181"/>
      <c r="J481" s="8" t="str">
        <f t="shared" si="148"/>
        <v/>
      </c>
      <c r="K481" s="2" t="str">
        <f t="shared" si="157"/>
        <v/>
      </c>
      <c r="L481" s="2" t="str">
        <f t="shared" si="149"/>
        <v/>
      </c>
      <c r="M481" s="2" t="str">
        <f t="shared" si="158"/>
        <v/>
      </c>
      <c r="N481" s="2" t="str">
        <f t="shared" si="166"/>
        <v/>
      </c>
      <c r="O481" s="2" t="str">
        <f t="shared" si="159"/>
        <v/>
      </c>
      <c r="P481" s="8" t="str">
        <f t="shared" si="160"/>
        <v/>
      </c>
      <c r="Q481" s="8" t="str">
        <f t="shared" si="161"/>
        <v/>
      </c>
      <c r="R481" s="111" t="str">
        <f t="shared" si="162"/>
        <v/>
      </c>
      <c r="S481" s="44" t="str">
        <f t="shared" si="163"/>
        <v/>
      </c>
      <c r="T481" s="37" t="str">
        <f t="shared" si="164"/>
        <v/>
      </c>
      <c r="U481" s="44" t="str">
        <f t="shared" si="165"/>
        <v/>
      </c>
      <c r="V481" s="26"/>
      <c r="W481" s="26"/>
      <c r="X481" s="26"/>
      <c r="Y481" s="26"/>
      <c r="Z481" s="24"/>
      <c r="AA481" s="169">
        <f t="shared" si="150"/>
        <v>0</v>
      </c>
      <c r="AB481" s="4">
        <f t="shared" si="151"/>
        <v>0</v>
      </c>
      <c r="AC481" s="170">
        <f t="shared" si="168"/>
        <v>0</v>
      </c>
      <c r="AD481" s="58"/>
      <c r="AE481" s="58"/>
      <c r="AF481" s="58"/>
      <c r="AG481" s="59">
        <f t="shared" si="152"/>
        <v>9.0359999999999996</v>
      </c>
      <c r="AH481" s="59">
        <f t="shared" si="153"/>
        <v>-184.49199999999999</v>
      </c>
      <c r="AJ481" s="4">
        <f>IF(D481="M",IF(AM481&lt;78,BMILMS!$D$5*AM481^3+BMILMS!$E$5*AM481^2+BMILMS!$F$5*AM481+BMILMS!$G$5,IF(AM481&lt;150,BMILMS!$D$6*AM481^3+BMILMS!$E$6*AM481^2+BMILMS!$F$6*AM481+BMILMS!$G$6,BMILMS!$D$7*AM481^3+BMILMS!$E$7*AM481^2+BMILMS!$F$7*AM481+BMILMS!$G$7)),IF(AM481&lt;69,BMILMS!$D$9*AM481^3+BMILMS!$E$9*AM481^2+BMILMS!$F$9*AM481+BMILMS!$G$9,IF(AM481&lt;150,BMILMS!$D$10*AM481^3+BMILMS!$E$10*AM481^2+BMILMS!$F$10*AM481+BMILMS!$G$10,BMILMS!$D$11*AM481^3+BMILMS!$E$11*AM481^2+BMILMS!$F$11*AM481+BMILMS!$G$11)))</f>
        <v>0.79584630099999998</v>
      </c>
      <c r="AK481" s="4">
        <f>IF(D481="M",(IF(AM481&lt;2.5,BMILMS!$D$21*AM481^3+BMILMS!$E$21*AM481^2+BMILMS!$F$21*AM481+BMILMS!$G$21,IF(AM481&lt;9.5,BMILMS!$D$22*AM481^3+BMILMS!$E$22*AM481^2+BMILMS!$F$22*AM481+BMILMS!$G$22,IF(AM481&lt;26.75,BMILMS!$D$23*AM481^3+BMILMS!$E$23*AM481^2+BMILMS!$F$23*AM481+BMILMS!$G$23,IF(AM481&lt;90,BMILMS!$D$24*AM481^3+BMILMS!$E$24*AM481^2+BMILMS!$F$24*AM481+BMILMS!$G$24,BMILMS!$D$25*AM481^3+BMILMS!$E$25*AM481^2+BMILMS!$F$25*AM481+BMILMS!$G$25))))),(IF(AM481&lt;2.5,BMILMS!$D$27*AM481^3+BMILMS!$E$27*AM481^2+BMILMS!$F$27*AM481+BMILMS!$G$27,IF(AM481&lt;9.5,BMILMS!$D$28*AM481^3+BMILMS!$E$28*AM481^2+BMILMS!$F$28*AM481+BMILMS!$G$28,IF(AM481&lt;26.75,BMILMS!$D$29*AM481^3+BMILMS!$E$29*AM481^2+BMILMS!$F$29*AM481+BMILMS!$G$29,IF(AM481&lt;90,BMILMS!$D$30*AM481^3+BMILMS!$E$30*AM481^2+BMILMS!$F$30*AM481+BMILMS!$G$30,IF(AM481&lt;150,BMILMS!$D$31*AM481^3+BMILMS!$E$31*AM481^2+BMILMS!$F$31*AM481+BMILMS!$G$31,BMILMS!$D$32*AM481^3+BMILMS!$E$32*AM481^2+BMILMS!$F$32*AM481+BMILMS!$G$32)))))))</f>
        <v>12.568967990000001</v>
      </c>
      <c r="AL481" s="4">
        <f>IF(D481="M",(IF(AM481&lt;90,BMILMS!$D$14*AM481^3+BMILMS!$E$14*AM481^2+BMILMS!$F$14*AM481+BMILMS!$G$14,BMILMS!$D$15*AM481^3+BMILMS!$E$15*AM481^2+BMILMS!$F$15*AM481+BMILMS!$G$15)),(IF(AM481&lt;90,BMILMS!$D$17*AM481^3+BMILMS!$E$17*AM481^2+BMILMS!$F$17*AM481+BMILMS!$G$17,BMILMS!$D$18*AM481^3+BMILMS!$E$18*AM481^2+BMILMS!$F$18*AM481+BMILMS!$G$18)))</f>
        <v>8.8969350000000003E-2</v>
      </c>
      <c r="AM481" s="4">
        <f t="shared" si="167"/>
        <v>0</v>
      </c>
      <c r="AO481" s="56">
        <f>IF(D481="M",WeightSDS!P$5*$AM481^7+WeightSDS!Q$5*$AM481^6+WeightSDS!R$5*$AM481^5+WeightSDS!S$5*$AM481^4+WeightSDS!T$5*$AM481^3+WeightSDS!U$5*$AM481^2+WeightSDS!V$5*$AM481+WeightSDS!W$5,IF($AM481&lt;186,WeightSDS!P$8*$AM481^7+WeightSDS!Q$8*$AM481^6+WeightSDS!R$8*$AM481^5+WeightSDS!S$8*$AM481^4+WeightSDS!T$8*$AM481^3+WeightSDS!U$8*$AM481^2+WeightSDS!V$8*$AM481+WeightSDS!W$8,WeightSDS!$U$9+WeightSDS!$V$9*($AM481-WeightSDS!$W$9)))</f>
        <v>0.75407122999999998</v>
      </c>
      <c r="AP481" s="4">
        <f>IF(D481="M",IF($AM481&lt;45,WeightSDS!M$23*$AM481^10+WeightSDS!N$23*$AM481^9+WeightSDS!O$23*$AM481^8+WeightSDS!P$23*$AM481^7+WeightSDS!Q$23*$AM481^6+WeightSDS!R$23*$AM481^5+WeightSDS!S$23*$AM481^4+WeightSDS!T$23*$AM481^3+WeightSDS!U$23*$AM481^2+WeightSDS!V$23*$AM481+WeightSDS!W$23,IF($AM481&lt;153,WeightSDS!M$25*$AM481^10+WeightSDS!N$25*$AM481^9+WeightSDS!O$25*$AM481^8+WeightSDS!P$25*$AM481^7+WeightSDS!Q$25*$AM481^6+WeightSDS!R$25*$AM481^5+WeightSDS!S$25*$AM481^4+WeightSDS!T$25*$AM481^3+WeightSDS!U$25*$AM481^2+WeightSDS!V$25*$AM481+WeightSDS!W$25,WeightSDS!M$27+WeightSDS!N$27/(1+EXP(WeightSDS!O$27+WeightSDS!P$27*$AM481)))),IF($AM481&lt;43.8,WeightSDS!M$29*$AM481^10+WeightSDS!N$29*$AM481^9+WeightSDS!O$29*$AM481^8+WeightSDS!P$29*$AM481^7+WeightSDS!Q$29*$AM481^6+WeightSDS!R$29*$AM481^5+WeightSDS!S$29*$AM481^4+WeightSDS!T$29*$AM481^3+WeightSDS!U$29*$AM481^2+WeightSDS!V$29*$AM481+WeightSDS!W$29-0.010431*(1-$AM481/210),IF($AM481&lt;123,WeightSDS!M$30*$AM481^10+WeightSDS!N$30*$AM481^9+WeightSDS!O$30*$AM481^8+WeightSDS!P$30*$AM481^7+WeightSDS!Q$30*$AM481^6+WeightSDS!R$30*$AM481^5+WeightSDS!S$30*$AM481^4+WeightSDS!T$30*$AM481^3+WeightSDS!U$30*$AM481^2+WeightSDS!V$30*$AM481+WeightSDS!W$30-0.010431*(1-1/$AM481),WeightSDS!M$32+WeightSDS!N$32/(1+EXP(WeightSDS!O$32+WeightSDS!P$32*$AM481))-0.010431*(1-$AM481/210))))</f>
        <v>2.9500001032655536</v>
      </c>
      <c r="AQ481" s="4">
        <f>IF(D481="M",IF($AM481&lt;162,WeightSDS!P$12*$AM481^7+WeightSDS!Q$12*$AM481^6+WeightSDS!R$12*$AM481^5+WeightSDS!S$12*$AM481^4+WeightSDS!T$12*$AM481^3+WeightSDS!U$12*$AM481^2+WeightSDS!V$12*$AM481+WeightSDS!W$12,WeightSDS!P$14*$AM481^7+WeightSDS!Q$14*$AM481^6+WeightSDS!R$14*$AM481^5+WeightSDS!S$14*$AM481^4+WeightSDS!T$14*$AM481^3+WeightSDS!U$14*$AM481^2+WeightSDS!V$14*$AM481+WeightSDS!W$14),IF($AM481&lt;156,WeightSDS!O$17*$AM481^8+WeightSDS!P$17*$AM481^7+WeightSDS!Q$17*$AM481^6+WeightSDS!R$17*$AM481^5+WeightSDS!S$17*$AM481^4+WeightSDS!T$17*$AM481^3+WeightSDS!U$17*$AM481^2+WeightSDS!V$17*$AM481+WeightSDS!W$17,IF($AM481&lt;186,WeightSDS!$U$18+(WeightSDS!$V$18-WeightSDS!$U$18)/24*($AM481-186)+WeightSDS!$W$18*(-$AM481+186)^2-0.005,WeightSDS!$U$18+(WeightSDS!$V$18-WeightSDS!$U$18)/24*($AM481-186)-0.005)))</f>
        <v>0.14604529399999999</v>
      </c>
      <c r="AT481" s="4">
        <f t="shared" si="154"/>
        <v>0.56299999999999994</v>
      </c>
      <c r="AU481" s="4">
        <f t="shared" si="155"/>
        <v>69</v>
      </c>
      <c r="AV481" s="4">
        <f t="shared" si="156"/>
        <v>0.51</v>
      </c>
    </row>
    <row r="482" spans="1:48" x14ac:dyDescent="0.15">
      <c r="A482" s="4"/>
      <c r="B482" s="21"/>
      <c r="C482" s="21"/>
      <c r="D482" s="21"/>
      <c r="E482" s="22"/>
      <c r="F482" s="22"/>
      <c r="G482" s="23"/>
      <c r="H482" s="23"/>
      <c r="I482" s="181"/>
      <c r="J482" s="8" t="str">
        <f t="shared" si="148"/>
        <v/>
      </c>
      <c r="K482" s="2" t="str">
        <f t="shared" si="157"/>
        <v/>
      </c>
      <c r="L482" s="2" t="str">
        <f t="shared" si="149"/>
        <v/>
      </c>
      <c r="M482" s="2" t="str">
        <f t="shared" si="158"/>
        <v/>
      </c>
      <c r="N482" s="2" t="str">
        <f t="shared" si="166"/>
        <v/>
      </c>
      <c r="O482" s="2" t="str">
        <f t="shared" si="159"/>
        <v/>
      </c>
      <c r="P482" s="8" t="str">
        <f t="shared" si="160"/>
        <v/>
      </c>
      <c r="Q482" s="8" t="str">
        <f t="shared" si="161"/>
        <v/>
      </c>
      <c r="R482" s="111" t="str">
        <f t="shared" si="162"/>
        <v/>
      </c>
      <c r="S482" s="44" t="str">
        <f t="shared" si="163"/>
        <v/>
      </c>
      <c r="T482" s="37" t="str">
        <f t="shared" si="164"/>
        <v/>
      </c>
      <c r="U482" s="44" t="str">
        <f t="shared" si="165"/>
        <v/>
      </c>
      <c r="V482" s="26"/>
      <c r="W482" s="26"/>
      <c r="X482" s="26"/>
      <c r="Y482" s="26"/>
      <c r="Z482" s="24"/>
      <c r="AA482" s="169">
        <f t="shared" si="150"/>
        <v>0</v>
      </c>
      <c r="AB482" s="4">
        <f t="shared" si="151"/>
        <v>0</v>
      </c>
      <c r="AC482" s="170">
        <f t="shared" si="168"/>
        <v>0</v>
      </c>
      <c r="AD482" s="58"/>
      <c r="AE482" s="58"/>
      <c r="AF482" s="58"/>
      <c r="AG482" s="59">
        <f t="shared" si="152"/>
        <v>9.0359999999999996</v>
      </c>
      <c r="AH482" s="59">
        <f t="shared" si="153"/>
        <v>-184.49199999999999</v>
      </c>
      <c r="AJ482" s="4">
        <f>IF(D482="M",IF(AM482&lt;78,BMILMS!$D$5*AM482^3+BMILMS!$E$5*AM482^2+BMILMS!$F$5*AM482+BMILMS!$G$5,IF(AM482&lt;150,BMILMS!$D$6*AM482^3+BMILMS!$E$6*AM482^2+BMILMS!$F$6*AM482+BMILMS!$G$6,BMILMS!$D$7*AM482^3+BMILMS!$E$7*AM482^2+BMILMS!$F$7*AM482+BMILMS!$G$7)),IF(AM482&lt;69,BMILMS!$D$9*AM482^3+BMILMS!$E$9*AM482^2+BMILMS!$F$9*AM482+BMILMS!$G$9,IF(AM482&lt;150,BMILMS!$D$10*AM482^3+BMILMS!$E$10*AM482^2+BMILMS!$F$10*AM482+BMILMS!$G$10,BMILMS!$D$11*AM482^3+BMILMS!$E$11*AM482^2+BMILMS!$F$11*AM482+BMILMS!$G$11)))</f>
        <v>0.79584630099999998</v>
      </c>
      <c r="AK482" s="4">
        <f>IF(D482="M",(IF(AM482&lt;2.5,BMILMS!$D$21*AM482^3+BMILMS!$E$21*AM482^2+BMILMS!$F$21*AM482+BMILMS!$G$21,IF(AM482&lt;9.5,BMILMS!$D$22*AM482^3+BMILMS!$E$22*AM482^2+BMILMS!$F$22*AM482+BMILMS!$G$22,IF(AM482&lt;26.75,BMILMS!$D$23*AM482^3+BMILMS!$E$23*AM482^2+BMILMS!$F$23*AM482+BMILMS!$G$23,IF(AM482&lt;90,BMILMS!$D$24*AM482^3+BMILMS!$E$24*AM482^2+BMILMS!$F$24*AM482+BMILMS!$G$24,BMILMS!$D$25*AM482^3+BMILMS!$E$25*AM482^2+BMILMS!$F$25*AM482+BMILMS!$G$25))))),(IF(AM482&lt;2.5,BMILMS!$D$27*AM482^3+BMILMS!$E$27*AM482^2+BMILMS!$F$27*AM482+BMILMS!$G$27,IF(AM482&lt;9.5,BMILMS!$D$28*AM482^3+BMILMS!$E$28*AM482^2+BMILMS!$F$28*AM482+BMILMS!$G$28,IF(AM482&lt;26.75,BMILMS!$D$29*AM482^3+BMILMS!$E$29*AM482^2+BMILMS!$F$29*AM482+BMILMS!$G$29,IF(AM482&lt;90,BMILMS!$D$30*AM482^3+BMILMS!$E$30*AM482^2+BMILMS!$F$30*AM482+BMILMS!$G$30,IF(AM482&lt;150,BMILMS!$D$31*AM482^3+BMILMS!$E$31*AM482^2+BMILMS!$F$31*AM482+BMILMS!$G$31,BMILMS!$D$32*AM482^3+BMILMS!$E$32*AM482^2+BMILMS!$F$32*AM482+BMILMS!$G$32)))))))</f>
        <v>12.568967990000001</v>
      </c>
      <c r="AL482" s="4">
        <f>IF(D482="M",(IF(AM482&lt;90,BMILMS!$D$14*AM482^3+BMILMS!$E$14*AM482^2+BMILMS!$F$14*AM482+BMILMS!$G$14,BMILMS!$D$15*AM482^3+BMILMS!$E$15*AM482^2+BMILMS!$F$15*AM482+BMILMS!$G$15)),(IF(AM482&lt;90,BMILMS!$D$17*AM482^3+BMILMS!$E$17*AM482^2+BMILMS!$F$17*AM482+BMILMS!$G$17,BMILMS!$D$18*AM482^3+BMILMS!$E$18*AM482^2+BMILMS!$F$18*AM482+BMILMS!$G$18)))</f>
        <v>8.8969350000000003E-2</v>
      </c>
      <c r="AM482" s="4">
        <f t="shared" si="167"/>
        <v>0</v>
      </c>
      <c r="AO482" s="56">
        <f>IF(D482="M",WeightSDS!P$5*$AM482^7+WeightSDS!Q$5*$AM482^6+WeightSDS!R$5*$AM482^5+WeightSDS!S$5*$AM482^4+WeightSDS!T$5*$AM482^3+WeightSDS!U$5*$AM482^2+WeightSDS!V$5*$AM482+WeightSDS!W$5,IF($AM482&lt;186,WeightSDS!P$8*$AM482^7+WeightSDS!Q$8*$AM482^6+WeightSDS!R$8*$AM482^5+WeightSDS!S$8*$AM482^4+WeightSDS!T$8*$AM482^3+WeightSDS!U$8*$AM482^2+WeightSDS!V$8*$AM482+WeightSDS!W$8,WeightSDS!$U$9+WeightSDS!$V$9*($AM482-WeightSDS!$W$9)))</f>
        <v>0.75407122999999998</v>
      </c>
      <c r="AP482" s="4">
        <f>IF(D482="M",IF($AM482&lt;45,WeightSDS!M$23*$AM482^10+WeightSDS!N$23*$AM482^9+WeightSDS!O$23*$AM482^8+WeightSDS!P$23*$AM482^7+WeightSDS!Q$23*$AM482^6+WeightSDS!R$23*$AM482^5+WeightSDS!S$23*$AM482^4+WeightSDS!T$23*$AM482^3+WeightSDS!U$23*$AM482^2+WeightSDS!V$23*$AM482+WeightSDS!W$23,IF($AM482&lt;153,WeightSDS!M$25*$AM482^10+WeightSDS!N$25*$AM482^9+WeightSDS!O$25*$AM482^8+WeightSDS!P$25*$AM482^7+WeightSDS!Q$25*$AM482^6+WeightSDS!R$25*$AM482^5+WeightSDS!S$25*$AM482^4+WeightSDS!T$25*$AM482^3+WeightSDS!U$25*$AM482^2+WeightSDS!V$25*$AM482+WeightSDS!W$25,WeightSDS!M$27+WeightSDS!N$27/(1+EXP(WeightSDS!O$27+WeightSDS!P$27*$AM482)))),IF($AM482&lt;43.8,WeightSDS!M$29*$AM482^10+WeightSDS!N$29*$AM482^9+WeightSDS!O$29*$AM482^8+WeightSDS!P$29*$AM482^7+WeightSDS!Q$29*$AM482^6+WeightSDS!R$29*$AM482^5+WeightSDS!S$29*$AM482^4+WeightSDS!T$29*$AM482^3+WeightSDS!U$29*$AM482^2+WeightSDS!V$29*$AM482+WeightSDS!W$29-0.010431*(1-$AM482/210),IF($AM482&lt;123,WeightSDS!M$30*$AM482^10+WeightSDS!N$30*$AM482^9+WeightSDS!O$30*$AM482^8+WeightSDS!P$30*$AM482^7+WeightSDS!Q$30*$AM482^6+WeightSDS!R$30*$AM482^5+WeightSDS!S$30*$AM482^4+WeightSDS!T$30*$AM482^3+WeightSDS!U$30*$AM482^2+WeightSDS!V$30*$AM482+WeightSDS!W$30-0.010431*(1-1/$AM482),WeightSDS!M$32+WeightSDS!N$32/(1+EXP(WeightSDS!O$32+WeightSDS!P$32*$AM482))-0.010431*(1-$AM482/210))))</f>
        <v>2.9500001032655536</v>
      </c>
      <c r="AQ482" s="4">
        <f>IF(D482="M",IF($AM482&lt;162,WeightSDS!P$12*$AM482^7+WeightSDS!Q$12*$AM482^6+WeightSDS!R$12*$AM482^5+WeightSDS!S$12*$AM482^4+WeightSDS!T$12*$AM482^3+WeightSDS!U$12*$AM482^2+WeightSDS!V$12*$AM482+WeightSDS!W$12,WeightSDS!P$14*$AM482^7+WeightSDS!Q$14*$AM482^6+WeightSDS!R$14*$AM482^5+WeightSDS!S$14*$AM482^4+WeightSDS!T$14*$AM482^3+WeightSDS!U$14*$AM482^2+WeightSDS!V$14*$AM482+WeightSDS!W$14),IF($AM482&lt;156,WeightSDS!O$17*$AM482^8+WeightSDS!P$17*$AM482^7+WeightSDS!Q$17*$AM482^6+WeightSDS!R$17*$AM482^5+WeightSDS!S$17*$AM482^4+WeightSDS!T$17*$AM482^3+WeightSDS!U$17*$AM482^2+WeightSDS!V$17*$AM482+WeightSDS!W$17,IF($AM482&lt;186,WeightSDS!$U$18+(WeightSDS!$V$18-WeightSDS!$U$18)/24*($AM482-186)+WeightSDS!$W$18*(-$AM482+186)^2-0.005,WeightSDS!$U$18+(WeightSDS!$V$18-WeightSDS!$U$18)/24*($AM482-186)-0.005)))</f>
        <v>0.14604529399999999</v>
      </c>
      <c r="AT482" s="4">
        <f t="shared" si="154"/>
        <v>0.56299999999999994</v>
      </c>
      <c r="AU482" s="4">
        <f t="shared" si="155"/>
        <v>69</v>
      </c>
      <c r="AV482" s="4">
        <f t="shared" si="156"/>
        <v>0.51</v>
      </c>
    </row>
    <row r="483" spans="1:48" x14ac:dyDescent="0.15">
      <c r="A483" s="4"/>
      <c r="B483" s="21"/>
      <c r="C483" s="21"/>
      <c r="D483" s="21"/>
      <c r="E483" s="22"/>
      <c r="F483" s="22"/>
      <c r="G483" s="23"/>
      <c r="H483" s="23"/>
      <c r="I483" s="181"/>
      <c r="J483" s="8" t="str">
        <f t="shared" si="148"/>
        <v/>
      </c>
      <c r="K483" s="2" t="str">
        <f t="shared" si="157"/>
        <v/>
      </c>
      <c r="L483" s="2" t="str">
        <f t="shared" si="149"/>
        <v/>
      </c>
      <c r="M483" s="2" t="str">
        <f t="shared" si="158"/>
        <v/>
      </c>
      <c r="N483" s="2" t="str">
        <f t="shared" si="166"/>
        <v/>
      </c>
      <c r="O483" s="2" t="str">
        <f t="shared" si="159"/>
        <v/>
      </c>
      <c r="P483" s="8" t="str">
        <f t="shared" si="160"/>
        <v/>
      </c>
      <c r="Q483" s="8" t="str">
        <f t="shared" si="161"/>
        <v/>
      </c>
      <c r="R483" s="111" t="str">
        <f t="shared" si="162"/>
        <v/>
      </c>
      <c r="S483" s="44" t="str">
        <f t="shared" si="163"/>
        <v/>
      </c>
      <c r="T483" s="37" t="str">
        <f t="shared" si="164"/>
        <v/>
      </c>
      <c r="U483" s="44" t="str">
        <f t="shared" si="165"/>
        <v/>
      </c>
      <c r="V483" s="26"/>
      <c r="W483" s="26"/>
      <c r="X483" s="26"/>
      <c r="Y483" s="26"/>
      <c r="Z483" s="24"/>
      <c r="AA483" s="169">
        <f t="shared" si="150"/>
        <v>0</v>
      </c>
      <c r="AB483" s="4">
        <f t="shared" si="151"/>
        <v>0</v>
      </c>
      <c r="AC483" s="170">
        <f t="shared" si="168"/>
        <v>0</v>
      </c>
      <c r="AD483" s="58"/>
      <c r="AE483" s="58"/>
      <c r="AF483" s="58"/>
      <c r="AG483" s="59">
        <f t="shared" si="152"/>
        <v>9.0359999999999996</v>
      </c>
      <c r="AH483" s="59">
        <f t="shared" si="153"/>
        <v>-184.49199999999999</v>
      </c>
      <c r="AJ483" s="4">
        <f>IF(D483="M",IF(AM483&lt;78,BMILMS!$D$5*AM483^3+BMILMS!$E$5*AM483^2+BMILMS!$F$5*AM483+BMILMS!$G$5,IF(AM483&lt;150,BMILMS!$D$6*AM483^3+BMILMS!$E$6*AM483^2+BMILMS!$F$6*AM483+BMILMS!$G$6,BMILMS!$D$7*AM483^3+BMILMS!$E$7*AM483^2+BMILMS!$F$7*AM483+BMILMS!$G$7)),IF(AM483&lt;69,BMILMS!$D$9*AM483^3+BMILMS!$E$9*AM483^2+BMILMS!$F$9*AM483+BMILMS!$G$9,IF(AM483&lt;150,BMILMS!$D$10*AM483^3+BMILMS!$E$10*AM483^2+BMILMS!$F$10*AM483+BMILMS!$G$10,BMILMS!$D$11*AM483^3+BMILMS!$E$11*AM483^2+BMILMS!$F$11*AM483+BMILMS!$G$11)))</f>
        <v>0.79584630099999998</v>
      </c>
      <c r="AK483" s="4">
        <f>IF(D483="M",(IF(AM483&lt;2.5,BMILMS!$D$21*AM483^3+BMILMS!$E$21*AM483^2+BMILMS!$F$21*AM483+BMILMS!$G$21,IF(AM483&lt;9.5,BMILMS!$D$22*AM483^3+BMILMS!$E$22*AM483^2+BMILMS!$F$22*AM483+BMILMS!$G$22,IF(AM483&lt;26.75,BMILMS!$D$23*AM483^3+BMILMS!$E$23*AM483^2+BMILMS!$F$23*AM483+BMILMS!$G$23,IF(AM483&lt;90,BMILMS!$D$24*AM483^3+BMILMS!$E$24*AM483^2+BMILMS!$F$24*AM483+BMILMS!$G$24,BMILMS!$D$25*AM483^3+BMILMS!$E$25*AM483^2+BMILMS!$F$25*AM483+BMILMS!$G$25))))),(IF(AM483&lt;2.5,BMILMS!$D$27*AM483^3+BMILMS!$E$27*AM483^2+BMILMS!$F$27*AM483+BMILMS!$G$27,IF(AM483&lt;9.5,BMILMS!$D$28*AM483^3+BMILMS!$E$28*AM483^2+BMILMS!$F$28*AM483+BMILMS!$G$28,IF(AM483&lt;26.75,BMILMS!$D$29*AM483^3+BMILMS!$E$29*AM483^2+BMILMS!$F$29*AM483+BMILMS!$G$29,IF(AM483&lt;90,BMILMS!$D$30*AM483^3+BMILMS!$E$30*AM483^2+BMILMS!$F$30*AM483+BMILMS!$G$30,IF(AM483&lt;150,BMILMS!$D$31*AM483^3+BMILMS!$E$31*AM483^2+BMILMS!$F$31*AM483+BMILMS!$G$31,BMILMS!$D$32*AM483^3+BMILMS!$E$32*AM483^2+BMILMS!$F$32*AM483+BMILMS!$G$32)))))))</f>
        <v>12.568967990000001</v>
      </c>
      <c r="AL483" s="4">
        <f>IF(D483="M",(IF(AM483&lt;90,BMILMS!$D$14*AM483^3+BMILMS!$E$14*AM483^2+BMILMS!$F$14*AM483+BMILMS!$G$14,BMILMS!$D$15*AM483^3+BMILMS!$E$15*AM483^2+BMILMS!$F$15*AM483+BMILMS!$G$15)),(IF(AM483&lt;90,BMILMS!$D$17*AM483^3+BMILMS!$E$17*AM483^2+BMILMS!$F$17*AM483+BMILMS!$G$17,BMILMS!$D$18*AM483^3+BMILMS!$E$18*AM483^2+BMILMS!$F$18*AM483+BMILMS!$G$18)))</f>
        <v>8.8969350000000003E-2</v>
      </c>
      <c r="AM483" s="4">
        <f t="shared" si="167"/>
        <v>0</v>
      </c>
      <c r="AO483" s="56">
        <f>IF(D483="M",WeightSDS!P$5*$AM483^7+WeightSDS!Q$5*$AM483^6+WeightSDS!R$5*$AM483^5+WeightSDS!S$5*$AM483^4+WeightSDS!T$5*$AM483^3+WeightSDS!U$5*$AM483^2+WeightSDS!V$5*$AM483+WeightSDS!W$5,IF($AM483&lt;186,WeightSDS!P$8*$AM483^7+WeightSDS!Q$8*$AM483^6+WeightSDS!R$8*$AM483^5+WeightSDS!S$8*$AM483^4+WeightSDS!T$8*$AM483^3+WeightSDS!U$8*$AM483^2+WeightSDS!V$8*$AM483+WeightSDS!W$8,WeightSDS!$U$9+WeightSDS!$V$9*($AM483-WeightSDS!$W$9)))</f>
        <v>0.75407122999999998</v>
      </c>
      <c r="AP483" s="4">
        <f>IF(D483="M",IF($AM483&lt;45,WeightSDS!M$23*$AM483^10+WeightSDS!N$23*$AM483^9+WeightSDS!O$23*$AM483^8+WeightSDS!P$23*$AM483^7+WeightSDS!Q$23*$AM483^6+WeightSDS!R$23*$AM483^5+WeightSDS!S$23*$AM483^4+WeightSDS!T$23*$AM483^3+WeightSDS!U$23*$AM483^2+WeightSDS!V$23*$AM483+WeightSDS!W$23,IF($AM483&lt;153,WeightSDS!M$25*$AM483^10+WeightSDS!N$25*$AM483^9+WeightSDS!O$25*$AM483^8+WeightSDS!P$25*$AM483^7+WeightSDS!Q$25*$AM483^6+WeightSDS!R$25*$AM483^5+WeightSDS!S$25*$AM483^4+WeightSDS!T$25*$AM483^3+WeightSDS!U$25*$AM483^2+WeightSDS!V$25*$AM483+WeightSDS!W$25,WeightSDS!M$27+WeightSDS!N$27/(1+EXP(WeightSDS!O$27+WeightSDS!P$27*$AM483)))),IF($AM483&lt;43.8,WeightSDS!M$29*$AM483^10+WeightSDS!N$29*$AM483^9+WeightSDS!O$29*$AM483^8+WeightSDS!P$29*$AM483^7+WeightSDS!Q$29*$AM483^6+WeightSDS!R$29*$AM483^5+WeightSDS!S$29*$AM483^4+WeightSDS!T$29*$AM483^3+WeightSDS!U$29*$AM483^2+WeightSDS!V$29*$AM483+WeightSDS!W$29-0.010431*(1-$AM483/210),IF($AM483&lt;123,WeightSDS!M$30*$AM483^10+WeightSDS!N$30*$AM483^9+WeightSDS!O$30*$AM483^8+WeightSDS!P$30*$AM483^7+WeightSDS!Q$30*$AM483^6+WeightSDS!R$30*$AM483^5+WeightSDS!S$30*$AM483^4+WeightSDS!T$30*$AM483^3+WeightSDS!U$30*$AM483^2+WeightSDS!V$30*$AM483+WeightSDS!W$30-0.010431*(1-1/$AM483),WeightSDS!M$32+WeightSDS!N$32/(1+EXP(WeightSDS!O$32+WeightSDS!P$32*$AM483))-0.010431*(1-$AM483/210))))</f>
        <v>2.9500001032655536</v>
      </c>
      <c r="AQ483" s="4">
        <f>IF(D483="M",IF($AM483&lt;162,WeightSDS!P$12*$AM483^7+WeightSDS!Q$12*$AM483^6+WeightSDS!R$12*$AM483^5+WeightSDS!S$12*$AM483^4+WeightSDS!T$12*$AM483^3+WeightSDS!U$12*$AM483^2+WeightSDS!V$12*$AM483+WeightSDS!W$12,WeightSDS!P$14*$AM483^7+WeightSDS!Q$14*$AM483^6+WeightSDS!R$14*$AM483^5+WeightSDS!S$14*$AM483^4+WeightSDS!T$14*$AM483^3+WeightSDS!U$14*$AM483^2+WeightSDS!V$14*$AM483+WeightSDS!W$14),IF($AM483&lt;156,WeightSDS!O$17*$AM483^8+WeightSDS!P$17*$AM483^7+WeightSDS!Q$17*$AM483^6+WeightSDS!R$17*$AM483^5+WeightSDS!S$17*$AM483^4+WeightSDS!T$17*$AM483^3+WeightSDS!U$17*$AM483^2+WeightSDS!V$17*$AM483+WeightSDS!W$17,IF($AM483&lt;186,WeightSDS!$U$18+(WeightSDS!$V$18-WeightSDS!$U$18)/24*($AM483-186)+WeightSDS!$W$18*(-$AM483+186)^2-0.005,WeightSDS!$U$18+(WeightSDS!$V$18-WeightSDS!$U$18)/24*($AM483-186)-0.005)))</f>
        <v>0.14604529399999999</v>
      </c>
      <c r="AT483" s="4">
        <f t="shared" si="154"/>
        <v>0.56299999999999994</v>
      </c>
      <c r="AU483" s="4">
        <f t="shared" si="155"/>
        <v>69</v>
      </c>
      <c r="AV483" s="4">
        <f t="shared" si="156"/>
        <v>0.51</v>
      </c>
    </row>
    <row r="484" spans="1:48" x14ac:dyDescent="0.15">
      <c r="A484" s="4"/>
      <c r="B484" s="21"/>
      <c r="C484" s="21"/>
      <c r="D484" s="21"/>
      <c r="E484" s="22"/>
      <c r="F484" s="22"/>
      <c r="G484" s="23"/>
      <c r="H484" s="23"/>
      <c r="I484" s="181"/>
      <c r="J484" s="8" t="str">
        <f t="shared" si="148"/>
        <v/>
      </c>
      <c r="K484" s="2" t="str">
        <f t="shared" si="157"/>
        <v/>
      </c>
      <c r="L484" s="2" t="str">
        <f t="shared" si="149"/>
        <v/>
      </c>
      <c r="M484" s="2" t="str">
        <f t="shared" si="158"/>
        <v/>
      </c>
      <c r="N484" s="2" t="str">
        <f t="shared" si="166"/>
        <v/>
      </c>
      <c r="O484" s="2" t="str">
        <f t="shared" si="159"/>
        <v/>
      </c>
      <c r="P484" s="8" t="str">
        <f t="shared" si="160"/>
        <v/>
      </c>
      <c r="Q484" s="8" t="str">
        <f t="shared" si="161"/>
        <v/>
      </c>
      <c r="R484" s="111" t="str">
        <f t="shared" si="162"/>
        <v/>
      </c>
      <c r="S484" s="44" t="str">
        <f t="shared" si="163"/>
        <v/>
      </c>
      <c r="T484" s="37" t="str">
        <f t="shared" si="164"/>
        <v/>
      </c>
      <c r="U484" s="44" t="str">
        <f t="shared" si="165"/>
        <v/>
      </c>
      <c r="V484" s="26"/>
      <c r="W484" s="26"/>
      <c r="X484" s="26"/>
      <c r="Y484" s="26"/>
      <c r="Z484" s="24"/>
      <c r="AA484" s="169">
        <f t="shared" si="150"/>
        <v>0</v>
      </c>
      <c r="AB484" s="4">
        <f t="shared" si="151"/>
        <v>0</v>
      </c>
      <c r="AC484" s="170">
        <f t="shared" si="168"/>
        <v>0</v>
      </c>
      <c r="AD484" s="58"/>
      <c r="AE484" s="58"/>
      <c r="AF484" s="58"/>
      <c r="AG484" s="59">
        <f t="shared" si="152"/>
        <v>9.0359999999999996</v>
      </c>
      <c r="AH484" s="59">
        <f t="shared" si="153"/>
        <v>-184.49199999999999</v>
      </c>
      <c r="AJ484" s="4">
        <f>IF(D484="M",IF(AM484&lt;78,BMILMS!$D$5*AM484^3+BMILMS!$E$5*AM484^2+BMILMS!$F$5*AM484+BMILMS!$G$5,IF(AM484&lt;150,BMILMS!$D$6*AM484^3+BMILMS!$E$6*AM484^2+BMILMS!$F$6*AM484+BMILMS!$G$6,BMILMS!$D$7*AM484^3+BMILMS!$E$7*AM484^2+BMILMS!$F$7*AM484+BMILMS!$G$7)),IF(AM484&lt;69,BMILMS!$D$9*AM484^3+BMILMS!$E$9*AM484^2+BMILMS!$F$9*AM484+BMILMS!$G$9,IF(AM484&lt;150,BMILMS!$D$10*AM484^3+BMILMS!$E$10*AM484^2+BMILMS!$F$10*AM484+BMILMS!$G$10,BMILMS!$D$11*AM484^3+BMILMS!$E$11*AM484^2+BMILMS!$F$11*AM484+BMILMS!$G$11)))</f>
        <v>0.79584630099999998</v>
      </c>
      <c r="AK484" s="4">
        <f>IF(D484="M",(IF(AM484&lt;2.5,BMILMS!$D$21*AM484^3+BMILMS!$E$21*AM484^2+BMILMS!$F$21*AM484+BMILMS!$G$21,IF(AM484&lt;9.5,BMILMS!$D$22*AM484^3+BMILMS!$E$22*AM484^2+BMILMS!$F$22*AM484+BMILMS!$G$22,IF(AM484&lt;26.75,BMILMS!$D$23*AM484^3+BMILMS!$E$23*AM484^2+BMILMS!$F$23*AM484+BMILMS!$G$23,IF(AM484&lt;90,BMILMS!$D$24*AM484^3+BMILMS!$E$24*AM484^2+BMILMS!$F$24*AM484+BMILMS!$G$24,BMILMS!$D$25*AM484^3+BMILMS!$E$25*AM484^2+BMILMS!$F$25*AM484+BMILMS!$G$25))))),(IF(AM484&lt;2.5,BMILMS!$D$27*AM484^3+BMILMS!$E$27*AM484^2+BMILMS!$F$27*AM484+BMILMS!$G$27,IF(AM484&lt;9.5,BMILMS!$D$28*AM484^3+BMILMS!$E$28*AM484^2+BMILMS!$F$28*AM484+BMILMS!$G$28,IF(AM484&lt;26.75,BMILMS!$D$29*AM484^3+BMILMS!$E$29*AM484^2+BMILMS!$F$29*AM484+BMILMS!$G$29,IF(AM484&lt;90,BMILMS!$D$30*AM484^3+BMILMS!$E$30*AM484^2+BMILMS!$F$30*AM484+BMILMS!$G$30,IF(AM484&lt;150,BMILMS!$D$31*AM484^3+BMILMS!$E$31*AM484^2+BMILMS!$F$31*AM484+BMILMS!$G$31,BMILMS!$D$32*AM484^3+BMILMS!$E$32*AM484^2+BMILMS!$F$32*AM484+BMILMS!$G$32)))))))</f>
        <v>12.568967990000001</v>
      </c>
      <c r="AL484" s="4">
        <f>IF(D484="M",(IF(AM484&lt;90,BMILMS!$D$14*AM484^3+BMILMS!$E$14*AM484^2+BMILMS!$F$14*AM484+BMILMS!$G$14,BMILMS!$D$15*AM484^3+BMILMS!$E$15*AM484^2+BMILMS!$F$15*AM484+BMILMS!$G$15)),(IF(AM484&lt;90,BMILMS!$D$17*AM484^3+BMILMS!$E$17*AM484^2+BMILMS!$F$17*AM484+BMILMS!$G$17,BMILMS!$D$18*AM484^3+BMILMS!$E$18*AM484^2+BMILMS!$F$18*AM484+BMILMS!$G$18)))</f>
        <v>8.8969350000000003E-2</v>
      </c>
      <c r="AM484" s="4">
        <f t="shared" si="167"/>
        <v>0</v>
      </c>
      <c r="AO484" s="56">
        <f>IF(D484="M",WeightSDS!P$5*$AM484^7+WeightSDS!Q$5*$AM484^6+WeightSDS!R$5*$AM484^5+WeightSDS!S$5*$AM484^4+WeightSDS!T$5*$AM484^3+WeightSDS!U$5*$AM484^2+WeightSDS!V$5*$AM484+WeightSDS!W$5,IF($AM484&lt;186,WeightSDS!P$8*$AM484^7+WeightSDS!Q$8*$AM484^6+WeightSDS!R$8*$AM484^5+WeightSDS!S$8*$AM484^4+WeightSDS!T$8*$AM484^3+WeightSDS!U$8*$AM484^2+WeightSDS!V$8*$AM484+WeightSDS!W$8,WeightSDS!$U$9+WeightSDS!$V$9*($AM484-WeightSDS!$W$9)))</f>
        <v>0.75407122999999998</v>
      </c>
      <c r="AP484" s="4">
        <f>IF(D484="M",IF($AM484&lt;45,WeightSDS!M$23*$AM484^10+WeightSDS!N$23*$AM484^9+WeightSDS!O$23*$AM484^8+WeightSDS!P$23*$AM484^7+WeightSDS!Q$23*$AM484^6+WeightSDS!R$23*$AM484^5+WeightSDS!S$23*$AM484^4+WeightSDS!T$23*$AM484^3+WeightSDS!U$23*$AM484^2+WeightSDS!V$23*$AM484+WeightSDS!W$23,IF($AM484&lt;153,WeightSDS!M$25*$AM484^10+WeightSDS!N$25*$AM484^9+WeightSDS!O$25*$AM484^8+WeightSDS!P$25*$AM484^7+WeightSDS!Q$25*$AM484^6+WeightSDS!R$25*$AM484^5+WeightSDS!S$25*$AM484^4+WeightSDS!T$25*$AM484^3+WeightSDS!U$25*$AM484^2+WeightSDS!V$25*$AM484+WeightSDS!W$25,WeightSDS!M$27+WeightSDS!N$27/(1+EXP(WeightSDS!O$27+WeightSDS!P$27*$AM484)))),IF($AM484&lt;43.8,WeightSDS!M$29*$AM484^10+WeightSDS!N$29*$AM484^9+WeightSDS!O$29*$AM484^8+WeightSDS!P$29*$AM484^7+WeightSDS!Q$29*$AM484^6+WeightSDS!R$29*$AM484^5+WeightSDS!S$29*$AM484^4+WeightSDS!T$29*$AM484^3+WeightSDS!U$29*$AM484^2+WeightSDS!V$29*$AM484+WeightSDS!W$29-0.010431*(1-$AM484/210),IF($AM484&lt;123,WeightSDS!M$30*$AM484^10+WeightSDS!N$30*$AM484^9+WeightSDS!O$30*$AM484^8+WeightSDS!P$30*$AM484^7+WeightSDS!Q$30*$AM484^6+WeightSDS!R$30*$AM484^5+WeightSDS!S$30*$AM484^4+WeightSDS!T$30*$AM484^3+WeightSDS!U$30*$AM484^2+WeightSDS!V$30*$AM484+WeightSDS!W$30-0.010431*(1-1/$AM484),WeightSDS!M$32+WeightSDS!N$32/(1+EXP(WeightSDS!O$32+WeightSDS!P$32*$AM484))-0.010431*(1-$AM484/210))))</f>
        <v>2.9500001032655536</v>
      </c>
      <c r="AQ484" s="4">
        <f>IF(D484="M",IF($AM484&lt;162,WeightSDS!P$12*$AM484^7+WeightSDS!Q$12*$AM484^6+WeightSDS!R$12*$AM484^5+WeightSDS!S$12*$AM484^4+WeightSDS!T$12*$AM484^3+WeightSDS!U$12*$AM484^2+WeightSDS!V$12*$AM484+WeightSDS!W$12,WeightSDS!P$14*$AM484^7+WeightSDS!Q$14*$AM484^6+WeightSDS!R$14*$AM484^5+WeightSDS!S$14*$AM484^4+WeightSDS!T$14*$AM484^3+WeightSDS!U$14*$AM484^2+WeightSDS!V$14*$AM484+WeightSDS!W$14),IF($AM484&lt;156,WeightSDS!O$17*$AM484^8+WeightSDS!P$17*$AM484^7+WeightSDS!Q$17*$AM484^6+WeightSDS!R$17*$AM484^5+WeightSDS!S$17*$AM484^4+WeightSDS!T$17*$AM484^3+WeightSDS!U$17*$AM484^2+WeightSDS!V$17*$AM484+WeightSDS!W$17,IF($AM484&lt;186,WeightSDS!$U$18+(WeightSDS!$V$18-WeightSDS!$U$18)/24*($AM484-186)+WeightSDS!$W$18*(-$AM484+186)^2-0.005,WeightSDS!$U$18+(WeightSDS!$V$18-WeightSDS!$U$18)/24*($AM484-186)-0.005)))</f>
        <v>0.14604529399999999</v>
      </c>
      <c r="AT484" s="4">
        <f t="shared" si="154"/>
        <v>0.56299999999999994</v>
      </c>
      <c r="AU484" s="4">
        <f t="shared" si="155"/>
        <v>69</v>
      </c>
      <c r="AV484" s="4">
        <f t="shared" si="156"/>
        <v>0.51</v>
      </c>
    </row>
    <row r="485" spans="1:48" x14ac:dyDescent="0.15">
      <c r="A485" s="4"/>
      <c r="B485" s="21"/>
      <c r="C485" s="21"/>
      <c r="D485" s="21"/>
      <c r="E485" s="22"/>
      <c r="F485" s="22"/>
      <c r="G485" s="23"/>
      <c r="H485" s="23"/>
      <c r="I485" s="181"/>
      <c r="J485" s="8" t="str">
        <f t="shared" si="148"/>
        <v/>
      </c>
      <c r="K485" s="2" t="str">
        <f t="shared" si="157"/>
        <v/>
      </c>
      <c r="L485" s="2" t="str">
        <f t="shared" si="149"/>
        <v/>
      </c>
      <c r="M485" s="2" t="str">
        <f t="shared" si="158"/>
        <v/>
      </c>
      <c r="N485" s="2" t="str">
        <f t="shared" si="166"/>
        <v/>
      </c>
      <c r="O485" s="2" t="str">
        <f t="shared" si="159"/>
        <v/>
      </c>
      <c r="P485" s="8" t="str">
        <f t="shared" si="160"/>
        <v/>
      </c>
      <c r="Q485" s="8" t="str">
        <f t="shared" si="161"/>
        <v/>
      </c>
      <c r="R485" s="111" t="str">
        <f t="shared" si="162"/>
        <v/>
      </c>
      <c r="S485" s="44" t="str">
        <f t="shared" si="163"/>
        <v/>
      </c>
      <c r="T485" s="37" t="str">
        <f t="shared" si="164"/>
        <v/>
      </c>
      <c r="U485" s="44" t="str">
        <f t="shared" si="165"/>
        <v/>
      </c>
      <c r="V485" s="26"/>
      <c r="W485" s="26"/>
      <c r="X485" s="26"/>
      <c r="Y485" s="26"/>
      <c r="Z485" s="24"/>
      <c r="AA485" s="169">
        <f t="shared" si="150"/>
        <v>0</v>
      </c>
      <c r="AB485" s="4">
        <f t="shared" si="151"/>
        <v>0</v>
      </c>
      <c r="AC485" s="170">
        <f t="shared" si="168"/>
        <v>0</v>
      </c>
      <c r="AD485" s="58"/>
      <c r="AE485" s="58"/>
      <c r="AF485" s="58"/>
      <c r="AG485" s="59">
        <f t="shared" si="152"/>
        <v>9.0359999999999996</v>
      </c>
      <c r="AH485" s="59">
        <f t="shared" si="153"/>
        <v>-184.49199999999999</v>
      </c>
      <c r="AJ485" s="4">
        <f>IF(D485="M",IF(AM485&lt;78,BMILMS!$D$5*AM485^3+BMILMS!$E$5*AM485^2+BMILMS!$F$5*AM485+BMILMS!$G$5,IF(AM485&lt;150,BMILMS!$D$6*AM485^3+BMILMS!$E$6*AM485^2+BMILMS!$F$6*AM485+BMILMS!$G$6,BMILMS!$D$7*AM485^3+BMILMS!$E$7*AM485^2+BMILMS!$F$7*AM485+BMILMS!$G$7)),IF(AM485&lt;69,BMILMS!$D$9*AM485^3+BMILMS!$E$9*AM485^2+BMILMS!$F$9*AM485+BMILMS!$G$9,IF(AM485&lt;150,BMILMS!$D$10*AM485^3+BMILMS!$E$10*AM485^2+BMILMS!$F$10*AM485+BMILMS!$G$10,BMILMS!$D$11*AM485^3+BMILMS!$E$11*AM485^2+BMILMS!$F$11*AM485+BMILMS!$G$11)))</f>
        <v>0.79584630099999998</v>
      </c>
      <c r="AK485" s="4">
        <f>IF(D485="M",(IF(AM485&lt;2.5,BMILMS!$D$21*AM485^3+BMILMS!$E$21*AM485^2+BMILMS!$F$21*AM485+BMILMS!$G$21,IF(AM485&lt;9.5,BMILMS!$D$22*AM485^3+BMILMS!$E$22*AM485^2+BMILMS!$F$22*AM485+BMILMS!$G$22,IF(AM485&lt;26.75,BMILMS!$D$23*AM485^3+BMILMS!$E$23*AM485^2+BMILMS!$F$23*AM485+BMILMS!$G$23,IF(AM485&lt;90,BMILMS!$D$24*AM485^3+BMILMS!$E$24*AM485^2+BMILMS!$F$24*AM485+BMILMS!$G$24,BMILMS!$D$25*AM485^3+BMILMS!$E$25*AM485^2+BMILMS!$F$25*AM485+BMILMS!$G$25))))),(IF(AM485&lt;2.5,BMILMS!$D$27*AM485^3+BMILMS!$E$27*AM485^2+BMILMS!$F$27*AM485+BMILMS!$G$27,IF(AM485&lt;9.5,BMILMS!$D$28*AM485^3+BMILMS!$E$28*AM485^2+BMILMS!$F$28*AM485+BMILMS!$G$28,IF(AM485&lt;26.75,BMILMS!$D$29*AM485^3+BMILMS!$E$29*AM485^2+BMILMS!$F$29*AM485+BMILMS!$G$29,IF(AM485&lt;90,BMILMS!$D$30*AM485^3+BMILMS!$E$30*AM485^2+BMILMS!$F$30*AM485+BMILMS!$G$30,IF(AM485&lt;150,BMILMS!$D$31*AM485^3+BMILMS!$E$31*AM485^2+BMILMS!$F$31*AM485+BMILMS!$G$31,BMILMS!$D$32*AM485^3+BMILMS!$E$32*AM485^2+BMILMS!$F$32*AM485+BMILMS!$G$32)))))))</f>
        <v>12.568967990000001</v>
      </c>
      <c r="AL485" s="4">
        <f>IF(D485="M",(IF(AM485&lt;90,BMILMS!$D$14*AM485^3+BMILMS!$E$14*AM485^2+BMILMS!$F$14*AM485+BMILMS!$G$14,BMILMS!$D$15*AM485^3+BMILMS!$E$15*AM485^2+BMILMS!$F$15*AM485+BMILMS!$G$15)),(IF(AM485&lt;90,BMILMS!$D$17*AM485^3+BMILMS!$E$17*AM485^2+BMILMS!$F$17*AM485+BMILMS!$G$17,BMILMS!$D$18*AM485^3+BMILMS!$E$18*AM485^2+BMILMS!$F$18*AM485+BMILMS!$G$18)))</f>
        <v>8.8969350000000003E-2</v>
      </c>
      <c r="AM485" s="4">
        <f t="shared" si="167"/>
        <v>0</v>
      </c>
      <c r="AO485" s="56">
        <f>IF(D485="M",WeightSDS!P$5*$AM485^7+WeightSDS!Q$5*$AM485^6+WeightSDS!R$5*$AM485^5+WeightSDS!S$5*$AM485^4+WeightSDS!T$5*$AM485^3+WeightSDS!U$5*$AM485^2+WeightSDS!V$5*$AM485+WeightSDS!W$5,IF($AM485&lt;186,WeightSDS!P$8*$AM485^7+WeightSDS!Q$8*$AM485^6+WeightSDS!R$8*$AM485^5+WeightSDS!S$8*$AM485^4+WeightSDS!T$8*$AM485^3+WeightSDS!U$8*$AM485^2+WeightSDS!V$8*$AM485+WeightSDS!W$8,WeightSDS!$U$9+WeightSDS!$V$9*($AM485-WeightSDS!$W$9)))</f>
        <v>0.75407122999999998</v>
      </c>
      <c r="AP485" s="4">
        <f>IF(D485="M",IF($AM485&lt;45,WeightSDS!M$23*$AM485^10+WeightSDS!N$23*$AM485^9+WeightSDS!O$23*$AM485^8+WeightSDS!P$23*$AM485^7+WeightSDS!Q$23*$AM485^6+WeightSDS!R$23*$AM485^5+WeightSDS!S$23*$AM485^4+WeightSDS!T$23*$AM485^3+WeightSDS!U$23*$AM485^2+WeightSDS!V$23*$AM485+WeightSDS!W$23,IF($AM485&lt;153,WeightSDS!M$25*$AM485^10+WeightSDS!N$25*$AM485^9+WeightSDS!O$25*$AM485^8+WeightSDS!P$25*$AM485^7+WeightSDS!Q$25*$AM485^6+WeightSDS!R$25*$AM485^5+WeightSDS!S$25*$AM485^4+WeightSDS!T$25*$AM485^3+WeightSDS!U$25*$AM485^2+WeightSDS!V$25*$AM485+WeightSDS!W$25,WeightSDS!M$27+WeightSDS!N$27/(1+EXP(WeightSDS!O$27+WeightSDS!P$27*$AM485)))),IF($AM485&lt;43.8,WeightSDS!M$29*$AM485^10+WeightSDS!N$29*$AM485^9+WeightSDS!O$29*$AM485^8+WeightSDS!P$29*$AM485^7+WeightSDS!Q$29*$AM485^6+WeightSDS!R$29*$AM485^5+WeightSDS!S$29*$AM485^4+WeightSDS!T$29*$AM485^3+WeightSDS!U$29*$AM485^2+WeightSDS!V$29*$AM485+WeightSDS!W$29-0.010431*(1-$AM485/210),IF($AM485&lt;123,WeightSDS!M$30*$AM485^10+WeightSDS!N$30*$AM485^9+WeightSDS!O$30*$AM485^8+WeightSDS!P$30*$AM485^7+WeightSDS!Q$30*$AM485^6+WeightSDS!R$30*$AM485^5+WeightSDS!S$30*$AM485^4+WeightSDS!T$30*$AM485^3+WeightSDS!U$30*$AM485^2+WeightSDS!V$30*$AM485+WeightSDS!W$30-0.010431*(1-1/$AM485),WeightSDS!M$32+WeightSDS!N$32/(1+EXP(WeightSDS!O$32+WeightSDS!P$32*$AM485))-0.010431*(1-$AM485/210))))</f>
        <v>2.9500001032655536</v>
      </c>
      <c r="AQ485" s="4">
        <f>IF(D485="M",IF($AM485&lt;162,WeightSDS!P$12*$AM485^7+WeightSDS!Q$12*$AM485^6+WeightSDS!R$12*$AM485^5+WeightSDS!S$12*$AM485^4+WeightSDS!T$12*$AM485^3+WeightSDS!U$12*$AM485^2+WeightSDS!V$12*$AM485+WeightSDS!W$12,WeightSDS!P$14*$AM485^7+WeightSDS!Q$14*$AM485^6+WeightSDS!R$14*$AM485^5+WeightSDS!S$14*$AM485^4+WeightSDS!T$14*$AM485^3+WeightSDS!U$14*$AM485^2+WeightSDS!V$14*$AM485+WeightSDS!W$14),IF($AM485&lt;156,WeightSDS!O$17*$AM485^8+WeightSDS!P$17*$AM485^7+WeightSDS!Q$17*$AM485^6+WeightSDS!R$17*$AM485^5+WeightSDS!S$17*$AM485^4+WeightSDS!T$17*$AM485^3+WeightSDS!U$17*$AM485^2+WeightSDS!V$17*$AM485+WeightSDS!W$17,IF($AM485&lt;186,WeightSDS!$U$18+(WeightSDS!$V$18-WeightSDS!$U$18)/24*($AM485-186)+WeightSDS!$W$18*(-$AM485+186)^2-0.005,WeightSDS!$U$18+(WeightSDS!$V$18-WeightSDS!$U$18)/24*($AM485-186)-0.005)))</f>
        <v>0.14604529399999999</v>
      </c>
      <c r="AT485" s="4">
        <f t="shared" si="154"/>
        <v>0.56299999999999994</v>
      </c>
      <c r="AU485" s="4">
        <f t="shared" si="155"/>
        <v>69</v>
      </c>
      <c r="AV485" s="4">
        <f t="shared" si="156"/>
        <v>0.51</v>
      </c>
    </row>
    <row r="486" spans="1:48" x14ac:dyDescent="0.15">
      <c r="A486" s="4"/>
      <c r="B486" s="21"/>
      <c r="C486" s="21"/>
      <c r="D486" s="21"/>
      <c r="E486" s="22"/>
      <c r="F486" s="22"/>
      <c r="G486" s="23"/>
      <c r="H486" s="23"/>
      <c r="I486" s="181"/>
      <c r="J486" s="8" t="str">
        <f t="shared" si="148"/>
        <v/>
      </c>
      <c r="K486" s="2" t="str">
        <f t="shared" si="157"/>
        <v/>
      </c>
      <c r="L486" s="2" t="str">
        <f t="shared" si="149"/>
        <v/>
      </c>
      <c r="M486" s="2" t="str">
        <f t="shared" si="158"/>
        <v/>
      </c>
      <c r="N486" s="2" t="str">
        <f t="shared" si="166"/>
        <v/>
      </c>
      <c r="O486" s="2" t="str">
        <f t="shared" si="159"/>
        <v/>
      </c>
      <c r="P486" s="8" t="str">
        <f t="shared" si="160"/>
        <v/>
      </c>
      <c r="Q486" s="8" t="str">
        <f t="shared" si="161"/>
        <v/>
      </c>
      <c r="R486" s="111" t="str">
        <f t="shared" si="162"/>
        <v/>
      </c>
      <c r="S486" s="44" t="str">
        <f t="shared" si="163"/>
        <v/>
      </c>
      <c r="T486" s="37" t="str">
        <f t="shared" si="164"/>
        <v/>
      </c>
      <c r="U486" s="44" t="str">
        <f t="shared" si="165"/>
        <v/>
      </c>
      <c r="V486" s="26"/>
      <c r="W486" s="26"/>
      <c r="X486" s="26"/>
      <c r="Y486" s="26"/>
      <c r="Z486" s="24"/>
      <c r="AA486" s="169">
        <f t="shared" si="150"/>
        <v>0</v>
      </c>
      <c r="AB486" s="4">
        <f t="shared" si="151"/>
        <v>0</v>
      </c>
      <c r="AC486" s="170">
        <f t="shared" si="168"/>
        <v>0</v>
      </c>
      <c r="AD486" s="58"/>
      <c r="AE486" s="58"/>
      <c r="AF486" s="58"/>
      <c r="AG486" s="59">
        <f t="shared" si="152"/>
        <v>9.0359999999999996</v>
      </c>
      <c r="AH486" s="59">
        <f t="shared" si="153"/>
        <v>-184.49199999999999</v>
      </c>
      <c r="AJ486" s="4">
        <f>IF(D486="M",IF(AM486&lt;78,BMILMS!$D$5*AM486^3+BMILMS!$E$5*AM486^2+BMILMS!$F$5*AM486+BMILMS!$G$5,IF(AM486&lt;150,BMILMS!$D$6*AM486^3+BMILMS!$E$6*AM486^2+BMILMS!$F$6*AM486+BMILMS!$G$6,BMILMS!$D$7*AM486^3+BMILMS!$E$7*AM486^2+BMILMS!$F$7*AM486+BMILMS!$G$7)),IF(AM486&lt;69,BMILMS!$D$9*AM486^3+BMILMS!$E$9*AM486^2+BMILMS!$F$9*AM486+BMILMS!$G$9,IF(AM486&lt;150,BMILMS!$D$10*AM486^3+BMILMS!$E$10*AM486^2+BMILMS!$F$10*AM486+BMILMS!$G$10,BMILMS!$D$11*AM486^3+BMILMS!$E$11*AM486^2+BMILMS!$F$11*AM486+BMILMS!$G$11)))</f>
        <v>0.79584630099999998</v>
      </c>
      <c r="AK486" s="4">
        <f>IF(D486="M",(IF(AM486&lt;2.5,BMILMS!$D$21*AM486^3+BMILMS!$E$21*AM486^2+BMILMS!$F$21*AM486+BMILMS!$G$21,IF(AM486&lt;9.5,BMILMS!$D$22*AM486^3+BMILMS!$E$22*AM486^2+BMILMS!$F$22*AM486+BMILMS!$G$22,IF(AM486&lt;26.75,BMILMS!$D$23*AM486^3+BMILMS!$E$23*AM486^2+BMILMS!$F$23*AM486+BMILMS!$G$23,IF(AM486&lt;90,BMILMS!$D$24*AM486^3+BMILMS!$E$24*AM486^2+BMILMS!$F$24*AM486+BMILMS!$G$24,BMILMS!$D$25*AM486^3+BMILMS!$E$25*AM486^2+BMILMS!$F$25*AM486+BMILMS!$G$25))))),(IF(AM486&lt;2.5,BMILMS!$D$27*AM486^3+BMILMS!$E$27*AM486^2+BMILMS!$F$27*AM486+BMILMS!$G$27,IF(AM486&lt;9.5,BMILMS!$D$28*AM486^3+BMILMS!$E$28*AM486^2+BMILMS!$F$28*AM486+BMILMS!$G$28,IF(AM486&lt;26.75,BMILMS!$D$29*AM486^3+BMILMS!$E$29*AM486^2+BMILMS!$F$29*AM486+BMILMS!$G$29,IF(AM486&lt;90,BMILMS!$D$30*AM486^3+BMILMS!$E$30*AM486^2+BMILMS!$F$30*AM486+BMILMS!$G$30,IF(AM486&lt;150,BMILMS!$D$31*AM486^3+BMILMS!$E$31*AM486^2+BMILMS!$F$31*AM486+BMILMS!$G$31,BMILMS!$D$32*AM486^3+BMILMS!$E$32*AM486^2+BMILMS!$F$32*AM486+BMILMS!$G$32)))))))</f>
        <v>12.568967990000001</v>
      </c>
      <c r="AL486" s="4">
        <f>IF(D486="M",(IF(AM486&lt;90,BMILMS!$D$14*AM486^3+BMILMS!$E$14*AM486^2+BMILMS!$F$14*AM486+BMILMS!$G$14,BMILMS!$D$15*AM486^3+BMILMS!$E$15*AM486^2+BMILMS!$F$15*AM486+BMILMS!$G$15)),(IF(AM486&lt;90,BMILMS!$D$17*AM486^3+BMILMS!$E$17*AM486^2+BMILMS!$F$17*AM486+BMILMS!$G$17,BMILMS!$D$18*AM486^3+BMILMS!$E$18*AM486^2+BMILMS!$F$18*AM486+BMILMS!$G$18)))</f>
        <v>8.8969350000000003E-2</v>
      </c>
      <c r="AM486" s="4">
        <f t="shared" si="167"/>
        <v>0</v>
      </c>
      <c r="AO486" s="56">
        <f>IF(D486="M",WeightSDS!P$5*$AM486^7+WeightSDS!Q$5*$AM486^6+WeightSDS!R$5*$AM486^5+WeightSDS!S$5*$AM486^4+WeightSDS!T$5*$AM486^3+WeightSDS!U$5*$AM486^2+WeightSDS!V$5*$AM486+WeightSDS!W$5,IF($AM486&lt;186,WeightSDS!P$8*$AM486^7+WeightSDS!Q$8*$AM486^6+WeightSDS!R$8*$AM486^5+WeightSDS!S$8*$AM486^4+WeightSDS!T$8*$AM486^3+WeightSDS!U$8*$AM486^2+WeightSDS!V$8*$AM486+WeightSDS!W$8,WeightSDS!$U$9+WeightSDS!$V$9*($AM486-WeightSDS!$W$9)))</f>
        <v>0.75407122999999998</v>
      </c>
      <c r="AP486" s="4">
        <f>IF(D486="M",IF($AM486&lt;45,WeightSDS!M$23*$AM486^10+WeightSDS!N$23*$AM486^9+WeightSDS!O$23*$AM486^8+WeightSDS!P$23*$AM486^7+WeightSDS!Q$23*$AM486^6+WeightSDS!R$23*$AM486^5+WeightSDS!S$23*$AM486^4+WeightSDS!T$23*$AM486^3+WeightSDS!U$23*$AM486^2+WeightSDS!V$23*$AM486+WeightSDS!W$23,IF($AM486&lt;153,WeightSDS!M$25*$AM486^10+WeightSDS!N$25*$AM486^9+WeightSDS!O$25*$AM486^8+WeightSDS!P$25*$AM486^7+WeightSDS!Q$25*$AM486^6+WeightSDS!R$25*$AM486^5+WeightSDS!S$25*$AM486^4+WeightSDS!T$25*$AM486^3+WeightSDS!U$25*$AM486^2+WeightSDS!V$25*$AM486+WeightSDS!W$25,WeightSDS!M$27+WeightSDS!N$27/(1+EXP(WeightSDS!O$27+WeightSDS!P$27*$AM486)))),IF($AM486&lt;43.8,WeightSDS!M$29*$AM486^10+WeightSDS!N$29*$AM486^9+WeightSDS!O$29*$AM486^8+WeightSDS!P$29*$AM486^7+WeightSDS!Q$29*$AM486^6+WeightSDS!R$29*$AM486^5+WeightSDS!S$29*$AM486^4+WeightSDS!T$29*$AM486^3+WeightSDS!U$29*$AM486^2+WeightSDS!V$29*$AM486+WeightSDS!W$29-0.010431*(1-$AM486/210),IF($AM486&lt;123,WeightSDS!M$30*$AM486^10+WeightSDS!N$30*$AM486^9+WeightSDS!O$30*$AM486^8+WeightSDS!P$30*$AM486^7+WeightSDS!Q$30*$AM486^6+WeightSDS!R$30*$AM486^5+WeightSDS!S$30*$AM486^4+WeightSDS!T$30*$AM486^3+WeightSDS!U$30*$AM486^2+WeightSDS!V$30*$AM486+WeightSDS!W$30-0.010431*(1-1/$AM486),WeightSDS!M$32+WeightSDS!N$32/(1+EXP(WeightSDS!O$32+WeightSDS!P$32*$AM486))-0.010431*(1-$AM486/210))))</f>
        <v>2.9500001032655536</v>
      </c>
      <c r="AQ486" s="4">
        <f>IF(D486="M",IF($AM486&lt;162,WeightSDS!P$12*$AM486^7+WeightSDS!Q$12*$AM486^6+WeightSDS!R$12*$AM486^5+WeightSDS!S$12*$AM486^4+WeightSDS!T$12*$AM486^3+WeightSDS!U$12*$AM486^2+WeightSDS!V$12*$AM486+WeightSDS!W$12,WeightSDS!P$14*$AM486^7+WeightSDS!Q$14*$AM486^6+WeightSDS!R$14*$AM486^5+WeightSDS!S$14*$AM486^4+WeightSDS!T$14*$AM486^3+WeightSDS!U$14*$AM486^2+WeightSDS!V$14*$AM486+WeightSDS!W$14),IF($AM486&lt;156,WeightSDS!O$17*$AM486^8+WeightSDS!P$17*$AM486^7+WeightSDS!Q$17*$AM486^6+WeightSDS!R$17*$AM486^5+WeightSDS!S$17*$AM486^4+WeightSDS!T$17*$AM486^3+WeightSDS!U$17*$AM486^2+WeightSDS!V$17*$AM486+WeightSDS!W$17,IF($AM486&lt;186,WeightSDS!$U$18+(WeightSDS!$V$18-WeightSDS!$U$18)/24*($AM486-186)+WeightSDS!$W$18*(-$AM486+186)^2-0.005,WeightSDS!$U$18+(WeightSDS!$V$18-WeightSDS!$U$18)/24*($AM486-186)-0.005)))</f>
        <v>0.14604529399999999</v>
      </c>
      <c r="AT486" s="4">
        <f t="shared" si="154"/>
        <v>0.56299999999999994</v>
      </c>
      <c r="AU486" s="4">
        <f t="shared" si="155"/>
        <v>69</v>
      </c>
      <c r="AV486" s="4">
        <f t="shared" si="156"/>
        <v>0.51</v>
      </c>
    </row>
    <row r="487" spans="1:48" x14ac:dyDescent="0.15">
      <c r="A487" s="4"/>
      <c r="B487" s="21"/>
      <c r="C487" s="21"/>
      <c r="D487" s="21"/>
      <c r="E487" s="22"/>
      <c r="F487" s="22"/>
      <c r="G487" s="23"/>
      <c r="H487" s="23"/>
      <c r="I487" s="181"/>
      <c r="J487" s="8" t="str">
        <f t="shared" si="148"/>
        <v/>
      </c>
      <c r="K487" s="2" t="str">
        <f t="shared" si="157"/>
        <v/>
      </c>
      <c r="L487" s="2" t="str">
        <f t="shared" si="149"/>
        <v/>
      </c>
      <c r="M487" s="2" t="str">
        <f t="shared" si="158"/>
        <v/>
      </c>
      <c r="N487" s="2" t="str">
        <f t="shared" si="166"/>
        <v/>
      </c>
      <c r="O487" s="2" t="str">
        <f t="shared" si="159"/>
        <v/>
      </c>
      <c r="P487" s="8" t="str">
        <f t="shared" si="160"/>
        <v/>
      </c>
      <c r="Q487" s="8" t="str">
        <f t="shared" si="161"/>
        <v/>
      </c>
      <c r="R487" s="111" t="str">
        <f t="shared" si="162"/>
        <v/>
      </c>
      <c r="S487" s="44" t="str">
        <f t="shared" si="163"/>
        <v/>
      </c>
      <c r="T487" s="37" t="str">
        <f t="shared" si="164"/>
        <v/>
      </c>
      <c r="U487" s="44" t="str">
        <f t="shared" si="165"/>
        <v/>
      </c>
      <c r="V487" s="26"/>
      <c r="W487" s="26"/>
      <c r="X487" s="26"/>
      <c r="Y487" s="26"/>
      <c r="Z487" s="24"/>
      <c r="AA487" s="169">
        <f t="shared" si="150"/>
        <v>0</v>
      </c>
      <c r="AB487" s="4">
        <f t="shared" si="151"/>
        <v>0</v>
      </c>
      <c r="AC487" s="170">
        <f t="shared" si="168"/>
        <v>0</v>
      </c>
      <c r="AD487" s="58"/>
      <c r="AE487" s="58"/>
      <c r="AF487" s="58"/>
      <c r="AG487" s="59">
        <f t="shared" si="152"/>
        <v>9.0359999999999996</v>
      </c>
      <c r="AH487" s="59">
        <f t="shared" si="153"/>
        <v>-184.49199999999999</v>
      </c>
      <c r="AJ487" s="4">
        <f>IF(D487="M",IF(AM487&lt;78,BMILMS!$D$5*AM487^3+BMILMS!$E$5*AM487^2+BMILMS!$F$5*AM487+BMILMS!$G$5,IF(AM487&lt;150,BMILMS!$D$6*AM487^3+BMILMS!$E$6*AM487^2+BMILMS!$F$6*AM487+BMILMS!$G$6,BMILMS!$D$7*AM487^3+BMILMS!$E$7*AM487^2+BMILMS!$F$7*AM487+BMILMS!$G$7)),IF(AM487&lt;69,BMILMS!$D$9*AM487^3+BMILMS!$E$9*AM487^2+BMILMS!$F$9*AM487+BMILMS!$G$9,IF(AM487&lt;150,BMILMS!$D$10*AM487^3+BMILMS!$E$10*AM487^2+BMILMS!$F$10*AM487+BMILMS!$G$10,BMILMS!$D$11*AM487^3+BMILMS!$E$11*AM487^2+BMILMS!$F$11*AM487+BMILMS!$G$11)))</f>
        <v>0.79584630099999998</v>
      </c>
      <c r="AK487" s="4">
        <f>IF(D487="M",(IF(AM487&lt;2.5,BMILMS!$D$21*AM487^3+BMILMS!$E$21*AM487^2+BMILMS!$F$21*AM487+BMILMS!$G$21,IF(AM487&lt;9.5,BMILMS!$D$22*AM487^3+BMILMS!$E$22*AM487^2+BMILMS!$F$22*AM487+BMILMS!$G$22,IF(AM487&lt;26.75,BMILMS!$D$23*AM487^3+BMILMS!$E$23*AM487^2+BMILMS!$F$23*AM487+BMILMS!$G$23,IF(AM487&lt;90,BMILMS!$D$24*AM487^3+BMILMS!$E$24*AM487^2+BMILMS!$F$24*AM487+BMILMS!$G$24,BMILMS!$D$25*AM487^3+BMILMS!$E$25*AM487^2+BMILMS!$F$25*AM487+BMILMS!$G$25))))),(IF(AM487&lt;2.5,BMILMS!$D$27*AM487^3+BMILMS!$E$27*AM487^2+BMILMS!$F$27*AM487+BMILMS!$G$27,IF(AM487&lt;9.5,BMILMS!$D$28*AM487^3+BMILMS!$E$28*AM487^2+BMILMS!$F$28*AM487+BMILMS!$G$28,IF(AM487&lt;26.75,BMILMS!$D$29*AM487^3+BMILMS!$E$29*AM487^2+BMILMS!$F$29*AM487+BMILMS!$G$29,IF(AM487&lt;90,BMILMS!$D$30*AM487^3+BMILMS!$E$30*AM487^2+BMILMS!$F$30*AM487+BMILMS!$G$30,IF(AM487&lt;150,BMILMS!$D$31*AM487^3+BMILMS!$E$31*AM487^2+BMILMS!$F$31*AM487+BMILMS!$G$31,BMILMS!$D$32*AM487^3+BMILMS!$E$32*AM487^2+BMILMS!$F$32*AM487+BMILMS!$G$32)))))))</f>
        <v>12.568967990000001</v>
      </c>
      <c r="AL487" s="4">
        <f>IF(D487="M",(IF(AM487&lt;90,BMILMS!$D$14*AM487^3+BMILMS!$E$14*AM487^2+BMILMS!$F$14*AM487+BMILMS!$G$14,BMILMS!$D$15*AM487^3+BMILMS!$E$15*AM487^2+BMILMS!$F$15*AM487+BMILMS!$G$15)),(IF(AM487&lt;90,BMILMS!$D$17*AM487^3+BMILMS!$E$17*AM487^2+BMILMS!$F$17*AM487+BMILMS!$G$17,BMILMS!$D$18*AM487^3+BMILMS!$E$18*AM487^2+BMILMS!$F$18*AM487+BMILMS!$G$18)))</f>
        <v>8.8969350000000003E-2</v>
      </c>
      <c r="AM487" s="4">
        <f t="shared" si="167"/>
        <v>0</v>
      </c>
      <c r="AO487" s="56">
        <f>IF(D487="M",WeightSDS!P$5*$AM487^7+WeightSDS!Q$5*$AM487^6+WeightSDS!R$5*$AM487^5+WeightSDS!S$5*$AM487^4+WeightSDS!T$5*$AM487^3+WeightSDS!U$5*$AM487^2+WeightSDS!V$5*$AM487+WeightSDS!W$5,IF($AM487&lt;186,WeightSDS!P$8*$AM487^7+WeightSDS!Q$8*$AM487^6+WeightSDS!R$8*$AM487^5+WeightSDS!S$8*$AM487^4+WeightSDS!T$8*$AM487^3+WeightSDS!U$8*$AM487^2+WeightSDS!V$8*$AM487+WeightSDS!W$8,WeightSDS!$U$9+WeightSDS!$V$9*($AM487-WeightSDS!$W$9)))</f>
        <v>0.75407122999999998</v>
      </c>
      <c r="AP487" s="4">
        <f>IF(D487="M",IF($AM487&lt;45,WeightSDS!M$23*$AM487^10+WeightSDS!N$23*$AM487^9+WeightSDS!O$23*$AM487^8+WeightSDS!P$23*$AM487^7+WeightSDS!Q$23*$AM487^6+WeightSDS!R$23*$AM487^5+WeightSDS!S$23*$AM487^4+WeightSDS!T$23*$AM487^3+WeightSDS!U$23*$AM487^2+WeightSDS!V$23*$AM487+WeightSDS!W$23,IF($AM487&lt;153,WeightSDS!M$25*$AM487^10+WeightSDS!N$25*$AM487^9+WeightSDS!O$25*$AM487^8+WeightSDS!P$25*$AM487^7+WeightSDS!Q$25*$AM487^6+WeightSDS!R$25*$AM487^5+WeightSDS!S$25*$AM487^4+WeightSDS!T$25*$AM487^3+WeightSDS!U$25*$AM487^2+WeightSDS!V$25*$AM487+WeightSDS!W$25,WeightSDS!M$27+WeightSDS!N$27/(1+EXP(WeightSDS!O$27+WeightSDS!P$27*$AM487)))),IF($AM487&lt;43.8,WeightSDS!M$29*$AM487^10+WeightSDS!N$29*$AM487^9+WeightSDS!O$29*$AM487^8+WeightSDS!P$29*$AM487^7+WeightSDS!Q$29*$AM487^6+WeightSDS!R$29*$AM487^5+WeightSDS!S$29*$AM487^4+WeightSDS!T$29*$AM487^3+WeightSDS!U$29*$AM487^2+WeightSDS!V$29*$AM487+WeightSDS!W$29-0.010431*(1-$AM487/210),IF($AM487&lt;123,WeightSDS!M$30*$AM487^10+WeightSDS!N$30*$AM487^9+WeightSDS!O$30*$AM487^8+WeightSDS!P$30*$AM487^7+WeightSDS!Q$30*$AM487^6+WeightSDS!R$30*$AM487^5+WeightSDS!S$30*$AM487^4+WeightSDS!T$30*$AM487^3+WeightSDS!U$30*$AM487^2+WeightSDS!V$30*$AM487+WeightSDS!W$30-0.010431*(1-1/$AM487),WeightSDS!M$32+WeightSDS!N$32/(1+EXP(WeightSDS!O$32+WeightSDS!P$32*$AM487))-0.010431*(1-$AM487/210))))</f>
        <v>2.9500001032655536</v>
      </c>
      <c r="AQ487" s="4">
        <f>IF(D487="M",IF($AM487&lt;162,WeightSDS!P$12*$AM487^7+WeightSDS!Q$12*$AM487^6+WeightSDS!R$12*$AM487^5+WeightSDS!S$12*$AM487^4+WeightSDS!T$12*$AM487^3+WeightSDS!U$12*$AM487^2+WeightSDS!V$12*$AM487+WeightSDS!W$12,WeightSDS!P$14*$AM487^7+WeightSDS!Q$14*$AM487^6+WeightSDS!R$14*$AM487^5+WeightSDS!S$14*$AM487^4+WeightSDS!T$14*$AM487^3+WeightSDS!U$14*$AM487^2+WeightSDS!V$14*$AM487+WeightSDS!W$14),IF($AM487&lt;156,WeightSDS!O$17*$AM487^8+WeightSDS!P$17*$AM487^7+WeightSDS!Q$17*$AM487^6+WeightSDS!R$17*$AM487^5+WeightSDS!S$17*$AM487^4+WeightSDS!T$17*$AM487^3+WeightSDS!U$17*$AM487^2+WeightSDS!V$17*$AM487+WeightSDS!W$17,IF($AM487&lt;186,WeightSDS!$U$18+(WeightSDS!$V$18-WeightSDS!$U$18)/24*($AM487-186)+WeightSDS!$W$18*(-$AM487+186)^2-0.005,WeightSDS!$U$18+(WeightSDS!$V$18-WeightSDS!$U$18)/24*($AM487-186)-0.005)))</f>
        <v>0.14604529399999999</v>
      </c>
      <c r="AT487" s="4">
        <f t="shared" si="154"/>
        <v>0.56299999999999994</v>
      </c>
      <c r="AU487" s="4">
        <f t="shared" si="155"/>
        <v>69</v>
      </c>
      <c r="AV487" s="4">
        <f t="shared" si="156"/>
        <v>0.51</v>
      </c>
    </row>
    <row r="488" spans="1:48" x14ac:dyDescent="0.15">
      <c r="A488" s="4"/>
      <c r="B488" s="21"/>
      <c r="C488" s="21"/>
      <c r="D488" s="21"/>
      <c r="E488" s="22"/>
      <c r="F488" s="22"/>
      <c r="G488" s="23"/>
      <c r="H488" s="23"/>
      <c r="I488" s="181"/>
      <c r="J488" s="8" t="str">
        <f t="shared" si="148"/>
        <v/>
      </c>
      <c r="K488" s="2" t="str">
        <f t="shared" si="157"/>
        <v/>
      </c>
      <c r="L488" s="2" t="str">
        <f t="shared" si="149"/>
        <v/>
      </c>
      <c r="M488" s="2" t="str">
        <f t="shared" si="158"/>
        <v/>
      </c>
      <c r="N488" s="2" t="str">
        <f t="shared" si="166"/>
        <v/>
      </c>
      <c r="O488" s="2" t="str">
        <f t="shared" si="159"/>
        <v/>
      </c>
      <c r="P488" s="8" t="str">
        <f t="shared" si="160"/>
        <v/>
      </c>
      <c r="Q488" s="8" t="str">
        <f t="shared" si="161"/>
        <v/>
      </c>
      <c r="R488" s="111" t="str">
        <f t="shared" si="162"/>
        <v/>
      </c>
      <c r="S488" s="44" t="str">
        <f t="shared" si="163"/>
        <v/>
      </c>
      <c r="T488" s="37" t="str">
        <f t="shared" si="164"/>
        <v/>
      </c>
      <c r="U488" s="44" t="str">
        <f t="shared" si="165"/>
        <v/>
      </c>
      <c r="V488" s="26"/>
      <c r="W488" s="26"/>
      <c r="X488" s="26"/>
      <c r="Y488" s="26"/>
      <c r="Z488" s="24"/>
      <c r="AA488" s="169">
        <f t="shared" si="150"/>
        <v>0</v>
      </c>
      <c r="AB488" s="4">
        <f t="shared" si="151"/>
        <v>0</v>
      </c>
      <c r="AC488" s="170">
        <f t="shared" si="168"/>
        <v>0</v>
      </c>
      <c r="AD488" s="58"/>
      <c r="AE488" s="58"/>
      <c r="AF488" s="58"/>
      <c r="AG488" s="59">
        <f t="shared" si="152"/>
        <v>9.0359999999999996</v>
      </c>
      <c r="AH488" s="59">
        <f t="shared" si="153"/>
        <v>-184.49199999999999</v>
      </c>
      <c r="AJ488" s="4">
        <f>IF(D488="M",IF(AM488&lt;78,BMILMS!$D$5*AM488^3+BMILMS!$E$5*AM488^2+BMILMS!$F$5*AM488+BMILMS!$G$5,IF(AM488&lt;150,BMILMS!$D$6*AM488^3+BMILMS!$E$6*AM488^2+BMILMS!$F$6*AM488+BMILMS!$G$6,BMILMS!$D$7*AM488^3+BMILMS!$E$7*AM488^2+BMILMS!$F$7*AM488+BMILMS!$G$7)),IF(AM488&lt;69,BMILMS!$D$9*AM488^3+BMILMS!$E$9*AM488^2+BMILMS!$F$9*AM488+BMILMS!$G$9,IF(AM488&lt;150,BMILMS!$D$10*AM488^3+BMILMS!$E$10*AM488^2+BMILMS!$F$10*AM488+BMILMS!$G$10,BMILMS!$D$11*AM488^3+BMILMS!$E$11*AM488^2+BMILMS!$F$11*AM488+BMILMS!$G$11)))</f>
        <v>0.79584630099999998</v>
      </c>
      <c r="AK488" s="4">
        <f>IF(D488="M",(IF(AM488&lt;2.5,BMILMS!$D$21*AM488^3+BMILMS!$E$21*AM488^2+BMILMS!$F$21*AM488+BMILMS!$G$21,IF(AM488&lt;9.5,BMILMS!$D$22*AM488^3+BMILMS!$E$22*AM488^2+BMILMS!$F$22*AM488+BMILMS!$G$22,IF(AM488&lt;26.75,BMILMS!$D$23*AM488^3+BMILMS!$E$23*AM488^2+BMILMS!$F$23*AM488+BMILMS!$G$23,IF(AM488&lt;90,BMILMS!$D$24*AM488^3+BMILMS!$E$24*AM488^2+BMILMS!$F$24*AM488+BMILMS!$G$24,BMILMS!$D$25*AM488^3+BMILMS!$E$25*AM488^2+BMILMS!$F$25*AM488+BMILMS!$G$25))))),(IF(AM488&lt;2.5,BMILMS!$D$27*AM488^3+BMILMS!$E$27*AM488^2+BMILMS!$F$27*AM488+BMILMS!$G$27,IF(AM488&lt;9.5,BMILMS!$D$28*AM488^3+BMILMS!$E$28*AM488^2+BMILMS!$F$28*AM488+BMILMS!$G$28,IF(AM488&lt;26.75,BMILMS!$D$29*AM488^3+BMILMS!$E$29*AM488^2+BMILMS!$F$29*AM488+BMILMS!$G$29,IF(AM488&lt;90,BMILMS!$D$30*AM488^3+BMILMS!$E$30*AM488^2+BMILMS!$F$30*AM488+BMILMS!$G$30,IF(AM488&lt;150,BMILMS!$D$31*AM488^3+BMILMS!$E$31*AM488^2+BMILMS!$F$31*AM488+BMILMS!$G$31,BMILMS!$D$32*AM488^3+BMILMS!$E$32*AM488^2+BMILMS!$F$32*AM488+BMILMS!$G$32)))))))</f>
        <v>12.568967990000001</v>
      </c>
      <c r="AL488" s="4">
        <f>IF(D488="M",(IF(AM488&lt;90,BMILMS!$D$14*AM488^3+BMILMS!$E$14*AM488^2+BMILMS!$F$14*AM488+BMILMS!$G$14,BMILMS!$D$15*AM488^3+BMILMS!$E$15*AM488^2+BMILMS!$F$15*AM488+BMILMS!$G$15)),(IF(AM488&lt;90,BMILMS!$D$17*AM488^3+BMILMS!$E$17*AM488^2+BMILMS!$F$17*AM488+BMILMS!$G$17,BMILMS!$D$18*AM488^3+BMILMS!$E$18*AM488^2+BMILMS!$F$18*AM488+BMILMS!$G$18)))</f>
        <v>8.8969350000000003E-2</v>
      </c>
      <c r="AM488" s="4">
        <f t="shared" si="167"/>
        <v>0</v>
      </c>
      <c r="AO488" s="56">
        <f>IF(D488="M",WeightSDS!P$5*$AM488^7+WeightSDS!Q$5*$AM488^6+WeightSDS!R$5*$AM488^5+WeightSDS!S$5*$AM488^4+WeightSDS!T$5*$AM488^3+WeightSDS!U$5*$AM488^2+WeightSDS!V$5*$AM488+WeightSDS!W$5,IF($AM488&lt;186,WeightSDS!P$8*$AM488^7+WeightSDS!Q$8*$AM488^6+WeightSDS!R$8*$AM488^5+WeightSDS!S$8*$AM488^4+WeightSDS!T$8*$AM488^3+WeightSDS!U$8*$AM488^2+WeightSDS!V$8*$AM488+WeightSDS!W$8,WeightSDS!$U$9+WeightSDS!$V$9*($AM488-WeightSDS!$W$9)))</f>
        <v>0.75407122999999998</v>
      </c>
      <c r="AP488" s="4">
        <f>IF(D488="M",IF($AM488&lt;45,WeightSDS!M$23*$AM488^10+WeightSDS!N$23*$AM488^9+WeightSDS!O$23*$AM488^8+WeightSDS!P$23*$AM488^7+WeightSDS!Q$23*$AM488^6+WeightSDS!R$23*$AM488^5+WeightSDS!S$23*$AM488^4+WeightSDS!T$23*$AM488^3+WeightSDS!U$23*$AM488^2+WeightSDS!V$23*$AM488+WeightSDS!W$23,IF($AM488&lt;153,WeightSDS!M$25*$AM488^10+WeightSDS!N$25*$AM488^9+WeightSDS!O$25*$AM488^8+WeightSDS!P$25*$AM488^7+WeightSDS!Q$25*$AM488^6+WeightSDS!R$25*$AM488^5+WeightSDS!S$25*$AM488^4+WeightSDS!T$25*$AM488^3+WeightSDS!U$25*$AM488^2+WeightSDS!V$25*$AM488+WeightSDS!W$25,WeightSDS!M$27+WeightSDS!N$27/(1+EXP(WeightSDS!O$27+WeightSDS!P$27*$AM488)))),IF($AM488&lt;43.8,WeightSDS!M$29*$AM488^10+WeightSDS!N$29*$AM488^9+WeightSDS!O$29*$AM488^8+WeightSDS!P$29*$AM488^7+WeightSDS!Q$29*$AM488^6+WeightSDS!R$29*$AM488^5+WeightSDS!S$29*$AM488^4+WeightSDS!T$29*$AM488^3+WeightSDS!U$29*$AM488^2+WeightSDS!V$29*$AM488+WeightSDS!W$29-0.010431*(1-$AM488/210),IF($AM488&lt;123,WeightSDS!M$30*$AM488^10+WeightSDS!N$30*$AM488^9+WeightSDS!O$30*$AM488^8+WeightSDS!P$30*$AM488^7+WeightSDS!Q$30*$AM488^6+WeightSDS!R$30*$AM488^5+WeightSDS!S$30*$AM488^4+WeightSDS!T$30*$AM488^3+WeightSDS!U$30*$AM488^2+WeightSDS!V$30*$AM488+WeightSDS!W$30-0.010431*(1-1/$AM488),WeightSDS!M$32+WeightSDS!N$32/(1+EXP(WeightSDS!O$32+WeightSDS!P$32*$AM488))-0.010431*(1-$AM488/210))))</f>
        <v>2.9500001032655536</v>
      </c>
      <c r="AQ488" s="4">
        <f>IF(D488="M",IF($AM488&lt;162,WeightSDS!P$12*$AM488^7+WeightSDS!Q$12*$AM488^6+WeightSDS!R$12*$AM488^5+WeightSDS!S$12*$AM488^4+WeightSDS!T$12*$AM488^3+WeightSDS!U$12*$AM488^2+WeightSDS!V$12*$AM488+WeightSDS!W$12,WeightSDS!P$14*$AM488^7+WeightSDS!Q$14*$AM488^6+WeightSDS!R$14*$AM488^5+WeightSDS!S$14*$AM488^4+WeightSDS!T$14*$AM488^3+WeightSDS!U$14*$AM488^2+WeightSDS!V$14*$AM488+WeightSDS!W$14),IF($AM488&lt;156,WeightSDS!O$17*$AM488^8+WeightSDS!P$17*$AM488^7+WeightSDS!Q$17*$AM488^6+WeightSDS!R$17*$AM488^5+WeightSDS!S$17*$AM488^4+WeightSDS!T$17*$AM488^3+WeightSDS!U$17*$AM488^2+WeightSDS!V$17*$AM488+WeightSDS!W$17,IF($AM488&lt;186,WeightSDS!$U$18+(WeightSDS!$V$18-WeightSDS!$U$18)/24*($AM488-186)+WeightSDS!$W$18*(-$AM488+186)^2-0.005,WeightSDS!$U$18+(WeightSDS!$V$18-WeightSDS!$U$18)/24*($AM488-186)-0.005)))</f>
        <v>0.14604529399999999</v>
      </c>
      <c r="AT488" s="4">
        <f t="shared" si="154"/>
        <v>0.56299999999999994</v>
      </c>
      <c r="AU488" s="4">
        <f t="shared" si="155"/>
        <v>69</v>
      </c>
      <c r="AV488" s="4">
        <f t="shared" si="156"/>
        <v>0.51</v>
      </c>
    </row>
    <row r="489" spans="1:48" x14ac:dyDescent="0.15">
      <c r="A489" s="4"/>
      <c r="B489" s="21"/>
      <c r="C489" s="21"/>
      <c r="D489" s="21"/>
      <c r="E489" s="22"/>
      <c r="F489" s="22"/>
      <c r="G489" s="23"/>
      <c r="H489" s="23"/>
      <c r="I489" s="181"/>
      <c r="J489" s="8" t="str">
        <f t="shared" si="148"/>
        <v/>
      </c>
      <c r="K489" s="2" t="str">
        <f t="shared" si="157"/>
        <v/>
      </c>
      <c r="L489" s="2" t="str">
        <f t="shared" si="149"/>
        <v/>
      </c>
      <c r="M489" s="2" t="str">
        <f t="shared" si="158"/>
        <v/>
      </c>
      <c r="N489" s="2" t="str">
        <f t="shared" si="166"/>
        <v/>
      </c>
      <c r="O489" s="2" t="str">
        <f t="shared" si="159"/>
        <v/>
      </c>
      <c r="P489" s="8" t="str">
        <f t="shared" si="160"/>
        <v/>
      </c>
      <c r="Q489" s="8" t="str">
        <f t="shared" si="161"/>
        <v/>
      </c>
      <c r="R489" s="111" t="str">
        <f t="shared" si="162"/>
        <v/>
      </c>
      <c r="S489" s="44" t="str">
        <f t="shared" si="163"/>
        <v/>
      </c>
      <c r="T489" s="37" t="str">
        <f t="shared" si="164"/>
        <v/>
      </c>
      <c r="U489" s="44" t="str">
        <f t="shared" si="165"/>
        <v/>
      </c>
      <c r="V489" s="26"/>
      <c r="W489" s="26"/>
      <c r="X489" s="26"/>
      <c r="Y489" s="26"/>
      <c r="Z489" s="24"/>
      <c r="AA489" s="169">
        <f t="shared" si="150"/>
        <v>0</v>
      </c>
      <c r="AB489" s="4">
        <f t="shared" si="151"/>
        <v>0</v>
      </c>
      <c r="AC489" s="170">
        <f t="shared" si="168"/>
        <v>0</v>
      </c>
      <c r="AD489" s="58"/>
      <c r="AE489" s="58"/>
      <c r="AF489" s="58"/>
      <c r="AG489" s="59">
        <f t="shared" si="152"/>
        <v>9.0359999999999996</v>
      </c>
      <c r="AH489" s="59">
        <f t="shared" si="153"/>
        <v>-184.49199999999999</v>
      </c>
      <c r="AJ489" s="4">
        <f>IF(D489="M",IF(AM489&lt;78,BMILMS!$D$5*AM489^3+BMILMS!$E$5*AM489^2+BMILMS!$F$5*AM489+BMILMS!$G$5,IF(AM489&lt;150,BMILMS!$D$6*AM489^3+BMILMS!$E$6*AM489^2+BMILMS!$F$6*AM489+BMILMS!$G$6,BMILMS!$D$7*AM489^3+BMILMS!$E$7*AM489^2+BMILMS!$F$7*AM489+BMILMS!$G$7)),IF(AM489&lt;69,BMILMS!$D$9*AM489^3+BMILMS!$E$9*AM489^2+BMILMS!$F$9*AM489+BMILMS!$G$9,IF(AM489&lt;150,BMILMS!$D$10*AM489^3+BMILMS!$E$10*AM489^2+BMILMS!$F$10*AM489+BMILMS!$G$10,BMILMS!$D$11*AM489^3+BMILMS!$E$11*AM489^2+BMILMS!$F$11*AM489+BMILMS!$G$11)))</f>
        <v>0.79584630099999998</v>
      </c>
      <c r="AK489" s="4">
        <f>IF(D489="M",(IF(AM489&lt;2.5,BMILMS!$D$21*AM489^3+BMILMS!$E$21*AM489^2+BMILMS!$F$21*AM489+BMILMS!$G$21,IF(AM489&lt;9.5,BMILMS!$D$22*AM489^3+BMILMS!$E$22*AM489^2+BMILMS!$F$22*AM489+BMILMS!$G$22,IF(AM489&lt;26.75,BMILMS!$D$23*AM489^3+BMILMS!$E$23*AM489^2+BMILMS!$F$23*AM489+BMILMS!$G$23,IF(AM489&lt;90,BMILMS!$D$24*AM489^3+BMILMS!$E$24*AM489^2+BMILMS!$F$24*AM489+BMILMS!$G$24,BMILMS!$D$25*AM489^3+BMILMS!$E$25*AM489^2+BMILMS!$F$25*AM489+BMILMS!$G$25))))),(IF(AM489&lt;2.5,BMILMS!$D$27*AM489^3+BMILMS!$E$27*AM489^2+BMILMS!$F$27*AM489+BMILMS!$G$27,IF(AM489&lt;9.5,BMILMS!$D$28*AM489^3+BMILMS!$E$28*AM489^2+BMILMS!$F$28*AM489+BMILMS!$G$28,IF(AM489&lt;26.75,BMILMS!$D$29*AM489^3+BMILMS!$E$29*AM489^2+BMILMS!$F$29*AM489+BMILMS!$G$29,IF(AM489&lt;90,BMILMS!$D$30*AM489^3+BMILMS!$E$30*AM489^2+BMILMS!$F$30*AM489+BMILMS!$G$30,IF(AM489&lt;150,BMILMS!$D$31*AM489^3+BMILMS!$E$31*AM489^2+BMILMS!$F$31*AM489+BMILMS!$G$31,BMILMS!$D$32*AM489^3+BMILMS!$E$32*AM489^2+BMILMS!$F$32*AM489+BMILMS!$G$32)))))))</f>
        <v>12.568967990000001</v>
      </c>
      <c r="AL489" s="4">
        <f>IF(D489="M",(IF(AM489&lt;90,BMILMS!$D$14*AM489^3+BMILMS!$E$14*AM489^2+BMILMS!$F$14*AM489+BMILMS!$G$14,BMILMS!$D$15*AM489^3+BMILMS!$E$15*AM489^2+BMILMS!$F$15*AM489+BMILMS!$G$15)),(IF(AM489&lt;90,BMILMS!$D$17*AM489^3+BMILMS!$E$17*AM489^2+BMILMS!$F$17*AM489+BMILMS!$G$17,BMILMS!$D$18*AM489^3+BMILMS!$E$18*AM489^2+BMILMS!$F$18*AM489+BMILMS!$G$18)))</f>
        <v>8.8969350000000003E-2</v>
      </c>
      <c r="AM489" s="4">
        <f t="shared" si="167"/>
        <v>0</v>
      </c>
      <c r="AO489" s="56">
        <f>IF(D489="M",WeightSDS!P$5*$AM489^7+WeightSDS!Q$5*$AM489^6+WeightSDS!R$5*$AM489^5+WeightSDS!S$5*$AM489^4+WeightSDS!T$5*$AM489^3+WeightSDS!U$5*$AM489^2+WeightSDS!V$5*$AM489+WeightSDS!W$5,IF($AM489&lt;186,WeightSDS!P$8*$AM489^7+WeightSDS!Q$8*$AM489^6+WeightSDS!R$8*$AM489^5+WeightSDS!S$8*$AM489^4+WeightSDS!T$8*$AM489^3+WeightSDS!U$8*$AM489^2+WeightSDS!V$8*$AM489+WeightSDS!W$8,WeightSDS!$U$9+WeightSDS!$V$9*($AM489-WeightSDS!$W$9)))</f>
        <v>0.75407122999999998</v>
      </c>
      <c r="AP489" s="4">
        <f>IF(D489="M",IF($AM489&lt;45,WeightSDS!M$23*$AM489^10+WeightSDS!N$23*$AM489^9+WeightSDS!O$23*$AM489^8+WeightSDS!P$23*$AM489^7+WeightSDS!Q$23*$AM489^6+WeightSDS!R$23*$AM489^5+WeightSDS!S$23*$AM489^4+WeightSDS!T$23*$AM489^3+WeightSDS!U$23*$AM489^2+WeightSDS!V$23*$AM489+WeightSDS!W$23,IF($AM489&lt;153,WeightSDS!M$25*$AM489^10+WeightSDS!N$25*$AM489^9+WeightSDS!O$25*$AM489^8+WeightSDS!P$25*$AM489^7+WeightSDS!Q$25*$AM489^6+WeightSDS!R$25*$AM489^5+WeightSDS!S$25*$AM489^4+WeightSDS!T$25*$AM489^3+WeightSDS!U$25*$AM489^2+WeightSDS!V$25*$AM489+WeightSDS!W$25,WeightSDS!M$27+WeightSDS!N$27/(1+EXP(WeightSDS!O$27+WeightSDS!P$27*$AM489)))),IF($AM489&lt;43.8,WeightSDS!M$29*$AM489^10+WeightSDS!N$29*$AM489^9+WeightSDS!O$29*$AM489^8+WeightSDS!P$29*$AM489^7+WeightSDS!Q$29*$AM489^6+WeightSDS!R$29*$AM489^5+WeightSDS!S$29*$AM489^4+WeightSDS!T$29*$AM489^3+WeightSDS!U$29*$AM489^2+WeightSDS!V$29*$AM489+WeightSDS!W$29-0.010431*(1-$AM489/210),IF($AM489&lt;123,WeightSDS!M$30*$AM489^10+WeightSDS!N$30*$AM489^9+WeightSDS!O$30*$AM489^8+WeightSDS!P$30*$AM489^7+WeightSDS!Q$30*$AM489^6+WeightSDS!R$30*$AM489^5+WeightSDS!S$30*$AM489^4+WeightSDS!T$30*$AM489^3+WeightSDS!U$30*$AM489^2+WeightSDS!V$30*$AM489+WeightSDS!W$30-0.010431*(1-1/$AM489),WeightSDS!M$32+WeightSDS!N$32/(1+EXP(WeightSDS!O$32+WeightSDS!P$32*$AM489))-0.010431*(1-$AM489/210))))</f>
        <v>2.9500001032655536</v>
      </c>
      <c r="AQ489" s="4">
        <f>IF(D489="M",IF($AM489&lt;162,WeightSDS!P$12*$AM489^7+WeightSDS!Q$12*$AM489^6+WeightSDS!R$12*$AM489^5+WeightSDS!S$12*$AM489^4+WeightSDS!T$12*$AM489^3+WeightSDS!U$12*$AM489^2+WeightSDS!V$12*$AM489+WeightSDS!W$12,WeightSDS!P$14*$AM489^7+WeightSDS!Q$14*$AM489^6+WeightSDS!R$14*$AM489^5+WeightSDS!S$14*$AM489^4+WeightSDS!T$14*$AM489^3+WeightSDS!U$14*$AM489^2+WeightSDS!V$14*$AM489+WeightSDS!W$14),IF($AM489&lt;156,WeightSDS!O$17*$AM489^8+WeightSDS!P$17*$AM489^7+WeightSDS!Q$17*$AM489^6+WeightSDS!R$17*$AM489^5+WeightSDS!S$17*$AM489^4+WeightSDS!T$17*$AM489^3+WeightSDS!U$17*$AM489^2+WeightSDS!V$17*$AM489+WeightSDS!W$17,IF($AM489&lt;186,WeightSDS!$U$18+(WeightSDS!$V$18-WeightSDS!$U$18)/24*($AM489-186)+WeightSDS!$W$18*(-$AM489+186)^2-0.005,WeightSDS!$U$18+(WeightSDS!$V$18-WeightSDS!$U$18)/24*($AM489-186)-0.005)))</f>
        <v>0.14604529399999999</v>
      </c>
      <c r="AT489" s="4">
        <f t="shared" si="154"/>
        <v>0.56299999999999994</v>
      </c>
      <c r="AU489" s="4">
        <f t="shared" si="155"/>
        <v>69</v>
      </c>
      <c r="AV489" s="4">
        <f t="shared" si="156"/>
        <v>0.51</v>
      </c>
    </row>
    <row r="490" spans="1:48" x14ac:dyDescent="0.15">
      <c r="A490" s="4"/>
      <c r="B490" s="21"/>
      <c r="C490" s="21"/>
      <c r="D490" s="21"/>
      <c r="E490" s="22"/>
      <c r="F490" s="22"/>
      <c r="G490" s="23"/>
      <c r="H490" s="23"/>
      <c r="I490" s="181"/>
      <c r="J490" s="8" t="str">
        <f t="shared" si="148"/>
        <v/>
      </c>
      <c r="K490" s="2" t="str">
        <f t="shared" si="157"/>
        <v/>
      </c>
      <c r="L490" s="2" t="str">
        <f t="shared" si="149"/>
        <v/>
      </c>
      <c r="M490" s="2" t="str">
        <f t="shared" si="158"/>
        <v/>
      </c>
      <c r="N490" s="2" t="str">
        <f t="shared" si="166"/>
        <v/>
      </c>
      <c r="O490" s="2" t="str">
        <f t="shared" si="159"/>
        <v/>
      </c>
      <c r="P490" s="8" t="str">
        <f t="shared" si="160"/>
        <v/>
      </c>
      <c r="Q490" s="8" t="str">
        <f t="shared" si="161"/>
        <v/>
      </c>
      <c r="R490" s="111" t="str">
        <f t="shared" si="162"/>
        <v/>
      </c>
      <c r="S490" s="44" t="str">
        <f t="shared" si="163"/>
        <v/>
      </c>
      <c r="T490" s="37" t="str">
        <f t="shared" si="164"/>
        <v/>
      </c>
      <c r="U490" s="44" t="str">
        <f t="shared" si="165"/>
        <v/>
      </c>
      <c r="V490" s="26"/>
      <c r="W490" s="26"/>
      <c r="X490" s="26"/>
      <c r="Y490" s="26"/>
      <c r="Z490" s="24"/>
      <c r="AA490" s="169">
        <f t="shared" si="150"/>
        <v>0</v>
      </c>
      <c r="AB490" s="4">
        <f t="shared" si="151"/>
        <v>0</v>
      </c>
      <c r="AC490" s="170">
        <f t="shared" si="168"/>
        <v>0</v>
      </c>
      <c r="AD490" s="58"/>
      <c r="AE490" s="58"/>
      <c r="AF490" s="58"/>
      <c r="AG490" s="59">
        <f t="shared" si="152"/>
        <v>9.0359999999999996</v>
      </c>
      <c r="AH490" s="59">
        <f t="shared" si="153"/>
        <v>-184.49199999999999</v>
      </c>
      <c r="AJ490" s="4">
        <f>IF(D490="M",IF(AM490&lt;78,BMILMS!$D$5*AM490^3+BMILMS!$E$5*AM490^2+BMILMS!$F$5*AM490+BMILMS!$G$5,IF(AM490&lt;150,BMILMS!$D$6*AM490^3+BMILMS!$E$6*AM490^2+BMILMS!$F$6*AM490+BMILMS!$G$6,BMILMS!$D$7*AM490^3+BMILMS!$E$7*AM490^2+BMILMS!$F$7*AM490+BMILMS!$G$7)),IF(AM490&lt;69,BMILMS!$D$9*AM490^3+BMILMS!$E$9*AM490^2+BMILMS!$F$9*AM490+BMILMS!$G$9,IF(AM490&lt;150,BMILMS!$D$10*AM490^3+BMILMS!$E$10*AM490^2+BMILMS!$F$10*AM490+BMILMS!$G$10,BMILMS!$D$11*AM490^3+BMILMS!$E$11*AM490^2+BMILMS!$F$11*AM490+BMILMS!$G$11)))</f>
        <v>0.79584630099999998</v>
      </c>
      <c r="AK490" s="4">
        <f>IF(D490="M",(IF(AM490&lt;2.5,BMILMS!$D$21*AM490^3+BMILMS!$E$21*AM490^2+BMILMS!$F$21*AM490+BMILMS!$G$21,IF(AM490&lt;9.5,BMILMS!$D$22*AM490^3+BMILMS!$E$22*AM490^2+BMILMS!$F$22*AM490+BMILMS!$G$22,IF(AM490&lt;26.75,BMILMS!$D$23*AM490^3+BMILMS!$E$23*AM490^2+BMILMS!$F$23*AM490+BMILMS!$G$23,IF(AM490&lt;90,BMILMS!$D$24*AM490^3+BMILMS!$E$24*AM490^2+BMILMS!$F$24*AM490+BMILMS!$G$24,BMILMS!$D$25*AM490^3+BMILMS!$E$25*AM490^2+BMILMS!$F$25*AM490+BMILMS!$G$25))))),(IF(AM490&lt;2.5,BMILMS!$D$27*AM490^3+BMILMS!$E$27*AM490^2+BMILMS!$F$27*AM490+BMILMS!$G$27,IF(AM490&lt;9.5,BMILMS!$D$28*AM490^3+BMILMS!$E$28*AM490^2+BMILMS!$F$28*AM490+BMILMS!$G$28,IF(AM490&lt;26.75,BMILMS!$D$29*AM490^3+BMILMS!$E$29*AM490^2+BMILMS!$F$29*AM490+BMILMS!$G$29,IF(AM490&lt;90,BMILMS!$D$30*AM490^3+BMILMS!$E$30*AM490^2+BMILMS!$F$30*AM490+BMILMS!$G$30,IF(AM490&lt;150,BMILMS!$D$31*AM490^3+BMILMS!$E$31*AM490^2+BMILMS!$F$31*AM490+BMILMS!$G$31,BMILMS!$D$32*AM490^3+BMILMS!$E$32*AM490^2+BMILMS!$F$32*AM490+BMILMS!$G$32)))))))</f>
        <v>12.568967990000001</v>
      </c>
      <c r="AL490" s="4">
        <f>IF(D490="M",(IF(AM490&lt;90,BMILMS!$D$14*AM490^3+BMILMS!$E$14*AM490^2+BMILMS!$F$14*AM490+BMILMS!$G$14,BMILMS!$D$15*AM490^3+BMILMS!$E$15*AM490^2+BMILMS!$F$15*AM490+BMILMS!$G$15)),(IF(AM490&lt;90,BMILMS!$D$17*AM490^3+BMILMS!$E$17*AM490^2+BMILMS!$F$17*AM490+BMILMS!$G$17,BMILMS!$D$18*AM490^3+BMILMS!$E$18*AM490^2+BMILMS!$F$18*AM490+BMILMS!$G$18)))</f>
        <v>8.8969350000000003E-2</v>
      </c>
      <c r="AM490" s="4">
        <f t="shared" si="167"/>
        <v>0</v>
      </c>
      <c r="AO490" s="56">
        <f>IF(D490="M",WeightSDS!P$5*$AM490^7+WeightSDS!Q$5*$AM490^6+WeightSDS!R$5*$AM490^5+WeightSDS!S$5*$AM490^4+WeightSDS!T$5*$AM490^3+WeightSDS!U$5*$AM490^2+WeightSDS!V$5*$AM490+WeightSDS!W$5,IF($AM490&lt;186,WeightSDS!P$8*$AM490^7+WeightSDS!Q$8*$AM490^6+WeightSDS!R$8*$AM490^5+WeightSDS!S$8*$AM490^4+WeightSDS!T$8*$AM490^3+WeightSDS!U$8*$AM490^2+WeightSDS!V$8*$AM490+WeightSDS!W$8,WeightSDS!$U$9+WeightSDS!$V$9*($AM490-WeightSDS!$W$9)))</f>
        <v>0.75407122999999998</v>
      </c>
      <c r="AP490" s="4">
        <f>IF(D490="M",IF($AM490&lt;45,WeightSDS!M$23*$AM490^10+WeightSDS!N$23*$AM490^9+WeightSDS!O$23*$AM490^8+WeightSDS!P$23*$AM490^7+WeightSDS!Q$23*$AM490^6+WeightSDS!R$23*$AM490^5+WeightSDS!S$23*$AM490^4+WeightSDS!T$23*$AM490^3+WeightSDS!U$23*$AM490^2+WeightSDS!V$23*$AM490+WeightSDS!W$23,IF($AM490&lt;153,WeightSDS!M$25*$AM490^10+WeightSDS!N$25*$AM490^9+WeightSDS!O$25*$AM490^8+WeightSDS!P$25*$AM490^7+WeightSDS!Q$25*$AM490^6+WeightSDS!R$25*$AM490^5+WeightSDS!S$25*$AM490^4+WeightSDS!T$25*$AM490^3+WeightSDS!U$25*$AM490^2+WeightSDS!V$25*$AM490+WeightSDS!W$25,WeightSDS!M$27+WeightSDS!N$27/(1+EXP(WeightSDS!O$27+WeightSDS!P$27*$AM490)))),IF($AM490&lt;43.8,WeightSDS!M$29*$AM490^10+WeightSDS!N$29*$AM490^9+WeightSDS!O$29*$AM490^8+WeightSDS!P$29*$AM490^7+WeightSDS!Q$29*$AM490^6+WeightSDS!R$29*$AM490^5+WeightSDS!S$29*$AM490^4+WeightSDS!T$29*$AM490^3+WeightSDS!U$29*$AM490^2+WeightSDS!V$29*$AM490+WeightSDS!W$29-0.010431*(1-$AM490/210),IF($AM490&lt;123,WeightSDS!M$30*$AM490^10+WeightSDS!N$30*$AM490^9+WeightSDS!O$30*$AM490^8+WeightSDS!P$30*$AM490^7+WeightSDS!Q$30*$AM490^6+WeightSDS!R$30*$AM490^5+WeightSDS!S$30*$AM490^4+WeightSDS!T$30*$AM490^3+WeightSDS!U$30*$AM490^2+WeightSDS!V$30*$AM490+WeightSDS!W$30-0.010431*(1-1/$AM490),WeightSDS!M$32+WeightSDS!N$32/(1+EXP(WeightSDS!O$32+WeightSDS!P$32*$AM490))-0.010431*(1-$AM490/210))))</f>
        <v>2.9500001032655536</v>
      </c>
      <c r="AQ490" s="4">
        <f>IF(D490="M",IF($AM490&lt;162,WeightSDS!P$12*$AM490^7+WeightSDS!Q$12*$AM490^6+WeightSDS!R$12*$AM490^5+WeightSDS!S$12*$AM490^4+WeightSDS!T$12*$AM490^3+WeightSDS!U$12*$AM490^2+WeightSDS!V$12*$AM490+WeightSDS!W$12,WeightSDS!P$14*$AM490^7+WeightSDS!Q$14*$AM490^6+WeightSDS!R$14*$AM490^5+WeightSDS!S$14*$AM490^4+WeightSDS!T$14*$AM490^3+WeightSDS!U$14*$AM490^2+WeightSDS!V$14*$AM490+WeightSDS!W$14),IF($AM490&lt;156,WeightSDS!O$17*$AM490^8+WeightSDS!P$17*$AM490^7+WeightSDS!Q$17*$AM490^6+WeightSDS!R$17*$AM490^5+WeightSDS!S$17*$AM490^4+WeightSDS!T$17*$AM490^3+WeightSDS!U$17*$AM490^2+WeightSDS!V$17*$AM490+WeightSDS!W$17,IF($AM490&lt;186,WeightSDS!$U$18+(WeightSDS!$V$18-WeightSDS!$U$18)/24*($AM490-186)+WeightSDS!$W$18*(-$AM490+186)^2-0.005,WeightSDS!$U$18+(WeightSDS!$V$18-WeightSDS!$U$18)/24*($AM490-186)-0.005)))</f>
        <v>0.14604529399999999</v>
      </c>
      <c r="AT490" s="4">
        <f t="shared" si="154"/>
        <v>0.56299999999999994</v>
      </c>
      <c r="AU490" s="4">
        <f t="shared" si="155"/>
        <v>69</v>
      </c>
      <c r="AV490" s="4">
        <f t="shared" si="156"/>
        <v>0.51</v>
      </c>
    </row>
    <row r="491" spans="1:48" x14ac:dyDescent="0.15">
      <c r="A491" s="4"/>
      <c r="B491" s="21"/>
      <c r="C491" s="21"/>
      <c r="D491" s="21"/>
      <c r="E491" s="22"/>
      <c r="F491" s="22"/>
      <c r="G491" s="23"/>
      <c r="H491" s="23"/>
      <c r="I491" s="181"/>
      <c r="J491" s="8" t="str">
        <f t="shared" si="148"/>
        <v/>
      </c>
      <c r="K491" s="2" t="str">
        <f t="shared" si="157"/>
        <v/>
      </c>
      <c r="L491" s="2" t="str">
        <f t="shared" si="149"/>
        <v/>
      </c>
      <c r="M491" s="2" t="str">
        <f t="shared" si="158"/>
        <v/>
      </c>
      <c r="N491" s="2" t="str">
        <f t="shared" si="166"/>
        <v/>
      </c>
      <c r="O491" s="2" t="str">
        <f t="shared" si="159"/>
        <v/>
      </c>
      <c r="P491" s="8" t="str">
        <f t="shared" si="160"/>
        <v/>
      </c>
      <c r="Q491" s="8" t="str">
        <f t="shared" si="161"/>
        <v/>
      </c>
      <c r="R491" s="111" t="str">
        <f t="shared" si="162"/>
        <v/>
      </c>
      <c r="S491" s="44" t="str">
        <f t="shared" si="163"/>
        <v/>
      </c>
      <c r="T491" s="37" t="str">
        <f t="shared" si="164"/>
        <v/>
      </c>
      <c r="U491" s="44" t="str">
        <f t="shared" si="165"/>
        <v/>
      </c>
      <c r="V491" s="26"/>
      <c r="W491" s="26"/>
      <c r="X491" s="26"/>
      <c r="Y491" s="26"/>
      <c r="Z491" s="24"/>
      <c r="AA491" s="169">
        <f t="shared" si="150"/>
        <v>0</v>
      </c>
      <c r="AB491" s="4">
        <f t="shared" si="151"/>
        <v>0</v>
      </c>
      <c r="AC491" s="170">
        <f t="shared" si="168"/>
        <v>0</v>
      </c>
      <c r="AD491" s="58"/>
      <c r="AE491" s="58"/>
      <c r="AF491" s="58"/>
      <c r="AG491" s="59">
        <f t="shared" si="152"/>
        <v>9.0359999999999996</v>
      </c>
      <c r="AH491" s="59">
        <f t="shared" si="153"/>
        <v>-184.49199999999999</v>
      </c>
      <c r="AJ491" s="4">
        <f>IF(D491="M",IF(AM491&lt;78,BMILMS!$D$5*AM491^3+BMILMS!$E$5*AM491^2+BMILMS!$F$5*AM491+BMILMS!$G$5,IF(AM491&lt;150,BMILMS!$D$6*AM491^3+BMILMS!$E$6*AM491^2+BMILMS!$F$6*AM491+BMILMS!$G$6,BMILMS!$D$7*AM491^3+BMILMS!$E$7*AM491^2+BMILMS!$F$7*AM491+BMILMS!$G$7)),IF(AM491&lt;69,BMILMS!$D$9*AM491^3+BMILMS!$E$9*AM491^2+BMILMS!$F$9*AM491+BMILMS!$G$9,IF(AM491&lt;150,BMILMS!$D$10*AM491^3+BMILMS!$E$10*AM491^2+BMILMS!$F$10*AM491+BMILMS!$G$10,BMILMS!$D$11*AM491^3+BMILMS!$E$11*AM491^2+BMILMS!$F$11*AM491+BMILMS!$G$11)))</f>
        <v>0.79584630099999998</v>
      </c>
      <c r="AK491" s="4">
        <f>IF(D491="M",(IF(AM491&lt;2.5,BMILMS!$D$21*AM491^3+BMILMS!$E$21*AM491^2+BMILMS!$F$21*AM491+BMILMS!$G$21,IF(AM491&lt;9.5,BMILMS!$D$22*AM491^3+BMILMS!$E$22*AM491^2+BMILMS!$F$22*AM491+BMILMS!$G$22,IF(AM491&lt;26.75,BMILMS!$D$23*AM491^3+BMILMS!$E$23*AM491^2+BMILMS!$F$23*AM491+BMILMS!$G$23,IF(AM491&lt;90,BMILMS!$D$24*AM491^3+BMILMS!$E$24*AM491^2+BMILMS!$F$24*AM491+BMILMS!$G$24,BMILMS!$D$25*AM491^3+BMILMS!$E$25*AM491^2+BMILMS!$F$25*AM491+BMILMS!$G$25))))),(IF(AM491&lt;2.5,BMILMS!$D$27*AM491^3+BMILMS!$E$27*AM491^2+BMILMS!$F$27*AM491+BMILMS!$G$27,IF(AM491&lt;9.5,BMILMS!$D$28*AM491^3+BMILMS!$E$28*AM491^2+BMILMS!$F$28*AM491+BMILMS!$G$28,IF(AM491&lt;26.75,BMILMS!$D$29*AM491^3+BMILMS!$E$29*AM491^2+BMILMS!$F$29*AM491+BMILMS!$G$29,IF(AM491&lt;90,BMILMS!$D$30*AM491^3+BMILMS!$E$30*AM491^2+BMILMS!$F$30*AM491+BMILMS!$G$30,IF(AM491&lt;150,BMILMS!$D$31*AM491^3+BMILMS!$E$31*AM491^2+BMILMS!$F$31*AM491+BMILMS!$G$31,BMILMS!$D$32*AM491^3+BMILMS!$E$32*AM491^2+BMILMS!$F$32*AM491+BMILMS!$G$32)))))))</f>
        <v>12.568967990000001</v>
      </c>
      <c r="AL491" s="4">
        <f>IF(D491="M",(IF(AM491&lt;90,BMILMS!$D$14*AM491^3+BMILMS!$E$14*AM491^2+BMILMS!$F$14*AM491+BMILMS!$G$14,BMILMS!$D$15*AM491^3+BMILMS!$E$15*AM491^2+BMILMS!$F$15*AM491+BMILMS!$G$15)),(IF(AM491&lt;90,BMILMS!$D$17*AM491^3+BMILMS!$E$17*AM491^2+BMILMS!$F$17*AM491+BMILMS!$G$17,BMILMS!$D$18*AM491^3+BMILMS!$E$18*AM491^2+BMILMS!$F$18*AM491+BMILMS!$G$18)))</f>
        <v>8.8969350000000003E-2</v>
      </c>
      <c r="AM491" s="4">
        <f t="shared" si="167"/>
        <v>0</v>
      </c>
      <c r="AO491" s="56">
        <f>IF(D491="M",WeightSDS!P$5*$AM491^7+WeightSDS!Q$5*$AM491^6+WeightSDS!R$5*$AM491^5+WeightSDS!S$5*$AM491^4+WeightSDS!T$5*$AM491^3+WeightSDS!U$5*$AM491^2+WeightSDS!V$5*$AM491+WeightSDS!W$5,IF($AM491&lt;186,WeightSDS!P$8*$AM491^7+WeightSDS!Q$8*$AM491^6+WeightSDS!R$8*$AM491^5+WeightSDS!S$8*$AM491^4+WeightSDS!T$8*$AM491^3+WeightSDS!U$8*$AM491^2+WeightSDS!V$8*$AM491+WeightSDS!W$8,WeightSDS!$U$9+WeightSDS!$V$9*($AM491-WeightSDS!$W$9)))</f>
        <v>0.75407122999999998</v>
      </c>
      <c r="AP491" s="4">
        <f>IF(D491="M",IF($AM491&lt;45,WeightSDS!M$23*$AM491^10+WeightSDS!N$23*$AM491^9+WeightSDS!O$23*$AM491^8+WeightSDS!P$23*$AM491^7+WeightSDS!Q$23*$AM491^6+WeightSDS!R$23*$AM491^5+WeightSDS!S$23*$AM491^4+WeightSDS!T$23*$AM491^3+WeightSDS!U$23*$AM491^2+WeightSDS!V$23*$AM491+WeightSDS!W$23,IF($AM491&lt;153,WeightSDS!M$25*$AM491^10+WeightSDS!N$25*$AM491^9+WeightSDS!O$25*$AM491^8+WeightSDS!P$25*$AM491^7+WeightSDS!Q$25*$AM491^6+WeightSDS!R$25*$AM491^5+WeightSDS!S$25*$AM491^4+WeightSDS!T$25*$AM491^3+WeightSDS!U$25*$AM491^2+WeightSDS!V$25*$AM491+WeightSDS!W$25,WeightSDS!M$27+WeightSDS!N$27/(1+EXP(WeightSDS!O$27+WeightSDS!P$27*$AM491)))),IF($AM491&lt;43.8,WeightSDS!M$29*$AM491^10+WeightSDS!N$29*$AM491^9+WeightSDS!O$29*$AM491^8+WeightSDS!P$29*$AM491^7+WeightSDS!Q$29*$AM491^6+WeightSDS!R$29*$AM491^5+WeightSDS!S$29*$AM491^4+WeightSDS!T$29*$AM491^3+WeightSDS!U$29*$AM491^2+WeightSDS!V$29*$AM491+WeightSDS!W$29-0.010431*(1-$AM491/210),IF($AM491&lt;123,WeightSDS!M$30*$AM491^10+WeightSDS!N$30*$AM491^9+WeightSDS!O$30*$AM491^8+WeightSDS!P$30*$AM491^7+WeightSDS!Q$30*$AM491^6+WeightSDS!R$30*$AM491^5+WeightSDS!S$30*$AM491^4+WeightSDS!T$30*$AM491^3+WeightSDS!U$30*$AM491^2+WeightSDS!V$30*$AM491+WeightSDS!W$30-0.010431*(1-1/$AM491),WeightSDS!M$32+WeightSDS!N$32/(1+EXP(WeightSDS!O$32+WeightSDS!P$32*$AM491))-0.010431*(1-$AM491/210))))</f>
        <v>2.9500001032655536</v>
      </c>
      <c r="AQ491" s="4">
        <f>IF(D491="M",IF($AM491&lt;162,WeightSDS!P$12*$AM491^7+WeightSDS!Q$12*$AM491^6+WeightSDS!R$12*$AM491^5+WeightSDS!S$12*$AM491^4+WeightSDS!T$12*$AM491^3+WeightSDS!U$12*$AM491^2+WeightSDS!V$12*$AM491+WeightSDS!W$12,WeightSDS!P$14*$AM491^7+WeightSDS!Q$14*$AM491^6+WeightSDS!R$14*$AM491^5+WeightSDS!S$14*$AM491^4+WeightSDS!T$14*$AM491^3+WeightSDS!U$14*$AM491^2+WeightSDS!V$14*$AM491+WeightSDS!W$14),IF($AM491&lt;156,WeightSDS!O$17*$AM491^8+WeightSDS!P$17*$AM491^7+WeightSDS!Q$17*$AM491^6+WeightSDS!R$17*$AM491^5+WeightSDS!S$17*$AM491^4+WeightSDS!T$17*$AM491^3+WeightSDS!U$17*$AM491^2+WeightSDS!V$17*$AM491+WeightSDS!W$17,IF($AM491&lt;186,WeightSDS!$U$18+(WeightSDS!$V$18-WeightSDS!$U$18)/24*($AM491-186)+WeightSDS!$W$18*(-$AM491+186)^2-0.005,WeightSDS!$U$18+(WeightSDS!$V$18-WeightSDS!$U$18)/24*($AM491-186)-0.005)))</f>
        <v>0.14604529399999999</v>
      </c>
      <c r="AT491" s="4">
        <f t="shared" si="154"/>
        <v>0.56299999999999994</v>
      </c>
      <c r="AU491" s="4">
        <f t="shared" si="155"/>
        <v>69</v>
      </c>
      <c r="AV491" s="4">
        <f t="shared" si="156"/>
        <v>0.51</v>
      </c>
    </row>
    <row r="492" spans="1:48" x14ac:dyDescent="0.15">
      <c r="A492" s="4"/>
      <c r="B492" s="21"/>
      <c r="C492" s="21"/>
      <c r="D492" s="21"/>
      <c r="E492" s="22"/>
      <c r="F492" s="22"/>
      <c r="G492" s="23"/>
      <c r="H492" s="23"/>
      <c r="I492" s="181"/>
      <c r="J492" s="8" t="str">
        <f t="shared" si="148"/>
        <v/>
      </c>
      <c r="K492" s="2" t="str">
        <f t="shared" si="157"/>
        <v/>
      </c>
      <c r="L492" s="2" t="str">
        <f t="shared" si="149"/>
        <v/>
      </c>
      <c r="M492" s="2" t="str">
        <f t="shared" si="158"/>
        <v/>
      </c>
      <c r="N492" s="2" t="str">
        <f t="shared" si="166"/>
        <v/>
      </c>
      <c r="O492" s="2" t="str">
        <f t="shared" si="159"/>
        <v/>
      </c>
      <c r="P492" s="8" t="str">
        <f t="shared" si="160"/>
        <v/>
      </c>
      <c r="Q492" s="8" t="str">
        <f t="shared" si="161"/>
        <v/>
      </c>
      <c r="R492" s="111" t="str">
        <f t="shared" si="162"/>
        <v/>
      </c>
      <c r="S492" s="44" t="str">
        <f t="shared" si="163"/>
        <v/>
      </c>
      <c r="T492" s="37" t="str">
        <f t="shared" si="164"/>
        <v/>
      </c>
      <c r="U492" s="44" t="str">
        <f t="shared" si="165"/>
        <v/>
      </c>
      <c r="V492" s="26"/>
      <c r="W492" s="26"/>
      <c r="X492" s="26"/>
      <c r="Y492" s="26"/>
      <c r="Z492" s="24"/>
      <c r="AA492" s="169">
        <f t="shared" si="150"/>
        <v>0</v>
      </c>
      <c r="AB492" s="4">
        <f t="shared" si="151"/>
        <v>0</v>
      </c>
      <c r="AC492" s="170">
        <f t="shared" si="168"/>
        <v>0</v>
      </c>
      <c r="AD492" s="58"/>
      <c r="AE492" s="58"/>
      <c r="AF492" s="58"/>
      <c r="AG492" s="59">
        <f t="shared" si="152"/>
        <v>9.0359999999999996</v>
      </c>
      <c r="AH492" s="59">
        <f t="shared" si="153"/>
        <v>-184.49199999999999</v>
      </c>
      <c r="AJ492" s="4">
        <f>IF(D492="M",IF(AM492&lt;78,BMILMS!$D$5*AM492^3+BMILMS!$E$5*AM492^2+BMILMS!$F$5*AM492+BMILMS!$G$5,IF(AM492&lt;150,BMILMS!$D$6*AM492^3+BMILMS!$E$6*AM492^2+BMILMS!$F$6*AM492+BMILMS!$G$6,BMILMS!$D$7*AM492^3+BMILMS!$E$7*AM492^2+BMILMS!$F$7*AM492+BMILMS!$G$7)),IF(AM492&lt;69,BMILMS!$D$9*AM492^3+BMILMS!$E$9*AM492^2+BMILMS!$F$9*AM492+BMILMS!$G$9,IF(AM492&lt;150,BMILMS!$D$10*AM492^3+BMILMS!$E$10*AM492^2+BMILMS!$F$10*AM492+BMILMS!$G$10,BMILMS!$D$11*AM492^3+BMILMS!$E$11*AM492^2+BMILMS!$F$11*AM492+BMILMS!$G$11)))</f>
        <v>0.79584630099999998</v>
      </c>
      <c r="AK492" s="4">
        <f>IF(D492="M",(IF(AM492&lt;2.5,BMILMS!$D$21*AM492^3+BMILMS!$E$21*AM492^2+BMILMS!$F$21*AM492+BMILMS!$G$21,IF(AM492&lt;9.5,BMILMS!$D$22*AM492^3+BMILMS!$E$22*AM492^2+BMILMS!$F$22*AM492+BMILMS!$G$22,IF(AM492&lt;26.75,BMILMS!$D$23*AM492^3+BMILMS!$E$23*AM492^2+BMILMS!$F$23*AM492+BMILMS!$G$23,IF(AM492&lt;90,BMILMS!$D$24*AM492^3+BMILMS!$E$24*AM492^2+BMILMS!$F$24*AM492+BMILMS!$G$24,BMILMS!$D$25*AM492^3+BMILMS!$E$25*AM492^2+BMILMS!$F$25*AM492+BMILMS!$G$25))))),(IF(AM492&lt;2.5,BMILMS!$D$27*AM492^3+BMILMS!$E$27*AM492^2+BMILMS!$F$27*AM492+BMILMS!$G$27,IF(AM492&lt;9.5,BMILMS!$D$28*AM492^3+BMILMS!$E$28*AM492^2+BMILMS!$F$28*AM492+BMILMS!$G$28,IF(AM492&lt;26.75,BMILMS!$D$29*AM492^3+BMILMS!$E$29*AM492^2+BMILMS!$F$29*AM492+BMILMS!$G$29,IF(AM492&lt;90,BMILMS!$D$30*AM492^3+BMILMS!$E$30*AM492^2+BMILMS!$F$30*AM492+BMILMS!$G$30,IF(AM492&lt;150,BMILMS!$D$31*AM492^3+BMILMS!$E$31*AM492^2+BMILMS!$F$31*AM492+BMILMS!$G$31,BMILMS!$D$32*AM492^3+BMILMS!$E$32*AM492^2+BMILMS!$F$32*AM492+BMILMS!$G$32)))))))</f>
        <v>12.568967990000001</v>
      </c>
      <c r="AL492" s="4">
        <f>IF(D492="M",(IF(AM492&lt;90,BMILMS!$D$14*AM492^3+BMILMS!$E$14*AM492^2+BMILMS!$F$14*AM492+BMILMS!$G$14,BMILMS!$D$15*AM492^3+BMILMS!$E$15*AM492^2+BMILMS!$F$15*AM492+BMILMS!$G$15)),(IF(AM492&lt;90,BMILMS!$D$17*AM492^3+BMILMS!$E$17*AM492^2+BMILMS!$F$17*AM492+BMILMS!$G$17,BMILMS!$D$18*AM492^3+BMILMS!$E$18*AM492^2+BMILMS!$F$18*AM492+BMILMS!$G$18)))</f>
        <v>8.8969350000000003E-2</v>
      </c>
      <c r="AM492" s="4">
        <f t="shared" si="167"/>
        <v>0</v>
      </c>
      <c r="AO492" s="56">
        <f>IF(D492="M",WeightSDS!P$5*$AM492^7+WeightSDS!Q$5*$AM492^6+WeightSDS!R$5*$AM492^5+WeightSDS!S$5*$AM492^4+WeightSDS!T$5*$AM492^3+WeightSDS!U$5*$AM492^2+WeightSDS!V$5*$AM492+WeightSDS!W$5,IF($AM492&lt;186,WeightSDS!P$8*$AM492^7+WeightSDS!Q$8*$AM492^6+WeightSDS!R$8*$AM492^5+WeightSDS!S$8*$AM492^4+WeightSDS!T$8*$AM492^3+WeightSDS!U$8*$AM492^2+WeightSDS!V$8*$AM492+WeightSDS!W$8,WeightSDS!$U$9+WeightSDS!$V$9*($AM492-WeightSDS!$W$9)))</f>
        <v>0.75407122999999998</v>
      </c>
      <c r="AP492" s="4">
        <f>IF(D492="M",IF($AM492&lt;45,WeightSDS!M$23*$AM492^10+WeightSDS!N$23*$AM492^9+WeightSDS!O$23*$AM492^8+WeightSDS!P$23*$AM492^7+WeightSDS!Q$23*$AM492^6+WeightSDS!R$23*$AM492^5+WeightSDS!S$23*$AM492^4+WeightSDS!T$23*$AM492^3+WeightSDS!U$23*$AM492^2+WeightSDS!V$23*$AM492+WeightSDS!W$23,IF($AM492&lt;153,WeightSDS!M$25*$AM492^10+WeightSDS!N$25*$AM492^9+WeightSDS!O$25*$AM492^8+WeightSDS!P$25*$AM492^7+WeightSDS!Q$25*$AM492^6+WeightSDS!R$25*$AM492^5+WeightSDS!S$25*$AM492^4+WeightSDS!T$25*$AM492^3+WeightSDS!U$25*$AM492^2+WeightSDS!V$25*$AM492+WeightSDS!W$25,WeightSDS!M$27+WeightSDS!N$27/(1+EXP(WeightSDS!O$27+WeightSDS!P$27*$AM492)))),IF($AM492&lt;43.8,WeightSDS!M$29*$AM492^10+WeightSDS!N$29*$AM492^9+WeightSDS!O$29*$AM492^8+WeightSDS!P$29*$AM492^7+WeightSDS!Q$29*$AM492^6+WeightSDS!R$29*$AM492^5+WeightSDS!S$29*$AM492^4+WeightSDS!T$29*$AM492^3+WeightSDS!U$29*$AM492^2+WeightSDS!V$29*$AM492+WeightSDS!W$29-0.010431*(1-$AM492/210),IF($AM492&lt;123,WeightSDS!M$30*$AM492^10+WeightSDS!N$30*$AM492^9+WeightSDS!O$30*$AM492^8+WeightSDS!P$30*$AM492^7+WeightSDS!Q$30*$AM492^6+WeightSDS!R$30*$AM492^5+WeightSDS!S$30*$AM492^4+WeightSDS!T$30*$AM492^3+WeightSDS!U$30*$AM492^2+WeightSDS!V$30*$AM492+WeightSDS!W$30-0.010431*(1-1/$AM492),WeightSDS!M$32+WeightSDS!N$32/(1+EXP(WeightSDS!O$32+WeightSDS!P$32*$AM492))-0.010431*(1-$AM492/210))))</f>
        <v>2.9500001032655536</v>
      </c>
      <c r="AQ492" s="4">
        <f>IF(D492="M",IF($AM492&lt;162,WeightSDS!P$12*$AM492^7+WeightSDS!Q$12*$AM492^6+WeightSDS!R$12*$AM492^5+WeightSDS!S$12*$AM492^4+WeightSDS!T$12*$AM492^3+WeightSDS!U$12*$AM492^2+WeightSDS!V$12*$AM492+WeightSDS!W$12,WeightSDS!P$14*$AM492^7+WeightSDS!Q$14*$AM492^6+WeightSDS!R$14*$AM492^5+WeightSDS!S$14*$AM492^4+WeightSDS!T$14*$AM492^3+WeightSDS!U$14*$AM492^2+WeightSDS!V$14*$AM492+WeightSDS!W$14),IF($AM492&lt;156,WeightSDS!O$17*$AM492^8+WeightSDS!P$17*$AM492^7+WeightSDS!Q$17*$AM492^6+WeightSDS!R$17*$AM492^5+WeightSDS!S$17*$AM492^4+WeightSDS!T$17*$AM492^3+WeightSDS!U$17*$AM492^2+WeightSDS!V$17*$AM492+WeightSDS!W$17,IF($AM492&lt;186,WeightSDS!$U$18+(WeightSDS!$V$18-WeightSDS!$U$18)/24*($AM492-186)+WeightSDS!$W$18*(-$AM492+186)^2-0.005,WeightSDS!$U$18+(WeightSDS!$V$18-WeightSDS!$U$18)/24*($AM492-186)-0.005)))</f>
        <v>0.14604529399999999</v>
      </c>
      <c r="AT492" s="4">
        <f t="shared" si="154"/>
        <v>0.56299999999999994</v>
      </c>
      <c r="AU492" s="4">
        <f t="shared" si="155"/>
        <v>69</v>
      </c>
      <c r="AV492" s="4">
        <f t="shared" si="156"/>
        <v>0.51</v>
      </c>
    </row>
    <row r="493" spans="1:48" x14ac:dyDescent="0.15">
      <c r="A493" s="4"/>
      <c r="B493" s="21"/>
      <c r="C493" s="21"/>
      <c r="D493" s="21"/>
      <c r="E493" s="22"/>
      <c r="F493" s="22"/>
      <c r="G493" s="23"/>
      <c r="H493" s="23"/>
      <c r="I493" s="181"/>
      <c r="J493" s="8" t="str">
        <f t="shared" si="148"/>
        <v/>
      </c>
      <c r="K493" s="2" t="str">
        <f t="shared" si="157"/>
        <v/>
      </c>
      <c r="L493" s="2" t="str">
        <f t="shared" si="149"/>
        <v/>
      </c>
      <c r="M493" s="2" t="str">
        <f t="shared" si="158"/>
        <v/>
      </c>
      <c r="N493" s="2" t="str">
        <f t="shared" si="166"/>
        <v/>
      </c>
      <c r="O493" s="2" t="str">
        <f t="shared" si="159"/>
        <v/>
      </c>
      <c r="P493" s="8" t="str">
        <f t="shared" si="160"/>
        <v/>
      </c>
      <c r="Q493" s="8" t="str">
        <f t="shared" si="161"/>
        <v/>
      </c>
      <c r="R493" s="111" t="str">
        <f t="shared" si="162"/>
        <v/>
      </c>
      <c r="S493" s="44" t="str">
        <f t="shared" si="163"/>
        <v/>
      </c>
      <c r="T493" s="37" t="str">
        <f t="shared" si="164"/>
        <v/>
      </c>
      <c r="U493" s="44" t="str">
        <f t="shared" si="165"/>
        <v/>
      </c>
      <c r="V493" s="26"/>
      <c r="W493" s="26"/>
      <c r="X493" s="26"/>
      <c r="Y493" s="26"/>
      <c r="Z493" s="24"/>
      <c r="AA493" s="169">
        <f t="shared" si="150"/>
        <v>0</v>
      </c>
      <c r="AB493" s="4">
        <f t="shared" si="151"/>
        <v>0</v>
      </c>
      <c r="AC493" s="170">
        <f t="shared" si="168"/>
        <v>0</v>
      </c>
      <c r="AD493" s="58"/>
      <c r="AE493" s="58"/>
      <c r="AF493" s="58"/>
      <c r="AG493" s="59">
        <f t="shared" si="152"/>
        <v>9.0359999999999996</v>
      </c>
      <c r="AH493" s="59">
        <f t="shared" si="153"/>
        <v>-184.49199999999999</v>
      </c>
      <c r="AJ493" s="4">
        <f>IF(D493="M",IF(AM493&lt;78,BMILMS!$D$5*AM493^3+BMILMS!$E$5*AM493^2+BMILMS!$F$5*AM493+BMILMS!$G$5,IF(AM493&lt;150,BMILMS!$D$6*AM493^3+BMILMS!$E$6*AM493^2+BMILMS!$F$6*AM493+BMILMS!$G$6,BMILMS!$D$7*AM493^3+BMILMS!$E$7*AM493^2+BMILMS!$F$7*AM493+BMILMS!$G$7)),IF(AM493&lt;69,BMILMS!$D$9*AM493^3+BMILMS!$E$9*AM493^2+BMILMS!$F$9*AM493+BMILMS!$G$9,IF(AM493&lt;150,BMILMS!$D$10*AM493^3+BMILMS!$E$10*AM493^2+BMILMS!$F$10*AM493+BMILMS!$G$10,BMILMS!$D$11*AM493^3+BMILMS!$E$11*AM493^2+BMILMS!$F$11*AM493+BMILMS!$G$11)))</f>
        <v>0.79584630099999998</v>
      </c>
      <c r="AK493" s="4">
        <f>IF(D493="M",(IF(AM493&lt;2.5,BMILMS!$D$21*AM493^3+BMILMS!$E$21*AM493^2+BMILMS!$F$21*AM493+BMILMS!$G$21,IF(AM493&lt;9.5,BMILMS!$D$22*AM493^3+BMILMS!$E$22*AM493^2+BMILMS!$F$22*AM493+BMILMS!$G$22,IF(AM493&lt;26.75,BMILMS!$D$23*AM493^3+BMILMS!$E$23*AM493^2+BMILMS!$F$23*AM493+BMILMS!$G$23,IF(AM493&lt;90,BMILMS!$D$24*AM493^3+BMILMS!$E$24*AM493^2+BMILMS!$F$24*AM493+BMILMS!$G$24,BMILMS!$D$25*AM493^3+BMILMS!$E$25*AM493^2+BMILMS!$F$25*AM493+BMILMS!$G$25))))),(IF(AM493&lt;2.5,BMILMS!$D$27*AM493^3+BMILMS!$E$27*AM493^2+BMILMS!$F$27*AM493+BMILMS!$G$27,IF(AM493&lt;9.5,BMILMS!$D$28*AM493^3+BMILMS!$E$28*AM493^2+BMILMS!$F$28*AM493+BMILMS!$G$28,IF(AM493&lt;26.75,BMILMS!$D$29*AM493^3+BMILMS!$E$29*AM493^2+BMILMS!$F$29*AM493+BMILMS!$G$29,IF(AM493&lt;90,BMILMS!$D$30*AM493^3+BMILMS!$E$30*AM493^2+BMILMS!$F$30*AM493+BMILMS!$G$30,IF(AM493&lt;150,BMILMS!$D$31*AM493^3+BMILMS!$E$31*AM493^2+BMILMS!$F$31*AM493+BMILMS!$G$31,BMILMS!$D$32*AM493^3+BMILMS!$E$32*AM493^2+BMILMS!$F$32*AM493+BMILMS!$G$32)))))))</f>
        <v>12.568967990000001</v>
      </c>
      <c r="AL493" s="4">
        <f>IF(D493="M",(IF(AM493&lt;90,BMILMS!$D$14*AM493^3+BMILMS!$E$14*AM493^2+BMILMS!$F$14*AM493+BMILMS!$G$14,BMILMS!$D$15*AM493^3+BMILMS!$E$15*AM493^2+BMILMS!$F$15*AM493+BMILMS!$G$15)),(IF(AM493&lt;90,BMILMS!$D$17*AM493^3+BMILMS!$E$17*AM493^2+BMILMS!$F$17*AM493+BMILMS!$G$17,BMILMS!$D$18*AM493^3+BMILMS!$E$18*AM493^2+BMILMS!$F$18*AM493+BMILMS!$G$18)))</f>
        <v>8.8969350000000003E-2</v>
      </c>
      <c r="AM493" s="4">
        <f t="shared" si="167"/>
        <v>0</v>
      </c>
      <c r="AO493" s="56">
        <f>IF(D493="M",WeightSDS!P$5*$AM493^7+WeightSDS!Q$5*$AM493^6+WeightSDS!R$5*$AM493^5+WeightSDS!S$5*$AM493^4+WeightSDS!T$5*$AM493^3+WeightSDS!U$5*$AM493^2+WeightSDS!V$5*$AM493+WeightSDS!W$5,IF($AM493&lt;186,WeightSDS!P$8*$AM493^7+WeightSDS!Q$8*$AM493^6+WeightSDS!R$8*$AM493^5+WeightSDS!S$8*$AM493^4+WeightSDS!T$8*$AM493^3+WeightSDS!U$8*$AM493^2+WeightSDS!V$8*$AM493+WeightSDS!W$8,WeightSDS!$U$9+WeightSDS!$V$9*($AM493-WeightSDS!$W$9)))</f>
        <v>0.75407122999999998</v>
      </c>
      <c r="AP493" s="4">
        <f>IF(D493="M",IF($AM493&lt;45,WeightSDS!M$23*$AM493^10+WeightSDS!N$23*$AM493^9+WeightSDS!O$23*$AM493^8+WeightSDS!P$23*$AM493^7+WeightSDS!Q$23*$AM493^6+WeightSDS!R$23*$AM493^5+WeightSDS!S$23*$AM493^4+WeightSDS!T$23*$AM493^3+WeightSDS!U$23*$AM493^2+WeightSDS!V$23*$AM493+WeightSDS!W$23,IF($AM493&lt;153,WeightSDS!M$25*$AM493^10+WeightSDS!N$25*$AM493^9+WeightSDS!O$25*$AM493^8+WeightSDS!P$25*$AM493^7+WeightSDS!Q$25*$AM493^6+WeightSDS!R$25*$AM493^5+WeightSDS!S$25*$AM493^4+WeightSDS!T$25*$AM493^3+WeightSDS!U$25*$AM493^2+WeightSDS!V$25*$AM493+WeightSDS!W$25,WeightSDS!M$27+WeightSDS!N$27/(1+EXP(WeightSDS!O$27+WeightSDS!P$27*$AM493)))),IF($AM493&lt;43.8,WeightSDS!M$29*$AM493^10+WeightSDS!N$29*$AM493^9+WeightSDS!O$29*$AM493^8+WeightSDS!P$29*$AM493^7+WeightSDS!Q$29*$AM493^6+WeightSDS!R$29*$AM493^5+WeightSDS!S$29*$AM493^4+WeightSDS!T$29*$AM493^3+WeightSDS!U$29*$AM493^2+WeightSDS!V$29*$AM493+WeightSDS!W$29-0.010431*(1-$AM493/210),IF($AM493&lt;123,WeightSDS!M$30*$AM493^10+WeightSDS!N$30*$AM493^9+WeightSDS!O$30*$AM493^8+WeightSDS!P$30*$AM493^7+WeightSDS!Q$30*$AM493^6+WeightSDS!R$30*$AM493^5+WeightSDS!S$30*$AM493^4+WeightSDS!T$30*$AM493^3+WeightSDS!U$30*$AM493^2+WeightSDS!V$30*$AM493+WeightSDS!W$30-0.010431*(1-1/$AM493),WeightSDS!M$32+WeightSDS!N$32/(1+EXP(WeightSDS!O$32+WeightSDS!P$32*$AM493))-0.010431*(1-$AM493/210))))</f>
        <v>2.9500001032655536</v>
      </c>
      <c r="AQ493" s="4">
        <f>IF(D493="M",IF($AM493&lt;162,WeightSDS!P$12*$AM493^7+WeightSDS!Q$12*$AM493^6+WeightSDS!R$12*$AM493^5+WeightSDS!S$12*$AM493^4+WeightSDS!T$12*$AM493^3+WeightSDS!U$12*$AM493^2+WeightSDS!V$12*$AM493+WeightSDS!W$12,WeightSDS!P$14*$AM493^7+WeightSDS!Q$14*$AM493^6+WeightSDS!R$14*$AM493^5+WeightSDS!S$14*$AM493^4+WeightSDS!T$14*$AM493^3+WeightSDS!U$14*$AM493^2+WeightSDS!V$14*$AM493+WeightSDS!W$14),IF($AM493&lt;156,WeightSDS!O$17*$AM493^8+WeightSDS!P$17*$AM493^7+WeightSDS!Q$17*$AM493^6+WeightSDS!R$17*$AM493^5+WeightSDS!S$17*$AM493^4+WeightSDS!T$17*$AM493^3+WeightSDS!U$17*$AM493^2+WeightSDS!V$17*$AM493+WeightSDS!W$17,IF($AM493&lt;186,WeightSDS!$U$18+(WeightSDS!$V$18-WeightSDS!$U$18)/24*($AM493-186)+WeightSDS!$W$18*(-$AM493+186)^2-0.005,WeightSDS!$U$18+(WeightSDS!$V$18-WeightSDS!$U$18)/24*($AM493-186)-0.005)))</f>
        <v>0.14604529399999999</v>
      </c>
      <c r="AT493" s="4">
        <f t="shared" si="154"/>
        <v>0.56299999999999994</v>
      </c>
      <c r="AU493" s="4">
        <f t="shared" si="155"/>
        <v>69</v>
      </c>
      <c r="AV493" s="4">
        <f t="shared" si="156"/>
        <v>0.51</v>
      </c>
    </row>
    <row r="494" spans="1:48" x14ac:dyDescent="0.15">
      <c r="A494" s="4"/>
      <c r="B494" s="21"/>
      <c r="C494" s="21"/>
      <c r="D494" s="21"/>
      <c r="E494" s="22"/>
      <c r="F494" s="22"/>
      <c r="G494" s="23"/>
      <c r="H494" s="23"/>
      <c r="I494" s="181"/>
      <c r="J494" s="8" t="str">
        <f t="shared" si="148"/>
        <v/>
      </c>
      <c r="K494" s="2" t="str">
        <f t="shared" si="157"/>
        <v/>
      </c>
      <c r="L494" s="2" t="str">
        <f t="shared" si="149"/>
        <v/>
      </c>
      <c r="M494" s="2" t="str">
        <f t="shared" si="158"/>
        <v/>
      </c>
      <c r="N494" s="2" t="str">
        <f t="shared" si="166"/>
        <v/>
      </c>
      <c r="O494" s="2" t="str">
        <f t="shared" si="159"/>
        <v/>
      </c>
      <c r="P494" s="8" t="str">
        <f t="shared" si="160"/>
        <v/>
      </c>
      <c r="Q494" s="8" t="str">
        <f t="shared" si="161"/>
        <v/>
      </c>
      <c r="R494" s="111" t="str">
        <f t="shared" si="162"/>
        <v/>
      </c>
      <c r="S494" s="44" t="str">
        <f t="shared" si="163"/>
        <v/>
      </c>
      <c r="T494" s="37" t="str">
        <f t="shared" si="164"/>
        <v/>
      </c>
      <c r="U494" s="44" t="str">
        <f t="shared" si="165"/>
        <v/>
      </c>
      <c r="V494" s="26"/>
      <c r="W494" s="26"/>
      <c r="X494" s="26"/>
      <c r="Y494" s="26"/>
      <c r="Z494" s="24"/>
      <c r="AA494" s="169">
        <f t="shared" si="150"/>
        <v>0</v>
      </c>
      <c r="AB494" s="4">
        <f t="shared" si="151"/>
        <v>0</v>
      </c>
      <c r="AC494" s="170">
        <f t="shared" si="168"/>
        <v>0</v>
      </c>
      <c r="AD494" s="58"/>
      <c r="AE494" s="58"/>
      <c r="AF494" s="58"/>
      <c r="AG494" s="59">
        <f t="shared" si="152"/>
        <v>9.0359999999999996</v>
      </c>
      <c r="AH494" s="59">
        <f t="shared" si="153"/>
        <v>-184.49199999999999</v>
      </c>
      <c r="AJ494" s="4">
        <f>IF(D494="M",IF(AM494&lt;78,BMILMS!$D$5*AM494^3+BMILMS!$E$5*AM494^2+BMILMS!$F$5*AM494+BMILMS!$G$5,IF(AM494&lt;150,BMILMS!$D$6*AM494^3+BMILMS!$E$6*AM494^2+BMILMS!$F$6*AM494+BMILMS!$G$6,BMILMS!$D$7*AM494^3+BMILMS!$E$7*AM494^2+BMILMS!$F$7*AM494+BMILMS!$G$7)),IF(AM494&lt;69,BMILMS!$D$9*AM494^3+BMILMS!$E$9*AM494^2+BMILMS!$F$9*AM494+BMILMS!$G$9,IF(AM494&lt;150,BMILMS!$D$10*AM494^3+BMILMS!$E$10*AM494^2+BMILMS!$F$10*AM494+BMILMS!$G$10,BMILMS!$D$11*AM494^3+BMILMS!$E$11*AM494^2+BMILMS!$F$11*AM494+BMILMS!$G$11)))</f>
        <v>0.79584630099999998</v>
      </c>
      <c r="AK494" s="4">
        <f>IF(D494="M",(IF(AM494&lt;2.5,BMILMS!$D$21*AM494^3+BMILMS!$E$21*AM494^2+BMILMS!$F$21*AM494+BMILMS!$G$21,IF(AM494&lt;9.5,BMILMS!$D$22*AM494^3+BMILMS!$E$22*AM494^2+BMILMS!$F$22*AM494+BMILMS!$G$22,IF(AM494&lt;26.75,BMILMS!$D$23*AM494^3+BMILMS!$E$23*AM494^2+BMILMS!$F$23*AM494+BMILMS!$G$23,IF(AM494&lt;90,BMILMS!$D$24*AM494^3+BMILMS!$E$24*AM494^2+BMILMS!$F$24*AM494+BMILMS!$G$24,BMILMS!$D$25*AM494^3+BMILMS!$E$25*AM494^2+BMILMS!$F$25*AM494+BMILMS!$G$25))))),(IF(AM494&lt;2.5,BMILMS!$D$27*AM494^3+BMILMS!$E$27*AM494^2+BMILMS!$F$27*AM494+BMILMS!$G$27,IF(AM494&lt;9.5,BMILMS!$D$28*AM494^3+BMILMS!$E$28*AM494^2+BMILMS!$F$28*AM494+BMILMS!$G$28,IF(AM494&lt;26.75,BMILMS!$D$29*AM494^3+BMILMS!$E$29*AM494^2+BMILMS!$F$29*AM494+BMILMS!$G$29,IF(AM494&lt;90,BMILMS!$D$30*AM494^3+BMILMS!$E$30*AM494^2+BMILMS!$F$30*AM494+BMILMS!$G$30,IF(AM494&lt;150,BMILMS!$D$31*AM494^3+BMILMS!$E$31*AM494^2+BMILMS!$F$31*AM494+BMILMS!$G$31,BMILMS!$D$32*AM494^3+BMILMS!$E$32*AM494^2+BMILMS!$F$32*AM494+BMILMS!$G$32)))))))</f>
        <v>12.568967990000001</v>
      </c>
      <c r="AL494" s="4">
        <f>IF(D494="M",(IF(AM494&lt;90,BMILMS!$D$14*AM494^3+BMILMS!$E$14*AM494^2+BMILMS!$F$14*AM494+BMILMS!$G$14,BMILMS!$D$15*AM494^3+BMILMS!$E$15*AM494^2+BMILMS!$F$15*AM494+BMILMS!$G$15)),(IF(AM494&lt;90,BMILMS!$D$17*AM494^3+BMILMS!$E$17*AM494^2+BMILMS!$F$17*AM494+BMILMS!$G$17,BMILMS!$D$18*AM494^3+BMILMS!$E$18*AM494^2+BMILMS!$F$18*AM494+BMILMS!$G$18)))</f>
        <v>8.8969350000000003E-2</v>
      </c>
      <c r="AM494" s="4">
        <f t="shared" si="167"/>
        <v>0</v>
      </c>
      <c r="AO494" s="56">
        <f>IF(D494="M",WeightSDS!P$5*$AM494^7+WeightSDS!Q$5*$AM494^6+WeightSDS!R$5*$AM494^5+WeightSDS!S$5*$AM494^4+WeightSDS!T$5*$AM494^3+WeightSDS!U$5*$AM494^2+WeightSDS!V$5*$AM494+WeightSDS!W$5,IF($AM494&lt;186,WeightSDS!P$8*$AM494^7+WeightSDS!Q$8*$AM494^6+WeightSDS!R$8*$AM494^5+WeightSDS!S$8*$AM494^4+WeightSDS!T$8*$AM494^3+WeightSDS!U$8*$AM494^2+WeightSDS!V$8*$AM494+WeightSDS!W$8,WeightSDS!$U$9+WeightSDS!$V$9*($AM494-WeightSDS!$W$9)))</f>
        <v>0.75407122999999998</v>
      </c>
      <c r="AP494" s="4">
        <f>IF(D494="M",IF($AM494&lt;45,WeightSDS!M$23*$AM494^10+WeightSDS!N$23*$AM494^9+WeightSDS!O$23*$AM494^8+WeightSDS!P$23*$AM494^7+WeightSDS!Q$23*$AM494^6+WeightSDS!R$23*$AM494^5+WeightSDS!S$23*$AM494^4+WeightSDS!T$23*$AM494^3+WeightSDS!U$23*$AM494^2+WeightSDS!V$23*$AM494+WeightSDS!W$23,IF($AM494&lt;153,WeightSDS!M$25*$AM494^10+WeightSDS!N$25*$AM494^9+WeightSDS!O$25*$AM494^8+WeightSDS!P$25*$AM494^7+WeightSDS!Q$25*$AM494^6+WeightSDS!R$25*$AM494^5+WeightSDS!S$25*$AM494^4+WeightSDS!T$25*$AM494^3+WeightSDS!U$25*$AM494^2+WeightSDS!V$25*$AM494+WeightSDS!W$25,WeightSDS!M$27+WeightSDS!N$27/(1+EXP(WeightSDS!O$27+WeightSDS!P$27*$AM494)))),IF($AM494&lt;43.8,WeightSDS!M$29*$AM494^10+WeightSDS!N$29*$AM494^9+WeightSDS!O$29*$AM494^8+WeightSDS!P$29*$AM494^7+WeightSDS!Q$29*$AM494^6+WeightSDS!R$29*$AM494^5+WeightSDS!S$29*$AM494^4+WeightSDS!T$29*$AM494^3+WeightSDS!U$29*$AM494^2+WeightSDS!V$29*$AM494+WeightSDS!W$29-0.010431*(1-$AM494/210),IF($AM494&lt;123,WeightSDS!M$30*$AM494^10+WeightSDS!N$30*$AM494^9+WeightSDS!O$30*$AM494^8+WeightSDS!P$30*$AM494^7+WeightSDS!Q$30*$AM494^6+WeightSDS!R$30*$AM494^5+WeightSDS!S$30*$AM494^4+WeightSDS!T$30*$AM494^3+WeightSDS!U$30*$AM494^2+WeightSDS!V$30*$AM494+WeightSDS!W$30-0.010431*(1-1/$AM494),WeightSDS!M$32+WeightSDS!N$32/(1+EXP(WeightSDS!O$32+WeightSDS!P$32*$AM494))-0.010431*(1-$AM494/210))))</f>
        <v>2.9500001032655536</v>
      </c>
      <c r="AQ494" s="4">
        <f>IF(D494="M",IF($AM494&lt;162,WeightSDS!P$12*$AM494^7+WeightSDS!Q$12*$AM494^6+WeightSDS!R$12*$AM494^5+WeightSDS!S$12*$AM494^4+WeightSDS!T$12*$AM494^3+WeightSDS!U$12*$AM494^2+WeightSDS!V$12*$AM494+WeightSDS!W$12,WeightSDS!P$14*$AM494^7+WeightSDS!Q$14*$AM494^6+WeightSDS!R$14*$AM494^5+WeightSDS!S$14*$AM494^4+WeightSDS!T$14*$AM494^3+WeightSDS!U$14*$AM494^2+WeightSDS!V$14*$AM494+WeightSDS!W$14),IF($AM494&lt;156,WeightSDS!O$17*$AM494^8+WeightSDS!P$17*$AM494^7+WeightSDS!Q$17*$AM494^6+WeightSDS!R$17*$AM494^5+WeightSDS!S$17*$AM494^4+WeightSDS!T$17*$AM494^3+WeightSDS!U$17*$AM494^2+WeightSDS!V$17*$AM494+WeightSDS!W$17,IF($AM494&lt;186,WeightSDS!$U$18+(WeightSDS!$V$18-WeightSDS!$U$18)/24*($AM494-186)+WeightSDS!$W$18*(-$AM494+186)^2-0.005,WeightSDS!$U$18+(WeightSDS!$V$18-WeightSDS!$U$18)/24*($AM494-186)-0.005)))</f>
        <v>0.14604529399999999</v>
      </c>
      <c r="AT494" s="4">
        <f t="shared" si="154"/>
        <v>0.56299999999999994</v>
      </c>
      <c r="AU494" s="4">
        <f t="shared" si="155"/>
        <v>69</v>
      </c>
      <c r="AV494" s="4">
        <f t="shared" si="156"/>
        <v>0.51</v>
      </c>
    </row>
    <row r="495" spans="1:48" x14ac:dyDescent="0.15">
      <c r="A495" s="4"/>
      <c r="B495" s="21"/>
      <c r="C495" s="21"/>
      <c r="D495" s="21"/>
      <c r="E495" s="22"/>
      <c r="F495" s="22"/>
      <c r="G495" s="23"/>
      <c r="H495" s="23"/>
      <c r="I495" s="181"/>
      <c r="J495" s="8" t="str">
        <f t="shared" si="148"/>
        <v/>
      </c>
      <c r="K495" s="2" t="str">
        <f t="shared" si="157"/>
        <v/>
      </c>
      <c r="L495" s="2" t="str">
        <f t="shared" si="149"/>
        <v/>
      </c>
      <c r="M495" s="2" t="str">
        <f t="shared" si="158"/>
        <v/>
      </c>
      <c r="N495" s="2" t="str">
        <f t="shared" si="166"/>
        <v/>
      </c>
      <c r="O495" s="2" t="str">
        <f t="shared" si="159"/>
        <v/>
      </c>
      <c r="P495" s="8" t="str">
        <f t="shared" si="160"/>
        <v/>
      </c>
      <c r="Q495" s="8" t="str">
        <f t="shared" si="161"/>
        <v/>
      </c>
      <c r="R495" s="111" t="str">
        <f t="shared" si="162"/>
        <v/>
      </c>
      <c r="S495" s="44" t="str">
        <f t="shared" si="163"/>
        <v/>
      </c>
      <c r="T495" s="37" t="str">
        <f t="shared" si="164"/>
        <v/>
      </c>
      <c r="U495" s="44" t="str">
        <f t="shared" si="165"/>
        <v/>
      </c>
      <c r="V495" s="26"/>
      <c r="W495" s="26"/>
      <c r="X495" s="26"/>
      <c r="Y495" s="26"/>
      <c r="Z495" s="24"/>
      <c r="AA495" s="169">
        <f t="shared" si="150"/>
        <v>0</v>
      </c>
      <c r="AB495" s="4">
        <f t="shared" si="151"/>
        <v>0</v>
      </c>
      <c r="AC495" s="170">
        <f t="shared" si="168"/>
        <v>0</v>
      </c>
      <c r="AD495" s="58"/>
      <c r="AE495" s="58"/>
      <c r="AF495" s="58"/>
      <c r="AG495" s="59">
        <f t="shared" si="152"/>
        <v>9.0359999999999996</v>
      </c>
      <c r="AH495" s="59">
        <f t="shared" si="153"/>
        <v>-184.49199999999999</v>
      </c>
      <c r="AJ495" s="4">
        <f>IF(D495="M",IF(AM495&lt;78,BMILMS!$D$5*AM495^3+BMILMS!$E$5*AM495^2+BMILMS!$F$5*AM495+BMILMS!$G$5,IF(AM495&lt;150,BMILMS!$D$6*AM495^3+BMILMS!$E$6*AM495^2+BMILMS!$F$6*AM495+BMILMS!$G$6,BMILMS!$D$7*AM495^3+BMILMS!$E$7*AM495^2+BMILMS!$F$7*AM495+BMILMS!$G$7)),IF(AM495&lt;69,BMILMS!$D$9*AM495^3+BMILMS!$E$9*AM495^2+BMILMS!$F$9*AM495+BMILMS!$G$9,IF(AM495&lt;150,BMILMS!$D$10*AM495^3+BMILMS!$E$10*AM495^2+BMILMS!$F$10*AM495+BMILMS!$G$10,BMILMS!$D$11*AM495^3+BMILMS!$E$11*AM495^2+BMILMS!$F$11*AM495+BMILMS!$G$11)))</f>
        <v>0.79584630099999998</v>
      </c>
      <c r="AK495" s="4">
        <f>IF(D495="M",(IF(AM495&lt;2.5,BMILMS!$D$21*AM495^3+BMILMS!$E$21*AM495^2+BMILMS!$F$21*AM495+BMILMS!$G$21,IF(AM495&lt;9.5,BMILMS!$D$22*AM495^3+BMILMS!$E$22*AM495^2+BMILMS!$F$22*AM495+BMILMS!$G$22,IF(AM495&lt;26.75,BMILMS!$D$23*AM495^3+BMILMS!$E$23*AM495^2+BMILMS!$F$23*AM495+BMILMS!$G$23,IF(AM495&lt;90,BMILMS!$D$24*AM495^3+BMILMS!$E$24*AM495^2+BMILMS!$F$24*AM495+BMILMS!$G$24,BMILMS!$D$25*AM495^3+BMILMS!$E$25*AM495^2+BMILMS!$F$25*AM495+BMILMS!$G$25))))),(IF(AM495&lt;2.5,BMILMS!$D$27*AM495^3+BMILMS!$E$27*AM495^2+BMILMS!$F$27*AM495+BMILMS!$G$27,IF(AM495&lt;9.5,BMILMS!$D$28*AM495^3+BMILMS!$E$28*AM495^2+BMILMS!$F$28*AM495+BMILMS!$G$28,IF(AM495&lt;26.75,BMILMS!$D$29*AM495^3+BMILMS!$E$29*AM495^2+BMILMS!$F$29*AM495+BMILMS!$G$29,IF(AM495&lt;90,BMILMS!$D$30*AM495^3+BMILMS!$E$30*AM495^2+BMILMS!$F$30*AM495+BMILMS!$G$30,IF(AM495&lt;150,BMILMS!$D$31*AM495^3+BMILMS!$E$31*AM495^2+BMILMS!$F$31*AM495+BMILMS!$G$31,BMILMS!$D$32*AM495^3+BMILMS!$E$32*AM495^2+BMILMS!$F$32*AM495+BMILMS!$G$32)))))))</f>
        <v>12.568967990000001</v>
      </c>
      <c r="AL495" s="4">
        <f>IF(D495="M",(IF(AM495&lt;90,BMILMS!$D$14*AM495^3+BMILMS!$E$14*AM495^2+BMILMS!$F$14*AM495+BMILMS!$G$14,BMILMS!$D$15*AM495^3+BMILMS!$E$15*AM495^2+BMILMS!$F$15*AM495+BMILMS!$G$15)),(IF(AM495&lt;90,BMILMS!$D$17*AM495^3+BMILMS!$E$17*AM495^2+BMILMS!$F$17*AM495+BMILMS!$G$17,BMILMS!$D$18*AM495^3+BMILMS!$E$18*AM495^2+BMILMS!$F$18*AM495+BMILMS!$G$18)))</f>
        <v>8.8969350000000003E-2</v>
      </c>
      <c r="AM495" s="4">
        <f t="shared" si="167"/>
        <v>0</v>
      </c>
      <c r="AO495" s="56">
        <f>IF(D495="M",WeightSDS!P$5*$AM495^7+WeightSDS!Q$5*$AM495^6+WeightSDS!R$5*$AM495^5+WeightSDS!S$5*$AM495^4+WeightSDS!T$5*$AM495^3+WeightSDS!U$5*$AM495^2+WeightSDS!V$5*$AM495+WeightSDS!W$5,IF($AM495&lt;186,WeightSDS!P$8*$AM495^7+WeightSDS!Q$8*$AM495^6+WeightSDS!R$8*$AM495^5+WeightSDS!S$8*$AM495^4+WeightSDS!T$8*$AM495^3+WeightSDS!U$8*$AM495^2+WeightSDS!V$8*$AM495+WeightSDS!W$8,WeightSDS!$U$9+WeightSDS!$V$9*($AM495-WeightSDS!$W$9)))</f>
        <v>0.75407122999999998</v>
      </c>
      <c r="AP495" s="4">
        <f>IF(D495="M",IF($AM495&lt;45,WeightSDS!M$23*$AM495^10+WeightSDS!N$23*$AM495^9+WeightSDS!O$23*$AM495^8+WeightSDS!P$23*$AM495^7+WeightSDS!Q$23*$AM495^6+WeightSDS!R$23*$AM495^5+WeightSDS!S$23*$AM495^4+WeightSDS!T$23*$AM495^3+WeightSDS!U$23*$AM495^2+WeightSDS!V$23*$AM495+WeightSDS!W$23,IF($AM495&lt;153,WeightSDS!M$25*$AM495^10+WeightSDS!N$25*$AM495^9+WeightSDS!O$25*$AM495^8+WeightSDS!P$25*$AM495^7+WeightSDS!Q$25*$AM495^6+WeightSDS!R$25*$AM495^5+WeightSDS!S$25*$AM495^4+WeightSDS!T$25*$AM495^3+WeightSDS!U$25*$AM495^2+WeightSDS!V$25*$AM495+WeightSDS!W$25,WeightSDS!M$27+WeightSDS!N$27/(1+EXP(WeightSDS!O$27+WeightSDS!P$27*$AM495)))),IF($AM495&lt;43.8,WeightSDS!M$29*$AM495^10+WeightSDS!N$29*$AM495^9+WeightSDS!O$29*$AM495^8+WeightSDS!P$29*$AM495^7+WeightSDS!Q$29*$AM495^6+WeightSDS!R$29*$AM495^5+WeightSDS!S$29*$AM495^4+WeightSDS!T$29*$AM495^3+WeightSDS!U$29*$AM495^2+WeightSDS!V$29*$AM495+WeightSDS!W$29-0.010431*(1-$AM495/210),IF($AM495&lt;123,WeightSDS!M$30*$AM495^10+WeightSDS!N$30*$AM495^9+WeightSDS!O$30*$AM495^8+WeightSDS!P$30*$AM495^7+WeightSDS!Q$30*$AM495^6+WeightSDS!R$30*$AM495^5+WeightSDS!S$30*$AM495^4+WeightSDS!T$30*$AM495^3+WeightSDS!U$30*$AM495^2+WeightSDS!V$30*$AM495+WeightSDS!W$30-0.010431*(1-1/$AM495),WeightSDS!M$32+WeightSDS!N$32/(1+EXP(WeightSDS!O$32+WeightSDS!P$32*$AM495))-0.010431*(1-$AM495/210))))</f>
        <v>2.9500001032655536</v>
      </c>
      <c r="AQ495" s="4">
        <f>IF(D495="M",IF($AM495&lt;162,WeightSDS!P$12*$AM495^7+WeightSDS!Q$12*$AM495^6+WeightSDS!R$12*$AM495^5+WeightSDS!S$12*$AM495^4+WeightSDS!T$12*$AM495^3+WeightSDS!U$12*$AM495^2+WeightSDS!V$12*$AM495+WeightSDS!W$12,WeightSDS!P$14*$AM495^7+WeightSDS!Q$14*$AM495^6+WeightSDS!R$14*$AM495^5+WeightSDS!S$14*$AM495^4+WeightSDS!T$14*$AM495^3+WeightSDS!U$14*$AM495^2+WeightSDS!V$14*$AM495+WeightSDS!W$14),IF($AM495&lt;156,WeightSDS!O$17*$AM495^8+WeightSDS!P$17*$AM495^7+WeightSDS!Q$17*$AM495^6+WeightSDS!R$17*$AM495^5+WeightSDS!S$17*$AM495^4+WeightSDS!T$17*$AM495^3+WeightSDS!U$17*$AM495^2+WeightSDS!V$17*$AM495+WeightSDS!W$17,IF($AM495&lt;186,WeightSDS!$U$18+(WeightSDS!$V$18-WeightSDS!$U$18)/24*($AM495-186)+WeightSDS!$W$18*(-$AM495+186)^2-0.005,WeightSDS!$U$18+(WeightSDS!$V$18-WeightSDS!$U$18)/24*($AM495-186)-0.005)))</f>
        <v>0.14604529399999999</v>
      </c>
      <c r="AT495" s="4">
        <f t="shared" si="154"/>
        <v>0.56299999999999994</v>
      </c>
      <c r="AU495" s="4">
        <f t="shared" si="155"/>
        <v>69</v>
      </c>
      <c r="AV495" s="4">
        <f t="shared" si="156"/>
        <v>0.51</v>
      </c>
    </row>
    <row r="496" spans="1:48" x14ac:dyDescent="0.15">
      <c r="A496" s="4"/>
      <c r="B496" s="21"/>
      <c r="C496" s="21"/>
      <c r="D496" s="21"/>
      <c r="E496" s="22"/>
      <c r="F496" s="22"/>
      <c r="G496" s="23"/>
      <c r="H496" s="23"/>
      <c r="I496" s="181"/>
      <c r="J496" s="8" t="str">
        <f t="shared" si="148"/>
        <v/>
      </c>
      <c r="K496" s="2" t="str">
        <f t="shared" si="157"/>
        <v/>
      </c>
      <c r="L496" s="2" t="str">
        <f t="shared" si="149"/>
        <v/>
      </c>
      <c r="M496" s="2" t="str">
        <f t="shared" si="158"/>
        <v/>
      </c>
      <c r="N496" s="2" t="str">
        <f t="shared" si="166"/>
        <v/>
      </c>
      <c r="O496" s="2" t="str">
        <f t="shared" si="159"/>
        <v/>
      </c>
      <c r="P496" s="8" t="str">
        <f t="shared" si="160"/>
        <v/>
      </c>
      <c r="Q496" s="8" t="str">
        <f t="shared" si="161"/>
        <v/>
      </c>
      <c r="R496" s="111" t="str">
        <f t="shared" si="162"/>
        <v/>
      </c>
      <c r="S496" s="44" t="str">
        <f t="shared" si="163"/>
        <v/>
      </c>
      <c r="T496" s="37" t="str">
        <f t="shared" si="164"/>
        <v/>
      </c>
      <c r="U496" s="44" t="str">
        <f t="shared" si="165"/>
        <v/>
      </c>
      <c r="V496" s="26"/>
      <c r="W496" s="26"/>
      <c r="X496" s="26"/>
      <c r="Y496" s="26"/>
      <c r="Z496" s="24"/>
      <c r="AA496" s="169">
        <f t="shared" si="150"/>
        <v>0</v>
      </c>
      <c r="AB496" s="4">
        <f t="shared" si="151"/>
        <v>0</v>
      </c>
      <c r="AC496" s="170">
        <f t="shared" si="168"/>
        <v>0</v>
      </c>
      <c r="AD496" s="58"/>
      <c r="AE496" s="58"/>
      <c r="AF496" s="58"/>
      <c r="AG496" s="59">
        <f t="shared" si="152"/>
        <v>9.0359999999999996</v>
      </c>
      <c r="AH496" s="59">
        <f t="shared" si="153"/>
        <v>-184.49199999999999</v>
      </c>
      <c r="AJ496" s="4">
        <f>IF(D496="M",IF(AM496&lt;78,BMILMS!$D$5*AM496^3+BMILMS!$E$5*AM496^2+BMILMS!$F$5*AM496+BMILMS!$G$5,IF(AM496&lt;150,BMILMS!$D$6*AM496^3+BMILMS!$E$6*AM496^2+BMILMS!$F$6*AM496+BMILMS!$G$6,BMILMS!$D$7*AM496^3+BMILMS!$E$7*AM496^2+BMILMS!$F$7*AM496+BMILMS!$G$7)),IF(AM496&lt;69,BMILMS!$D$9*AM496^3+BMILMS!$E$9*AM496^2+BMILMS!$F$9*AM496+BMILMS!$G$9,IF(AM496&lt;150,BMILMS!$D$10*AM496^3+BMILMS!$E$10*AM496^2+BMILMS!$F$10*AM496+BMILMS!$G$10,BMILMS!$D$11*AM496^3+BMILMS!$E$11*AM496^2+BMILMS!$F$11*AM496+BMILMS!$G$11)))</f>
        <v>0.79584630099999998</v>
      </c>
      <c r="AK496" s="4">
        <f>IF(D496="M",(IF(AM496&lt;2.5,BMILMS!$D$21*AM496^3+BMILMS!$E$21*AM496^2+BMILMS!$F$21*AM496+BMILMS!$G$21,IF(AM496&lt;9.5,BMILMS!$D$22*AM496^3+BMILMS!$E$22*AM496^2+BMILMS!$F$22*AM496+BMILMS!$G$22,IF(AM496&lt;26.75,BMILMS!$D$23*AM496^3+BMILMS!$E$23*AM496^2+BMILMS!$F$23*AM496+BMILMS!$G$23,IF(AM496&lt;90,BMILMS!$D$24*AM496^3+BMILMS!$E$24*AM496^2+BMILMS!$F$24*AM496+BMILMS!$G$24,BMILMS!$D$25*AM496^3+BMILMS!$E$25*AM496^2+BMILMS!$F$25*AM496+BMILMS!$G$25))))),(IF(AM496&lt;2.5,BMILMS!$D$27*AM496^3+BMILMS!$E$27*AM496^2+BMILMS!$F$27*AM496+BMILMS!$G$27,IF(AM496&lt;9.5,BMILMS!$D$28*AM496^3+BMILMS!$E$28*AM496^2+BMILMS!$F$28*AM496+BMILMS!$G$28,IF(AM496&lt;26.75,BMILMS!$D$29*AM496^3+BMILMS!$E$29*AM496^2+BMILMS!$F$29*AM496+BMILMS!$G$29,IF(AM496&lt;90,BMILMS!$D$30*AM496^3+BMILMS!$E$30*AM496^2+BMILMS!$F$30*AM496+BMILMS!$G$30,IF(AM496&lt;150,BMILMS!$D$31*AM496^3+BMILMS!$E$31*AM496^2+BMILMS!$F$31*AM496+BMILMS!$G$31,BMILMS!$D$32*AM496^3+BMILMS!$E$32*AM496^2+BMILMS!$F$32*AM496+BMILMS!$G$32)))))))</f>
        <v>12.568967990000001</v>
      </c>
      <c r="AL496" s="4">
        <f>IF(D496="M",(IF(AM496&lt;90,BMILMS!$D$14*AM496^3+BMILMS!$E$14*AM496^2+BMILMS!$F$14*AM496+BMILMS!$G$14,BMILMS!$D$15*AM496^3+BMILMS!$E$15*AM496^2+BMILMS!$F$15*AM496+BMILMS!$G$15)),(IF(AM496&lt;90,BMILMS!$D$17*AM496^3+BMILMS!$E$17*AM496^2+BMILMS!$F$17*AM496+BMILMS!$G$17,BMILMS!$D$18*AM496^3+BMILMS!$E$18*AM496^2+BMILMS!$F$18*AM496+BMILMS!$G$18)))</f>
        <v>8.8969350000000003E-2</v>
      </c>
      <c r="AM496" s="4">
        <f t="shared" si="167"/>
        <v>0</v>
      </c>
      <c r="AO496" s="56">
        <f>IF(D496="M",WeightSDS!P$5*$AM496^7+WeightSDS!Q$5*$AM496^6+WeightSDS!R$5*$AM496^5+WeightSDS!S$5*$AM496^4+WeightSDS!T$5*$AM496^3+WeightSDS!U$5*$AM496^2+WeightSDS!V$5*$AM496+WeightSDS!W$5,IF($AM496&lt;186,WeightSDS!P$8*$AM496^7+WeightSDS!Q$8*$AM496^6+WeightSDS!R$8*$AM496^5+WeightSDS!S$8*$AM496^4+WeightSDS!T$8*$AM496^3+WeightSDS!U$8*$AM496^2+WeightSDS!V$8*$AM496+WeightSDS!W$8,WeightSDS!$U$9+WeightSDS!$V$9*($AM496-WeightSDS!$W$9)))</f>
        <v>0.75407122999999998</v>
      </c>
      <c r="AP496" s="4">
        <f>IF(D496="M",IF($AM496&lt;45,WeightSDS!M$23*$AM496^10+WeightSDS!N$23*$AM496^9+WeightSDS!O$23*$AM496^8+WeightSDS!P$23*$AM496^7+WeightSDS!Q$23*$AM496^6+WeightSDS!R$23*$AM496^5+WeightSDS!S$23*$AM496^4+WeightSDS!T$23*$AM496^3+WeightSDS!U$23*$AM496^2+WeightSDS!V$23*$AM496+WeightSDS!W$23,IF($AM496&lt;153,WeightSDS!M$25*$AM496^10+WeightSDS!N$25*$AM496^9+WeightSDS!O$25*$AM496^8+WeightSDS!P$25*$AM496^7+WeightSDS!Q$25*$AM496^6+WeightSDS!R$25*$AM496^5+WeightSDS!S$25*$AM496^4+WeightSDS!T$25*$AM496^3+WeightSDS!U$25*$AM496^2+WeightSDS!V$25*$AM496+WeightSDS!W$25,WeightSDS!M$27+WeightSDS!N$27/(1+EXP(WeightSDS!O$27+WeightSDS!P$27*$AM496)))),IF($AM496&lt;43.8,WeightSDS!M$29*$AM496^10+WeightSDS!N$29*$AM496^9+WeightSDS!O$29*$AM496^8+WeightSDS!P$29*$AM496^7+WeightSDS!Q$29*$AM496^6+WeightSDS!R$29*$AM496^5+WeightSDS!S$29*$AM496^4+WeightSDS!T$29*$AM496^3+WeightSDS!U$29*$AM496^2+WeightSDS!V$29*$AM496+WeightSDS!W$29-0.010431*(1-$AM496/210),IF($AM496&lt;123,WeightSDS!M$30*$AM496^10+WeightSDS!N$30*$AM496^9+WeightSDS!O$30*$AM496^8+WeightSDS!P$30*$AM496^7+WeightSDS!Q$30*$AM496^6+WeightSDS!R$30*$AM496^5+WeightSDS!S$30*$AM496^4+WeightSDS!T$30*$AM496^3+WeightSDS!U$30*$AM496^2+WeightSDS!V$30*$AM496+WeightSDS!W$30-0.010431*(1-1/$AM496),WeightSDS!M$32+WeightSDS!N$32/(1+EXP(WeightSDS!O$32+WeightSDS!P$32*$AM496))-0.010431*(1-$AM496/210))))</f>
        <v>2.9500001032655536</v>
      </c>
      <c r="AQ496" s="4">
        <f>IF(D496="M",IF($AM496&lt;162,WeightSDS!P$12*$AM496^7+WeightSDS!Q$12*$AM496^6+WeightSDS!R$12*$AM496^5+WeightSDS!S$12*$AM496^4+WeightSDS!T$12*$AM496^3+WeightSDS!U$12*$AM496^2+WeightSDS!V$12*$AM496+WeightSDS!W$12,WeightSDS!P$14*$AM496^7+WeightSDS!Q$14*$AM496^6+WeightSDS!R$14*$AM496^5+WeightSDS!S$14*$AM496^4+WeightSDS!T$14*$AM496^3+WeightSDS!U$14*$AM496^2+WeightSDS!V$14*$AM496+WeightSDS!W$14),IF($AM496&lt;156,WeightSDS!O$17*$AM496^8+WeightSDS!P$17*$AM496^7+WeightSDS!Q$17*$AM496^6+WeightSDS!R$17*$AM496^5+WeightSDS!S$17*$AM496^4+WeightSDS!T$17*$AM496^3+WeightSDS!U$17*$AM496^2+WeightSDS!V$17*$AM496+WeightSDS!W$17,IF($AM496&lt;186,WeightSDS!$U$18+(WeightSDS!$V$18-WeightSDS!$U$18)/24*($AM496-186)+WeightSDS!$W$18*(-$AM496+186)^2-0.005,WeightSDS!$U$18+(WeightSDS!$V$18-WeightSDS!$U$18)/24*($AM496-186)-0.005)))</f>
        <v>0.14604529399999999</v>
      </c>
      <c r="AT496" s="4">
        <f t="shared" si="154"/>
        <v>0.56299999999999994</v>
      </c>
      <c r="AU496" s="4">
        <f t="shared" si="155"/>
        <v>69</v>
      </c>
      <c r="AV496" s="4">
        <f t="shared" si="156"/>
        <v>0.51</v>
      </c>
    </row>
    <row r="497" spans="1:48" x14ac:dyDescent="0.15">
      <c r="A497" s="4"/>
      <c r="B497" s="21"/>
      <c r="C497" s="21"/>
      <c r="D497" s="21"/>
      <c r="E497" s="22"/>
      <c r="F497" s="22"/>
      <c r="G497" s="23"/>
      <c r="H497" s="23"/>
      <c r="I497" s="181"/>
      <c r="J497" s="8" t="str">
        <f t="shared" si="148"/>
        <v/>
      </c>
      <c r="K497" s="2" t="str">
        <f t="shared" si="157"/>
        <v/>
      </c>
      <c r="L497" s="2" t="str">
        <f t="shared" si="149"/>
        <v/>
      </c>
      <c r="M497" s="2" t="str">
        <f t="shared" si="158"/>
        <v/>
      </c>
      <c r="N497" s="2" t="str">
        <f t="shared" si="166"/>
        <v/>
      </c>
      <c r="O497" s="2" t="str">
        <f t="shared" si="159"/>
        <v/>
      </c>
      <c r="P497" s="8" t="str">
        <f t="shared" si="160"/>
        <v/>
      </c>
      <c r="Q497" s="8" t="str">
        <f t="shared" si="161"/>
        <v/>
      </c>
      <c r="R497" s="111" t="str">
        <f t="shared" si="162"/>
        <v/>
      </c>
      <c r="S497" s="44" t="str">
        <f t="shared" si="163"/>
        <v/>
      </c>
      <c r="T497" s="37" t="str">
        <f t="shared" si="164"/>
        <v/>
      </c>
      <c r="U497" s="44" t="str">
        <f t="shared" si="165"/>
        <v/>
      </c>
      <c r="V497" s="26"/>
      <c r="W497" s="26"/>
      <c r="X497" s="26"/>
      <c r="Y497" s="26"/>
      <c r="Z497" s="24"/>
      <c r="AA497" s="169">
        <f t="shared" si="150"/>
        <v>0</v>
      </c>
      <c r="AB497" s="4">
        <f t="shared" si="151"/>
        <v>0</v>
      </c>
      <c r="AC497" s="170">
        <f t="shared" si="168"/>
        <v>0</v>
      </c>
      <c r="AD497" s="58"/>
      <c r="AE497" s="58"/>
      <c r="AF497" s="58"/>
      <c r="AG497" s="59">
        <f t="shared" si="152"/>
        <v>9.0359999999999996</v>
      </c>
      <c r="AH497" s="59">
        <f t="shared" si="153"/>
        <v>-184.49199999999999</v>
      </c>
      <c r="AJ497" s="4">
        <f>IF(D497="M",IF(AM497&lt;78,BMILMS!$D$5*AM497^3+BMILMS!$E$5*AM497^2+BMILMS!$F$5*AM497+BMILMS!$G$5,IF(AM497&lt;150,BMILMS!$D$6*AM497^3+BMILMS!$E$6*AM497^2+BMILMS!$F$6*AM497+BMILMS!$G$6,BMILMS!$D$7*AM497^3+BMILMS!$E$7*AM497^2+BMILMS!$F$7*AM497+BMILMS!$G$7)),IF(AM497&lt;69,BMILMS!$D$9*AM497^3+BMILMS!$E$9*AM497^2+BMILMS!$F$9*AM497+BMILMS!$G$9,IF(AM497&lt;150,BMILMS!$D$10*AM497^3+BMILMS!$E$10*AM497^2+BMILMS!$F$10*AM497+BMILMS!$G$10,BMILMS!$D$11*AM497^3+BMILMS!$E$11*AM497^2+BMILMS!$F$11*AM497+BMILMS!$G$11)))</f>
        <v>0.79584630099999998</v>
      </c>
      <c r="AK497" s="4">
        <f>IF(D497="M",(IF(AM497&lt;2.5,BMILMS!$D$21*AM497^3+BMILMS!$E$21*AM497^2+BMILMS!$F$21*AM497+BMILMS!$G$21,IF(AM497&lt;9.5,BMILMS!$D$22*AM497^3+BMILMS!$E$22*AM497^2+BMILMS!$F$22*AM497+BMILMS!$G$22,IF(AM497&lt;26.75,BMILMS!$D$23*AM497^3+BMILMS!$E$23*AM497^2+BMILMS!$F$23*AM497+BMILMS!$G$23,IF(AM497&lt;90,BMILMS!$D$24*AM497^3+BMILMS!$E$24*AM497^2+BMILMS!$F$24*AM497+BMILMS!$G$24,BMILMS!$D$25*AM497^3+BMILMS!$E$25*AM497^2+BMILMS!$F$25*AM497+BMILMS!$G$25))))),(IF(AM497&lt;2.5,BMILMS!$D$27*AM497^3+BMILMS!$E$27*AM497^2+BMILMS!$F$27*AM497+BMILMS!$G$27,IF(AM497&lt;9.5,BMILMS!$D$28*AM497^3+BMILMS!$E$28*AM497^2+BMILMS!$F$28*AM497+BMILMS!$G$28,IF(AM497&lt;26.75,BMILMS!$D$29*AM497^3+BMILMS!$E$29*AM497^2+BMILMS!$F$29*AM497+BMILMS!$G$29,IF(AM497&lt;90,BMILMS!$D$30*AM497^3+BMILMS!$E$30*AM497^2+BMILMS!$F$30*AM497+BMILMS!$G$30,IF(AM497&lt;150,BMILMS!$D$31*AM497^3+BMILMS!$E$31*AM497^2+BMILMS!$F$31*AM497+BMILMS!$G$31,BMILMS!$D$32*AM497^3+BMILMS!$E$32*AM497^2+BMILMS!$F$32*AM497+BMILMS!$G$32)))))))</f>
        <v>12.568967990000001</v>
      </c>
      <c r="AL497" s="4">
        <f>IF(D497="M",(IF(AM497&lt;90,BMILMS!$D$14*AM497^3+BMILMS!$E$14*AM497^2+BMILMS!$F$14*AM497+BMILMS!$G$14,BMILMS!$D$15*AM497^3+BMILMS!$E$15*AM497^2+BMILMS!$F$15*AM497+BMILMS!$G$15)),(IF(AM497&lt;90,BMILMS!$D$17*AM497^3+BMILMS!$E$17*AM497^2+BMILMS!$F$17*AM497+BMILMS!$G$17,BMILMS!$D$18*AM497^3+BMILMS!$E$18*AM497^2+BMILMS!$F$18*AM497+BMILMS!$G$18)))</f>
        <v>8.8969350000000003E-2</v>
      </c>
      <c r="AM497" s="4">
        <f t="shared" si="167"/>
        <v>0</v>
      </c>
      <c r="AO497" s="56">
        <f>IF(D497="M",WeightSDS!P$5*$AM497^7+WeightSDS!Q$5*$AM497^6+WeightSDS!R$5*$AM497^5+WeightSDS!S$5*$AM497^4+WeightSDS!T$5*$AM497^3+WeightSDS!U$5*$AM497^2+WeightSDS!V$5*$AM497+WeightSDS!W$5,IF($AM497&lt;186,WeightSDS!P$8*$AM497^7+WeightSDS!Q$8*$AM497^6+WeightSDS!R$8*$AM497^5+WeightSDS!S$8*$AM497^4+WeightSDS!T$8*$AM497^3+WeightSDS!U$8*$AM497^2+WeightSDS!V$8*$AM497+WeightSDS!W$8,WeightSDS!$U$9+WeightSDS!$V$9*($AM497-WeightSDS!$W$9)))</f>
        <v>0.75407122999999998</v>
      </c>
      <c r="AP497" s="4">
        <f>IF(D497="M",IF($AM497&lt;45,WeightSDS!M$23*$AM497^10+WeightSDS!N$23*$AM497^9+WeightSDS!O$23*$AM497^8+WeightSDS!P$23*$AM497^7+WeightSDS!Q$23*$AM497^6+WeightSDS!R$23*$AM497^5+WeightSDS!S$23*$AM497^4+WeightSDS!T$23*$AM497^3+WeightSDS!U$23*$AM497^2+WeightSDS!V$23*$AM497+WeightSDS!W$23,IF($AM497&lt;153,WeightSDS!M$25*$AM497^10+WeightSDS!N$25*$AM497^9+WeightSDS!O$25*$AM497^8+WeightSDS!P$25*$AM497^7+WeightSDS!Q$25*$AM497^6+WeightSDS!R$25*$AM497^5+WeightSDS!S$25*$AM497^4+WeightSDS!T$25*$AM497^3+WeightSDS!U$25*$AM497^2+WeightSDS!V$25*$AM497+WeightSDS!W$25,WeightSDS!M$27+WeightSDS!N$27/(1+EXP(WeightSDS!O$27+WeightSDS!P$27*$AM497)))),IF($AM497&lt;43.8,WeightSDS!M$29*$AM497^10+WeightSDS!N$29*$AM497^9+WeightSDS!O$29*$AM497^8+WeightSDS!P$29*$AM497^7+WeightSDS!Q$29*$AM497^6+WeightSDS!R$29*$AM497^5+WeightSDS!S$29*$AM497^4+WeightSDS!T$29*$AM497^3+WeightSDS!U$29*$AM497^2+WeightSDS!V$29*$AM497+WeightSDS!W$29-0.010431*(1-$AM497/210),IF($AM497&lt;123,WeightSDS!M$30*$AM497^10+WeightSDS!N$30*$AM497^9+WeightSDS!O$30*$AM497^8+WeightSDS!P$30*$AM497^7+WeightSDS!Q$30*$AM497^6+WeightSDS!R$30*$AM497^5+WeightSDS!S$30*$AM497^4+WeightSDS!T$30*$AM497^3+WeightSDS!U$30*$AM497^2+WeightSDS!V$30*$AM497+WeightSDS!W$30-0.010431*(1-1/$AM497),WeightSDS!M$32+WeightSDS!N$32/(1+EXP(WeightSDS!O$32+WeightSDS!P$32*$AM497))-0.010431*(1-$AM497/210))))</f>
        <v>2.9500001032655536</v>
      </c>
      <c r="AQ497" s="4">
        <f>IF(D497="M",IF($AM497&lt;162,WeightSDS!P$12*$AM497^7+WeightSDS!Q$12*$AM497^6+WeightSDS!R$12*$AM497^5+WeightSDS!S$12*$AM497^4+WeightSDS!T$12*$AM497^3+WeightSDS!U$12*$AM497^2+WeightSDS!V$12*$AM497+WeightSDS!W$12,WeightSDS!P$14*$AM497^7+WeightSDS!Q$14*$AM497^6+WeightSDS!R$14*$AM497^5+WeightSDS!S$14*$AM497^4+WeightSDS!T$14*$AM497^3+WeightSDS!U$14*$AM497^2+WeightSDS!V$14*$AM497+WeightSDS!W$14),IF($AM497&lt;156,WeightSDS!O$17*$AM497^8+WeightSDS!P$17*$AM497^7+WeightSDS!Q$17*$AM497^6+WeightSDS!R$17*$AM497^5+WeightSDS!S$17*$AM497^4+WeightSDS!T$17*$AM497^3+WeightSDS!U$17*$AM497^2+WeightSDS!V$17*$AM497+WeightSDS!W$17,IF($AM497&lt;186,WeightSDS!$U$18+(WeightSDS!$V$18-WeightSDS!$U$18)/24*($AM497-186)+WeightSDS!$W$18*(-$AM497+186)^2-0.005,WeightSDS!$U$18+(WeightSDS!$V$18-WeightSDS!$U$18)/24*($AM497-186)-0.005)))</f>
        <v>0.14604529399999999</v>
      </c>
      <c r="AT497" s="4">
        <f t="shared" si="154"/>
        <v>0.56299999999999994</v>
      </c>
      <c r="AU497" s="4">
        <f t="shared" si="155"/>
        <v>69</v>
      </c>
      <c r="AV497" s="4">
        <f t="shared" si="156"/>
        <v>0.51</v>
      </c>
    </row>
    <row r="498" spans="1:48" x14ac:dyDescent="0.15">
      <c r="A498" s="4"/>
      <c r="B498" s="21"/>
      <c r="C498" s="21"/>
      <c r="D498" s="21"/>
      <c r="E498" s="22"/>
      <c r="F498" s="22"/>
      <c r="G498" s="23"/>
      <c r="H498" s="23"/>
      <c r="I498" s="181"/>
      <c r="J498" s="8" t="str">
        <f t="shared" si="148"/>
        <v/>
      </c>
      <c r="K498" s="2" t="str">
        <f t="shared" si="157"/>
        <v/>
      </c>
      <c r="L498" s="2" t="str">
        <f t="shared" si="149"/>
        <v/>
      </c>
      <c r="M498" s="2" t="str">
        <f t="shared" si="158"/>
        <v/>
      </c>
      <c r="N498" s="2" t="str">
        <f t="shared" si="166"/>
        <v/>
      </c>
      <c r="O498" s="2" t="str">
        <f t="shared" si="159"/>
        <v/>
      </c>
      <c r="P498" s="8" t="str">
        <f t="shared" si="160"/>
        <v/>
      </c>
      <c r="Q498" s="8" t="str">
        <f t="shared" si="161"/>
        <v/>
      </c>
      <c r="R498" s="111" t="str">
        <f t="shared" si="162"/>
        <v/>
      </c>
      <c r="S498" s="44" t="str">
        <f t="shared" si="163"/>
        <v/>
      </c>
      <c r="T498" s="37" t="str">
        <f t="shared" si="164"/>
        <v/>
      </c>
      <c r="U498" s="44" t="str">
        <f t="shared" si="165"/>
        <v/>
      </c>
      <c r="V498" s="26"/>
      <c r="W498" s="26"/>
      <c r="X498" s="26"/>
      <c r="Y498" s="26"/>
      <c r="Z498" s="24"/>
      <c r="AA498" s="169">
        <f t="shared" si="150"/>
        <v>0</v>
      </c>
      <c r="AB498" s="4">
        <f t="shared" si="151"/>
        <v>0</v>
      </c>
      <c r="AC498" s="170">
        <f t="shared" si="168"/>
        <v>0</v>
      </c>
      <c r="AD498" s="58"/>
      <c r="AE498" s="58"/>
      <c r="AF498" s="58"/>
      <c r="AG498" s="59">
        <f t="shared" si="152"/>
        <v>9.0359999999999996</v>
      </c>
      <c r="AH498" s="59">
        <f t="shared" si="153"/>
        <v>-184.49199999999999</v>
      </c>
      <c r="AJ498" s="4">
        <f>IF(D498="M",IF(AM498&lt;78,BMILMS!$D$5*AM498^3+BMILMS!$E$5*AM498^2+BMILMS!$F$5*AM498+BMILMS!$G$5,IF(AM498&lt;150,BMILMS!$D$6*AM498^3+BMILMS!$E$6*AM498^2+BMILMS!$F$6*AM498+BMILMS!$G$6,BMILMS!$D$7*AM498^3+BMILMS!$E$7*AM498^2+BMILMS!$F$7*AM498+BMILMS!$G$7)),IF(AM498&lt;69,BMILMS!$D$9*AM498^3+BMILMS!$E$9*AM498^2+BMILMS!$F$9*AM498+BMILMS!$G$9,IF(AM498&lt;150,BMILMS!$D$10*AM498^3+BMILMS!$E$10*AM498^2+BMILMS!$F$10*AM498+BMILMS!$G$10,BMILMS!$D$11*AM498^3+BMILMS!$E$11*AM498^2+BMILMS!$F$11*AM498+BMILMS!$G$11)))</f>
        <v>0.79584630099999998</v>
      </c>
      <c r="AK498" s="4">
        <f>IF(D498="M",(IF(AM498&lt;2.5,BMILMS!$D$21*AM498^3+BMILMS!$E$21*AM498^2+BMILMS!$F$21*AM498+BMILMS!$G$21,IF(AM498&lt;9.5,BMILMS!$D$22*AM498^3+BMILMS!$E$22*AM498^2+BMILMS!$F$22*AM498+BMILMS!$G$22,IF(AM498&lt;26.75,BMILMS!$D$23*AM498^3+BMILMS!$E$23*AM498^2+BMILMS!$F$23*AM498+BMILMS!$G$23,IF(AM498&lt;90,BMILMS!$D$24*AM498^3+BMILMS!$E$24*AM498^2+BMILMS!$F$24*AM498+BMILMS!$G$24,BMILMS!$D$25*AM498^3+BMILMS!$E$25*AM498^2+BMILMS!$F$25*AM498+BMILMS!$G$25))))),(IF(AM498&lt;2.5,BMILMS!$D$27*AM498^3+BMILMS!$E$27*AM498^2+BMILMS!$F$27*AM498+BMILMS!$G$27,IF(AM498&lt;9.5,BMILMS!$D$28*AM498^3+BMILMS!$E$28*AM498^2+BMILMS!$F$28*AM498+BMILMS!$G$28,IF(AM498&lt;26.75,BMILMS!$D$29*AM498^3+BMILMS!$E$29*AM498^2+BMILMS!$F$29*AM498+BMILMS!$G$29,IF(AM498&lt;90,BMILMS!$D$30*AM498^3+BMILMS!$E$30*AM498^2+BMILMS!$F$30*AM498+BMILMS!$G$30,IF(AM498&lt;150,BMILMS!$D$31*AM498^3+BMILMS!$E$31*AM498^2+BMILMS!$F$31*AM498+BMILMS!$G$31,BMILMS!$D$32*AM498^3+BMILMS!$E$32*AM498^2+BMILMS!$F$32*AM498+BMILMS!$G$32)))))))</f>
        <v>12.568967990000001</v>
      </c>
      <c r="AL498" s="4">
        <f>IF(D498="M",(IF(AM498&lt;90,BMILMS!$D$14*AM498^3+BMILMS!$E$14*AM498^2+BMILMS!$F$14*AM498+BMILMS!$G$14,BMILMS!$D$15*AM498^3+BMILMS!$E$15*AM498^2+BMILMS!$F$15*AM498+BMILMS!$G$15)),(IF(AM498&lt;90,BMILMS!$D$17*AM498^3+BMILMS!$E$17*AM498^2+BMILMS!$F$17*AM498+BMILMS!$G$17,BMILMS!$D$18*AM498^3+BMILMS!$E$18*AM498^2+BMILMS!$F$18*AM498+BMILMS!$G$18)))</f>
        <v>8.8969350000000003E-2</v>
      </c>
      <c r="AM498" s="4">
        <f t="shared" si="167"/>
        <v>0</v>
      </c>
      <c r="AO498" s="56">
        <f>IF(D498="M",WeightSDS!P$5*$AM498^7+WeightSDS!Q$5*$AM498^6+WeightSDS!R$5*$AM498^5+WeightSDS!S$5*$AM498^4+WeightSDS!T$5*$AM498^3+WeightSDS!U$5*$AM498^2+WeightSDS!V$5*$AM498+WeightSDS!W$5,IF($AM498&lt;186,WeightSDS!P$8*$AM498^7+WeightSDS!Q$8*$AM498^6+WeightSDS!R$8*$AM498^5+WeightSDS!S$8*$AM498^4+WeightSDS!T$8*$AM498^3+WeightSDS!U$8*$AM498^2+WeightSDS!V$8*$AM498+WeightSDS!W$8,WeightSDS!$U$9+WeightSDS!$V$9*($AM498-WeightSDS!$W$9)))</f>
        <v>0.75407122999999998</v>
      </c>
      <c r="AP498" s="4">
        <f>IF(D498="M",IF($AM498&lt;45,WeightSDS!M$23*$AM498^10+WeightSDS!N$23*$AM498^9+WeightSDS!O$23*$AM498^8+WeightSDS!P$23*$AM498^7+WeightSDS!Q$23*$AM498^6+WeightSDS!R$23*$AM498^5+WeightSDS!S$23*$AM498^4+WeightSDS!T$23*$AM498^3+WeightSDS!U$23*$AM498^2+WeightSDS!V$23*$AM498+WeightSDS!W$23,IF($AM498&lt;153,WeightSDS!M$25*$AM498^10+WeightSDS!N$25*$AM498^9+WeightSDS!O$25*$AM498^8+WeightSDS!P$25*$AM498^7+WeightSDS!Q$25*$AM498^6+WeightSDS!R$25*$AM498^5+WeightSDS!S$25*$AM498^4+WeightSDS!T$25*$AM498^3+WeightSDS!U$25*$AM498^2+WeightSDS!V$25*$AM498+WeightSDS!W$25,WeightSDS!M$27+WeightSDS!N$27/(1+EXP(WeightSDS!O$27+WeightSDS!P$27*$AM498)))),IF($AM498&lt;43.8,WeightSDS!M$29*$AM498^10+WeightSDS!N$29*$AM498^9+WeightSDS!O$29*$AM498^8+WeightSDS!P$29*$AM498^7+WeightSDS!Q$29*$AM498^6+WeightSDS!R$29*$AM498^5+WeightSDS!S$29*$AM498^4+WeightSDS!T$29*$AM498^3+WeightSDS!U$29*$AM498^2+WeightSDS!V$29*$AM498+WeightSDS!W$29-0.010431*(1-$AM498/210),IF($AM498&lt;123,WeightSDS!M$30*$AM498^10+WeightSDS!N$30*$AM498^9+WeightSDS!O$30*$AM498^8+WeightSDS!P$30*$AM498^7+WeightSDS!Q$30*$AM498^6+WeightSDS!R$30*$AM498^5+WeightSDS!S$30*$AM498^4+WeightSDS!T$30*$AM498^3+WeightSDS!U$30*$AM498^2+WeightSDS!V$30*$AM498+WeightSDS!W$30-0.010431*(1-1/$AM498),WeightSDS!M$32+WeightSDS!N$32/(1+EXP(WeightSDS!O$32+WeightSDS!P$32*$AM498))-0.010431*(1-$AM498/210))))</f>
        <v>2.9500001032655536</v>
      </c>
      <c r="AQ498" s="4">
        <f>IF(D498="M",IF($AM498&lt;162,WeightSDS!P$12*$AM498^7+WeightSDS!Q$12*$AM498^6+WeightSDS!R$12*$AM498^5+WeightSDS!S$12*$AM498^4+WeightSDS!T$12*$AM498^3+WeightSDS!U$12*$AM498^2+WeightSDS!V$12*$AM498+WeightSDS!W$12,WeightSDS!P$14*$AM498^7+WeightSDS!Q$14*$AM498^6+WeightSDS!R$14*$AM498^5+WeightSDS!S$14*$AM498^4+WeightSDS!T$14*$AM498^3+WeightSDS!U$14*$AM498^2+WeightSDS!V$14*$AM498+WeightSDS!W$14),IF($AM498&lt;156,WeightSDS!O$17*$AM498^8+WeightSDS!P$17*$AM498^7+WeightSDS!Q$17*$AM498^6+WeightSDS!R$17*$AM498^5+WeightSDS!S$17*$AM498^4+WeightSDS!T$17*$AM498^3+WeightSDS!U$17*$AM498^2+WeightSDS!V$17*$AM498+WeightSDS!W$17,IF($AM498&lt;186,WeightSDS!$U$18+(WeightSDS!$V$18-WeightSDS!$U$18)/24*($AM498-186)+WeightSDS!$W$18*(-$AM498+186)^2-0.005,WeightSDS!$U$18+(WeightSDS!$V$18-WeightSDS!$U$18)/24*($AM498-186)-0.005)))</f>
        <v>0.14604529399999999</v>
      </c>
      <c r="AT498" s="4">
        <f t="shared" si="154"/>
        <v>0.56299999999999994</v>
      </c>
      <c r="AU498" s="4">
        <f t="shared" si="155"/>
        <v>69</v>
      </c>
      <c r="AV498" s="4">
        <f t="shared" si="156"/>
        <v>0.51</v>
      </c>
    </row>
    <row r="499" spans="1:48" x14ac:dyDescent="0.15">
      <c r="A499" s="4"/>
      <c r="B499" s="21"/>
      <c r="C499" s="21"/>
      <c r="D499" s="21"/>
      <c r="E499" s="22"/>
      <c r="F499" s="22"/>
      <c r="G499" s="23"/>
      <c r="H499" s="23"/>
      <c r="I499" s="181"/>
      <c r="J499" s="8" t="str">
        <f t="shared" si="148"/>
        <v/>
      </c>
      <c r="K499" s="2" t="str">
        <f t="shared" si="157"/>
        <v/>
      </c>
      <c r="L499" s="2" t="str">
        <f t="shared" si="149"/>
        <v/>
      </c>
      <c r="M499" s="2" t="str">
        <f t="shared" si="158"/>
        <v/>
      </c>
      <c r="N499" s="2" t="str">
        <f t="shared" si="166"/>
        <v/>
      </c>
      <c r="O499" s="2" t="str">
        <f t="shared" si="159"/>
        <v/>
      </c>
      <c r="P499" s="8" t="str">
        <f t="shared" si="160"/>
        <v/>
      </c>
      <c r="Q499" s="8" t="str">
        <f t="shared" si="161"/>
        <v/>
      </c>
      <c r="R499" s="111" t="str">
        <f t="shared" si="162"/>
        <v/>
      </c>
      <c r="S499" s="44" t="str">
        <f t="shared" si="163"/>
        <v/>
      </c>
      <c r="T499" s="37" t="str">
        <f t="shared" si="164"/>
        <v/>
      </c>
      <c r="U499" s="44" t="str">
        <f t="shared" si="165"/>
        <v/>
      </c>
      <c r="V499" s="26"/>
      <c r="W499" s="26"/>
      <c r="X499" s="26"/>
      <c r="Y499" s="26"/>
      <c r="Z499" s="24"/>
      <c r="AA499" s="169">
        <f t="shared" si="150"/>
        <v>0</v>
      </c>
      <c r="AB499" s="4">
        <f t="shared" si="151"/>
        <v>0</v>
      </c>
      <c r="AC499" s="170">
        <f t="shared" si="168"/>
        <v>0</v>
      </c>
      <c r="AD499" s="58"/>
      <c r="AE499" s="58"/>
      <c r="AF499" s="58"/>
      <c r="AG499" s="59">
        <f t="shared" si="152"/>
        <v>9.0359999999999996</v>
      </c>
      <c r="AH499" s="59">
        <f t="shared" si="153"/>
        <v>-184.49199999999999</v>
      </c>
      <c r="AJ499" s="4">
        <f>IF(D499="M",IF(AM499&lt;78,BMILMS!$D$5*AM499^3+BMILMS!$E$5*AM499^2+BMILMS!$F$5*AM499+BMILMS!$G$5,IF(AM499&lt;150,BMILMS!$D$6*AM499^3+BMILMS!$E$6*AM499^2+BMILMS!$F$6*AM499+BMILMS!$G$6,BMILMS!$D$7*AM499^3+BMILMS!$E$7*AM499^2+BMILMS!$F$7*AM499+BMILMS!$G$7)),IF(AM499&lt;69,BMILMS!$D$9*AM499^3+BMILMS!$E$9*AM499^2+BMILMS!$F$9*AM499+BMILMS!$G$9,IF(AM499&lt;150,BMILMS!$D$10*AM499^3+BMILMS!$E$10*AM499^2+BMILMS!$F$10*AM499+BMILMS!$G$10,BMILMS!$D$11*AM499^3+BMILMS!$E$11*AM499^2+BMILMS!$F$11*AM499+BMILMS!$G$11)))</f>
        <v>0.79584630099999998</v>
      </c>
      <c r="AK499" s="4">
        <f>IF(D499="M",(IF(AM499&lt;2.5,BMILMS!$D$21*AM499^3+BMILMS!$E$21*AM499^2+BMILMS!$F$21*AM499+BMILMS!$G$21,IF(AM499&lt;9.5,BMILMS!$D$22*AM499^3+BMILMS!$E$22*AM499^2+BMILMS!$F$22*AM499+BMILMS!$G$22,IF(AM499&lt;26.75,BMILMS!$D$23*AM499^3+BMILMS!$E$23*AM499^2+BMILMS!$F$23*AM499+BMILMS!$G$23,IF(AM499&lt;90,BMILMS!$D$24*AM499^3+BMILMS!$E$24*AM499^2+BMILMS!$F$24*AM499+BMILMS!$G$24,BMILMS!$D$25*AM499^3+BMILMS!$E$25*AM499^2+BMILMS!$F$25*AM499+BMILMS!$G$25))))),(IF(AM499&lt;2.5,BMILMS!$D$27*AM499^3+BMILMS!$E$27*AM499^2+BMILMS!$F$27*AM499+BMILMS!$G$27,IF(AM499&lt;9.5,BMILMS!$D$28*AM499^3+BMILMS!$E$28*AM499^2+BMILMS!$F$28*AM499+BMILMS!$G$28,IF(AM499&lt;26.75,BMILMS!$D$29*AM499^3+BMILMS!$E$29*AM499^2+BMILMS!$F$29*AM499+BMILMS!$G$29,IF(AM499&lt;90,BMILMS!$D$30*AM499^3+BMILMS!$E$30*AM499^2+BMILMS!$F$30*AM499+BMILMS!$G$30,IF(AM499&lt;150,BMILMS!$D$31*AM499^3+BMILMS!$E$31*AM499^2+BMILMS!$F$31*AM499+BMILMS!$G$31,BMILMS!$D$32*AM499^3+BMILMS!$E$32*AM499^2+BMILMS!$F$32*AM499+BMILMS!$G$32)))))))</f>
        <v>12.568967990000001</v>
      </c>
      <c r="AL499" s="4">
        <f>IF(D499="M",(IF(AM499&lt;90,BMILMS!$D$14*AM499^3+BMILMS!$E$14*AM499^2+BMILMS!$F$14*AM499+BMILMS!$G$14,BMILMS!$D$15*AM499^3+BMILMS!$E$15*AM499^2+BMILMS!$F$15*AM499+BMILMS!$G$15)),(IF(AM499&lt;90,BMILMS!$D$17*AM499^3+BMILMS!$E$17*AM499^2+BMILMS!$F$17*AM499+BMILMS!$G$17,BMILMS!$D$18*AM499^3+BMILMS!$E$18*AM499^2+BMILMS!$F$18*AM499+BMILMS!$G$18)))</f>
        <v>8.8969350000000003E-2</v>
      </c>
      <c r="AM499" s="4">
        <f t="shared" si="167"/>
        <v>0</v>
      </c>
      <c r="AO499" s="56">
        <f>IF(D499="M",WeightSDS!P$5*$AM499^7+WeightSDS!Q$5*$AM499^6+WeightSDS!R$5*$AM499^5+WeightSDS!S$5*$AM499^4+WeightSDS!T$5*$AM499^3+WeightSDS!U$5*$AM499^2+WeightSDS!V$5*$AM499+WeightSDS!W$5,IF($AM499&lt;186,WeightSDS!P$8*$AM499^7+WeightSDS!Q$8*$AM499^6+WeightSDS!R$8*$AM499^5+WeightSDS!S$8*$AM499^4+WeightSDS!T$8*$AM499^3+WeightSDS!U$8*$AM499^2+WeightSDS!V$8*$AM499+WeightSDS!W$8,WeightSDS!$U$9+WeightSDS!$V$9*($AM499-WeightSDS!$W$9)))</f>
        <v>0.75407122999999998</v>
      </c>
      <c r="AP499" s="4">
        <f>IF(D499="M",IF($AM499&lt;45,WeightSDS!M$23*$AM499^10+WeightSDS!N$23*$AM499^9+WeightSDS!O$23*$AM499^8+WeightSDS!P$23*$AM499^7+WeightSDS!Q$23*$AM499^6+WeightSDS!R$23*$AM499^5+WeightSDS!S$23*$AM499^4+WeightSDS!T$23*$AM499^3+WeightSDS!U$23*$AM499^2+WeightSDS!V$23*$AM499+WeightSDS!W$23,IF($AM499&lt;153,WeightSDS!M$25*$AM499^10+WeightSDS!N$25*$AM499^9+WeightSDS!O$25*$AM499^8+WeightSDS!P$25*$AM499^7+WeightSDS!Q$25*$AM499^6+WeightSDS!R$25*$AM499^5+WeightSDS!S$25*$AM499^4+WeightSDS!T$25*$AM499^3+WeightSDS!U$25*$AM499^2+WeightSDS!V$25*$AM499+WeightSDS!W$25,WeightSDS!M$27+WeightSDS!N$27/(1+EXP(WeightSDS!O$27+WeightSDS!P$27*$AM499)))),IF($AM499&lt;43.8,WeightSDS!M$29*$AM499^10+WeightSDS!N$29*$AM499^9+WeightSDS!O$29*$AM499^8+WeightSDS!P$29*$AM499^7+WeightSDS!Q$29*$AM499^6+WeightSDS!R$29*$AM499^5+WeightSDS!S$29*$AM499^4+WeightSDS!T$29*$AM499^3+WeightSDS!U$29*$AM499^2+WeightSDS!V$29*$AM499+WeightSDS!W$29-0.010431*(1-$AM499/210),IF($AM499&lt;123,WeightSDS!M$30*$AM499^10+WeightSDS!N$30*$AM499^9+WeightSDS!O$30*$AM499^8+WeightSDS!P$30*$AM499^7+WeightSDS!Q$30*$AM499^6+WeightSDS!R$30*$AM499^5+WeightSDS!S$30*$AM499^4+WeightSDS!T$30*$AM499^3+WeightSDS!U$30*$AM499^2+WeightSDS!V$30*$AM499+WeightSDS!W$30-0.010431*(1-1/$AM499),WeightSDS!M$32+WeightSDS!N$32/(1+EXP(WeightSDS!O$32+WeightSDS!P$32*$AM499))-0.010431*(1-$AM499/210))))</f>
        <v>2.9500001032655536</v>
      </c>
      <c r="AQ499" s="4">
        <f>IF(D499="M",IF($AM499&lt;162,WeightSDS!P$12*$AM499^7+WeightSDS!Q$12*$AM499^6+WeightSDS!R$12*$AM499^5+WeightSDS!S$12*$AM499^4+WeightSDS!T$12*$AM499^3+WeightSDS!U$12*$AM499^2+WeightSDS!V$12*$AM499+WeightSDS!W$12,WeightSDS!P$14*$AM499^7+WeightSDS!Q$14*$AM499^6+WeightSDS!R$14*$AM499^5+WeightSDS!S$14*$AM499^4+WeightSDS!T$14*$AM499^3+WeightSDS!U$14*$AM499^2+WeightSDS!V$14*$AM499+WeightSDS!W$14),IF($AM499&lt;156,WeightSDS!O$17*$AM499^8+WeightSDS!P$17*$AM499^7+WeightSDS!Q$17*$AM499^6+WeightSDS!R$17*$AM499^5+WeightSDS!S$17*$AM499^4+WeightSDS!T$17*$AM499^3+WeightSDS!U$17*$AM499^2+WeightSDS!V$17*$AM499+WeightSDS!W$17,IF($AM499&lt;186,WeightSDS!$U$18+(WeightSDS!$V$18-WeightSDS!$U$18)/24*($AM499-186)+WeightSDS!$W$18*(-$AM499+186)^2-0.005,WeightSDS!$U$18+(WeightSDS!$V$18-WeightSDS!$U$18)/24*($AM499-186)-0.005)))</f>
        <v>0.14604529399999999</v>
      </c>
      <c r="AT499" s="4">
        <f t="shared" si="154"/>
        <v>0.56299999999999994</v>
      </c>
      <c r="AU499" s="4">
        <f t="shared" si="155"/>
        <v>69</v>
      </c>
      <c r="AV499" s="4">
        <f t="shared" si="156"/>
        <v>0.51</v>
      </c>
    </row>
    <row r="500" spans="1:48" x14ac:dyDescent="0.15">
      <c r="A500" s="4"/>
      <c r="B500" s="21"/>
      <c r="C500" s="21"/>
      <c r="D500" s="21"/>
      <c r="E500" s="22"/>
      <c r="F500" s="22"/>
      <c r="G500" s="23"/>
      <c r="H500" s="23"/>
      <c r="I500" s="181"/>
      <c r="J500" s="8" t="str">
        <f t="shared" si="148"/>
        <v/>
      </c>
      <c r="K500" s="2" t="str">
        <f t="shared" si="157"/>
        <v/>
      </c>
      <c r="L500" s="2" t="str">
        <f t="shared" si="149"/>
        <v/>
      </c>
      <c r="M500" s="2" t="str">
        <f t="shared" si="158"/>
        <v/>
      </c>
      <c r="N500" s="2" t="str">
        <f t="shared" si="166"/>
        <v/>
      </c>
      <c r="O500" s="2" t="str">
        <f t="shared" si="159"/>
        <v/>
      </c>
      <c r="P500" s="8" t="str">
        <f t="shared" si="160"/>
        <v/>
      </c>
      <c r="Q500" s="8" t="str">
        <f t="shared" si="161"/>
        <v/>
      </c>
      <c r="R500" s="111" t="str">
        <f t="shared" si="162"/>
        <v/>
      </c>
      <c r="S500" s="44" t="str">
        <f t="shared" si="163"/>
        <v/>
      </c>
      <c r="T500" s="37" t="str">
        <f t="shared" si="164"/>
        <v/>
      </c>
      <c r="U500" s="44" t="str">
        <f t="shared" si="165"/>
        <v/>
      </c>
      <c r="V500" s="26"/>
      <c r="W500" s="26"/>
      <c r="X500" s="26"/>
      <c r="Y500" s="26"/>
      <c r="Z500" s="24"/>
      <c r="AA500" s="169">
        <f t="shared" si="150"/>
        <v>0</v>
      </c>
      <c r="AB500" s="4">
        <f t="shared" si="151"/>
        <v>0</v>
      </c>
      <c r="AC500" s="170">
        <f t="shared" si="168"/>
        <v>0</v>
      </c>
      <c r="AD500" s="58"/>
      <c r="AE500" s="58"/>
      <c r="AF500" s="58"/>
      <c r="AG500" s="59">
        <f t="shared" si="152"/>
        <v>9.0359999999999996</v>
      </c>
      <c r="AH500" s="59">
        <f t="shared" si="153"/>
        <v>-184.49199999999999</v>
      </c>
      <c r="AJ500" s="4">
        <f>IF(D500="M",IF(AM500&lt;78,BMILMS!$D$5*AM500^3+BMILMS!$E$5*AM500^2+BMILMS!$F$5*AM500+BMILMS!$G$5,IF(AM500&lt;150,BMILMS!$D$6*AM500^3+BMILMS!$E$6*AM500^2+BMILMS!$F$6*AM500+BMILMS!$G$6,BMILMS!$D$7*AM500^3+BMILMS!$E$7*AM500^2+BMILMS!$F$7*AM500+BMILMS!$G$7)),IF(AM500&lt;69,BMILMS!$D$9*AM500^3+BMILMS!$E$9*AM500^2+BMILMS!$F$9*AM500+BMILMS!$G$9,IF(AM500&lt;150,BMILMS!$D$10*AM500^3+BMILMS!$E$10*AM500^2+BMILMS!$F$10*AM500+BMILMS!$G$10,BMILMS!$D$11*AM500^3+BMILMS!$E$11*AM500^2+BMILMS!$F$11*AM500+BMILMS!$G$11)))</f>
        <v>0.79584630099999998</v>
      </c>
      <c r="AK500" s="4">
        <f>IF(D500="M",(IF(AM500&lt;2.5,BMILMS!$D$21*AM500^3+BMILMS!$E$21*AM500^2+BMILMS!$F$21*AM500+BMILMS!$G$21,IF(AM500&lt;9.5,BMILMS!$D$22*AM500^3+BMILMS!$E$22*AM500^2+BMILMS!$F$22*AM500+BMILMS!$G$22,IF(AM500&lt;26.75,BMILMS!$D$23*AM500^3+BMILMS!$E$23*AM500^2+BMILMS!$F$23*AM500+BMILMS!$G$23,IF(AM500&lt;90,BMILMS!$D$24*AM500^3+BMILMS!$E$24*AM500^2+BMILMS!$F$24*AM500+BMILMS!$G$24,BMILMS!$D$25*AM500^3+BMILMS!$E$25*AM500^2+BMILMS!$F$25*AM500+BMILMS!$G$25))))),(IF(AM500&lt;2.5,BMILMS!$D$27*AM500^3+BMILMS!$E$27*AM500^2+BMILMS!$F$27*AM500+BMILMS!$G$27,IF(AM500&lt;9.5,BMILMS!$D$28*AM500^3+BMILMS!$E$28*AM500^2+BMILMS!$F$28*AM500+BMILMS!$G$28,IF(AM500&lt;26.75,BMILMS!$D$29*AM500^3+BMILMS!$E$29*AM500^2+BMILMS!$F$29*AM500+BMILMS!$G$29,IF(AM500&lt;90,BMILMS!$D$30*AM500^3+BMILMS!$E$30*AM500^2+BMILMS!$F$30*AM500+BMILMS!$G$30,IF(AM500&lt;150,BMILMS!$D$31*AM500^3+BMILMS!$E$31*AM500^2+BMILMS!$F$31*AM500+BMILMS!$G$31,BMILMS!$D$32*AM500^3+BMILMS!$E$32*AM500^2+BMILMS!$F$32*AM500+BMILMS!$G$32)))))))</f>
        <v>12.568967990000001</v>
      </c>
      <c r="AL500" s="4">
        <f>IF(D500="M",(IF(AM500&lt;90,BMILMS!$D$14*AM500^3+BMILMS!$E$14*AM500^2+BMILMS!$F$14*AM500+BMILMS!$G$14,BMILMS!$D$15*AM500^3+BMILMS!$E$15*AM500^2+BMILMS!$F$15*AM500+BMILMS!$G$15)),(IF(AM500&lt;90,BMILMS!$D$17*AM500^3+BMILMS!$E$17*AM500^2+BMILMS!$F$17*AM500+BMILMS!$G$17,BMILMS!$D$18*AM500^3+BMILMS!$E$18*AM500^2+BMILMS!$F$18*AM500+BMILMS!$G$18)))</f>
        <v>8.8969350000000003E-2</v>
      </c>
      <c r="AM500" s="4">
        <f t="shared" si="167"/>
        <v>0</v>
      </c>
      <c r="AO500" s="56">
        <f>IF(D500="M",WeightSDS!P$5*$AM500^7+WeightSDS!Q$5*$AM500^6+WeightSDS!R$5*$AM500^5+WeightSDS!S$5*$AM500^4+WeightSDS!T$5*$AM500^3+WeightSDS!U$5*$AM500^2+WeightSDS!V$5*$AM500+WeightSDS!W$5,IF($AM500&lt;186,WeightSDS!P$8*$AM500^7+WeightSDS!Q$8*$AM500^6+WeightSDS!R$8*$AM500^5+WeightSDS!S$8*$AM500^4+WeightSDS!T$8*$AM500^3+WeightSDS!U$8*$AM500^2+WeightSDS!V$8*$AM500+WeightSDS!W$8,WeightSDS!$U$9+WeightSDS!$V$9*($AM500-WeightSDS!$W$9)))</f>
        <v>0.75407122999999998</v>
      </c>
      <c r="AP500" s="4">
        <f>IF(D500="M",IF($AM500&lt;45,WeightSDS!M$23*$AM500^10+WeightSDS!N$23*$AM500^9+WeightSDS!O$23*$AM500^8+WeightSDS!P$23*$AM500^7+WeightSDS!Q$23*$AM500^6+WeightSDS!R$23*$AM500^5+WeightSDS!S$23*$AM500^4+WeightSDS!T$23*$AM500^3+WeightSDS!U$23*$AM500^2+WeightSDS!V$23*$AM500+WeightSDS!W$23,IF($AM500&lt;153,WeightSDS!M$25*$AM500^10+WeightSDS!N$25*$AM500^9+WeightSDS!O$25*$AM500^8+WeightSDS!P$25*$AM500^7+WeightSDS!Q$25*$AM500^6+WeightSDS!R$25*$AM500^5+WeightSDS!S$25*$AM500^4+WeightSDS!T$25*$AM500^3+WeightSDS!U$25*$AM500^2+WeightSDS!V$25*$AM500+WeightSDS!W$25,WeightSDS!M$27+WeightSDS!N$27/(1+EXP(WeightSDS!O$27+WeightSDS!P$27*$AM500)))),IF($AM500&lt;43.8,WeightSDS!M$29*$AM500^10+WeightSDS!N$29*$AM500^9+WeightSDS!O$29*$AM500^8+WeightSDS!P$29*$AM500^7+WeightSDS!Q$29*$AM500^6+WeightSDS!R$29*$AM500^5+WeightSDS!S$29*$AM500^4+WeightSDS!T$29*$AM500^3+WeightSDS!U$29*$AM500^2+WeightSDS!V$29*$AM500+WeightSDS!W$29-0.010431*(1-$AM500/210),IF($AM500&lt;123,WeightSDS!M$30*$AM500^10+WeightSDS!N$30*$AM500^9+WeightSDS!O$30*$AM500^8+WeightSDS!P$30*$AM500^7+WeightSDS!Q$30*$AM500^6+WeightSDS!R$30*$AM500^5+WeightSDS!S$30*$AM500^4+WeightSDS!T$30*$AM500^3+WeightSDS!U$30*$AM500^2+WeightSDS!V$30*$AM500+WeightSDS!W$30-0.010431*(1-1/$AM500),WeightSDS!M$32+WeightSDS!N$32/(1+EXP(WeightSDS!O$32+WeightSDS!P$32*$AM500))-0.010431*(1-$AM500/210))))</f>
        <v>2.9500001032655536</v>
      </c>
      <c r="AQ500" s="4">
        <f>IF(D500="M",IF($AM500&lt;162,WeightSDS!P$12*$AM500^7+WeightSDS!Q$12*$AM500^6+WeightSDS!R$12*$AM500^5+WeightSDS!S$12*$AM500^4+WeightSDS!T$12*$AM500^3+WeightSDS!U$12*$AM500^2+WeightSDS!V$12*$AM500+WeightSDS!W$12,WeightSDS!P$14*$AM500^7+WeightSDS!Q$14*$AM500^6+WeightSDS!R$14*$AM500^5+WeightSDS!S$14*$AM500^4+WeightSDS!T$14*$AM500^3+WeightSDS!U$14*$AM500^2+WeightSDS!V$14*$AM500+WeightSDS!W$14),IF($AM500&lt;156,WeightSDS!O$17*$AM500^8+WeightSDS!P$17*$AM500^7+WeightSDS!Q$17*$AM500^6+WeightSDS!R$17*$AM500^5+WeightSDS!S$17*$AM500^4+WeightSDS!T$17*$AM500^3+WeightSDS!U$17*$AM500^2+WeightSDS!V$17*$AM500+WeightSDS!W$17,IF($AM500&lt;186,WeightSDS!$U$18+(WeightSDS!$V$18-WeightSDS!$U$18)/24*($AM500-186)+WeightSDS!$W$18*(-$AM500+186)^2-0.005,WeightSDS!$U$18+(WeightSDS!$V$18-WeightSDS!$U$18)/24*($AM500-186)-0.005)))</f>
        <v>0.14604529399999999</v>
      </c>
      <c r="AT500" s="4">
        <f t="shared" si="154"/>
        <v>0.56299999999999994</v>
      </c>
      <c r="AU500" s="4">
        <f t="shared" si="155"/>
        <v>69</v>
      </c>
      <c r="AV500" s="4">
        <f t="shared" si="156"/>
        <v>0.51</v>
      </c>
    </row>
    <row r="501" spans="1:48" x14ac:dyDescent="0.15">
      <c r="A501" s="4"/>
      <c r="B501" s="21"/>
      <c r="C501" s="21"/>
      <c r="D501" s="21"/>
      <c r="E501" s="22"/>
      <c r="F501" s="22"/>
      <c r="G501" s="23"/>
      <c r="H501" s="23"/>
      <c r="I501" s="181"/>
      <c r="J501" s="8" t="str">
        <f t="shared" si="148"/>
        <v/>
      </c>
      <c r="K501" s="2" t="str">
        <f t="shared" si="157"/>
        <v/>
      </c>
      <c r="L501" s="2" t="str">
        <f t="shared" si="149"/>
        <v/>
      </c>
      <c r="M501" s="2" t="str">
        <f t="shared" si="158"/>
        <v/>
      </c>
      <c r="N501" s="2" t="str">
        <f t="shared" si="166"/>
        <v/>
      </c>
      <c r="O501" s="2" t="str">
        <f t="shared" si="159"/>
        <v/>
      </c>
      <c r="P501" s="8" t="str">
        <f t="shared" si="160"/>
        <v/>
      </c>
      <c r="Q501" s="8" t="str">
        <f t="shared" si="161"/>
        <v/>
      </c>
      <c r="R501" s="111" t="str">
        <f t="shared" si="162"/>
        <v/>
      </c>
      <c r="S501" s="44" t="str">
        <f t="shared" si="163"/>
        <v/>
      </c>
      <c r="T501" s="37" t="str">
        <f t="shared" si="164"/>
        <v/>
      </c>
      <c r="U501" s="44" t="str">
        <f t="shared" si="165"/>
        <v/>
      </c>
      <c r="V501" s="26"/>
      <c r="W501" s="26"/>
      <c r="X501" s="26"/>
      <c r="Y501" s="26"/>
      <c r="Z501" s="24"/>
      <c r="AA501" s="169">
        <f t="shared" si="150"/>
        <v>0</v>
      </c>
      <c r="AB501" s="4">
        <f t="shared" si="151"/>
        <v>0</v>
      </c>
      <c r="AC501" s="170">
        <f t="shared" si="168"/>
        <v>0</v>
      </c>
      <c r="AD501" s="58"/>
      <c r="AE501" s="58"/>
      <c r="AF501" s="58"/>
      <c r="AG501" s="59">
        <f t="shared" si="152"/>
        <v>9.0359999999999996</v>
      </c>
      <c r="AH501" s="59">
        <f t="shared" si="153"/>
        <v>-184.49199999999999</v>
      </c>
      <c r="AJ501" s="4">
        <f>IF(D501="M",IF(AM501&lt;78,BMILMS!$D$5*AM501^3+BMILMS!$E$5*AM501^2+BMILMS!$F$5*AM501+BMILMS!$G$5,IF(AM501&lt;150,BMILMS!$D$6*AM501^3+BMILMS!$E$6*AM501^2+BMILMS!$F$6*AM501+BMILMS!$G$6,BMILMS!$D$7*AM501^3+BMILMS!$E$7*AM501^2+BMILMS!$F$7*AM501+BMILMS!$G$7)),IF(AM501&lt;69,BMILMS!$D$9*AM501^3+BMILMS!$E$9*AM501^2+BMILMS!$F$9*AM501+BMILMS!$G$9,IF(AM501&lt;150,BMILMS!$D$10*AM501^3+BMILMS!$E$10*AM501^2+BMILMS!$F$10*AM501+BMILMS!$G$10,BMILMS!$D$11*AM501^3+BMILMS!$E$11*AM501^2+BMILMS!$F$11*AM501+BMILMS!$G$11)))</f>
        <v>0.79584630099999998</v>
      </c>
      <c r="AK501" s="4">
        <f>IF(D501="M",(IF(AM501&lt;2.5,BMILMS!$D$21*AM501^3+BMILMS!$E$21*AM501^2+BMILMS!$F$21*AM501+BMILMS!$G$21,IF(AM501&lt;9.5,BMILMS!$D$22*AM501^3+BMILMS!$E$22*AM501^2+BMILMS!$F$22*AM501+BMILMS!$G$22,IF(AM501&lt;26.75,BMILMS!$D$23*AM501^3+BMILMS!$E$23*AM501^2+BMILMS!$F$23*AM501+BMILMS!$G$23,IF(AM501&lt;90,BMILMS!$D$24*AM501^3+BMILMS!$E$24*AM501^2+BMILMS!$F$24*AM501+BMILMS!$G$24,BMILMS!$D$25*AM501^3+BMILMS!$E$25*AM501^2+BMILMS!$F$25*AM501+BMILMS!$G$25))))),(IF(AM501&lt;2.5,BMILMS!$D$27*AM501^3+BMILMS!$E$27*AM501^2+BMILMS!$F$27*AM501+BMILMS!$G$27,IF(AM501&lt;9.5,BMILMS!$D$28*AM501^3+BMILMS!$E$28*AM501^2+BMILMS!$F$28*AM501+BMILMS!$G$28,IF(AM501&lt;26.75,BMILMS!$D$29*AM501^3+BMILMS!$E$29*AM501^2+BMILMS!$F$29*AM501+BMILMS!$G$29,IF(AM501&lt;90,BMILMS!$D$30*AM501^3+BMILMS!$E$30*AM501^2+BMILMS!$F$30*AM501+BMILMS!$G$30,IF(AM501&lt;150,BMILMS!$D$31*AM501^3+BMILMS!$E$31*AM501^2+BMILMS!$F$31*AM501+BMILMS!$G$31,BMILMS!$D$32*AM501^3+BMILMS!$E$32*AM501^2+BMILMS!$F$32*AM501+BMILMS!$G$32)))))))</f>
        <v>12.568967990000001</v>
      </c>
      <c r="AL501" s="4">
        <f>IF(D501="M",(IF(AM501&lt;90,BMILMS!$D$14*AM501^3+BMILMS!$E$14*AM501^2+BMILMS!$F$14*AM501+BMILMS!$G$14,BMILMS!$D$15*AM501^3+BMILMS!$E$15*AM501^2+BMILMS!$F$15*AM501+BMILMS!$G$15)),(IF(AM501&lt;90,BMILMS!$D$17*AM501^3+BMILMS!$E$17*AM501^2+BMILMS!$F$17*AM501+BMILMS!$G$17,BMILMS!$D$18*AM501^3+BMILMS!$E$18*AM501^2+BMILMS!$F$18*AM501+BMILMS!$G$18)))</f>
        <v>8.8969350000000003E-2</v>
      </c>
      <c r="AM501" s="4">
        <f t="shared" si="167"/>
        <v>0</v>
      </c>
      <c r="AO501" s="56">
        <f>IF(D501="M",WeightSDS!P$5*$AM501^7+WeightSDS!Q$5*$AM501^6+WeightSDS!R$5*$AM501^5+WeightSDS!S$5*$AM501^4+WeightSDS!T$5*$AM501^3+WeightSDS!U$5*$AM501^2+WeightSDS!V$5*$AM501+WeightSDS!W$5,IF($AM501&lt;186,WeightSDS!P$8*$AM501^7+WeightSDS!Q$8*$AM501^6+WeightSDS!R$8*$AM501^5+WeightSDS!S$8*$AM501^4+WeightSDS!T$8*$AM501^3+WeightSDS!U$8*$AM501^2+WeightSDS!V$8*$AM501+WeightSDS!W$8,WeightSDS!$U$9+WeightSDS!$V$9*($AM501-WeightSDS!$W$9)))</f>
        <v>0.75407122999999998</v>
      </c>
      <c r="AP501" s="4">
        <f>IF(D501="M",IF($AM501&lt;45,WeightSDS!M$23*$AM501^10+WeightSDS!N$23*$AM501^9+WeightSDS!O$23*$AM501^8+WeightSDS!P$23*$AM501^7+WeightSDS!Q$23*$AM501^6+WeightSDS!R$23*$AM501^5+WeightSDS!S$23*$AM501^4+WeightSDS!T$23*$AM501^3+WeightSDS!U$23*$AM501^2+WeightSDS!V$23*$AM501+WeightSDS!W$23,IF($AM501&lt;153,WeightSDS!M$25*$AM501^10+WeightSDS!N$25*$AM501^9+WeightSDS!O$25*$AM501^8+WeightSDS!P$25*$AM501^7+WeightSDS!Q$25*$AM501^6+WeightSDS!R$25*$AM501^5+WeightSDS!S$25*$AM501^4+WeightSDS!T$25*$AM501^3+WeightSDS!U$25*$AM501^2+WeightSDS!V$25*$AM501+WeightSDS!W$25,WeightSDS!M$27+WeightSDS!N$27/(1+EXP(WeightSDS!O$27+WeightSDS!P$27*$AM501)))),IF($AM501&lt;43.8,WeightSDS!M$29*$AM501^10+WeightSDS!N$29*$AM501^9+WeightSDS!O$29*$AM501^8+WeightSDS!P$29*$AM501^7+WeightSDS!Q$29*$AM501^6+WeightSDS!R$29*$AM501^5+WeightSDS!S$29*$AM501^4+WeightSDS!T$29*$AM501^3+WeightSDS!U$29*$AM501^2+WeightSDS!V$29*$AM501+WeightSDS!W$29-0.010431*(1-$AM501/210),IF($AM501&lt;123,WeightSDS!M$30*$AM501^10+WeightSDS!N$30*$AM501^9+WeightSDS!O$30*$AM501^8+WeightSDS!P$30*$AM501^7+WeightSDS!Q$30*$AM501^6+WeightSDS!R$30*$AM501^5+WeightSDS!S$30*$AM501^4+WeightSDS!T$30*$AM501^3+WeightSDS!U$30*$AM501^2+WeightSDS!V$30*$AM501+WeightSDS!W$30-0.010431*(1-1/$AM501),WeightSDS!M$32+WeightSDS!N$32/(1+EXP(WeightSDS!O$32+WeightSDS!P$32*$AM501))-0.010431*(1-$AM501/210))))</f>
        <v>2.9500001032655536</v>
      </c>
      <c r="AQ501" s="4">
        <f>IF(D501="M",IF($AM501&lt;162,WeightSDS!P$12*$AM501^7+WeightSDS!Q$12*$AM501^6+WeightSDS!R$12*$AM501^5+WeightSDS!S$12*$AM501^4+WeightSDS!T$12*$AM501^3+WeightSDS!U$12*$AM501^2+WeightSDS!V$12*$AM501+WeightSDS!W$12,WeightSDS!P$14*$AM501^7+WeightSDS!Q$14*$AM501^6+WeightSDS!R$14*$AM501^5+WeightSDS!S$14*$AM501^4+WeightSDS!T$14*$AM501^3+WeightSDS!U$14*$AM501^2+WeightSDS!V$14*$AM501+WeightSDS!W$14),IF($AM501&lt;156,WeightSDS!O$17*$AM501^8+WeightSDS!P$17*$AM501^7+WeightSDS!Q$17*$AM501^6+WeightSDS!R$17*$AM501^5+WeightSDS!S$17*$AM501^4+WeightSDS!T$17*$AM501^3+WeightSDS!U$17*$AM501^2+WeightSDS!V$17*$AM501+WeightSDS!W$17,IF($AM501&lt;186,WeightSDS!$U$18+(WeightSDS!$V$18-WeightSDS!$U$18)/24*($AM501-186)+WeightSDS!$W$18*(-$AM501+186)^2-0.005,WeightSDS!$U$18+(WeightSDS!$V$18-WeightSDS!$U$18)/24*($AM501-186)-0.005)))</f>
        <v>0.14604529399999999</v>
      </c>
      <c r="AT501" s="4">
        <f t="shared" si="154"/>
        <v>0.56299999999999994</v>
      </c>
      <c r="AU501" s="4">
        <f t="shared" si="155"/>
        <v>69</v>
      </c>
      <c r="AV501" s="4">
        <f t="shared" si="156"/>
        <v>0.51</v>
      </c>
    </row>
    <row r="502" spans="1:48" x14ac:dyDescent="0.15">
      <c r="A502" s="4"/>
      <c r="B502" s="21"/>
      <c r="C502" s="21"/>
      <c r="D502" s="21"/>
      <c r="E502" s="22"/>
      <c r="F502" s="22"/>
      <c r="G502" s="23"/>
      <c r="H502" s="23"/>
      <c r="I502" s="181"/>
      <c r="J502" s="8" t="str">
        <f t="shared" si="148"/>
        <v/>
      </c>
      <c r="K502" s="2" t="str">
        <f t="shared" si="157"/>
        <v/>
      </c>
      <c r="L502" s="2" t="str">
        <f t="shared" si="149"/>
        <v/>
      </c>
      <c r="M502" s="2" t="str">
        <f t="shared" si="158"/>
        <v/>
      </c>
      <c r="N502" s="2" t="str">
        <f t="shared" si="166"/>
        <v/>
      </c>
      <c r="O502" s="2" t="str">
        <f t="shared" si="159"/>
        <v/>
      </c>
      <c r="P502" s="8" t="str">
        <f t="shared" si="160"/>
        <v/>
      </c>
      <c r="Q502" s="8" t="str">
        <f t="shared" si="161"/>
        <v/>
      </c>
      <c r="R502" s="111" t="str">
        <f t="shared" si="162"/>
        <v/>
      </c>
      <c r="S502" s="44" t="str">
        <f t="shared" si="163"/>
        <v/>
      </c>
      <c r="T502" s="37" t="str">
        <f t="shared" si="164"/>
        <v/>
      </c>
      <c r="U502" s="44" t="str">
        <f t="shared" si="165"/>
        <v/>
      </c>
      <c r="V502" s="26"/>
      <c r="W502" s="26"/>
      <c r="X502" s="26"/>
      <c r="Y502" s="26"/>
      <c r="Z502" s="24"/>
      <c r="AA502" s="169">
        <f t="shared" si="150"/>
        <v>0</v>
      </c>
      <c r="AB502" s="4">
        <f t="shared" si="151"/>
        <v>0</v>
      </c>
      <c r="AC502" s="170">
        <f t="shared" si="168"/>
        <v>0</v>
      </c>
      <c r="AD502" s="58"/>
      <c r="AE502" s="58"/>
      <c r="AF502" s="58"/>
      <c r="AG502" s="59">
        <f t="shared" si="152"/>
        <v>9.0359999999999996</v>
      </c>
      <c r="AH502" s="59">
        <f t="shared" si="153"/>
        <v>-184.49199999999999</v>
      </c>
      <c r="AJ502" s="4">
        <f>IF(D502="M",IF(AM502&lt;78,BMILMS!$D$5*AM502^3+BMILMS!$E$5*AM502^2+BMILMS!$F$5*AM502+BMILMS!$G$5,IF(AM502&lt;150,BMILMS!$D$6*AM502^3+BMILMS!$E$6*AM502^2+BMILMS!$F$6*AM502+BMILMS!$G$6,BMILMS!$D$7*AM502^3+BMILMS!$E$7*AM502^2+BMILMS!$F$7*AM502+BMILMS!$G$7)),IF(AM502&lt;69,BMILMS!$D$9*AM502^3+BMILMS!$E$9*AM502^2+BMILMS!$F$9*AM502+BMILMS!$G$9,IF(AM502&lt;150,BMILMS!$D$10*AM502^3+BMILMS!$E$10*AM502^2+BMILMS!$F$10*AM502+BMILMS!$G$10,BMILMS!$D$11*AM502^3+BMILMS!$E$11*AM502^2+BMILMS!$F$11*AM502+BMILMS!$G$11)))</f>
        <v>0.79584630099999998</v>
      </c>
      <c r="AK502" s="4">
        <f>IF(D502="M",(IF(AM502&lt;2.5,BMILMS!$D$21*AM502^3+BMILMS!$E$21*AM502^2+BMILMS!$F$21*AM502+BMILMS!$G$21,IF(AM502&lt;9.5,BMILMS!$D$22*AM502^3+BMILMS!$E$22*AM502^2+BMILMS!$F$22*AM502+BMILMS!$G$22,IF(AM502&lt;26.75,BMILMS!$D$23*AM502^3+BMILMS!$E$23*AM502^2+BMILMS!$F$23*AM502+BMILMS!$G$23,IF(AM502&lt;90,BMILMS!$D$24*AM502^3+BMILMS!$E$24*AM502^2+BMILMS!$F$24*AM502+BMILMS!$G$24,BMILMS!$D$25*AM502^3+BMILMS!$E$25*AM502^2+BMILMS!$F$25*AM502+BMILMS!$G$25))))),(IF(AM502&lt;2.5,BMILMS!$D$27*AM502^3+BMILMS!$E$27*AM502^2+BMILMS!$F$27*AM502+BMILMS!$G$27,IF(AM502&lt;9.5,BMILMS!$D$28*AM502^3+BMILMS!$E$28*AM502^2+BMILMS!$F$28*AM502+BMILMS!$G$28,IF(AM502&lt;26.75,BMILMS!$D$29*AM502^3+BMILMS!$E$29*AM502^2+BMILMS!$F$29*AM502+BMILMS!$G$29,IF(AM502&lt;90,BMILMS!$D$30*AM502^3+BMILMS!$E$30*AM502^2+BMILMS!$F$30*AM502+BMILMS!$G$30,IF(AM502&lt;150,BMILMS!$D$31*AM502^3+BMILMS!$E$31*AM502^2+BMILMS!$F$31*AM502+BMILMS!$G$31,BMILMS!$D$32*AM502^3+BMILMS!$E$32*AM502^2+BMILMS!$F$32*AM502+BMILMS!$G$32)))))))</f>
        <v>12.568967990000001</v>
      </c>
      <c r="AL502" s="4">
        <f>IF(D502="M",(IF(AM502&lt;90,BMILMS!$D$14*AM502^3+BMILMS!$E$14*AM502^2+BMILMS!$F$14*AM502+BMILMS!$G$14,BMILMS!$D$15*AM502^3+BMILMS!$E$15*AM502^2+BMILMS!$F$15*AM502+BMILMS!$G$15)),(IF(AM502&lt;90,BMILMS!$D$17*AM502^3+BMILMS!$E$17*AM502^2+BMILMS!$F$17*AM502+BMILMS!$G$17,BMILMS!$D$18*AM502^3+BMILMS!$E$18*AM502^2+BMILMS!$F$18*AM502+BMILMS!$G$18)))</f>
        <v>8.8969350000000003E-2</v>
      </c>
      <c r="AM502" s="4">
        <f t="shared" si="167"/>
        <v>0</v>
      </c>
      <c r="AO502" s="56">
        <f>IF(D502="M",WeightSDS!P$5*$AM502^7+WeightSDS!Q$5*$AM502^6+WeightSDS!R$5*$AM502^5+WeightSDS!S$5*$AM502^4+WeightSDS!T$5*$AM502^3+WeightSDS!U$5*$AM502^2+WeightSDS!V$5*$AM502+WeightSDS!W$5,IF($AM502&lt;186,WeightSDS!P$8*$AM502^7+WeightSDS!Q$8*$AM502^6+WeightSDS!R$8*$AM502^5+WeightSDS!S$8*$AM502^4+WeightSDS!T$8*$AM502^3+WeightSDS!U$8*$AM502^2+WeightSDS!V$8*$AM502+WeightSDS!W$8,WeightSDS!$U$9+WeightSDS!$V$9*($AM502-WeightSDS!$W$9)))</f>
        <v>0.75407122999999998</v>
      </c>
      <c r="AP502" s="4">
        <f>IF(D502="M",IF($AM502&lt;45,WeightSDS!M$23*$AM502^10+WeightSDS!N$23*$AM502^9+WeightSDS!O$23*$AM502^8+WeightSDS!P$23*$AM502^7+WeightSDS!Q$23*$AM502^6+WeightSDS!R$23*$AM502^5+WeightSDS!S$23*$AM502^4+WeightSDS!T$23*$AM502^3+WeightSDS!U$23*$AM502^2+WeightSDS!V$23*$AM502+WeightSDS!W$23,IF($AM502&lt;153,WeightSDS!M$25*$AM502^10+WeightSDS!N$25*$AM502^9+WeightSDS!O$25*$AM502^8+WeightSDS!P$25*$AM502^7+WeightSDS!Q$25*$AM502^6+WeightSDS!R$25*$AM502^5+WeightSDS!S$25*$AM502^4+WeightSDS!T$25*$AM502^3+WeightSDS!U$25*$AM502^2+WeightSDS!V$25*$AM502+WeightSDS!W$25,WeightSDS!M$27+WeightSDS!N$27/(1+EXP(WeightSDS!O$27+WeightSDS!P$27*$AM502)))),IF($AM502&lt;43.8,WeightSDS!M$29*$AM502^10+WeightSDS!N$29*$AM502^9+WeightSDS!O$29*$AM502^8+WeightSDS!P$29*$AM502^7+WeightSDS!Q$29*$AM502^6+WeightSDS!R$29*$AM502^5+WeightSDS!S$29*$AM502^4+WeightSDS!T$29*$AM502^3+WeightSDS!U$29*$AM502^2+WeightSDS!V$29*$AM502+WeightSDS!W$29-0.010431*(1-$AM502/210),IF($AM502&lt;123,WeightSDS!M$30*$AM502^10+WeightSDS!N$30*$AM502^9+WeightSDS!O$30*$AM502^8+WeightSDS!P$30*$AM502^7+WeightSDS!Q$30*$AM502^6+WeightSDS!R$30*$AM502^5+WeightSDS!S$30*$AM502^4+WeightSDS!T$30*$AM502^3+WeightSDS!U$30*$AM502^2+WeightSDS!V$30*$AM502+WeightSDS!W$30-0.010431*(1-1/$AM502),WeightSDS!M$32+WeightSDS!N$32/(1+EXP(WeightSDS!O$32+WeightSDS!P$32*$AM502))-0.010431*(1-$AM502/210))))</f>
        <v>2.9500001032655536</v>
      </c>
      <c r="AQ502" s="4">
        <f>IF(D502="M",IF($AM502&lt;162,WeightSDS!P$12*$AM502^7+WeightSDS!Q$12*$AM502^6+WeightSDS!R$12*$AM502^5+WeightSDS!S$12*$AM502^4+WeightSDS!T$12*$AM502^3+WeightSDS!U$12*$AM502^2+WeightSDS!V$12*$AM502+WeightSDS!W$12,WeightSDS!P$14*$AM502^7+WeightSDS!Q$14*$AM502^6+WeightSDS!R$14*$AM502^5+WeightSDS!S$14*$AM502^4+WeightSDS!T$14*$AM502^3+WeightSDS!U$14*$AM502^2+WeightSDS!V$14*$AM502+WeightSDS!W$14),IF($AM502&lt;156,WeightSDS!O$17*$AM502^8+WeightSDS!P$17*$AM502^7+WeightSDS!Q$17*$AM502^6+WeightSDS!R$17*$AM502^5+WeightSDS!S$17*$AM502^4+WeightSDS!T$17*$AM502^3+WeightSDS!U$17*$AM502^2+WeightSDS!V$17*$AM502+WeightSDS!W$17,IF($AM502&lt;186,WeightSDS!$U$18+(WeightSDS!$V$18-WeightSDS!$U$18)/24*($AM502-186)+WeightSDS!$W$18*(-$AM502+186)^2-0.005,WeightSDS!$U$18+(WeightSDS!$V$18-WeightSDS!$U$18)/24*($AM502-186)-0.005)))</f>
        <v>0.14604529399999999</v>
      </c>
      <c r="AT502" s="4">
        <f t="shared" si="154"/>
        <v>0.56299999999999994</v>
      </c>
      <c r="AU502" s="4">
        <f t="shared" si="155"/>
        <v>69</v>
      </c>
      <c r="AV502" s="4">
        <f t="shared" si="156"/>
        <v>0.51</v>
      </c>
    </row>
    <row r="503" spans="1:48" x14ac:dyDescent="0.15">
      <c r="A503" s="4"/>
      <c r="B503" s="21"/>
      <c r="C503" s="21"/>
      <c r="D503" s="21"/>
      <c r="E503" s="22"/>
      <c r="F503" s="22"/>
      <c r="G503" s="23"/>
      <c r="H503" s="23"/>
      <c r="I503" s="181"/>
      <c r="J503" s="8" t="str">
        <f t="shared" si="148"/>
        <v/>
      </c>
      <c r="K503" s="2" t="str">
        <f t="shared" si="157"/>
        <v/>
      </c>
      <c r="L503" s="2" t="str">
        <f t="shared" si="149"/>
        <v/>
      </c>
      <c r="M503" s="2" t="str">
        <f t="shared" si="158"/>
        <v/>
      </c>
      <c r="N503" s="2" t="str">
        <f t="shared" si="166"/>
        <v/>
      </c>
      <c r="O503" s="2" t="str">
        <f t="shared" si="159"/>
        <v/>
      </c>
      <c r="P503" s="8" t="str">
        <f t="shared" si="160"/>
        <v/>
      </c>
      <c r="Q503" s="8" t="str">
        <f t="shared" si="161"/>
        <v/>
      </c>
      <c r="R503" s="111" t="str">
        <f t="shared" si="162"/>
        <v/>
      </c>
      <c r="S503" s="44" t="str">
        <f t="shared" si="163"/>
        <v/>
      </c>
      <c r="T503" s="37" t="str">
        <f t="shared" si="164"/>
        <v/>
      </c>
      <c r="U503" s="44" t="str">
        <f t="shared" si="165"/>
        <v/>
      </c>
      <c r="V503" s="26"/>
      <c r="W503" s="26"/>
      <c r="X503" s="26"/>
      <c r="Y503" s="26"/>
      <c r="Z503" s="24"/>
      <c r="AA503" s="169">
        <f t="shared" si="150"/>
        <v>0</v>
      </c>
      <c r="AB503" s="4">
        <f t="shared" si="151"/>
        <v>0</v>
      </c>
      <c r="AC503" s="170">
        <f t="shared" si="168"/>
        <v>0</v>
      </c>
      <c r="AD503" s="58"/>
      <c r="AE503" s="58"/>
      <c r="AF503" s="58"/>
      <c r="AG503" s="59">
        <f t="shared" si="152"/>
        <v>9.0359999999999996</v>
      </c>
      <c r="AH503" s="59">
        <f t="shared" si="153"/>
        <v>-184.49199999999999</v>
      </c>
      <c r="AJ503" s="4">
        <f>IF(D503="M",IF(AM503&lt;78,BMILMS!$D$5*AM503^3+BMILMS!$E$5*AM503^2+BMILMS!$F$5*AM503+BMILMS!$G$5,IF(AM503&lt;150,BMILMS!$D$6*AM503^3+BMILMS!$E$6*AM503^2+BMILMS!$F$6*AM503+BMILMS!$G$6,BMILMS!$D$7*AM503^3+BMILMS!$E$7*AM503^2+BMILMS!$F$7*AM503+BMILMS!$G$7)),IF(AM503&lt;69,BMILMS!$D$9*AM503^3+BMILMS!$E$9*AM503^2+BMILMS!$F$9*AM503+BMILMS!$G$9,IF(AM503&lt;150,BMILMS!$D$10*AM503^3+BMILMS!$E$10*AM503^2+BMILMS!$F$10*AM503+BMILMS!$G$10,BMILMS!$D$11*AM503^3+BMILMS!$E$11*AM503^2+BMILMS!$F$11*AM503+BMILMS!$G$11)))</f>
        <v>0.79584630099999998</v>
      </c>
      <c r="AK503" s="4">
        <f>IF(D503="M",(IF(AM503&lt;2.5,BMILMS!$D$21*AM503^3+BMILMS!$E$21*AM503^2+BMILMS!$F$21*AM503+BMILMS!$G$21,IF(AM503&lt;9.5,BMILMS!$D$22*AM503^3+BMILMS!$E$22*AM503^2+BMILMS!$F$22*AM503+BMILMS!$G$22,IF(AM503&lt;26.75,BMILMS!$D$23*AM503^3+BMILMS!$E$23*AM503^2+BMILMS!$F$23*AM503+BMILMS!$G$23,IF(AM503&lt;90,BMILMS!$D$24*AM503^3+BMILMS!$E$24*AM503^2+BMILMS!$F$24*AM503+BMILMS!$G$24,BMILMS!$D$25*AM503^3+BMILMS!$E$25*AM503^2+BMILMS!$F$25*AM503+BMILMS!$G$25))))),(IF(AM503&lt;2.5,BMILMS!$D$27*AM503^3+BMILMS!$E$27*AM503^2+BMILMS!$F$27*AM503+BMILMS!$G$27,IF(AM503&lt;9.5,BMILMS!$D$28*AM503^3+BMILMS!$E$28*AM503^2+BMILMS!$F$28*AM503+BMILMS!$G$28,IF(AM503&lt;26.75,BMILMS!$D$29*AM503^3+BMILMS!$E$29*AM503^2+BMILMS!$F$29*AM503+BMILMS!$G$29,IF(AM503&lt;90,BMILMS!$D$30*AM503^3+BMILMS!$E$30*AM503^2+BMILMS!$F$30*AM503+BMILMS!$G$30,IF(AM503&lt;150,BMILMS!$D$31*AM503^3+BMILMS!$E$31*AM503^2+BMILMS!$F$31*AM503+BMILMS!$G$31,BMILMS!$D$32*AM503^3+BMILMS!$E$32*AM503^2+BMILMS!$F$32*AM503+BMILMS!$G$32)))))))</f>
        <v>12.568967990000001</v>
      </c>
      <c r="AL503" s="4">
        <f>IF(D503="M",(IF(AM503&lt;90,BMILMS!$D$14*AM503^3+BMILMS!$E$14*AM503^2+BMILMS!$F$14*AM503+BMILMS!$G$14,BMILMS!$D$15*AM503^3+BMILMS!$E$15*AM503^2+BMILMS!$F$15*AM503+BMILMS!$G$15)),(IF(AM503&lt;90,BMILMS!$D$17*AM503^3+BMILMS!$E$17*AM503^2+BMILMS!$F$17*AM503+BMILMS!$G$17,BMILMS!$D$18*AM503^3+BMILMS!$E$18*AM503^2+BMILMS!$F$18*AM503+BMILMS!$G$18)))</f>
        <v>8.8969350000000003E-2</v>
      </c>
      <c r="AM503" s="4">
        <f t="shared" si="167"/>
        <v>0</v>
      </c>
      <c r="AO503" s="56">
        <f>IF(D503="M",WeightSDS!P$5*$AM503^7+WeightSDS!Q$5*$AM503^6+WeightSDS!R$5*$AM503^5+WeightSDS!S$5*$AM503^4+WeightSDS!T$5*$AM503^3+WeightSDS!U$5*$AM503^2+WeightSDS!V$5*$AM503+WeightSDS!W$5,IF($AM503&lt;186,WeightSDS!P$8*$AM503^7+WeightSDS!Q$8*$AM503^6+WeightSDS!R$8*$AM503^5+WeightSDS!S$8*$AM503^4+WeightSDS!T$8*$AM503^3+WeightSDS!U$8*$AM503^2+WeightSDS!V$8*$AM503+WeightSDS!W$8,WeightSDS!$U$9+WeightSDS!$V$9*($AM503-WeightSDS!$W$9)))</f>
        <v>0.75407122999999998</v>
      </c>
      <c r="AP503" s="4">
        <f>IF(D503="M",IF($AM503&lt;45,WeightSDS!M$23*$AM503^10+WeightSDS!N$23*$AM503^9+WeightSDS!O$23*$AM503^8+WeightSDS!P$23*$AM503^7+WeightSDS!Q$23*$AM503^6+WeightSDS!R$23*$AM503^5+WeightSDS!S$23*$AM503^4+WeightSDS!T$23*$AM503^3+WeightSDS!U$23*$AM503^2+WeightSDS!V$23*$AM503+WeightSDS!W$23,IF($AM503&lt;153,WeightSDS!M$25*$AM503^10+WeightSDS!N$25*$AM503^9+WeightSDS!O$25*$AM503^8+WeightSDS!P$25*$AM503^7+WeightSDS!Q$25*$AM503^6+WeightSDS!R$25*$AM503^5+WeightSDS!S$25*$AM503^4+WeightSDS!T$25*$AM503^3+WeightSDS!U$25*$AM503^2+WeightSDS!V$25*$AM503+WeightSDS!W$25,WeightSDS!M$27+WeightSDS!N$27/(1+EXP(WeightSDS!O$27+WeightSDS!P$27*$AM503)))),IF($AM503&lt;43.8,WeightSDS!M$29*$AM503^10+WeightSDS!N$29*$AM503^9+WeightSDS!O$29*$AM503^8+WeightSDS!P$29*$AM503^7+WeightSDS!Q$29*$AM503^6+WeightSDS!R$29*$AM503^5+WeightSDS!S$29*$AM503^4+WeightSDS!T$29*$AM503^3+WeightSDS!U$29*$AM503^2+WeightSDS!V$29*$AM503+WeightSDS!W$29-0.010431*(1-$AM503/210),IF($AM503&lt;123,WeightSDS!M$30*$AM503^10+WeightSDS!N$30*$AM503^9+WeightSDS!O$30*$AM503^8+WeightSDS!P$30*$AM503^7+WeightSDS!Q$30*$AM503^6+WeightSDS!R$30*$AM503^5+WeightSDS!S$30*$AM503^4+WeightSDS!T$30*$AM503^3+WeightSDS!U$30*$AM503^2+WeightSDS!V$30*$AM503+WeightSDS!W$30-0.010431*(1-1/$AM503),WeightSDS!M$32+WeightSDS!N$32/(1+EXP(WeightSDS!O$32+WeightSDS!P$32*$AM503))-0.010431*(1-$AM503/210))))</f>
        <v>2.9500001032655536</v>
      </c>
      <c r="AQ503" s="4">
        <f>IF(D503="M",IF($AM503&lt;162,WeightSDS!P$12*$AM503^7+WeightSDS!Q$12*$AM503^6+WeightSDS!R$12*$AM503^5+WeightSDS!S$12*$AM503^4+WeightSDS!T$12*$AM503^3+WeightSDS!U$12*$AM503^2+WeightSDS!V$12*$AM503+WeightSDS!W$12,WeightSDS!P$14*$AM503^7+WeightSDS!Q$14*$AM503^6+WeightSDS!R$14*$AM503^5+WeightSDS!S$14*$AM503^4+WeightSDS!T$14*$AM503^3+WeightSDS!U$14*$AM503^2+WeightSDS!V$14*$AM503+WeightSDS!W$14),IF($AM503&lt;156,WeightSDS!O$17*$AM503^8+WeightSDS!P$17*$AM503^7+WeightSDS!Q$17*$AM503^6+WeightSDS!R$17*$AM503^5+WeightSDS!S$17*$AM503^4+WeightSDS!T$17*$AM503^3+WeightSDS!U$17*$AM503^2+WeightSDS!V$17*$AM503+WeightSDS!W$17,IF($AM503&lt;186,WeightSDS!$U$18+(WeightSDS!$V$18-WeightSDS!$U$18)/24*($AM503-186)+WeightSDS!$W$18*(-$AM503+186)^2-0.005,WeightSDS!$U$18+(WeightSDS!$V$18-WeightSDS!$U$18)/24*($AM503-186)-0.005)))</f>
        <v>0.14604529399999999</v>
      </c>
      <c r="AT503" s="4">
        <f t="shared" si="154"/>
        <v>0.56299999999999994</v>
      </c>
      <c r="AU503" s="4">
        <f t="shared" si="155"/>
        <v>69</v>
      </c>
      <c r="AV503" s="4">
        <f t="shared" si="156"/>
        <v>0.51</v>
      </c>
    </row>
    <row r="504" spans="1:48" x14ac:dyDescent="0.15">
      <c r="A504" s="4"/>
      <c r="B504" s="21"/>
      <c r="C504" s="21"/>
      <c r="D504" s="21"/>
      <c r="E504" s="22"/>
      <c r="F504" s="22"/>
      <c r="G504" s="23"/>
      <c r="H504" s="23"/>
      <c r="I504" s="181"/>
      <c r="J504" s="8" t="str">
        <f t="shared" si="148"/>
        <v/>
      </c>
      <c r="K504" s="2" t="str">
        <f t="shared" si="157"/>
        <v/>
      </c>
      <c r="L504" s="2" t="str">
        <f t="shared" si="149"/>
        <v/>
      </c>
      <c r="M504" s="2" t="str">
        <f t="shared" si="158"/>
        <v/>
      </c>
      <c r="N504" s="2" t="str">
        <f t="shared" si="166"/>
        <v/>
      </c>
      <c r="O504" s="2" t="str">
        <f t="shared" si="159"/>
        <v/>
      </c>
      <c r="P504" s="8" t="str">
        <f t="shared" si="160"/>
        <v/>
      </c>
      <c r="Q504" s="8" t="str">
        <f t="shared" si="161"/>
        <v/>
      </c>
      <c r="R504" s="111" t="str">
        <f t="shared" si="162"/>
        <v/>
      </c>
      <c r="S504" s="44" t="str">
        <f t="shared" si="163"/>
        <v/>
      </c>
      <c r="T504" s="37" t="str">
        <f t="shared" si="164"/>
        <v/>
      </c>
      <c r="U504" s="44" t="str">
        <f t="shared" si="165"/>
        <v/>
      </c>
      <c r="V504" s="26"/>
      <c r="W504" s="26"/>
      <c r="X504" s="26"/>
      <c r="Y504" s="26"/>
      <c r="Z504" s="24"/>
      <c r="AA504" s="169">
        <f t="shared" si="150"/>
        <v>0</v>
      </c>
      <c r="AB504" s="4">
        <f t="shared" si="151"/>
        <v>0</v>
      </c>
      <c r="AC504" s="170">
        <f t="shared" si="168"/>
        <v>0</v>
      </c>
      <c r="AD504" s="58"/>
      <c r="AE504" s="58"/>
      <c r="AF504" s="58"/>
      <c r="AG504" s="59">
        <f t="shared" si="152"/>
        <v>9.0359999999999996</v>
      </c>
      <c r="AH504" s="59">
        <f t="shared" si="153"/>
        <v>-184.49199999999999</v>
      </c>
      <c r="AJ504" s="4">
        <f>IF(D504="M",IF(AM504&lt;78,BMILMS!$D$5*AM504^3+BMILMS!$E$5*AM504^2+BMILMS!$F$5*AM504+BMILMS!$G$5,IF(AM504&lt;150,BMILMS!$D$6*AM504^3+BMILMS!$E$6*AM504^2+BMILMS!$F$6*AM504+BMILMS!$G$6,BMILMS!$D$7*AM504^3+BMILMS!$E$7*AM504^2+BMILMS!$F$7*AM504+BMILMS!$G$7)),IF(AM504&lt;69,BMILMS!$D$9*AM504^3+BMILMS!$E$9*AM504^2+BMILMS!$F$9*AM504+BMILMS!$G$9,IF(AM504&lt;150,BMILMS!$D$10*AM504^3+BMILMS!$E$10*AM504^2+BMILMS!$F$10*AM504+BMILMS!$G$10,BMILMS!$D$11*AM504^3+BMILMS!$E$11*AM504^2+BMILMS!$F$11*AM504+BMILMS!$G$11)))</f>
        <v>0.79584630099999998</v>
      </c>
      <c r="AK504" s="4">
        <f>IF(D504="M",(IF(AM504&lt;2.5,BMILMS!$D$21*AM504^3+BMILMS!$E$21*AM504^2+BMILMS!$F$21*AM504+BMILMS!$G$21,IF(AM504&lt;9.5,BMILMS!$D$22*AM504^3+BMILMS!$E$22*AM504^2+BMILMS!$F$22*AM504+BMILMS!$G$22,IF(AM504&lt;26.75,BMILMS!$D$23*AM504^3+BMILMS!$E$23*AM504^2+BMILMS!$F$23*AM504+BMILMS!$G$23,IF(AM504&lt;90,BMILMS!$D$24*AM504^3+BMILMS!$E$24*AM504^2+BMILMS!$F$24*AM504+BMILMS!$G$24,BMILMS!$D$25*AM504^3+BMILMS!$E$25*AM504^2+BMILMS!$F$25*AM504+BMILMS!$G$25))))),(IF(AM504&lt;2.5,BMILMS!$D$27*AM504^3+BMILMS!$E$27*AM504^2+BMILMS!$F$27*AM504+BMILMS!$G$27,IF(AM504&lt;9.5,BMILMS!$D$28*AM504^3+BMILMS!$E$28*AM504^2+BMILMS!$F$28*AM504+BMILMS!$G$28,IF(AM504&lt;26.75,BMILMS!$D$29*AM504^3+BMILMS!$E$29*AM504^2+BMILMS!$F$29*AM504+BMILMS!$G$29,IF(AM504&lt;90,BMILMS!$D$30*AM504^3+BMILMS!$E$30*AM504^2+BMILMS!$F$30*AM504+BMILMS!$G$30,IF(AM504&lt;150,BMILMS!$D$31*AM504^3+BMILMS!$E$31*AM504^2+BMILMS!$F$31*AM504+BMILMS!$G$31,BMILMS!$D$32*AM504^3+BMILMS!$E$32*AM504^2+BMILMS!$F$32*AM504+BMILMS!$G$32)))))))</f>
        <v>12.568967990000001</v>
      </c>
      <c r="AL504" s="4">
        <f>IF(D504="M",(IF(AM504&lt;90,BMILMS!$D$14*AM504^3+BMILMS!$E$14*AM504^2+BMILMS!$F$14*AM504+BMILMS!$G$14,BMILMS!$D$15*AM504^3+BMILMS!$E$15*AM504^2+BMILMS!$F$15*AM504+BMILMS!$G$15)),(IF(AM504&lt;90,BMILMS!$D$17*AM504^3+BMILMS!$E$17*AM504^2+BMILMS!$F$17*AM504+BMILMS!$G$17,BMILMS!$D$18*AM504^3+BMILMS!$E$18*AM504^2+BMILMS!$F$18*AM504+BMILMS!$G$18)))</f>
        <v>8.8969350000000003E-2</v>
      </c>
      <c r="AM504" s="4">
        <f t="shared" si="167"/>
        <v>0</v>
      </c>
      <c r="AO504" s="56">
        <f>IF(D504="M",WeightSDS!P$5*$AM504^7+WeightSDS!Q$5*$AM504^6+WeightSDS!R$5*$AM504^5+WeightSDS!S$5*$AM504^4+WeightSDS!T$5*$AM504^3+WeightSDS!U$5*$AM504^2+WeightSDS!V$5*$AM504+WeightSDS!W$5,IF($AM504&lt;186,WeightSDS!P$8*$AM504^7+WeightSDS!Q$8*$AM504^6+WeightSDS!R$8*$AM504^5+WeightSDS!S$8*$AM504^4+WeightSDS!T$8*$AM504^3+WeightSDS!U$8*$AM504^2+WeightSDS!V$8*$AM504+WeightSDS!W$8,WeightSDS!$U$9+WeightSDS!$V$9*($AM504-WeightSDS!$W$9)))</f>
        <v>0.75407122999999998</v>
      </c>
      <c r="AP504" s="4">
        <f>IF(D504="M",IF($AM504&lt;45,WeightSDS!M$23*$AM504^10+WeightSDS!N$23*$AM504^9+WeightSDS!O$23*$AM504^8+WeightSDS!P$23*$AM504^7+WeightSDS!Q$23*$AM504^6+WeightSDS!R$23*$AM504^5+WeightSDS!S$23*$AM504^4+WeightSDS!T$23*$AM504^3+WeightSDS!U$23*$AM504^2+WeightSDS!V$23*$AM504+WeightSDS!W$23,IF($AM504&lt;153,WeightSDS!M$25*$AM504^10+WeightSDS!N$25*$AM504^9+WeightSDS!O$25*$AM504^8+WeightSDS!P$25*$AM504^7+WeightSDS!Q$25*$AM504^6+WeightSDS!R$25*$AM504^5+WeightSDS!S$25*$AM504^4+WeightSDS!T$25*$AM504^3+WeightSDS!U$25*$AM504^2+WeightSDS!V$25*$AM504+WeightSDS!W$25,WeightSDS!M$27+WeightSDS!N$27/(1+EXP(WeightSDS!O$27+WeightSDS!P$27*$AM504)))),IF($AM504&lt;43.8,WeightSDS!M$29*$AM504^10+WeightSDS!N$29*$AM504^9+WeightSDS!O$29*$AM504^8+WeightSDS!P$29*$AM504^7+WeightSDS!Q$29*$AM504^6+WeightSDS!R$29*$AM504^5+WeightSDS!S$29*$AM504^4+WeightSDS!T$29*$AM504^3+WeightSDS!U$29*$AM504^2+WeightSDS!V$29*$AM504+WeightSDS!W$29-0.010431*(1-$AM504/210),IF($AM504&lt;123,WeightSDS!M$30*$AM504^10+WeightSDS!N$30*$AM504^9+WeightSDS!O$30*$AM504^8+WeightSDS!P$30*$AM504^7+WeightSDS!Q$30*$AM504^6+WeightSDS!R$30*$AM504^5+WeightSDS!S$30*$AM504^4+WeightSDS!T$30*$AM504^3+WeightSDS!U$30*$AM504^2+WeightSDS!V$30*$AM504+WeightSDS!W$30-0.010431*(1-1/$AM504),WeightSDS!M$32+WeightSDS!N$32/(1+EXP(WeightSDS!O$32+WeightSDS!P$32*$AM504))-0.010431*(1-$AM504/210))))</f>
        <v>2.9500001032655536</v>
      </c>
      <c r="AQ504" s="4">
        <f>IF(D504="M",IF($AM504&lt;162,WeightSDS!P$12*$AM504^7+WeightSDS!Q$12*$AM504^6+WeightSDS!R$12*$AM504^5+WeightSDS!S$12*$AM504^4+WeightSDS!T$12*$AM504^3+WeightSDS!U$12*$AM504^2+WeightSDS!V$12*$AM504+WeightSDS!W$12,WeightSDS!P$14*$AM504^7+WeightSDS!Q$14*$AM504^6+WeightSDS!R$14*$AM504^5+WeightSDS!S$14*$AM504^4+WeightSDS!T$14*$AM504^3+WeightSDS!U$14*$AM504^2+WeightSDS!V$14*$AM504+WeightSDS!W$14),IF($AM504&lt;156,WeightSDS!O$17*$AM504^8+WeightSDS!P$17*$AM504^7+WeightSDS!Q$17*$AM504^6+WeightSDS!R$17*$AM504^5+WeightSDS!S$17*$AM504^4+WeightSDS!T$17*$AM504^3+WeightSDS!U$17*$AM504^2+WeightSDS!V$17*$AM504+WeightSDS!W$17,IF($AM504&lt;186,WeightSDS!$U$18+(WeightSDS!$V$18-WeightSDS!$U$18)/24*($AM504-186)+WeightSDS!$W$18*(-$AM504+186)^2-0.005,WeightSDS!$U$18+(WeightSDS!$V$18-WeightSDS!$U$18)/24*($AM504-186)-0.005)))</f>
        <v>0.14604529399999999</v>
      </c>
      <c r="AT504" s="4">
        <f t="shared" si="154"/>
        <v>0.56299999999999994</v>
      </c>
      <c r="AU504" s="4">
        <f t="shared" si="155"/>
        <v>69</v>
      </c>
      <c r="AV504" s="4">
        <f t="shared" si="156"/>
        <v>0.51</v>
      </c>
    </row>
    <row r="505" spans="1:48" x14ac:dyDescent="0.15">
      <c r="A505" s="4"/>
      <c r="B505" s="21"/>
      <c r="C505" s="21"/>
      <c r="D505" s="21"/>
      <c r="E505" s="22"/>
      <c r="F505" s="22"/>
      <c r="G505" s="23"/>
      <c r="H505" s="23"/>
      <c r="I505" s="181"/>
      <c r="J505" s="8" t="str">
        <f t="shared" si="148"/>
        <v/>
      </c>
      <c r="K505" s="2" t="str">
        <f t="shared" si="157"/>
        <v/>
      </c>
      <c r="L505" s="2" t="str">
        <f t="shared" si="149"/>
        <v/>
      </c>
      <c r="M505" s="2" t="str">
        <f t="shared" si="158"/>
        <v/>
      </c>
      <c r="N505" s="2" t="str">
        <f t="shared" si="166"/>
        <v/>
      </c>
      <c r="O505" s="2" t="str">
        <f t="shared" si="159"/>
        <v/>
      </c>
      <c r="P505" s="8" t="str">
        <f t="shared" si="160"/>
        <v/>
      </c>
      <c r="Q505" s="8" t="str">
        <f t="shared" si="161"/>
        <v/>
      </c>
      <c r="R505" s="111" t="str">
        <f t="shared" si="162"/>
        <v/>
      </c>
      <c r="S505" s="44" t="str">
        <f t="shared" si="163"/>
        <v/>
      </c>
      <c r="T505" s="37" t="str">
        <f t="shared" si="164"/>
        <v/>
      </c>
      <c r="U505" s="44" t="str">
        <f t="shared" si="165"/>
        <v/>
      </c>
      <c r="V505" s="26"/>
      <c r="W505" s="26"/>
      <c r="X505" s="26"/>
      <c r="Y505" s="26"/>
      <c r="Z505" s="24"/>
      <c r="AA505" s="169">
        <f t="shared" si="150"/>
        <v>0</v>
      </c>
      <c r="AB505" s="4">
        <f t="shared" si="151"/>
        <v>0</v>
      </c>
      <c r="AC505" s="170">
        <f t="shared" si="168"/>
        <v>0</v>
      </c>
      <c r="AD505" s="58"/>
      <c r="AE505" s="58"/>
      <c r="AF505" s="58"/>
      <c r="AG505" s="59">
        <f t="shared" si="152"/>
        <v>9.0359999999999996</v>
      </c>
      <c r="AH505" s="59">
        <f t="shared" si="153"/>
        <v>-184.49199999999999</v>
      </c>
      <c r="AJ505" s="4">
        <f>IF(D505="M",IF(AM505&lt;78,BMILMS!$D$5*AM505^3+BMILMS!$E$5*AM505^2+BMILMS!$F$5*AM505+BMILMS!$G$5,IF(AM505&lt;150,BMILMS!$D$6*AM505^3+BMILMS!$E$6*AM505^2+BMILMS!$F$6*AM505+BMILMS!$G$6,BMILMS!$D$7*AM505^3+BMILMS!$E$7*AM505^2+BMILMS!$F$7*AM505+BMILMS!$G$7)),IF(AM505&lt;69,BMILMS!$D$9*AM505^3+BMILMS!$E$9*AM505^2+BMILMS!$F$9*AM505+BMILMS!$G$9,IF(AM505&lt;150,BMILMS!$D$10*AM505^3+BMILMS!$E$10*AM505^2+BMILMS!$F$10*AM505+BMILMS!$G$10,BMILMS!$D$11*AM505^3+BMILMS!$E$11*AM505^2+BMILMS!$F$11*AM505+BMILMS!$G$11)))</f>
        <v>0.79584630099999998</v>
      </c>
      <c r="AK505" s="4">
        <f>IF(D505="M",(IF(AM505&lt;2.5,BMILMS!$D$21*AM505^3+BMILMS!$E$21*AM505^2+BMILMS!$F$21*AM505+BMILMS!$G$21,IF(AM505&lt;9.5,BMILMS!$D$22*AM505^3+BMILMS!$E$22*AM505^2+BMILMS!$F$22*AM505+BMILMS!$G$22,IF(AM505&lt;26.75,BMILMS!$D$23*AM505^3+BMILMS!$E$23*AM505^2+BMILMS!$F$23*AM505+BMILMS!$G$23,IF(AM505&lt;90,BMILMS!$D$24*AM505^3+BMILMS!$E$24*AM505^2+BMILMS!$F$24*AM505+BMILMS!$G$24,BMILMS!$D$25*AM505^3+BMILMS!$E$25*AM505^2+BMILMS!$F$25*AM505+BMILMS!$G$25))))),(IF(AM505&lt;2.5,BMILMS!$D$27*AM505^3+BMILMS!$E$27*AM505^2+BMILMS!$F$27*AM505+BMILMS!$G$27,IF(AM505&lt;9.5,BMILMS!$D$28*AM505^3+BMILMS!$E$28*AM505^2+BMILMS!$F$28*AM505+BMILMS!$G$28,IF(AM505&lt;26.75,BMILMS!$D$29*AM505^3+BMILMS!$E$29*AM505^2+BMILMS!$F$29*AM505+BMILMS!$G$29,IF(AM505&lt;90,BMILMS!$D$30*AM505^3+BMILMS!$E$30*AM505^2+BMILMS!$F$30*AM505+BMILMS!$G$30,IF(AM505&lt;150,BMILMS!$D$31*AM505^3+BMILMS!$E$31*AM505^2+BMILMS!$F$31*AM505+BMILMS!$G$31,BMILMS!$D$32*AM505^3+BMILMS!$E$32*AM505^2+BMILMS!$F$32*AM505+BMILMS!$G$32)))))))</f>
        <v>12.568967990000001</v>
      </c>
      <c r="AL505" s="4">
        <f>IF(D505="M",(IF(AM505&lt;90,BMILMS!$D$14*AM505^3+BMILMS!$E$14*AM505^2+BMILMS!$F$14*AM505+BMILMS!$G$14,BMILMS!$D$15*AM505^3+BMILMS!$E$15*AM505^2+BMILMS!$F$15*AM505+BMILMS!$G$15)),(IF(AM505&lt;90,BMILMS!$D$17*AM505^3+BMILMS!$E$17*AM505^2+BMILMS!$F$17*AM505+BMILMS!$G$17,BMILMS!$D$18*AM505^3+BMILMS!$E$18*AM505^2+BMILMS!$F$18*AM505+BMILMS!$G$18)))</f>
        <v>8.8969350000000003E-2</v>
      </c>
      <c r="AM505" s="4">
        <f t="shared" si="167"/>
        <v>0</v>
      </c>
      <c r="AO505" s="56">
        <f>IF(D505="M",WeightSDS!P$5*$AM505^7+WeightSDS!Q$5*$AM505^6+WeightSDS!R$5*$AM505^5+WeightSDS!S$5*$AM505^4+WeightSDS!T$5*$AM505^3+WeightSDS!U$5*$AM505^2+WeightSDS!V$5*$AM505+WeightSDS!W$5,IF($AM505&lt;186,WeightSDS!P$8*$AM505^7+WeightSDS!Q$8*$AM505^6+WeightSDS!R$8*$AM505^5+WeightSDS!S$8*$AM505^4+WeightSDS!T$8*$AM505^3+WeightSDS!U$8*$AM505^2+WeightSDS!V$8*$AM505+WeightSDS!W$8,WeightSDS!$U$9+WeightSDS!$V$9*($AM505-WeightSDS!$W$9)))</f>
        <v>0.75407122999999998</v>
      </c>
      <c r="AP505" s="4">
        <f>IF(D505="M",IF($AM505&lt;45,WeightSDS!M$23*$AM505^10+WeightSDS!N$23*$AM505^9+WeightSDS!O$23*$AM505^8+WeightSDS!P$23*$AM505^7+WeightSDS!Q$23*$AM505^6+WeightSDS!R$23*$AM505^5+WeightSDS!S$23*$AM505^4+WeightSDS!T$23*$AM505^3+WeightSDS!U$23*$AM505^2+WeightSDS!V$23*$AM505+WeightSDS!W$23,IF($AM505&lt;153,WeightSDS!M$25*$AM505^10+WeightSDS!N$25*$AM505^9+WeightSDS!O$25*$AM505^8+WeightSDS!P$25*$AM505^7+WeightSDS!Q$25*$AM505^6+WeightSDS!R$25*$AM505^5+WeightSDS!S$25*$AM505^4+WeightSDS!T$25*$AM505^3+WeightSDS!U$25*$AM505^2+WeightSDS!V$25*$AM505+WeightSDS!W$25,WeightSDS!M$27+WeightSDS!N$27/(1+EXP(WeightSDS!O$27+WeightSDS!P$27*$AM505)))),IF($AM505&lt;43.8,WeightSDS!M$29*$AM505^10+WeightSDS!N$29*$AM505^9+WeightSDS!O$29*$AM505^8+WeightSDS!P$29*$AM505^7+WeightSDS!Q$29*$AM505^6+WeightSDS!R$29*$AM505^5+WeightSDS!S$29*$AM505^4+WeightSDS!T$29*$AM505^3+WeightSDS!U$29*$AM505^2+WeightSDS!V$29*$AM505+WeightSDS!W$29-0.010431*(1-$AM505/210),IF($AM505&lt;123,WeightSDS!M$30*$AM505^10+WeightSDS!N$30*$AM505^9+WeightSDS!O$30*$AM505^8+WeightSDS!P$30*$AM505^7+WeightSDS!Q$30*$AM505^6+WeightSDS!R$30*$AM505^5+WeightSDS!S$30*$AM505^4+WeightSDS!T$30*$AM505^3+WeightSDS!U$30*$AM505^2+WeightSDS!V$30*$AM505+WeightSDS!W$30-0.010431*(1-1/$AM505),WeightSDS!M$32+WeightSDS!N$32/(1+EXP(WeightSDS!O$32+WeightSDS!P$32*$AM505))-0.010431*(1-$AM505/210))))</f>
        <v>2.9500001032655536</v>
      </c>
      <c r="AQ505" s="4">
        <f>IF(D505="M",IF($AM505&lt;162,WeightSDS!P$12*$AM505^7+WeightSDS!Q$12*$AM505^6+WeightSDS!R$12*$AM505^5+WeightSDS!S$12*$AM505^4+WeightSDS!T$12*$AM505^3+WeightSDS!U$12*$AM505^2+WeightSDS!V$12*$AM505+WeightSDS!W$12,WeightSDS!P$14*$AM505^7+WeightSDS!Q$14*$AM505^6+WeightSDS!R$14*$AM505^5+WeightSDS!S$14*$AM505^4+WeightSDS!T$14*$AM505^3+WeightSDS!U$14*$AM505^2+WeightSDS!V$14*$AM505+WeightSDS!W$14),IF($AM505&lt;156,WeightSDS!O$17*$AM505^8+WeightSDS!P$17*$AM505^7+WeightSDS!Q$17*$AM505^6+WeightSDS!R$17*$AM505^5+WeightSDS!S$17*$AM505^4+WeightSDS!T$17*$AM505^3+WeightSDS!U$17*$AM505^2+WeightSDS!V$17*$AM505+WeightSDS!W$17,IF($AM505&lt;186,WeightSDS!$U$18+(WeightSDS!$V$18-WeightSDS!$U$18)/24*($AM505-186)+WeightSDS!$W$18*(-$AM505+186)^2-0.005,WeightSDS!$U$18+(WeightSDS!$V$18-WeightSDS!$U$18)/24*($AM505-186)-0.005)))</f>
        <v>0.14604529399999999</v>
      </c>
      <c r="AT505" s="4">
        <f t="shared" si="154"/>
        <v>0.56299999999999994</v>
      </c>
      <c r="AU505" s="4">
        <f t="shared" si="155"/>
        <v>69</v>
      </c>
      <c r="AV505" s="4">
        <f t="shared" si="156"/>
        <v>0.51</v>
      </c>
    </row>
    <row r="506" spans="1:48" x14ac:dyDescent="0.15">
      <c r="A506" s="4"/>
      <c r="B506" s="21"/>
      <c r="C506" s="21"/>
      <c r="D506" s="21"/>
      <c r="E506" s="22"/>
      <c r="F506" s="22"/>
      <c r="G506" s="23"/>
      <c r="H506" s="23"/>
      <c r="I506" s="181"/>
      <c r="J506" s="8" t="str">
        <f t="shared" si="148"/>
        <v/>
      </c>
      <c r="K506" s="2" t="str">
        <f t="shared" si="157"/>
        <v/>
      </c>
      <c r="L506" s="2" t="str">
        <f t="shared" si="149"/>
        <v/>
      </c>
      <c r="M506" s="2" t="str">
        <f t="shared" si="158"/>
        <v/>
      </c>
      <c r="N506" s="2" t="str">
        <f t="shared" si="166"/>
        <v/>
      </c>
      <c r="O506" s="2" t="str">
        <f t="shared" si="159"/>
        <v/>
      </c>
      <c r="P506" s="8" t="str">
        <f t="shared" si="160"/>
        <v/>
      </c>
      <c r="Q506" s="8" t="str">
        <f t="shared" si="161"/>
        <v/>
      </c>
      <c r="R506" s="111" t="str">
        <f t="shared" si="162"/>
        <v/>
      </c>
      <c r="S506" s="44" t="str">
        <f t="shared" si="163"/>
        <v/>
      </c>
      <c r="T506" s="37" t="str">
        <f t="shared" si="164"/>
        <v/>
      </c>
      <c r="U506" s="44" t="str">
        <f t="shared" si="165"/>
        <v/>
      </c>
      <c r="V506" s="26"/>
      <c r="W506" s="26"/>
      <c r="X506" s="26"/>
      <c r="Y506" s="26"/>
      <c r="Z506" s="24"/>
      <c r="AA506" s="169">
        <f t="shared" si="150"/>
        <v>0</v>
      </c>
      <c r="AB506" s="4">
        <f t="shared" si="151"/>
        <v>0</v>
      </c>
      <c r="AC506" s="170">
        <f t="shared" si="168"/>
        <v>0</v>
      </c>
      <c r="AD506" s="58"/>
      <c r="AE506" s="58"/>
      <c r="AF506" s="58"/>
      <c r="AG506" s="59">
        <f t="shared" si="152"/>
        <v>9.0359999999999996</v>
      </c>
      <c r="AH506" s="59">
        <f t="shared" si="153"/>
        <v>-184.49199999999999</v>
      </c>
      <c r="AJ506" s="4">
        <f>IF(D506="M",IF(AM506&lt;78,BMILMS!$D$5*AM506^3+BMILMS!$E$5*AM506^2+BMILMS!$F$5*AM506+BMILMS!$G$5,IF(AM506&lt;150,BMILMS!$D$6*AM506^3+BMILMS!$E$6*AM506^2+BMILMS!$F$6*AM506+BMILMS!$G$6,BMILMS!$D$7*AM506^3+BMILMS!$E$7*AM506^2+BMILMS!$F$7*AM506+BMILMS!$G$7)),IF(AM506&lt;69,BMILMS!$D$9*AM506^3+BMILMS!$E$9*AM506^2+BMILMS!$F$9*AM506+BMILMS!$G$9,IF(AM506&lt;150,BMILMS!$D$10*AM506^3+BMILMS!$E$10*AM506^2+BMILMS!$F$10*AM506+BMILMS!$G$10,BMILMS!$D$11*AM506^3+BMILMS!$E$11*AM506^2+BMILMS!$F$11*AM506+BMILMS!$G$11)))</f>
        <v>0.79584630099999998</v>
      </c>
      <c r="AK506" s="4">
        <f>IF(D506="M",(IF(AM506&lt;2.5,BMILMS!$D$21*AM506^3+BMILMS!$E$21*AM506^2+BMILMS!$F$21*AM506+BMILMS!$G$21,IF(AM506&lt;9.5,BMILMS!$D$22*AM506^3+BMILMS!$E$22*AM506^2+BMILMS!$F$22*AM506+BMILMS!$G$22,IF(AM506&lt;26.75,BMILMS!$D$23*AM506^3+BMILMS!$E$23*AM506^2+BMILMS!$F$23*AM506+BMILMS!$G$23,IF(AM506&lt;90,BMILMS!$D$24*AM506^3+BMILMS!$E$24*AM506^2+BMILMS!$F$24*AM506+BMILMS!$G$24,BMILMS!$D$25*AM506^3+BMILMS!$E$25*AM506^2+BMILMS!$F$25*AM506+BMILMS!$G$25))))),(IF(AM506&lt;2.5,BMILMS!$D$27*AM506^3+BMILMS!$E$27*AM506^2+BMILMS!$F$27*AM506+BMILMS!$G$27,IF(AM506&lt;9.5,BMILMS!$D$28*AM506^3+BMILMS!$E$28*AM506^2+BMILMS!$F$28*AM506+BMILMS!$G$28,IF(AM506&lt;26.75,BMILMS!$D$29*AM506^3+BMILMS!$E$29*AM506^2+BMILMS!$F$29*AM506+BMILMS!$G$29,IF(AM506&lt;90,BMILMS!$D$30*AM506^3+BMILMS!$E$30*AM506^2+BMILMS!$F$30*AM506+BMILMS!$G$30,IF(AM506&lt;150,BMILMS!$D$31*AM506^3+BMILMS!$E$31*AM506^2+BMILMS!$F$31*AM506+BMILMS!$G$31,BMILMS!$D$32*AM506^3+BMILMS!$E$32*AM506^2+BMILMS!$F$32*AM506+BMILMS!$G$32)))))))</f>
        <v>12.568967990000001</v>
      </c>
      <c r="AL506" s="4">
        <f>IF(D506="M",(IF(AM506&lt;90,BMILMS!$D$14*AM506^3+BMILMS!$E$14*AM506^2+BMILMS!$F$14*AM506+BMILMS!$G$14,BMILMS!$D$15*AM506^3+BMILMS!$E$15*AM506^2+BMILMS!$F$15*AM506+BMILMS!$G$15)),(IF(AM506&lt;90,BMILMS!$D$17*AM506^3+BMILMS!$E$17*AM506^2+BMILMS!$F$17*AM506+BMILMS!$G$17,BMILMS!$D$18*AM506^3+BMILMS!$E$18*AM506^2+BMILMS!$F$18*AM506+BMILMS!$G$18)))</f>
        <v>8.8969350000000003E-2</v>
      </c>
      <c r="AM506" s="4">
        <f t="shared" si="167"/>
        <v>0</v>
      </c>
      <c r="AO506" s="56">
        <f>IF(D506="M",WeightSDS!P$5*$AM506^7+WeightSDS!Q$5*$AM506^6+WeightSDS!R$5*$AM506^5+WeightSDS!S$5*$AM506^4+WeightSDS!T$5*$AM506^3+WeightSDS!U$5*$AM506^2+WeightSDS!V$5*$AM506+WeightSDS!W$5,IF($AM506&lt;186,WeightSDS!P$8*$AM506^7+WeightSDS!Q$8*$AM506^6+WeightSDS!R$8*$AM506^5+WeightSDS!S$8*$AM506^4+WeightSDS!T$8*$AM506^3+WeightSDS!U$8*$AM506^2+WeightSDS!V$8*$AM506+WeightSDS!W$8,WeightSDS!$U$9+WeightSDS!$V$9*($AM506-WeightSDS!$W$9)))</f>
        <v>0.75407122999999998</v>
      </c>
      <c r="AP506" s="4">
        <f>IF(D506="M",IF($AM506&lt;45,WeightSDS!M$23*$AM506^10+WeightSDS!N$23*$AM506^9+WeightSDS!O$23*$AM506^8+WeightSDS!P$23*$AM506^7+WeightSDS!Q$23*$AM506^6+WeightSDS!R$23*$AM506^5+WeightSDS!S$23*$AM506^4+WeightSDS!T$23*$AM506^3+WeightSDS!U$23*$AM506^2+WeightSDS!V$23*$AM506+WeightSDS!W$23,IF($AM506&lt;153,WeightSDS!M$25*$AM506^10+WeightSDS!N$25*$AM506^9+WeightSDS!O$25*$AM506^8+WeightSDS!P$25*$AM506^7+WeightSDS!Q$25*$AM506^6+WeightSDS!R$25*$AM506^5+WeightSDS!S$25*$AM506^4+WeightSDS!T$25*$AM506^3+WeightSDS!U$25*$AM506^2+WeightSDS!V$25*$AM506+WeightSDS!W$25,WeightSDS!M$27+WeightSDS!N$27/(1+EXP(WeightSDS!O$27+WeightSDS!P$27*$AM506)))),IF($AM506&lt;43.8,WeightSDS!M$29*$AM506^10+WeightSDS!N$29*$AM506^9+WeightSDS!O$29*$AM506^8+WeightSDS!P$29*$AM506^7+WeightSDS!Q$29*$AM506^6+WeightSDS!R$29*$AM506^5+WeightSDS!S$29*$AM506^4+WeightSDS!T$29*$AM506^3+WeightSDS!U$29*$AM506^2+WeightSDS!V$29*$AM506+WeightSDS!W$29-0.010431*(1-$AM506/210),IF($AM506&lt;123,WeightSDS!M$30*$AM506^10+WeightSDS!N$30*$AM506^9+WeightSDS!O$30*$AM506^8+WeightSDS!P$30*$AM506^7+WeightSDS!Q$30*$AM506^6+WeightSDS!R$30*$AM506^5+WeightSDS!S$30*$AM506^4+WeightSDS!T$30*$AM506^3+WeightSDS!U$30*$AM506^2+WeightSDS!V$30*$AM506+WeightSDS!W$30-0.010431*(1-1/$AM506),WeightSDS!M$32+WeightSDS!N$32/(1+EXP(WeightSDS!O$32+WeightSDS!P$32*$AM506))-0.010431*(1-$AM506/210))))</f>
        <v>2.9500001032655536</v>
      </c>
      <c r="AQ506" s="4">
        <f>IF(D506="M",IF($AM506&lt;162,WeightSDS!P$12*$AM506^7+WeightSDS!Q$12*$AM506^6+WeightSDS!R$12*$AM506^5+WeightSDS!S$12*$AM506^4+WeightSDS!T$12*$AM506^3+WeightSDS!U$12*$AM506^2+WeightSDS!V$12*$AM506+WeightSDS!W$12,WeightSDS!P$14*$AM506^7+WeightSDS!Q$14*$AM506^6+WeightSDS!R$14*$AM506^5+WeightSDS!S$14*$AM506^4+WeightSDS!T$14*$AM506^3+WeightSDS!U$14*$AM506^2+WeightSDS!V$14*$AM506+WeightSDS!W$14),IF($AM506&lt;156,WeightSDS!O$17*$AM506^8+WeightSDS!P$17*$AM506^7+WeightSDS!Q$17*$AM506^6+WeightSDS!R$17*$AM506^5+WeightSDS!S$17*$AM506^4+WeightSDS!T$17*$AM506^3+WeightSDS!U$17*$AM506^2+WeightSDS!V$17*$AM506+WeightSDS!W$17,IF($AM506&lt;186,WeightSDS!$U$18+(WeightSDS!$V$18-WeightSDS!$U$18)/24*($AM506-186)+WeightSDS!$W$18*(-$AM506+186)^2-0.005,WeightSDS!$U$18+(WeightSDS!$V$18-WeightSDS!$U$18)/24*($AM506-186)-0.005)))</f>
        <v>0.14604529399999999</v>
      </c>
      <c r="AT506" s="4">
        <f t="shared" si="154"/>
        <v>0.56299999999999994</v>
      </c>
      <c r="AU506" s="4">
        <f t="shared" si="155"/>
        <v>69</v>
      </c>
      <c r="AV506" s="4">
        <f t="shared" si="156"/>
        <v>0.51</v>
      </c>
    </row>
    <row r="507" spans="1:48" x14ac:dyDescent="0.15">
      <c r="A507" s="4"/>
      <c r="B507" s="21"/>
      <c r="C507" s="21"/>
      <c r="D507" s="21"/>
      <c r="E507" s="22"/>
      <c r="F507" s="22"/>
      <c r="G507" s="23"/>
      <c r="H507" s="23"/>
      <c r="I507" s="181"/>
      <c r="J507" s="8" t="str">
        <f t="shared" si="148"/>
        <v/>
      </c>
      <c r="K507" s="2" t="str">
        <f t="shared" si="157"/>
        <v/>
      </c>
      <c r="L507" s="2" t="str">
        <f t="shared" si="149"/>
        <v/>
      </c>
      <c r="M507" s="2" t="str">
        <f t="shared" si="158"/>
        <v/>
      </c>
      <c r="N507" s="2" t="str">
        <f t="shared" si="166"/>
        <v/>
      </c>
      <c r="O507" s="2" t="str">
        <f t="shared" si="159"/>
        <v/>
      </c>
      <c r="P507" s="8" t="str">
        <f t="shared" si="160"/>
        <v/>
      </c>
      <c r="Q507" s="8" t="str">
        <f t="shared" si="161"/>
        <v/>
      </c>
      <c r="R507" s="111" t="str">
        <f t="shared" si="162"/>
        <v/>
      </c>
      <c r="S507" s="44" t="str">
        <f t="shared" si="163"/>
        <v/>
      </c>
      <c r="T507" s="37" t="str">
        <f t="shared" si="164"/>
        <v/>
      </c>
      <c r="U507" s="44" t="str">
        <f t="shared" si="165"/>
        <v/>
      </c>
      <c r="V507" s="26"/>
      <c r="W507" s="26"/>
      <c r="X507" s="26"/>
      <c r="Y507" s="26"/>
      <c r="Z507" s="24"/>
      <c r="AA507" s="169">
        <f t="shared" si="150"/>
        <v>0</v>
      </c>
      <c r="AB507" s="4">
        <f t="shared" si="151"/>
        <v>0</v>
      </c>
      <c r="AC507" s="170">
        <f t="shared" si="168"/>
        <v>0</v>
      </c>
      <c r="AD507" s="58"/>
      <c r="AE507" s="58"/>
      <c r="AF507" s="58"/>
      <c r="AG507" s="59">
        <f t="shared" si="152"/>
        <v>9.0359999999999996</v>
      </c>
      <c r="AH507" s="59">
        <f t="shared" si="153"/>
        <v>-184.49199999999999</v>
      </c>
      <c r="AJ507" s="4">
        <f>IF(D507="M",IF(AM507&lt;78,BMILMS!$D$5*AM507^3+BMILMS!$E$5*AM507^2+BMILMS!$F$5*AM507+BMILMS!$G$5,IF(AM507&lt;150,BMILMS!$D$6*AM507^3+BMILMS!$E$6*AM507^2+BMILMS!$F$6*AM507+BMILMS!$G$6,BMILMS!$D$7*AM507^3+BMILMS!$E$7*AM507^2+BMILMS!$F$7*AM507+BMILMS!$G$7)),IF(AM507&lt;69,BMILMS!$D$9*AM507^3+BMILMS!$E$9*AM507^2+BMILMS!$F$9*AM507+BMILMS!$G$9,IF(AM507&lt;150,BMILMS!$D$10*AM507^3+BMILMS!$E$10*AM507^2+BMILMS!$F$10*AM507+BMILMS!$G$10,BMILMS!$D$11*AM507^3+BMILMS!$E$11*AM507^2+BMILMS!$F$11*AM507+BMILMS!$G$11)))</f>
        <v>0.79584630099999998</v>
      </c>
      <c r="AK507" s="4">
        <f>IF(D507="M",(IF(AM507&lt;2.5,BMILMS!$D$21*AM507^3+BMILMS!$E$21*AM507^2+BMILMS!$F$21*AM507+BMILMS!$G$21,IF(AM507&lt;9.5,BMILMS!$D$22*AM507^3+BMILMS!$E$22*AM507^2+BMILMS!$F$22*AM507+BMILMS!$G$22,IF(AM507&lt;26.75,BMILMS!$D$23*AM507^3+BMILMS!$E$23*AM507^2+BMILMS!$F$23*AM507+BMILMS!$G$23,IF(AM507&lt;90,BMILMS!$D$24*AM507^3+BMILMS!$E$24*AM507^2+BMILMS!$F$24*AM507+BMILMS!$G$24,BMILMS!$D$25*AM507^3+BMILMS!$E$25*AM507^2+BMILMS!$F$25*AM507+BMILMS!$G$25))))),(IF(AM507&lt;2.5,BMILMS!$D$27*AM507^3+BMILMS!$E$27*AM507^2+BMILMS!$F$27*AM507+BMILMS!$G$27,IF(AM507&lt;9.5,BMILMS!$D$28*AM507^3+BMILMS!$E$28*AM507^2+BMILMS!$F$28*AM507+BMILMS!$G$28,IF(AM507&lt;26.75,BMILMS!$D$29*AM507^3+BMILMS!$E$29*AM507^2+BMILMS!$F$29*AM507+BMILMS!$G$29,IF(AM507&lt;90,BMILMS!$D$30*AM507^3+BMILMS!$E$30*AM507^2+BMILMS!$F$30*AM507+BMILMS!$G$30,IF(AM507&lt;150,BMILMS!$D$31*AM507^3+BMILMS!$E$31*AM507^2+BMILMS!$F$31*AM507+BMILMS!$G$31,BMILMS!$D$32*AM507^3+BMILMS!$E$32*AM507^2+BMILMS!$F$32*AM507+BMILMS!$G$32)))))))</f>
        <v>12.568967990000001</v>
      </c>
      <c r="AL507" s="4">
        <f>IF(D507="M",(IF(AM507&lt;90,BMILMS!$D$14*AM507^3+BMILMS!$E$14*AM507^2+BMILMS!$F$14*AM507+BMILMS!$G$14,BMILMS!$D$15*AM507^3+BMILMS!$E$15*AM507^2+BMILMS!$F$15*AM507+BMILMS!$G$15)),(IF(AM507&lt;90,BMILMS!$D$17*AM507^3+BMILMS!$E$17*AM507^2+BMILMS!$F$17*AM507+BMILMS!$G$17,BMILMS!$D$18*AM507^3+BMILMS!$E$18*AM507^2+BMILMS!$F$18*AM507+BMILMS!$G$18)))</f>
        <v>8.8969350000000003E-2</v>
      </c>
      <c r="AM507" s="4">
        <f t="shared" si="167"/>
        <v>0</v>
      </c>
      <c r="AO507" s="56">
        <f>IF(D507="M",WeightSDS!P$5*$AM507^7+WeightSDS!Q$5*$AM507^6+WeightSDS!R$5*$AM507^5+WeightSDS!S$5*$AM507^4+WeightSDS!T$5*$AM507^3+WeightSDS!U$5*$AM507^2+WeightSDS!V$5*$AM507+WeightSDS!W$5,IF($AM507&lt;186,WeightSDS!P$8*$AM507^7+WeightSDS!Q$8*$AM507^6+WeightSDS!R$8*$AM507^5+WeightSDS!S$8*$AM507^4+WeightSDS!T$8*$AM507^3+WeightSDS!U$8*$AM507^2+WeightSDS!V$8*$AM507+WeightSDS!W$8,WeightSDS!$U$9+WeightSDS!$V$9*($AM507-WeightSDS!$W$9)))</f>
        <v>0.75407122999999998</v>
      </c>
      <c r="AP507" s="4">
        <f>IF(D507="M",IF($AM507&lt;45,WeightSDS!M$23*$AM507^10+WeightSDS!N$23*$AM507^9+WeightSDS!O$23*$AM507^8+WeightSDS!P$23*$AM507^7+WeightSDS!Q$23*$AM507^6+WeightSDS!R$23*$AM507^5+WeightSDS!S$23*$AM507^4+WeightSDS!T$23*$AM507^3+WeightSDS!U$23*$AM507^2+WeightSDS!V$23*$AM507+WeightSDS!W$23,IF($AM507&lt;153,WeightSDS!M$25*$AM507^10+WeightSDS!N$25*$AM507^9+WeightSDS!O$25*$AM507^8+WeightSDS!P$25*$AM507^7+WeightSDS!Q$25*$AM507^6+WeightSDS!R$25*$AM507^5+WeightSDS!S$25*$AM507^4+WeightSDS!T$25*$AM507^3+WeightSDS!U$25*$AM507^2+WeightSDS!V$25*$AM507+WeightSDS!W$25,WeightSDS!M$27+WeightSDS!N$27/(1+EXP(WeightSDS!O$27+WeightSDS!P$27*$AM507)))),IF($AM507&lt;43.8,WeightSDS!M$29*$AM507^10+WeightSDS!N$29*$AM507^9+WeightSDS!O$29*$AM507^8+WeightSDS!P$29*$AM507^7+WeightSDS!Q$29*$AM507^6+WeightSDS!R$29*$AM507^5+WeightSDS!S$29*$AM507^4+WeightSDS!T$29*$AM507^3+WeightSDS!U$29*$AM507^2+WeightSDS!V$29*$AM507+WeightSDS!W$29-0.010431*(1-$AM507/210),IF($AM507&lt;123,WeightSDS!M$30*$AM507^10+WeightSDS!N$30*$AM507^9+WeightSDS!O$30*$AM507^8+WeightSDS!P$30*$AM507^7+WeightSDS!Q$30*$AM507^6+WeightSDS!R$30*$AM507^5+WeightSDS!S$30*$AM507^4+WeightSDS!T$30*$AM507^3+WeightSDS!U$30*$AM507^2+WeightSDS!V$30*$AM507+WeightSDS!W$30-0.010431*(1-1/$AM507),WeightSDS!M$32+WeightSDS!N$32/(1+EXP(WeightSDS!O$32+WeightSDS!P$32*$AM507))-0.010431*(1-$AM507/210))))</f>
        <v>2.9500001032655536</v>
      </c>
      <c r="AQ507" s="4">
        <f>IF(D507="M",IF($AM507&lt;162,WeightSDS!P$12*$AM507^7+WeightSDS!Q$12*$AM507^6+WeightSDS!R$12*$AM507^5+WeightSDS!S$12*$AM507^4+WeightSDS!T$12*$AM507^3+WeightSDS!U$12*$AM507^2+WeightSDS!V$12*$AM507+WeightSDS!W$12,WeightSDS!P$14*$AM507^7+WeightSDS!Q$14*$AM507^6+WeightSDS!R$14*$AM507^5+WeightSDS!S$14*$AM507^4+WeightSDS!T$14*$AM507^3+WeightSDS!U$14*$AM507^2+WeightSDS!V$14*$AM507+WeightSDS!W$14),IF($AM507&lt;156,WeightSDS!O$17*$AM507^8+WeightSDS!P$17*$AM507^7+WeightSDS!Q$17*$AM507^6+WeightSDS!R$17*$AM507^5+WeightSDS!S$17*$AM507^4+WeightSDS!T$17*$AM507^3+WeightSDS!U$17*$AM507^2+WeightSDS!V$17*$AM507+WeightSDS!W$17,IF($AM507&lt;186,WeightSDS!$U$18+(WeightSDS!$V$18-WeightSDS!$U$18)/24*($AM507-186)+WeightSDS!$W$18*(-$AM507+186)^2-0.005,WeightSDS!$U$18+(WeightSDS!$V$18-WeightSDS!$U$18)/24*($AM507-186)-0.005)))</f>
        <v>0.14604529399999999</v>
      </c>
      <c r="AT507" s="4">
        <f t="shared" si="154"/>
        <v>0.56299999999999994</v>
      </c>
      <c r="AU507" s="4">
        <f t="shared" si="155"/>
        <v>69</v>
      </c>
      <c r="AV507" s="4">
        <f t="shared" si="156"/>
        <v>0.51</v>
      </c>
    </row>
    <row r="508" spans="1:48" x14ac:dyDescent="0.15">
      <c r="A508" s="4"/>
      <c r="B508" s="21"/>
      <c r="C508" s="21"/>
      <c r="D508" s="21"/>
      <c r="E508" s="22"/>
      <c r="F508" s="22"/>
      <c r="G508" s="23"/>
      <c r="H508" s="23"/>
      <c r="I508" s="181"/>
      <c r="J508" s="8" t="str">
        <f t="shared" si="148"/>
        <v/>
      </c>
      <c r="K508" s="2" t="str">
        <f t="shared" si="157"/>
        <v/>
      </c>
      <c r="L508" s="2" t="str">
        <f t="shared" si="149"/>
        <v/>
      </c>
      <c r="M508" s="2" t="str">
        <f t="shared" si="158"/>
        <v/>
      </c>
      <c r="N508" s="2" t="str">
        <f t="shared" si="166"/>
        <v/>
      </c>
      <c r="O508" s="2" t="str">
        <f t="shared" si="159"/>
        <v/>
      </c>
      <c r="P508" s="8" t="str">
        <f t="shared" si="160"/>
        <v/>
      </c>
      <c r="Q508" s="8" t="str">
        <f t="shared" si="161"/>
        <v/>
      </c>
      <c r="R508" s="111" t="str">
        <f t="shared" si="162"/>
        <v/>
      </c>
      <c r="S508" s="44" t="str">
        <f t="shared" si="163"/>
        <v/>
      </c>
      <c r="T508" s="37" t="str">
        <f t="shared" si="164"/>
        <v/>
      </c>
      <c r="U508" s="44" t="str">
        <f t="shared" si="165"/>
        <v/>
      </c>
      <c r="V508" s="26"/>
      <c r="W508" s="26"/>
      <c r="X508" s="26"/>
      <c r="Y508" s="26"/>
      <c r="Z508" s="24"/>
      <c r="AA508" s="169">
        <f t="shared" si="150"/>
        <v>0</v>
      </c>
      <c r="AB508" s="4">
        <f t="shared" si="151"/>
        <v>0</v>
      </c>
      <c r="AC508" s="170">
        <f t="shared" si="168"/>
        <v>0</v>
      </c>
      <c r="AD508" s="58"/>
      <c r="AE508" s="58"/>
      <c r="AF508" s="58"/>
      <c r="AG508" s="59">
        <f t="shared" si="152"/>
        <v>9.0359999999999996</v>
      </c>
      <c r="AH508" s="59">
        <f t="shared" si="153"/>
        <v>-184.49199999999999</v>
      </c>
      <c r="AJ508" s="4">
        <f>IF(D508="M",IF(AM508&lt;78,BMILMS!$D$5*AM508^3+BMILMS!$E$5*AM508^2+BMILMS!$F$5*AM508+BMILMS!$G$5,IF(AM508&lt;150,BMILMS!$D$6*AM508^3+BMILMS!$E$6*AM508^2+BMILMS!$F$6*AM508+BMILMS!$G$6,BMILMS!$D$7*AM508^3+BMILMS!$E$7*AM508^2+BMILMS!$F$7*AM508+BMILMS!$G$7)),IF(AM508&lt;69,BMILMS!$D$9*AM508^3+BMILMS!$E$9*AM508^2+BMILMS!$F$9*AM508+BMILMS!$G$9,IF(AM508&lt;150,BMILMS!$D$10*AM508^3+BMILMS!$E$10*AM508^2+BMILMS!$F$10*AM508+BMILMS!$G$10,BMILMS!$D$11*AM508^3+BMILMS!$E$11*AM508^2+BMILMS!$F$11*AM508+BMILMS!$G$11)))</f>
        <v>0.79584630099999998</v>
      </c>
      <c r="AK508" s="4">
        <f>IF(D508="M",(IF(AM508&lt;2.5,BMILMS!$D$21*AM508^3+BMILMS!$E$21*AM508^2+BMILMS!$F$21*AM508+BMILMS!$G$21,IF(AM508&lt;9.5,BMILMS!$D$22*AM508^3+BMILMS!$E$22*AM508^2+BMILMS!$F$22*AM508+BMILMS!$G$22,IF(AM508&lt;26.75,BMILMS!$D$23*AM508^3+BMILMS!$E$23*AM508^2+BMILMS!$F$23*AM508+BMILMS!$G$23,IF(AM508&lt;90,BMILMS!$D$24*AM508^3+BMILMS!$E$24*AM508^2+BMILMS!$F$24*AM508+BMILMS!$G$24,BMILMS!$D$25*AM508^3+BMILMS!$E$25*AM508^2+BMILMS!$F$25*AM508+BMILMS!$G$25))))),(IF(AM508&lt;2.5,BMILMS!$D$27*AM508^3+BMILMS!$E$27*AM508^2+BMILMS!$F$27*AM508+BMILMS!$G$27,IF(AM508&lt;9.5,BMILMS!$D$28*AM508^3+BMILMS!$E$28*AM508^2+BMILMS!$F$28*AM508+BMILMS!$G$28,IF(AM508&lt;26.75,BMILMS!$D$29*AM508^3+BMILMS!$E$29*AM508^2+BMILMS!$F$29*AM508+BMILMS!$G$29,IF(AM508&lt;90,BMILMS!$D$30*AM508^3+BMILMS!$E$30*AM508^2+BMILMS!$F$30*AM508+BMILMS!$G$30,IF(AM508&lt;150,BMILMS!$D$31*AM508^3+BMILMS!$E$31*AM508^2+BMILMS!$F$31*AM508+BMILMS!$G$31,BMILMS!$D$32*AM508^3+BMILMS!$E$32*AM508^2+BMILMS!$F$32*AM508+BMILMS!$G$32)))))))</f>
        <v>12.568967990000001</v>
      </c>
      <c r="AL508" s="4">
        <f>IF(D508="M",(IF(AM508&lt;90,BMILMS!$D$14*AM508^3+BMILMS!$E$14*AM508^2+BMILMS!$F$14*AM508+BMILMS!$G$14,BMILMS!$D$15*AM508^3+BMILMS!$E$15*AM508^2+BMILMS!$F$15*AM508+BMILMS!$G$15)),(IF(AM508&lt;90,BMILMS!$D$17*AM508^3+BMILMS!$E$17*AM508^2+BMILMS!$F$17*AM508+BMILMS!$G$17,BMILMS!$D$18*AM508^3+BMILMS!$E$18*AM508^2+BMILMS!$F$18*AM508+BMILMS!$G$18)))</f>
        <v>8.8969350000000003E-2</v>
      </c>
      <c r="AM508" s="4">
        <f t="shared" si="167"/>
        <v>0</v>
      </c>
      <c r="AO508" s="56">
        <f>IF(D508="M",WeightSDS!P$5*$AM508^7+WeightSDS!Q$5*$AM508^6+WeightSDS!R$5*$AM508^5+WeightSDS!S$5*$AM508^4+WeightSDS!T$5*$AM508^3+WeightSDS!U$5*$AM508^2+WeightSDS!V$5*$AM508+WeightSDS!W$5,IF($AM508&lt;186,WeightSDS!P$8*$AM508^7+WeightSDS!Q$8*$AM508^6+WeightSDS!R$8*$AM508^5+WeightSDS!S$8*$AM508^4+WeightSDS!T$8*$AM508^3+WeightSDS!U$8*$AM508^2+WeightSDS!V$8*$AM508+WeightSDS!W$8,WeightSDS!$U$9+WeightSDS!$V$9*($AM508-WeightSDS!$W$9)))</f>
        <v>0.75407122999999998</v>
      </c>
      <c r="AP508" s="4">
        <f>IF(D508="M",IF($AM508&lt;45,WeightSDS!M$23*$AM508^10+WeightSDS!N$23*$AM508^9+WeightSDS!O$23*$AM508^8+WeightSDS!P$23*$AM508^7+WeightSDS!Q$23*$AM508^6+WeightSDS!R$23*$AM508^5+WeightSDS!S$23*$AM508^4+WeightSDS!T$23*$AM508^3+WeightSDS!U$23*$AM508^2+WeightSDS!V$23*$AM508+WeightSDS!W$23,IF($AM508&lt;153,WeightSDS!M$25*$AM508^10+WeightSDS!N$25*$AM508^9+WeightSDS!O$25*$AM508^8+WeightSDS!P$25*$AM508^7+WeightSDS!Q$25*$AM508^6+WeightSDS!R$25*$AM508^5+WeightSDS!S$25*$AM508^4+WeightSDS!T$25*$AM508^3+WeightSDS!U$25*$AM508^2+WeightSDS!V$25*$AM508+WeightSDS!W$25,WeightSDS!M$27+WeightSDS!N$27/(1+EXP(WeightSDS!O$27+WeightSDS!P$27*$AM508)))),IF($AM508&lt;43.8,WeightSDS!M$29*$AM508^10+WeightSDS!N$29*$AM508^9+WeightSDS!O$29*$AM508^8+WeightSDS!P$29*$AM508^7+WeightSDS!Q$29*$AM508^6+WeightSDS!R$29*$AM508^5+WeightSDS!S$29*$AM508^4+WeightSDS!T$29*$AM508^3+WeightSDS!U$29*$AM508^2+WeightSDS!V$29*$AM508+WeightSDS!W$29-0.010431*(1-$AM508/210),IF($AM508&lt;123,WeightSDS!M$30*$AM508^10+WeightSDS!N$30*$AM508^9+WeightSDS!O$30*$AM508^8+WeightSDS!P$30*$AM508^7+WeightSDS!Q$30*$AM508^6+WeightSDS!R$30*$AM508^5+WeightSDS!S$30*$AM508^4+WeightSDS!T$30*$AM508^3+WeightSDS!U$30*$AM508^2+WeightSDS!V$30*$AM508+WeightSDS!W$30-0.010431*(1-1/$AM508),WeightSDS!M$32+WeightSDS!N$32/(1+EXP(WeightSDS!O$32+WeightSDS!P$32*$AM508))-0.010431*(1-$AM508/210))))</f>
        <v>2.9500001032655536</v>
      </c>
      <c r="AQ508" s="4">
        <f>IF(D508="M",IF($AM508&lt;162,WeightSDS!P$12*$AM508^7+WeightSDS!Q$12*$AM508^6+WeightSDS!R$12*$AM508^5+WeightSDS!S$12*$AM508^4+WeightSDS!T$12*$AM508^3+WeightSDS!U$12*$AM508^2+WeightSDS!V$12*$AM508+WeightSDS!W$12,WeightSDS!P$14*$AM508^7+WeightSDS!Q$14*$AM508^6+WeightSDS!R$14*$AM508^5+WeightSDS!S$14*$AM508^4+WeightSDS!T$14*$AM508^3+WeightSDS!U$14*$AM508^2+WeightSDS!V$14*$AM508+WeightSDS!W$14),IF($AM508&lt;156,WeightSDS!O$17*$AM508^8+WeightSDS!P$17*$AM508^7+WeightSDS!Q$17*$AM508^6+WeightSDS!R$17*$AM508^5+WeightSDS!S$17*$AM508^4+WeightSDS!T$17*$AM508^3+WeightSDS!U$17*$AM508^2+WeightSDS!V$17*$AM508+WeightSDS!W$17,IF($AM508&lt;186,WeightSDS!$U$18+(WeightSDS!$V$18-WeightSDS!$U$18)/24*($AM508-186)+WeightSDS!$W$18*(-$AM508+186)^2-0.005,WeightSDS!$U$18+(WeightSDS!$V$18-WeightSDS!$U$18)/24*($AM508-186)-0.005)))</f>
        <v>0.14604529399999999</v>
      </c>
      <c r="AT508" s="4">
        <f t="shared" si="154"/>
        <v>0.56299999999999994</v>
      </c>
      <c r="AU508" s="4">
        <f t="shared" si="155"/>
        <v>69</v>
      </c>
      <c r="AV508" s="4">
        <f t="shared" si="156"/>
        <v>0.51</v>
      </c>
    </row>
    <row r="509" spans="1:48" x14ac:dyDescent="0.15">
      <c r="A509" s="4"/>
      <c r="B509" s="21"/>
      <c r="C509" s="21"/>
      <c r="D509" s="21"/>
      <c r="E509" s="22"/>
      <c r="F509" s="22"/>
      <c r="G509" s="23"/>
      <c r="H509" s="23"/>
      <c r="I509" s="181"/>
      <c r="J509" s="8" t="str">
        <f t="shared" si="148"/>
        <v/>
      </c>
      <c r="K509" s="2" t="str">
        <f t="shared" si="157"/>
        <v/>
      </c>
      <c r="L509" s="2" t="str">
        <f t="shared" si="149"/>
        <v/>
      </c>
      <c r="M509" s="2" t="str">
        <f t="shared" si="158"/>
        <v/>
      </c>
      <c r="N509" s="2" t="str">
        <f t="shared" si="166"/>
        <v/>
      </c>
      <c r="O509" s="2" t="str">
        <f t="shared" si="159"/>
        <v/>
      </c>
      <c r="P509" s="8" t="str">
        <f t="shared" si="160"/>
        <v/>
      </c>
      <c r="Q509" s="8" t="str">
        <f t="shared" si="161"/>
        <v/>
      </c>
      <c r="R509" s="111" t="str">
        <f t="shared" si="162"/>
        <v/>
      </c>
      <c r="S509" s="44" t="str">
        <f t="shared" si="163"/>
        <v/>
      </c>
      <c r="T509" s="37" t="str">
        <f t="shared" si="164"/>
        <v/>
      </c>
      <c r="U509" s="44" t="str">
        <f t="shared" si="165"/>
        <v/>
      </c>
      <c r="V509" s="26"/>
      <c r="W509" s="26"/>
      <c r="X509" s="26"/>
      <c r="Y509" s="26"/>
      <c r="Z509" s="24"/>
      <c r="AA509" s="169">
        <f t="shared" si="150"/>
        <v>0</v>
      </c>
      <c r="AB509" s="4">
        <f t="shared" si="151"/>
        <v>0</v>
      </c>
      <c r="AC509" s="170">
        <f t="shared" si="168"/>
        <v>0</v>
      </c>
      <c r="AD509" s="58"/>
      <c r="AE509" s="58"/>
      <c r="AF509" s="58"/>
      <c r="AG509" s="59">
        <f t="shared" si="152"/>
        <v>9.0359999999999996</v>
      </c>
      <c r="AH509" s="59">
        <f t="shared" si="153"/>
        <v>-184.49199999999999</v>
      </c>
      <c r="AJ509" s="4">
        <f>IF(D509="M",IF(AM509&lt;78,BMILMS!$D$5*AM509^3+BMILMS!$E$5*AM509^2+BMILMS!$F$5*AM509+BMILMS!$G$5,IF(AM509&lt;150,BMILMS!$D$6*AM509^3+BMILMS!$E$6*AM509^2+BMILMS!$F$6*AM509+BMILMS!$G$6,BMILMS!$D$7*AM509^3+BMILMS!$E$7*AM509^2+BMILMS!$F$7*AM509+BMILMS!$G$7)),IF(AM509&lt;69,BMILMS!$D$9*AM509^3+BMILMS!$E$9*AM509^2+BMILMS!$F$9*AM509+BMILMS!$G$9,IF(AM509&lt;150,BMILMS!$D$10*AM509^3+BMILMS!$E$10*AM509^2+BMILMS!$F$10*AM509+BMILMS!$G$10,BMILMS!$D$11*AM509^3+BMILMS!$E$11*AM509^2+BMILMS!$F$11*AM509+BMILMS!$G$11)))</f>
        <v>0.79584630099999998</v>
      </c>
      <c r="AK509" s="4">
        <f>IF(D509="M",(IF(AM509&lt;2.5,BMILMS!$D$21*AM509^3+BMILMS!$E$21*AM509^2+BMILMS!$F$21*AM509+BMILMS!$G$21,IF(AM509&lt;9.5,BMILMS!$D$22*AM509^3+BMILMS!$E$22*AM509^2+BMILMS!$F$22*AM509+BMILMS!$G$22,IF(AM509&lt;26.75,BMILMS!$D$23*AM509^3+BMILMS!$E$23*AM509^2+BMILMS!$F$23*AM509+BMILMS!$G$23,IF(AM509&lt;90,BMILMS!$D$24*AM509^3+BMILMS!$E$24*AM509^2+BMILMS!$F$24*AM509+BMILMS!$G$24,BMILMS!$D$25*AM509^3+BMILMS!$E$25*AM509^2+BMILMS!$F$25*AM509+BMILMS!$G$25))))),(IF(AM509&lt;2.5,BMILMS!$D$27*AM509^3+BMILMS!$E$27*AM509^2+BMILMS!$F$27*AM509+BMILMS!$G$27,IF(AM509&lt;9.5,BMILMS!$D$28*AM509^3+BMILMS!$E$28*AM509^2+BMILMS!$F$28*AM509+BMILMS!$G$28,IF(AM509&lt;26.75,BMILMS!$D$29*AM509^3+BMILMS!$E$29*AM509^2+BMILMS!$F$29*AM509+BMILMS!$G$29,IF(AM509&lt;90,BMILMS!$D$30*AM509^3+BMILMS!$E$30*AM509^2+BMILMS!$F$30*AM509+BMILMS!$G$30,IF(AM509&lt;150,BMILMS!$D$31*AM509^3+BMILMS!$E$31*AM509^2+BMILMS!$F$31*AM509+BMILMS!$G$31,BMILMS!$D$32*AM509^3+BMILMS!$E$32*AM509^2+BMILMS!$F$32*AM509+BMILMS!$G$32)))))))</f>
        <v>12.568967990000001</v>
      </c>
      <c r="AL509" s="4">
        <f>IF(D509="M",(IF(AM509&lt;90,BMILMS!$D$14*AM509^3+BMILMS!$E$14*AM509^2+BMILMS!$F$14*AM509+BMILMS!$G$14,BMILMS!$D$15*AM509^3+BMILMS!$E$15*AM509^2+BMILMS!$F$15*AM509+BMILMS!$G$15)),(IF(AM509&lt;90,BMILMS!$D$17*AM509^3+BMILMS!$E$17*AM509^2+BMILMS!$F$17*AM509+BMILMS!$G$17,BMILMS!$D$18*AM509^3+BMILMS!$E$18*AM509^2+BMILMS!$F$18*AM509+BMILMS!$G$18)))</f>
        <v>8.8969350000000003E-2</v>
      </c>
      <c r="AM509" s="4">
        <f t="shared" si="167"/>
        <v>0</v>
      </c>
      <c r="AO509" s="56">
        <f>IF(D509="M",WeightSDS!P$5*$AM509^7+WeightSDS!Q$5*$AM509^6+WeightSDS!R$5*$AM509^5+WeightSDS!S$5*$AM509^4+WeightSDS!T$5*$AM509^3+WeightSDS!U$5*$AM509^2+WeightSDS!V$5*$AM509+WeightSDS!W$5,IF($AM509&lt;186,WeightSDS!P$8*$AM509^7+WeightSDS!Q$8*$AM509^6+WeightSDS!R$8*$AM509^5+WeightSDS!S$8*$AM509^4+WeightSDS!T$8*$AM509^3+WeightSDS!U$8*$AM509^2+WeightSDS!V$8*$AM509+WeightSDS!W$8,WeightSDS!$U$9+WeightSDS!$V$9*($AM509-WeightSDS!$W$9)))</f>
        <v>0.75407122999999998</v>
      </c>
      <c r="AP509" s="4">
        <f>IF(D509="M",IF($AM509&lt;45,WeightSDS!M$23*$AM509^10+WeightSDS!N$23*$AM509^9+WeightSDS!O$23*$AM509^8+WeightSDS!P$23*$AM509^7+WeightSDS!Q$23*$AM509^6+WeightSDS!R$23*$AM509^5+WeightSDS!S$23*$AM509^4+WeightSDS!T$23*$AM509^3+WeightSDS!U$23*$AM509^2+WeightSDS!V$23*$AM509+WeightSDS!W$23,IF($AM509&lt;153,WeightSDS!M$25*$AM509^10+WeightSDS!N$25*$AM509^9+WeightSDS!O$25*$AM509^8+WeightSDS!P$25*$AM509^7+WeightSDS!Q$25*$AM509^6+WeightSDS!R$25*$AM509^5+WeightSDS!S$25*$AM509^4+WeightSDS!T$25*$AM509^3+WeightSDS!U$25*$AM509^2+WeightSDS!V$25*$AM509+WeightSDS!W$25,WeightSDS!M$27+WeightSDS!N$27/(1+EXP(WeightSDS!O$27+WeightSDS!P$27*$AM509)))),IF($AM509&lt;43.8,WeightSDS!M$29*$AM509^10+WeightSDS!N$29*$AM509^9+WeightSDS!O$29*$AM509^8+WeightSDS!P$29*$AM509^7+WeightSDS!Q$29*$AM509^6+WeightSDS!R$29*$AM509^5+WeightSDS!S$29*$AM509^4+WeightSDS!T$29*$AM509^3+WeightSDS!U$29*$AM509^2+WeightSDS!V$29*$AM509+WeightSDS!W$29-0.010431*(1-$AM509/210),IF($AM509&lt;123,WeightSDS!M$30*$AM509^10+WeightSDS!N$30*$AM509^9+WeightSDS!O$30*$AM509^8+WeightSDS!P$30*$AM509^7+WeightSDS!Q$30*$AM509^6+WeightSDS!R$30*$AM509^5+WeightSDS!S$30*$AM509^4+WeightSDS!T$30*$AM509^3+WeightSDS!U$30*$AM509^2+WeightSDS!V$30*$AM509+WeightSDS!W$30-0.010431*(1-1/$AM509),WeightSDS!M$32+WeightSDS!N$32/(1+EXP(WeightSDS!O$32+WeightSDS!P$32*$AM509))-0.010431*(1-$AM509/210))))</f>
        <v>2.9500001032655536</v>
      </c>
      <c r="AQ509" s="4">
        <f>IF(D509="M",IF($AM509&lt;162,WeightSDS!P$12*$AM509^7+WeightSDS!Q$12*$AM509^6+WeightSDS!R$12*$AM509^5+WeightSDS!S$12*$AM509^4+WeightSDS!T$12*$AM509^3+WeightSDS!U$12*$AM509^2+WeightSDS!V$12*$AM509+WeightSDS!W$12,WeightSDS!P$14*$AM509^7+WeightSDS!Q$14*$AM509^6+WeightSDS!R$14*$AM509^5+WeightSDS!S$14*$AM509^4+WeightSDS!T$14*$AM509^3+WeightSDS!U$14*$AM509^2+WeightSDS!V$14*$AM509+WeightSDS!W$14),IF($AM509&lt;156,WeightSDS!O$17*$AM509^8+WeightSDS!P$17*$AM509^7+WeightSDS!Q$17*$AM509^6+WeightSDS!R$17*$AM509^5+WeightSDS!S$17*$AM509^4+WeightSDS!T$17*$AM509^3+WeightSDS!U$17*$AM509^2+WeightSDS!V$17*$AM509+WeightSDS!W$17,IF($AM509&lt;186,WeightSDS!$U$18+(WeightSDS!$V$18-WeightSDS!$U$18)/24*($AM509-186)+WeightSDS!$W$18*(-$AM509+186)^2-0.005,WeightSDS!$U$18+(WeightSDS!$V$18-WeightSDS!$U$18)/24*($AM509-186)-0.005)))</f>
        <v>0.14604529399999999</v>
      </c>
      <c r="AT509" s="4">
        <f t="shared" si="154"/>
        <v>0.56299999999999994</v>
      </c>
      <c r="AU509" s="4">
        <f t="shared" si="155"/>
        <v>69</v>
      </c>
      <c r="AV509" s="4">
        <f t="shared" si="156"/>
        <v>0.51</v>
      </c>
    </row>
    <row r="510" spans="1:48" x14ac:dyDescent="0.15">
      <c r="A510" s="4"/>
      <c r="B510" s="21"/>
      <c r="C510" s="21"/>
      <c r="D510" s="21"/>
      <c r="E510" s="22"/>
      <c r="F510" s="22"/>
      <c r="G510" s="23"/>
      <c r="H510" s="23"/>
      <c r="I510" s="181"/>
      <c r="J510" s="8" t="str">
        <f t="shared" si="148"/>
        <v/>
      </c>
      <c r="K510" s="2" t="str">
        <f t="shared" si="157"/>
        <v/>
      </c>
      <c r="L510" s="2" t="str">
        <f t="shared" si="149"/>
        <v/>
      </c>
      <c r="M510" s="2" t="str">
        <f t="shared" si="158"/>
        <v/>
      </c>
      <c r="N510" s="2" t="str">
        <f t="shared" si="166"/>
        <v/>
      </c>
      <c r="O510" s="2" t="str">
        <f t="shared" si="159"/>
        <v/>
      </c>
      <c r="P510" s="8" t="str">
        <f t="shared" si="160"/>
        <v/>
      </c>
      <c r="Q510" s="8" t="str">
        <f t="shared" si="161"/>
        <v/>
      </c>
      <c r="R510" s="111" t="str">
        <f t="shared" si="162"/>
        <v/>
      </c>
      <c r="S510" s="44" t="str">
        <f t="shared" si="163"/>
        <v/>
      </c>
      <c r="T510" s="37" t="str">
        <f t="shared" si="164"/>
        <v/>
      </c>
      <c r="U510" s="44" t="str">
        <f t="shared" si="165"/>
        <v/>
      </c>
      <c r="V510" s="26"/>
      <c r="W510" s="26"/>
      <c r="X510" s="26"/>
      <c r="Y510" s="26"/>
      <c r="Z510" s="24"/>
      <c r="AA510" s="169">
        <f t="shared" si="150"/>
        <v>0</v>
      </c>
      <c r="AB510" s="4">
        <f t="shared" si="151"/>
        <v>0</v>
      </c>
      <c r="AC510" s="170">
        <f t="shared" si="168"/>
        <v>0</v>
      </c>
      <c r="AD510" s="58"/>
      <c r="AE510" s="58"/>
      <c r="AF510" s="58"/>
      <c r="AG510" s="59">
        <f t="shared" si="152"/>
        <v>9.0359999999999996</v>
      </c>
      <c r="AH510" s="59">
        <f t="shared" si="153"/>
        <v>-184.49199999999999</v>
      </c>
      <c r="AJ510" s="4">
        <f>IF(D510="M",IF(AM510&lt;78,BMILMS!$D$5*AM510^3+BMILMS!$E$5*AM510^2+BMILMS!$F$5*AM510+BMILMS!$G$5,IF(AM510&lt;150,BMILMS!$D$6*AM510^3+BMILMS!$E$6*AM510^2+BMILMS!$F$6*AM510+BMILMS!$G$6,BMILMS!$D$7*AM510^3+BMILMS!$E$7*AM510^2+BMILMS!$F$7*AM510+BMILMS!$G$7)),IF(AM510&lt;69,BMILMS!$D$9*AM510^3+BMILMS!$E$9*AM510^2+BMILMS!$F$9*AM510+BMILMS!$G$9,IF(AM510&lt;150,BMILMS!$D$10*AM510^3+BMILMS!$E$10*AM510^2+BMILMS!$F$10*AM510+BMILMS!$G$10,BMILMS!$D$11*AM510^3+BMILMS!$E$11*AM510^2+BMILMS!$F$11*AM510+BMILMS!$G$11)))</f>
        <v>0.79584630099999998</v>
      </c>
      <c r="AK510" s="4">
        <f>IF(D510="M",(IF(AM510&lt;2.5,BMILMS!$D$21*AM510^3+BMILMS!$E$21*AM510^2+BMILMS!$F$21*AM510+BMILMS!$G$21,IF(AM510&lt;9.5,BMILMS!$D$22*AM510^3+BMILMS!$E$22*AM510^2+BMILMS!$F$22*AM510+BMILMS!$G$22,IF(AM510&lt;26.75,BMILMS!$D$23*AM510^3+BMILMS!$E$23*AM510^2+BMILMS!$F$23*AM510+BMILMS!$G$23,IF(AM510&lt;90,BMILMS!$D$24*AM510^3+BMILMS!$E$24*AM510^2+BMILMS!$F$24*AM510+BMILMS!$G$24,BMILMS!$D$25*AM510^3+BMILMS!$E$25*AM510^2+BMILMS!$F$25*AM510+BMILMS!$G$25))))),(IF(AM510&lt;2.5,BMILMS!$D$27*AM510^3+BMILMS!$E$27*AM510^2+BMILMS!$F$27*AM510+BMILMS!$G$27,IF(AM510&lt;9.5,BMILMS!$D$28*AM510^3+BMILMS!$E$28*AM510^2+BMILMS!$F$28*AM510+BMILMS!$G$28,IF(AM510&lt;26.75,BMILMS!$D$29*AM510^3+BMILMS!$E$29*AM510^2+BMILMS!$F$29*AM510+BMILMS!$G$29,IF(AM510&lt;90,BMILMS!$D$30*AM510^3+BMILMS!$E$30*AM510^2+BMILMS!$F$30*AM510+BMILMS!$G$30,IF(AM510&lt;150,BMILMS!$D$31*AM510^3+BMILMS!$E$31*AM510^2+BMILMS!$F$31*AM510+BMILMS!$G$31,BMILMS!$D$32*AM510^3+BMILMS!$E$32*AM510^2+BMILMS!$F$32*AM510+BMILMS!$G$32)))))))</f>
        <v>12.568967990000001</v>
      </c>
      <c r="AL510" s="4">
        <f>IF(D510="M",(IF(AM510&lt;90,BMILMS!$D$14*AM510^3+BMILMS!$E$14*AM510^2+BMILMS!$F$14*AM510+BMILMS!$G$14,BMILMS!$D$15*AM510^3+BMILMS!$E$15*AM510^2+BMILMS!$F$15*AM510+BMILMS!$G$15)),(IF(AM510&lt;90,BMILMS!$D$17*AM510^3+BMILMS!$E$17*AM510^2+BMILMS!$F$17*AM510+BMILMS!$G$17,BMILMS!$D$18*AM510^3+BMILMS!$E$18*AM510^2+BMILMS!$F$18*AM510+BMILMS!$G$18)))</f>
        <v>8.8969350000000003E-2</v>
      </c>
      <c r="AM510" s="4">
        <f t="shared" si="167"/>
        <v>0</v>
      </c>
      <c r="AO510" s="56">
        <f>IF(D510="M",WeightSDS!P$5*$AM510^7+WeightSDS!Q$5*$AM510^6+WeightSDS!R$5*$AM510^5+WeightSDS!S$5*$AM510^4+WeightSDS!T$5*$AM510^3+WeightSDS!U$5*$AM510^2+WeightSDS!V$5*$AM510+WeightSDS!W$5,IF($AM510&lt;186,WeightSDS!P$8*$AM510^7+WeightSDS!Q$8*$AM510^6+WeightSDS!R$8*$AM510^5+WeightSDS!S$8*$AM510^4+WeightSDS!T$8*$AM510^3+WeightSDS!U$8*$AM510^2+WeightSDS!V$8*$AM510+WeightSDS!W$8,WeightSDS!$U$9+WeightSDS!$V$9*($AM510-WeightSDS!$W$9)))</f>
        <v>0.75407122999999998</v>
      </c>
      <c r="AP510" s="4">
        <f>IF(D510="M",IF($AM510&lt;45,WeightSDS!M$23*$AM510^10+WeightSDS!N$23*$AM510^9+WeightSDS!O$23*$AM510^8+WeightSDS!P$23*$AM510^7+WeightSDS!Q$23*$AM510^6+WeightSDS!R$23*$AM510^5+WeightSDS!S$23*$AM510^4+WeightSDS!T$23*$AM510^3+WeightSDS!U$23*$AM510^2+WeightSDS!V$23*$AM510+WeightSDS!W$23,IF($AM510&lt;153,WeightSDS!M$25*$AM510^10+WeightSDS!N$25*$AM510^9+WeightSDS!O$25*$AM510^8+WeightSDS!P$25*$AM510^7+WeightSDS!Q$25*$AM510^6+WeightSDS!R$25*$AM510^5+WeightSDS!S$25*$AM510^4+WeightSDS!T$25*$AM510^3+WeightSDS!U$25*$AM510^2+WeightSDS!V$25*$AM510+WeightSDS!W$25,WeightSDS!M$27+WeightSDS!N$27/(1+EXP(WeightSDS!O$27+WeightSDS!P$27*$AM510)))),IF($AM510&lt;43.8,WeightSDS!M$29*$AM510^10+WeightSDS!N$29*$AM510^9+WeightSDS!O$29*$AM510^8+WeightSDS!P$29*$AM510^7+WeightSDS!Q$29*$AM510^6+WeightSDS!R$29*$AM510^5+WeightSDS!S$29*$AM510^4+WeightSDS!T$29*$AM510^3+WeightSDS!U$29*$AM510^2+WeightSDS!V$29*$AM510+WeightSDS!W$29-0.010431*(1-$AM510/210),IF($AM510&lt;123,WeightSDS!M$30*$AM510^10+WeightSDS!N$30*$AM510^9+WeightSDS!O$30*$AM510^8+WeightSDS!P$30*$AM510^7+WeightSDS!Q$30*$AM510^6+WeightSDS!R$30*$AM510^5+WeightSDS!S$30*$AM510^4+WeightSDS!T$30*$AM510^3+WeightSDS!U$30*$AM510^2+WeightSDS!V$30*$AM510+WeightSDS!W$30-0.010431*(1-1/$AM510),WeightSDS!M$32+WeightSDS!N$32/(1+EXP(WeightSDS!O$32+WeightSDS!P$32*$AM510))-0.010431*(1-$AM510/210))))</f>
        <v>2.9500001032655536</v>
      </c>
      <c r="AQ510" s="4">
        <f>IF(D510="M",IF($AM510&lt;162,WeightSDS!P$12*$AM510^7+WeightSDS!Q$12*$AM510^6+WeightSDS!R$12*$AM510^5+WeightSDS!S$12*$AM510^4+WeightSDS!T$12*$AM510^3+WeightSDS!U$12*$AM510^2+WeightSDS!V$12*$AM510+WeightSDS!W$12,WeightSDS!P$14*$AM510^7+WeightSDS!Q$14*$AM510^6+WeightSDS!R$14*$AM510^5+WeightSDS!S$14*$AM510^4+WeightSDS!T$14*$AM510^3+WeightSDS!U$14*$AM510^2+WeightSDS!V$14*$AM510+WeightSDS!W$14),IF($AM510&lt;156,WeightSDS!O$17*$AM510^8+WeightSDS!P$17*$AM510^7+WeightSDS!Q$17*$AM510^6+WeightSDS!R$17*$AM510^5+WeightSDS!S$17*$AM510^4+WeightSDS!T$17*$AM510^3+WeightSDS!U$17*$AM510^2+WeightSDS!V$17*$AM510+WeightSDS!W$17,IF($AM510&lt;186,WeightSDS!$U$18+(WeightSDS!$V$18-WeightSDS!$U$18)/24*($AM510-186)+WeightSDS!$W$18*(-$AM510+186)^2-0.005,WeightSDS!$U$18+(WeightSDS!$V$18-WeightSDS!$U$18)/24*($AM510-186)-0.005)))</f>
        <v>0.14604529399999999</v>
      </c>
      <c r="AT510" s="4">
        <f t="shared" si="154"/>
        <v>0.56299999999999994</v>
      </c>
      <c r="AU510" s="4">
        <f t="shared" si="155"/>
        <v>69</v>
      </c>
      <c r="AV510" s="4">
        <f t="shared" si="156"/>
        <v>0.51</v>
      </c>
    </row>
    <row r="511" spans="1:48" x14ac:dyDescent="0.15">
      <c r="A511" s="4"/>
      <c r="B511" s="21"/>
      <c r="C511" s="21"/>
      <c r="D511" s="21"/>
      <c r="E511" s="22"/>
      <c r="F511" s="22"/>
      <c r="G511" s="23"/>
      <c r="H511" s="23"/>
      <c r="I511" s="181"/>
      <c r="J511" s="8" t="str">
        <f t="shared" si="148"/>
        <v/>
      </c>
      <c r="K511" s="2" t="str">
        <f t="shared" si="157"/>
        <v/>
      </c>
      <c r="L511" s="2" t="str">
        <f t="shared" si="149"/>
        <v/>
      </c>
      <c r="M511" s="2" t="str">
        <f t="shared" si="158"/>
        <v/>
      </c>
      <c r="N511" s="2" t="str">
        <f t="shared" si="166"/>
        <v/>
      </c>
      <c r="O511" s="2" t="str">
        <f t="shared" si="159"/>
        <v/>
      </c>
      <c r="P511" s="8" t="str">
        <f t="shared" si="160"/>
        <v/>
      </c>
      <c r="Q511" s="8" t="str">
        <f t="shared" si="161"/>
        <v/>
      </c>
      <c r="R511" s="111" t="str">
        <f t="shared" si="162"/>
        <v/>
      </c>
      <c r="S511" s="44" t="str">
        <f t="shared" si="163"/>
        <v/>
      </c>
      <c r="T511" s="37" t="str">
        <f t="shared" si="164"/>
        <v/>
      </c>
      <c r="U511" s="44" t="str">
        <f t="shared" si="165"/>
        <v/>
      </c>
      <c r="V511" s="26"/>
      <c r="W511" s="26"/>
      <c r="X511" s="26"/>
      <c r="Y511" s="26"/>
      <c r="Z511" s="24"/>
      <c r="AA511" s="169">
        <f t="shared" si="150"/>
        <v>0</v>
      </c>
      <c r="AB511" s="4">
        <f t="shared" si="151"/>
        <v>0</v>
      </c>
      <c r="AC511" s="170">
        <f t="shared" si="168"/>
        <v>0</v>
      </c>
      <c r="AD511" s="58"/>
      <c r="AE511" s="58"/>
      <c r="AF511" s="58"/>
      <c r="AG511" s="59">
        <f t="shared" si="152"/>
        <v>9.0359999999999996</v>
      </c>
      <c r="AH511" s="59">
        <f t="shared" si="153"/>
        <v>-184.49199999999999</v>
      </c>
      <c r="AJ511" s="4">
        <f>IF(D511="M",IF(AM511&lt;78,BMILMS!$D$5*AM511^3+BMILMS!$E$5*AM511^2+BMILMS!$F$5*AM511+BMILMS!$G$5,IF(AM511&lt;150,BMILMS!$D$6*AM511^3+BMILMS!$E$6*AM511^2+BMILMS!$F$6*AM511+BMILMS!$G$6,BMILMS!$D$7*AM511^3+BMILMS!$E$7*AM511^2+BMILMS!$F$7*AM511+BMILMS!$G$7)),IF(AM511&lt;69,BMILMS!$D$9*AM511^3+BMILMS!$E$9*AM511^2+BMILMS!$F$9*AM511+BMILMS!$G$9,IF(AM511&lt;150,BMILMS!$D$10*AM511^3+BMILMS!$E$10*AM511^2+BMILMS!$F$10*AM511+BMILMS!$G$10,BMILMS!$D$11*AM511^3+BMILMS!$E$11*AM511^2+BMILMS!$F$11*AM511+BMILMS!$G$11)))</f>
        <v>0.79584630099999998</v>
      </c>
      <c r="AK511" s="4">
        <f>IF(D511="M",(IF(AM511&lt;2.5,BMILMS!$D$21*AM511^3+BMILMS!$E$21*AM511^2+BMILMS!$F$21*AM511+BMILMS!$G$21,IF(AM511&lt;9.5,BMILMS!$D$22*AM511^3+BMILMS!$E$22*AM511^2+BMILMS!$F$22*AM511+BMILMS!$G$22,IF(AM511&lt;26.75,BMILMS!$D$23*AM511^3+BMILMS!$E$23*AM511^2+BMILMS!$F$23*AM511+BMILMS!$G$23,IF(AM511&lt;90,BMILMS!$D$24*AM511^3+BMILMS!$E$24*AM511^2+BMILMS!$F$24*AM511+BMILMS!$G$24,BMILMS!$D$25*AM511^3+BMILMS!$E$25*AM511^2+BMILMS!$F$25*AM511+BMILMS!$G$25))))),(IF(AM511&lt;2.5,BMILMS!$D$27*AM511^3+BMILMS!$E$27*AM511^2+BMILMS!$F$27*AM511+BMILMS!$G$27,IF(AM511&lt;9.5,BMILMS!$D$28*AM511^3+BMILMS!$E$28*AM511^2+BMILMS!$F$28*AM511+BMILMS!$G$28,IF(AM511&lt;26.75,BMILMS!$D$29*AM511^3+BMILMS!$E$29*AM511^2+BMILMS!$F$29*AM511+BMILMS!$G$29,IF(AM511&lt;90,BMILMS!$D$30*AM511^3+BMILMS!$E$30*AM511^2+BMILMS!$F$30*AM511+BMILMS!$G$30,IF(AM511&lt;150,BMILMS!$D$31*AM511^3+BMILMS!$E$31*AM511^2+BMILMS!$F$31*AM511+BMILMS!$G$31,BMILMS!$D$32*AM511^3+BMILMS!$E$32*AM511^2+BMILMS!$F$32*AM511+BMILMS!$G$32)))))))</f>
        <v>12.568967990000001</v>
      </c>
      <c r="AL511" s="4">
        <f>IF(D511="M",(IF(AM511&lt;90,BMILMS!$D$14*AM511^3+BMILMS!$E$14*AM511^2+BMILMS!$F$14*AM511+BMILMS!$G$14,BMILMS!$D$15*AM511^3+BMILMS!$E$15*AM511^2+BMILMS!$F$15*AM511+BMILMS!$G$15)),(IF(AM511&lt;90,BMILMS!$D$17*AM511^3+BMILMS!$E$17*AM511^2+BMILMS!$F$17*AM511+BMILMS!$G$17,BMILMS!$D$18*AM511^3+BMILMS!$E$18*AM511^2+BMILMS!$F$18*AM511+BMILMS!$G$18)))</f>
        <v>8.8969350000000003E-2</v>
      </c>
      <c r="AM511" s="4">
        <f t="shared" si="167"/>
        <v>0</v>
      </c>
      <c r="AO511" s="56">
        <f>IF(D511="M",WeightSDS!P$5*$AM511^7+WeightSDS!Q$5*$AM511^6+WeightSDS!R$5*$AM511^5+WeightSDS!S$5*$AM511^4+WeightSDS!T$5*$AM511^3+WeightSDS!U$5*$AM511^2+WeightSDS!V$5*$AM511+WeightSDS!W$5,IF($AM511&lt;186,WeightSDS!P$8*$AM511^7+WeightSDS!Q$8*$AM511^6+WeightSDS!R$8*$AM511^5+WeightSDS!S$8*$AM511^4+WeightSDS!T$8*$AM511^3+WeightSDS!U$8*$AM511^2+WeightSDS!V$8*$AM511+WeightSDS!W$8,WeightSDS!$U$9+WeightSDS!$V$9*($AM511-WeightSDS!$W$9)))</f>
        <v>0.75407122999999998</v>
      </c>
      <c r="AP511" s="4">
        <f>IF(D511="M",IF($AM511&lt;45,WeightSDS!M$23*$AM511^10+WeightSDS!N$23*$AM511^9+WeightSDS!O$23*$AM511^8+WeightSDS!P$23*$AM511^7+WeightSDS!Q$23*$AM511^6+WeightSDS!R$23*$AM511^5+WeightSDS!S$23*$AM511^4+WeightSDS!T$23*$AM511^3+WeightSDS!U$23*$AM511^2+WeightSDS!V$23*$AM511+WeightSDS!W$23,IF($AM511&lt;153,WeightSDS!M$25*$AM511^10+WeightSDS!N$25*$AM511^9+WeightSDS!O$25*$AM511^8+WeightSDS!P$25*$AM511^7+WeightSDS!Q$25*$AM511^6+WeightSDS!R$25*$AM511^5+WeightSDS!S$25*$AM511^4+WeightSDS!T$25*$AM511^3+WeightSDS!U$25*$AM511^2+WeightSDS!V$25*$AM511+WeightSDS!W$25,WeightSDS!M$27+WeightSDS!N$27/(1+EXP(WeightSDS!O$27+WeightSDS!P$27*$AM511)))),IF($AM511&lt;43.8,WeightSDS!M$29*$AM511^10+WeightSDS!N$29*$AM511^9+WeightSDS!O$29*$AM511^8+WeightSDS!P$29*$AM511^7+WeightSDS!Q$29*$AM511^6+WeightSDS!R$29*$AM511^5+WeightSDS!S$29*$AM511^4+WeightSDS!T$29*$AM511^3+WeightSDS!U$29*$AM511^2+WeightSDS!V$29*$AM511+WeightSDS!W$29-0.010431*(1-$AM511/210),IF($AM511&lt;123,WeightSDS!M$30*$AM511^10+WeightSDS!N$30*$AM511^9+WeightSDS!O$30*$AM511^8+WeightSDS!P$30*$AM511^7+WeightSDS!Q$30*$AM511^6+WeightSDS!R$30*$AM511^5+WeightSDS!S$30*$AM511^4+WeightSDS!T$30*$AM511^3+WeightSDS!U$30*$AM511^2+WeightSDS!V$30*$AM511+WeightSDS!W$30-0.010431*(1-1/$AM511),WeightSDS!M$32+WeightSDS!N$32/(1+EXP(WeightSDS!O$32+WeightSDS!P$32*$AM511))-0.010431*(1-$AM511/210))))</f>
        <v>2.9500001032655536</v>
      </c>
      <c r="AQ511" s="4">
        <f>IF(D511="M",IF($AM511&lt;162,WeightSDS!P$12*$AM511^7+WeightSDS!Q$12*$AM511^6+WeightSDS!R$12*$AM511^5+WeightSDS!S$12*$AM511^4+WeightSDS!T$12*$AM511^3+WeightSDS!U$12*$AM511^2+WeightSDS!V$12*$AM511+WeightSDS!W$12,WeightSDS!P$14*$AM511^7+WeightSDS!Q$14*$AM511^6+WeightSDS!R$14*$AM511^5+WeightSDS!S$14*$AM511^4+WeightSDS!T$14*$AM511^3+WeightSDS!U$14*$AM511^2+WeightSDS!V$14*$AM511+WeightSDS!W$14),IF($AM511&lt;156,WeightSDS!O$17*$AM511^8+WeightSDS!P$17*$AM511^7+WeightSDS!Q$17*$AM511^6+WeightSDS!R$17*$AM511^5+WeightSDS!S$17*$AM511^4+WeightSDS!T$17*$AM511^3+WeightSDS!U$17*$AM511^2+WeightSDS!V$17*$AM511+WeightSDS!W$17,IF($AM511&lt;186,WeightSDS!$U$18+(WeightSDS!$V$18-WeightSDS!$U$18)/24*($AM511-186)+WeightSDS!$W$18*(-$AM511+186)^2-0.005,WeightSDS!$U$18+(WeightSDS!$V$18-WeightSDS!$U$18)/24*($AM511-186)-0.005)))</f>
        <v>0.14604529399999999</v>
      </c>
      <c r="AT511" s="4">
        <f t="shared" si="154"/>
        <v>0.56299999999999994</v>
      </c>
      <c r="AU511" s="4">
        <f t="shared" si="155"/>
        <v>69</v>
      </c>
      <c r="AV511" s="4">
        <f t="shared" si="156"/>
        <v>0.51</v>
      </c>
    </row>
    <row r="512" spans="1:48" x14ac:dyDescent="0.15">
      <c r="A512" s="4"/>
      <c r="B512" s="21"/>
      <c r="C512" s="21"/>
      <c r="D512" s="21"/>
      <c r="E512" s="22"/>
      <c r="F512" s="22"/>
      <c r="G512" s="23"/>
      <c r="H512" s="23"/>
      <c r="I512" s="181"/>
      <c r="J512" s="8" t="str">
        <f t="shared" si="148"/>
        <v/>
      </c>
      <c r="K512" s="2" t="str">
        <f t="shared" si="157"/>
        <v/>
      </c>
      <c r="L512" s="2" t="str">
        <f t="shared" si="149"/>
        <v/>
      </c>
      <c r="M512" s="2" t="str">
        <f t="shared" si="158"/>
        <v/>
      </c>
      <c r="N512" s="2" t="str">
        <f t="shared" si="166"/>
        <v/>
      </c>
      <c r="O512" s="2" t="str">
        <f t="shared" si="159"/>
        <v/>
      </c>
      <c r="P512" s="8" t="str">
        <f t="shared" si="160"/>
        <v/>
      </c>
      <c r="Q512" s="8" t="str">
        <f t="shared" si="161"/>
        <v/>
      </c>
      <c r="R512" s="111" t="str">
        <f t="shared" si="162"/>
        <v/>
      </c>
      <c r="S512" s="44" t="str">
        <f t="shared" si="163"/>
        <v/>
      </c>
      <c r="T512" s="37" t="str">
        <f t="shared" si="164"/>
        <v/>
      </c>
      <c r="U512" s="44" t="str">
        <f t="shared" si="165"/>
        <v/>
      </c>
      <c r="V512" s="26"/>
      <c r="W512" s="26"/>
      <c r="X512" s="26"/>
      <c r="Y512" s="26"/>
      <c r="Z512" s="24"/>
      <c r="AA512" s="169">
        <f t="shared" si="150"/>
        <v>0</v>
      </c>
      <c r="AB512" s="4">
        <f t="shared" si="151"/>
        <v>0</v>
      </c>
      <c r="AC512" s="170">
        <f t="shared" si="168"/>
        <v>0</v>
      </c>
      <c r="AD512" s="58"/>
      <c r="AE512" s="58"/>
      <c r="AF512" s="58"/>
      <c r="AG512" s="59">
        <f t="shared" si="152"/>
        <v>9.0359999999999996</v>
      </c>
      <c r="AH512" s="59">
        <f t="shared" si="153"/>
        <v>-184.49199999999999</v>
      </c>
      <c r="AJ512" s="4">
        <f>IF(D512="M",IF(AM512&lt;78,BMILMS!$D$5*AM512^3+BMILMS!$E$5*AM512^2+BMILMS!$F$5*AM512+BMILMS!$G$5,IF(AM512&lt;150,BMILMS!$D$6*AM512^3+BMILMS!$E$6*AM512^2+BMILMS!$F$6*AM512+BMILMS!$G$6,BMILMS!$D$7*AM512^3+BMILMS!$E$7*AM512^2+BMILMS!$F$7*AM512+BMILMS!$G$7)),IF(AM512&lt;69,BMILMS!$D$9*AM512^3+BMILMS!$E$9*AM512^2+BMILMS!$F$9*AM512+BMILMS!$G$9,IF(AM512&lt;150,BMILMS!$D$10*AM512^3+BMILMS!$E$10*AM512^2+BMILMS!$F$10*AM512+BMILMS!$G$10,BMILMS!$D$11*AM512^3+BMILMS!$E$11*AM512^2+BMILMS!$F$11*AM512+BMILMS!$G$11)))</f>
        <v>0.79584630099999998</v>
      </c>
      <c r="AK512" s="4">
        <f>IF(D512="M",(IF(AM512&lt;2.5,BMILMS!$D$21*AM512^3+BMILMS!$E$21*AM512^2+BMILMS!$F$21*AM512+BMILMS!$G$21,IF(AM512&lt;9.5,BMILMS!$D$22*AM512^3+BMILMS!$E$22*AM512^2+BMILMS!$F$22*AM512+BMILMS!$G$22,IF(AM512&lt;26.75,BMILMS!$D$23*AM512^3+BMILMS!$E$23*AM512^2+BMILMS!$F$23*AM512+BMILMS!$G$23,IF(AM512&lt;90,BMILMS!$D$24*AM512^3+BMILMS!$E$24*AM512^2+BMILMS!$F$24*AM512+BMILMS!$G$24,BMILMS!$D$25*AM512^3+BMILMS!$E$25*AM512^2+BMILMS!$F$25*AM512+BMILMS!$G$25))))),(IF(AM512&lt;2.5,BMILMS!$D$27*AM512^3+BMILMS!$E$27*AM512^2+BMILMS!$F$27*AM512+BMILMS!$G$27,IF(AM512&lt;9.5,BMILMS!$D$28*AM512^3+BMILMS!$E$28*AM512^2+BMILMS!$F$28*AM512+BMILMS!$G$28,IF(AM512&lt;26.75,BMILMS!$D$29*AM512^3+BMILMS!$E$29*AM512^2+BMILMS!$F$29*AM512+BMILMS!$G$29,IF(AM512&lt;90,BMILMS!$D$30*AM512^3+BMILMS!$E$30*AM512^2+BMILMS!$F$30*AM512+BMILMS!$G$30,IF(AM512&lt;150,BMILMS!$D$31*AM512^3+BMILMS!$E$31*AM512^2+BMILMS!$F$31*AM512+BMILMS!$G$31,BMILMS!$D$32*AM512^3+BMILMS!$E$32*AM512^2+BMILMS!$F$32*AM512+BMILMS!$G$32)))))))</f>
        <v>12.568967990000001</v>
      </c>
      <c r="AL512" s="4">
        <f>IF(D512="M",(IF(AM512&lt;90,BMILMS!$D$14*AM512^3+BMILMS!$E$14*AM512^2+BMILMS!$F$14*AM512+BMILMS!$G$14,BMILMS!$D$15*AM512^3+BMILMS!$E$15*AM512^2+BMILMS!$F$15*AM512+BMILMS!$G$15)),(IF(AM512&lt;90,BMILMS!$D$17*AM512^3+BMILMS!$E$17*AM512^2+BMILMS!$F$17*AM512+BMILMS!$G$17,BMILMS!$D$18*AM512^3+BMILMS!$E$18*AM512^2+BMILMS!$F$18*AM512+BMILMS!$G$18)))</f>
        <v>8.8969350000000003E-2</v>
      </c>
      <c r="AM512" s="4">
        <f t="shared" si="167"/>
        <v>0</v>
      </c>
      <c r="AO512" s="56">
        <f>IF(D512="M",WeightSDS!P$5*$AM512^7+WeightSDS!Q$5*$AM512^6+WeightSDS!R$5*$AM512^5+WeightSDS!S$5*$AM512^4+WeightSDS!T$5*$AM512^3+WeightSDS!U$5*$AM512^2+WeightSDS!V$5*$AM512+WeightSDS!W$5,IF($AM512&lt;186,WeightSDS!P$8*$AM512^7+WeightSDS!Q$8*$AM512^6+WeightSDS!R$8*$AM512^5+WeightSDS!S$8*$AM512^4+WeightSDS!T$8*$AM512^3+WeightSDS!U$8*$AM512^2+WeightSDS!V$8*$AM512+WeightSDS!W$8,WeightSDS!$U$9+WeightSDS!$V$9*($AM512-WeightSDS!$W$9)))</f>
        <v>0.75407122999999998</v>
      </c>
      <c r="AP512" s="4">
        <f>IF(D512="M",IF($AM512&lt;45,WeightSDS!M$23*$AM512^10+WeightSDS!N$23*$AM512^9+WeightSDS!O$23*$AM512^8+WeightSDS!P$23*$AM512^7+WeightSDS!Q$23*$AM512^6+WeightSDS!R$23*$AM512^5+WeightSDS!S$23*$AM512^4+WeightSDS!T$23*$AM512^3+WeightSDS!U$23*$AM512^2+WeightSDS!V$23*$AM512+WeightSDS!W$23,IF($AM512&lt;153,WeightSDS!M$25*$AM512^10+WeightSDS!N$25*$AM512^9+WeightSDS!O$25*$AM512^8+WeightSDS!P$25*$AM512^7+WeightSDS!Q$25*$AM512^6+WeightSDS!R$25*$AM512^5+WeightSDS!S$25*$AM512^4+WeightSDS!T$25*$AM512^3+WeightSDS!U$25*$AM512^2+WeightSDS!V$25*$AM512+WeightSDS!W$25,WeightSDS!M$27+WeightSDS!N$27/(1+EXP(WeightSDS!O$27+WeightSDS!P$27*$AM512)))),IF($AM512&lt;43.8,WeightSDS!M$29*$AM512^10+WeightSDS!N$29*$AM512^9+WeightSDS!O$29*$AM512^8+WeightSDS!P$29*$AM512^7+WeightSDS!Q$29*$AM512^6+WeightSDS!R$29*$AM512^5+WeightSDS!S$29*$AM512^4+WeightSDS!T$29*$AM512^3+WeightSDS!U$29*$AM512^2+WeightSDS!V$29*$AM512+WeightSDS!W$29-0.010431*(1-$AM512/210),IF($AM512&lt;123,WeightSDS!M$30*$AM512^10+WeightSDS!N$30*$AM512^9+WeightSDS!O$30*$AM512^8+WeightSDS!P$30*$AM512^7+WeightSDS!Q$30*$AM512^6+WeightSDS!R$30*$AM512^5+WeightSDS!S$30*$AM512^4+WeightSDS!T$30*$AM512^3+WeightSDS!U$30*$AM512^2+WeightSDS!V$30*$AM512+WeightSDS!W$30-0.010431*(1-1/$AM512),WeightSDS!M$32+WeightSDS!N$32/(1+EXP(WeightSDS!O$32+WeightSDS!P$32*$AM512))-0.010431*(1-$AM512/210))))</f>
        <v>2.9500001032655536</v>
      </c>
      <c r="AQ512" s="4">
        <f>IF(D512="M",IF($AM512&lt;162,WeightSDS!P$12*$AM512^7+WeightSDS!Q$12*$AM512^6+WeightSDS!R$12*$AM512^5+WeightSDS!S$12*$AM512^4+WeightSDS!T$12*$AM512^3+WeightSDS!U$12*$AM512^2+WeightSDS!V$12*$AM512+WeightSDS!W$12,WeightSDS!P$14*$AM512^7+WeightSDS!Q$14*$AM512^6+WeightSDS!R$14*$AM512^5+WeightSDS!S$14*$AM512^4+WeightSDS!T$14*$AM512^3+WeightSDS!U$14*$AM512^2+WeightSDS!V$14*$AM512+WeightSDS!W$14),IF($AM512&lt;156,WeightSDS!O$17*$AM512^8+WeightSDS!P$17*$AM512^7+WeightSDS!Q$17*$AM512^6+WeightSDS!R$17*$AM512^5+WeightSDS!S$17*$AM512^4+WeightSDS!T$17*$AM512^3+WeightSDS!U$17*$AM512^2+WeightSDS!V$17*$AM512+WeightSDS!W$17,IF($AM512&lt;186,WeightSDS!$U$18+(WeightSDS!$V$18-WeightSDS!$U$18)/24*($AM512-186)+WeightSDS!$W$18*(-$AM512+186)^2-0.005,WeightSDS!$U$18+(WeightSDS!$V$18-WeightSDS!$U$18)/24*($AM512-186)-0.005)))</f>
        <v>0.14604529399999999</v>
      </c>
      <c r="AT512" s="4">
        <f t="shared" si="154"/>
        <v>0.56299999999999994</v>
      </c>
      <c r="AU512" s="4">
        <f t="shared" si="155"/>
        <v>69</v>
      </c>
      <c r="AV512" s="4">
        <f t="shared" si="156"/>
        <v>0.51</v>
      </c>
    </row>
    <row r="513" spans="1:48" x14ac:dyDescent="0.15">
      <c r="A513" s="4"/>
      <c r="B513" s="21"/>
      <c r="C513" s="21"/>
      <c r="D513" s="21"/>
      <c r="E513" s="22"/>
      <c r="F513" s="22"/>
      <c r="G513" s="23"/>
      <c r="H513" s="23"/>
      <c r="I513" s="181"/>
      <c r="J513" s="8" t="str">
        <f t="shared" si="148"/>
        <v/>
      </c>
      <c r="K513" s="2" t="str">
        <f t="shared" si="157"/>
        <v/>
      </c>
      <c r="L513" s="2" t="str">
        <f t="shared" si="149"/>
        <v/>
      </c>
      <c r="M513" s="2" t="str">
        <f t="shared" si="158"/>
        <v/>
      </c>
      <c r="N513" s="2" t="str">
        <f t="shared" si="166"/>
        <v/>
      </c>
      <c r="O513" s="2" t="str">
        <f t="shared" si="159"/>
        <v/>
      </c>
      <c r="P513" s="8" t="str">
        <f t="shared" si="160"/>
        <v/>
      </c>
      <c r="Q513" s="8" t="str">
        <f t="shared" si="161"/>
        <v/>
      </c>
      <c r="R513" s="111" t="str">
        <f t="shared" si="162"/>
        <v/>
      </c>
      <c r="S513" s="44" t="str">
        <f t="shared" si="163"/>
        <v/>
      </c>
      <c r="T513" s="37" t="str">
        <f t="shared" si="164"/>
        <v/>
      </c>
      <c r="U513" s="44" t="str">
        <f t="shared" si="165"/>
        <v/>
      </c>
      <c r="V513" s="26"/>
      <c r="W513" s="26"/>
      <c r="X513" s="26"/>
      <c r="Y513" s="26"/>
      <c r="Z513" s="24"/>
      <c r="AA513" s="169">
        <f t="shared" si="150"/>
        <v>0</v>
      </c>
      <c r="AB513" s="4">
        <f t="shared" si="151"/>
        <v>0</v>
      </c>
      <c r="AC513" s="170">
        <f t="shared" si="168"/>
        <v>0</v>
      </c>
      <c r="AD513" s="58"/>
      <c r="AE513" s="58"/>
      <c r="AF513" s="58"/>
      <c r="AG513" s="59">
        <f t="shared" si="152"/>
        <v>9.0359999999999996</v>
      </c>
      <c r="AH513" s="59">
        <f t="shared" si="153"/>
        <v>-184.49199999999999</v>
      </c>
      <c r="AJ513" s="4">
        <f>IF(D513="M",IF(AM513&lt;78,BMILMS!$D$5*AM513^3+BMILMS!$E$5*AM513^2+BMILMS!$F$5*AM513+BMILMS!$G$5,IF(AM513&lt;150,BMILMS!$D$6*AM513^3+BMILMS!$E$6*AM513^2+BMILMS!$F$6*AM513+BMILMS!$G$6,BMILMS!$D$7*AM513^3+BMILMS!$E$7*AM513^2+BMILMS!$F$7*AM513+BMILMS!$G$7)),IF(AM513&lt;69,BMILMS!$D$9*AM513^3+BMILMS!$E$9*AM513^2+BMILMS!$F$9*AM513+BMILMS!$G$9,IF(AM513&lt;150,BMILMS!$D$10*AM513^3+BMILMS!$E$10*AM513^2+BMILMS!$F$10*AM513+BMILMS!$G$10,BMILMS!$D$11*AM513^3+BMILMS!$E$11*AM513^2+BMILMS!$F$11*AM513+BMILMS!$G$11)))</f>
        <v>0.79584630099999998</v>
      </c>
      <c r="AK513" s="4">
        <f>IF(D513="M",(IF(AM513&lt;2.5,BMILMS!$D$21*AM513^3+BMILMS!$E$21*AM513^2+BMILMS!$F$21*AM513+BMILMS!$G$21,IF(AM513&lt;9.5,BMILMS!$D$22*AM513^3+BMILMS!$E$22*AM513^2+BMILMS!$F$22*AM513+BMILMS!$G$22,IF(AM513&lt;26.75,BMILMS!$D$23*AM513^3+BMILMS!$E$23*AM513^2+BMILMS!$F$23*AM513+BMILMS!$G$23,IF(AM513&lt;90,BMILMS!$D$24*AM513^3+BMILMS!$E$24*AM513^2+BMILMS!$F$24*AM513+BMILMS!$G$24,BMILMS!$D$25*AM513^3+BMILMS!$E$25*AM513^2+BMILMS!$F$25*AM513+BMILMS!$G$25))))),(IF(AM513&lt;2.5,BMILMS!$D$27*AM513^3+BMILMS!$E$27*AM513^2+BMILMS!$F$27*AM513+BMILMS!$G$27,IF(AM513&lt;9.5,BMILMS!$D$28*AM513^3+BMILMS!$E$28*AM513^2+BMILMS!$F$28*AM513+BMILMS!$G$28,IF(AM513&lt;26.75,BMILMS!$D$29*AM513^3+BMILMS!$E$29*AM513^2+BMILMS!$F$29*AM513+BMILMS!$G$29,IF(AM513&lt;90,BMILMS!$D$30*AM513^3+BMILMS!$E$30*AM513^2+BMILMS!$F$30*AM513+BMILMS!$G$30,IF(AM513&lt;150,BMILMS!$D$31*AM513^3+BMILMS!$E$31*AM513^2+BMILMS!$F$31*AM513+BMILMS!$G$31,BMILMS!$D$32*AM513^3+BMILMS!$E$32*AM513^2+BMILMS!$F$32*AM513+BMILMS!$G$32)))))))</f>
        <v>12.568967990000001</v>
      </c>
      <c r="AL513" s="4">
        <f>IF(D513="M",(IF(AM513&lt;90,BMILMS!$D$14*AM513^3+BMILMS!$E$14*AM513^2+BMILMS!$F$14*AM513+BMILMS!$G$14,BMILMS!$D$15*AM513^3+BMILMS!$E$15*AM513^2+BMILMS!$F$15*AM513+BMILMS!$G$15)),(IF(AM513&lt;90,BMILMS!$D$17*AM513^3+BMILMS!$E$17*AM513^2+BMILMS!$F$17*AM513+BMILMS!$G$17,BMILMS!$D$18*AM513^3+BMILMS!$E$18*AM513^2+BMILMS!$F$18*AM513+BMILMS!$G$18)))</f>
        <v>8.8969350000000003E-2</v>
      </c>
      <c r="AM513" s="4">
        <f t="shared" si="167"/>
        <v>0</v>
      </c>
      <c r="AO513" s="56">
        <f>IF(D513="M",WeightSDS!P$5*$AM513^7+WeightSDS!Q$5*$AM513^6+WeightSDS!R$5*$AM513^5+WeightSDS!S$5*$AM513^4+WeightSDS!T$5*$AM513^3+WeightSDS!U$5*$AM513^2+WeightSDS!V$5*$AM513+WeightSDS!W$5,IF($AM513&lt;186,WeightSDS!P$8*$AM513^7+WeightSDS!Q$8*$AM513^6+WeightSDS!R$8*$AM513^5+WeightSDS!S$8*$AM513^4+WeightSDS!T$8*$AM513^3+WeightSDS!U$8*$AM513^2+WeightSDS!V$8*$AM513+WeightSDS!W$8,WeightSDS!$U$9+WeightSDS!$V$9*($AM513-WeightSDS!$W$9)))</f>
        <v>0.75407122999999998</v>
      </c>
      <c r="AP513" s="4">
        <f>IF(D513="M",IF($AM513&lt;45,WeightSDS!M$23*$AM513^10+WeightSDS!N$23*$AM513^9+WeightSDS!O$23*$AM513^8+WeightSDS!P$23*$AM513^7+WeightSDS!Q$23*$AM513^6+WeightSDS!R$23*$AM513^5+WeightSDS!S$23*$AM513^4+WeightSDS!T$23*$AM513^3+WeightSDS!U$23*$AM513^2+WeightSDS!V$23*$AM513+WeightSDS!W$23,IF($AM513&lt;153,WeightSDS!M$25*$AM513^10+WeightSDS!N$25*$AM513^9+WeightSDS!O$25*$AM513^8+WeightSDS!P$25*$AM513^7+WeightSDS!Q$25*$AM513^6+WeightSDS!R$25*$AM513^5+WeightSDS!S$25*$AM513^4+WeightSDS!T$25*$AM513^3+WeightSDS!U$25*$AM513^2+WeightSDS!V$25*$AM513+WeightSDS!W$25,WeightSDS!M$27+WeightSDS!N$27/(1+EXP(WeightSDS!O$27+WeightSDS!P$27*$AM513)))),IF($AM513&lt;43.8,WeightSDS!M$29*$AM513^10+WeightSDS!N$29*$AM513^9+WeightSDS!O$29*$AM513^8+WeightSDS!P$29*$AM513^7+WeightSDS!Q$29*$AM513^6+WeightSDS!R$29*$AM513^5+WeightSDS!S$29*$AM513^4+WeightSDS!T$29*$AM513^3+WeightSDS!U$29*$AM513^2+WeightSDS!V$29*$AM513+WeightSDS!W$29-0.010431*(1-$AM513/210),IF($AM513&lt;123,WeightSDS!M$30*$AM513^10+WeightSDS!N$30*$AM513^9+WeightSDS!O$30*$AM513^8+WeightSDS!P$30*$AM513^7+WeightSDS!Q$30*$AM513^6+WeightSDS!R$30*$AM513^5+WeightSDS!S$30*$AM513^4+WeightSDS!T$30*$AM513^3+WeightSDS!U$30*$AM513^2+WeightSDS!V$30*$AM513+WeightSDS!W$30-0.010431*(1-1/$AM513),WeightSDS!M$32+WeightSDS!N$32/(1+EXP(WeightSDS!O$32+WeightSDS!P$32*$AM513))-0.010431*(1-$AM513/210))))</f>
        <v>2.9500001032655536</v>
      </c>
      <c r="AQ513" s="4">
        <f>IF(D513="M",IF($AM513&lt;162,WeightSDS!P$12*$AM513^7+WeightSDS!Q$12*$AM513^6+WeightSDS!R$12*$AM513^5+WeightSDS!S$12*$AM513^4+WeightSDS!T$12*$AM513^3+WeightSDS!U$12*$AM513^2+WeightSDS!V$12*$AM513+WeightSDS!W$12,WeightSDS!P$14*$AM513^7+WeightSDS!Q$14*$AM513^6+WeightSDS!R$14*$AM513^5+WeightSDS!S$14*$AM513^4+WeightSDS!T$14*$AM513^3+WeightSDS!U$14*$AM513^2+WeightSDS!V$14*$AM513+WeightSDS!W$14),IF($AM513&lt;156,WeightSDS!O$17*$AM513^8+WeightSDS!P$17*$AM513^7+WeightSDS!Q$17*$AM513^6+WeightSDS!R$17*$AM513^5+WeightSDS!S$17*$AM513^4+WeightSDS!T$17*$AM513^3+WeightSDS!U$17*$AM513^2+WeightSDS!V$17*$AM513+WeightSDS!W$17,IF($AM513&lt;186,WeightSDS!$U$18+(WeightSDS!$V$18-WeightSDS!$U$18)/24*($AM513-186)+WeightSDS!$W$18*(-$AM513+186)^2-0.005,WeightSDS!$U$18+(WeightSDS!$V$18-WeightSDS!$U$18)/24*($AM513-186)-0.005)))</f>
        <v>0.14604529399999999</v>
      </c>
      <c r="AT513" s="4">
        <f t="shared" si="154"/>
        <v>0.56299999999999994</v>
      </c>
      <c r="AU513" s="4">
        <f t="shared" si="155"/>
        <v>69</v>
      </c>
      <c r="AV513" s="4">
        <f t="shared" si="156"/>
        <v>0.51</v>
      </c>
    </row>
    <row r="514" spans="1:48" x14ac:dyDescent="0.15">
      <c r="A514" s="4"/>
      <c r="B514" s="21"/>
      <c r="C514" s="21"/>
      <c r="D514" s="21"/>
      <c r="E514" s="22"/>
      <c r="F514" s="22"/>
      <c r="G514" s="23"/>
      <c r="H514" s="23"/>
      <c r="I514" s="181"/>
      <c r="J514" s="8" t="str">
        <f t="shared" si="148"/>
        <v/>
      </c>
      <c r="K514" s="2" t="str">
        <f t="shared" si="157"/>
        <v/>
      </c>
      <c r="L514" s="2" t="str">
        <f t="shared" si="149"/>
        <v/>
      </c>
      <c r="M514" s="2" t="str">
        <f t="shared" si="158"/>
        <v/>
      </c>
      <c r="N514" s="2" t="str">
        <f t="shared" si="166"/>
        <v/>
      </c>
      <c r="O514" s="2" t="str">
        <f t="shared" si="159"/>
        <v/>
      </c>
      <c r="P514" s="8" t="str">
        <f t="shared" si="160"/>
        <v/>
      </c>
      <c r="Q514" s="8" t="str">
        <f t="shared" si="161"/>
        <v/>
      </c>
      <c r="R514" s="111" t="str">
        <f t="shared" si="162"/>
        <v/>
      </c>
      <c r="S514" s="44" t="str">
        <f t="shared" si="163"/>
        <v/>
      </c>
      <c r="T514" s="37" t="str">
        <f t="shared" si="164"/>
        <v/>
      </c>
      <c r="U514" s="44" t="str">
        <f t="shared" si="165"/>
        <v/>
      </c>
      <c r="V514" s="26"/>
      <c r="W514" s="26"/>
      <c r="X514" s="26"/>
      <c r="Y514" s="26"/>
      <c r="Z514" s="24"/>
      <c r="AA514" s="169">
        <f t="shared" si="150"/>
        <v>0</v>
      </c>
      <c r="AB514" s="4">
        <f t="shared" si="151"/>
        <v>0</v>
      </c>
      <c r="AC514" s="170">
        <f t="shared" si="168"/>
        <v>0</v>
      </c>
      <c r="AD514" s="58"/>
      <c r="AE514" s="58"/>
      <c r="AF514" s="58"/>
      <c r="AG514" s="59">
        <f t="shared" si="152"/>
        <v>9.0359999999999996</v>
      </c>
      <c r="AH514" s="59">
        <f t="shared" si="153"/>
        <v>-184.49199999999999</v>
      </c>
      <c r="AJ514" s="4">
        <f>IF(D514="M",IF(AM514&lt;78,BMILMS!$D$5*AM514^3+BMILMS!$E$5*AM514^2+BMILMS!$F$5*AM514+BMILMS!$G$5,IF(AM514&lt;150,BMILMS!$D$6*AM514^3+BMILMS!$E$6*AM514^2+BMILMS!$F$6*AM514+BMILMS!$G$6,BMILMS!$D$7*AM514^3+BMILMS!$E$7*AM514^2+BMILMS!$F$7*AM514+BMILMS!$G$7)),IF(AM514&lt;69,BMILMS!$D$9*AM514^3+BMILMS!$E$9*AM514^2+BMILMS!$F$9*AM514+BMILMS!$G$9,IF(AM514&lt;150,BMILMS!$D$10*AM514^3+BMILMS!$E$10*AM514^2+BMILMS!$F$10*AM514+BMILMS!$G$10,BMILMS!$D$11*AM514^3+BMILMS!$E$11*AM514^2+BMILMS!$F$11*AM514+BMILMS!$G$11)))</f>
        <v>0.79584630099999998</v>
      </c>
      <c r="AK514" s="4">
        <f>IF(D514="M",(IF(AM514&lt;2.5,BMILMS!$D$21*AM514^3+BMILMS!$E$21*AM514^2+BMILMS!$F$21*AM514+BMILMS!$G$21,IF(AM514&lt;9.5,BMILMS!$D$22*AM514^3+BMILMS!$E$22*AM514^2+BMILMS!$F$22*AM514+BMILMS!$G$22,IF(AM514&lt;26.75,BMILMS!$D$23*AM514^3+BMILMS!$E$23*AM514^2+BMILMS!$F$23*AM514+BMILMS!$G$23,IF(AM514&lt;90,BMILMS!$D$24*AM514^3+BMILMS!$E$24*AM514^2+BMILMS!$F$24*AM514+BMILMS!$G$24,BMILMS!$D$25*AM514^3+BMILMS!$E$25*AM514^2+BMILMS!$F$25*AM514+BMILMS!$G$25))))),(IF(AM514&lt;2.5,BMILMS!$D$27*AM514^3+BMILMS!$E$27*AM514^2+BMILMS!$F$27*AM514+BMILMS!$G$27,IF(AM514&lt;9.5,BMILMS!$D$28*AM514^3+BMILMS!$E$28*AM514^2+BMILMS!$F$28*AM514+BMILMS!$G$28,IF(AM514&lt;26.75,BMILMS!$D$29*AM514^3+BMILMS!$E$29*AM514^2+BMILMS!$F$29*AM514+BMILMS!$G$29,IF(AM514&lt;90,BMILMS!$D$30*AM514^3+BMILMS!$E$30*AM514^2+BMILMS!$F$30*AM514+BMILMS!$G$30,IF(AM514&lt;150,BMILMS!$D$31*AM514^3+BMILMS!$E$31*AM514^2+BMILMS!$F$31*AM514+BMILMS!$G$31,BMILMS!$D$32*AM514^3+BMILMS!$E$32*AM514^2+BMILMS!$F$32*AM514+BMILMS!$G$32)))))))</f>
        <v>12.568967990000001</v>
      </c>
      <c r="AL514" s="4">
        <f>IF(D514="M",(IF(AM514&lt;90,BMILMS!$D$14*AM514^3+BMILMS!$E$14*AM514^2+BMILMS!$F$14*AM514+BMILMS!$G$14,BMILMS!$D$15*AM514^3+BMILMS!$E$15*AM514^2+BMILMS!$F$15*AM514+BMILMS!$G$15)),(IF(AM514&lt;90,BMILMS!$D$17*AM514^3+BMILMS!$E$17*AM514^2+BMILMS!$F$17*AM514+BMILMS!$G$17,BMILMS!$D$18*AM514^3+BMILMS!$E$18*AM514^2+BMILMS!$F$18*AM514+BMILMS!$G$18)))</f>
        <v>8.8969350000000003E-2</v>
      </c>
      <c r="AM514" s="4">
        <f t="shared" si="167"/>
        <v>0</v>
      </c>
      <c r="AO514" s="56">
        <f>IF(D514="M",WeightSDS!P$5*$AM514^7+WeightSDS!Q$5*$AM514^6+WeightSDS!R$5*$AM514^5+WeightSDS!S$5*$AM514^4+WeightSDS!T$5*$AM514^3+WeightSDS!U$5*$AM514^2+WeightSDS!V$5*$AM514+WeightSDS!W$5,IF($AM514&lt;186,WeightSDS!P$8*$AM514^7+WeightSDS!Q$8*$AM514^6+WeightSDS!R$8*$AM514^5+WeightSDS!S$8*$AM514^4+WeightSDS!T$8*$AM514^3+WeightSDS!U$8*$AM514^2+WeightSDS!V$8*$AM514+WeightSDS!W$8,WeightSDS!$U$9+WeightSDS!$V$9*($AM514-WeightSDS!$W$9)))</f>
        <v>0.75407122999999998</v>
      </c>
      <c r="AP514" s="4">
        <f>IF(D514="M",IF($AM514&lt;45,WeightSDS!M$23*$AM514^10+WeightSDS!N$23*$AM514^9+WeightSDS!O$23*$AM514^8+WeightSDS!P$23*$AM514^7+WeightSDS!Q$23*$AM514^6+WeightSDS!R$23*$AM514^5+WeightSDS!S$23*$AM514^4+WeightSDS!T$23*$AM514^3+WeightSDS!U$23*$AM514^2+WeightSDS!V$23*$AM514+WeightSDS!W$23,IF($AM514&lt;153,WeightSDS!M$25*$AM514^10+WeightSDS!N$25*$AM514^9+WeightSDS!O$25*$AM514^8+WeightSDS!P$25*$AM514^7+WeightSDS!Q$25*$AM514^6+WeightSDS!R$25*$AM514^5+WeightSDS!S$25*$AM514^4+WeightSDS!T$25*$AM514^3+WeightSDS!U$25*$AM514^2+WeightSDS!V$25*$AM514+WeightSDS!W$25,WeightSDS!M$27+WeightSDS!N$27/(1+EXP(WeightSDS!O$27+WeightSDS!P$27*$AM514)))),IF($AM514&lt;43.8,WeightSDS!M$29*$AM514^10+WeightSDS!N$29*$AM514^9+WeightSDS!O$29*$AM514^8+WeightSDS!P$29*$AM514^7+WeightSDS!Q$29*$AM514^6+WeightSDS!R$29*$AM514^5+WeightSDS!S$29*$AM514^4+WeightSDS!T$29*$AM514^3+WeightSDS!U$29*$AM514^2+WeightSDS!V$29*$AM514+WeightSDS!W$29-0.010431*(1-$AM514/210),IF($AM514&lt;123,WeightSDS!M$30*$AM514^10+WeightSDS!N$30*$AM514^9+WeightSDS!O$30*$AM514^8+WeightSDS!P$30*$AM514^7+WeightSDS!Q$30*$AM514^6+WeightSDS!R$30*$AM514^5+WeightSDS!S$30*$AM514^4+WeightSDS!T$30*$AM514^3+WeightSDS!U$30*$AM514^2+WeightSDS!V$30*$AM514+WeightSDS!W$30-0.010431*(1-1/$AM514),WeightSDS!M$32+WeightSDS!N$32/(1+EXP(WeightSDS!O$32+WeightSDS!P$32*$AM514))-0.010431*(1-$AM514/210))))</f>
        <v>2.9500001032655536</v>
      </c>
      <c r="AQ514" s="4">
        <f>IF(D514="M",IF($AM514&lt;162,WeightSDS!P$12*$AM514^7+WeightSDS!Q$12*$AM514^6+WeightSDS!R$12*$AM514^5+WeightSDS!S$12*$AM514^4+WeightSDS!T$12*$AM514^3+WeightSDS!U$12*$AM514^2+WeightSDS!V$12*$AM514+WeightSDS!W$12,WeightSDS!P$14*$AM514^7+WeightSDS!Q$14*$AM514^6+WeightSDS!R$14*$AM514^5+WeightSDS!S$14*$AM514^4+WeightSDS!T$14*$AM514^3+WeightSDS!U$14*$AM514^2+WeightSDS!V$14*$AM514+WeightSDS!W$14),IF($AM514&lt;156,WeightSDS!O$17*$AM514^8+WeightSDS!P$17*$AM514^7+WeightSDS!Q$17*$AM514^6+WeightSDS!R$17*$AM514^5+WeightSDS!S$17*$AM514^4+WeightSDS!T$17*$AM514^3+WeightSDS!U$17*$AM514^2+WeightSDS!V$17*$AM514+WeightSDS!W$17,IF($AM514&lt;186,WeightSDS!$U$18+(WeightSDS!$V$18-WeightSDS!$U$18)/24*($AM514-186)+WeightSDS!$W$18*(-$AM514+186)^2-0.005,WeightSDS!$U$18+(WeightSDS!$V$18-WeightSDS!$U$18)/24*($AM514-186)-0.005)))</f>
        <v>0.14604529399999999</v>
      </c>
      <c r="AT514" s="4">
        <f t="shared" si="154"/>
        <v>0.56299999999999994</v>
      </c>
      <c r="AU514" s="4">
        <f t="shared" si="155"/>
        <v>69</v>
      </c>
      <c r="AV514" s="4">
        <f t="shared" si="156"/>
        <v>0.51</v>
      </c>
    </row>
    <row r="515" spans="1:48" x14ac:dyDescent="0.15">
      <c r="A515" s="4"/>
      <c r="B515" s="21"/>
      <c r="C515" s="21"/>
      <c r="D515" s="21"/>
      <c r="E515" s="22"/>
      <c r="F515" s="22"/>
      <c r="G515" s="23"/>
      <c r="H515" s="23"/>
      <c r="I515" s="181"/>
      <c r="J515" s="8" t="str">
        <f t="shared" ref="J515:J578" si="169">IF(COUNTA(D515,E515,F515,G515)=4,IF(AA515+AB515/12&gt;17.583,"       *",(G515-(INDEX(IF(D515="F",Hfemalemean,Hmalemean),AB515+1,AA515+1)))/(INDEX(IF(D515="F",Hfemalesd,Hmalesd),AB515+1,AA515+1))),"")</f>
        <v/>
      </c>
      <c r="K515" s="2" t="str">
        <f t="shared" si="157"/>
        <v/>
      </c>
      <c r="L515" s="2" t="str">
        <f t="shared" ref="L515:L578" si="170">IF(COUNTA(D515,E515,F515,G515,H515)&lt;5,"",IF(T515&lt;6,"       *",IF(AA515+AB515/12&gt;=17.583,"       *",(H515-G515*INDEX(IF(D515="F",muratafemale,muratamale),AA515-4,1)-INDEX(IF(D515="F",muratafemale,muratamale),AA515-4,2))/(G515*INDEX(IF(D515="F",muratafemale,muratamale),AA515-4,1)+INDEX(IF(D515="F",muratafemale,muratamale),AA515-4,2))*100)))</f>
        <v/>
      </c>
      <c r="M515" s="2" t="str">
        <f t="shared" si="158"/>
        <v/>
      </c>
      <c r="N515" s="2" t="str">
        <f t="shared" si="166"/>
        <v/>
      </c>
      <c r="O515" s="2" t="str">
        <f t="shared" si="159"/>
        <v/>
      </c>
      <c r="P515" s="8" t="str">
        <f t="shared" si="160"/>
        <v/>
      </c>
      <c r="Q515" s="8" t="str">
        <f t="shared" si="161"/>
        <v/>
      </c>
      <c r="R515" s="111" t="str">
        <f t="shared" si="162"/>
        <v/>
      </c>
      <c r="S515" s="44" t="str">
        <f t="shared" si="163"/>
        <v/>
      </c>
      <c r="T515" s="37" t="str">
        <f t="shared" si="164"/>
        <v/>
      </c>
      <c r="U515" s="44" t="str">
        <f t="shared" si="165"/>
        <v/>
      </c>
      <c r="V515" s="26"/>
      <c r="W515" s="26"/>
      <c r="X515" s="26"/>
      <c r="Y515" s="26"/>
      <c r="Z515" s="24"/>
      <c r="AA515" s="169">
        <f t="shared" ref="AA515:AA578" si="171">DATEDIF(E515,F515,"Y")</f>
        <v>0</v>
      </c>
      <c r="AB515" s="4">
        <f t="shared" ref="AB515:AB578" si="172">DATEDIF(E515,F515,"YM")</f>
        <v>0</v>
      </c>
      <c r="AC515" s="170">
        <f t="shared" si="168"/>
        <v>0</v>
      </c>
      <c r="AD515" s="58"/>
      <c r="AE515" s="58"/>
      <c r="AF515" s="58"/>
      <c r="AG515" s="59">
        <f t="shared" ref="AG515:AG578" si="173">IF(D515="M",2.06*10^-3*G515^2-0.1166*G515+6.5273,2.49*10^-3*G515^2-0.1858*G515+9.036)</f>
        <v>9.0359999999999996</v>
      </c>
      <c r="AH515" s="59">
        <f t="shared" ref="AH515:AH578" si="174">((G515/100)^3*INDEX(itoOI,IF(D515="M",0,3)+IF(G515&lt;140,1,IF(G515&lt;=149,2,3)),1)+(G515/100)^2*INDEX(itoOI,IF(D515="M",0,3)+IF(G515&lt;140,1,IF(G515&lt;=149,2,3)),2)+(G515/100)*INDEX(itoOI,IF(D515="M",0,3)+IF(G515&lt;140,1,IF(G515&lt;=149,2,3)),3)+INDEX(itoOI,IF(D515="M",0,3)+IF(G515&lt;140,1,IF(G515&lt;=149,2,3)),4))</f>
        <v>-184.49199999999999</v>
      </c>
      <c r="AJ515" s="4">
        <f>IF(D515="M",IF(AM515&lt;78,BMILMS!$D$5*AM515^3+BMILMS!$E$5*AM515^2+BMILMS!$F$5*AM515+BMILMS!$G$5,IF(AM515&lt;150,BMILMS!$D$6*AM515^3+BMILMS!$E$6*AM515^2+BMILMS!$F$6*AM515+BMILMS!$G$6,BMILMS!$D$7*AM515^3+BMILMS!$E$7*AM515^2+BMILMS!$F$7*AM515+BMILMS!$G$7)),IF(AM515&lt;69,BMILMS!$D$9*AM515^3+BMILMS!$E$9*AM515^2+BMILMS!$F$9*AM515+BMILMS!$G$9,IF(AM515&lt;150,BMILMS!$D$10*AM515^3+BMILMS!$E$10*AM515^2+BMILMS!$F$10*AM515+BMILMS!$G$10,BMILMS!$D$11*AM515^3+BMILMS!$E$11*AM515^2+BMILMS!$F$11*AM515+BMILMS!$G$11)))</f>
        <v>0.79584630099999998</v>
      </c>
      <c r="AK515" s="4">
        <f>IF(D515="M",(IF(AM515&lt;2.5,BMILMS!$D$21*AM515^3+BMILMS!$E$21*AM515^2+BMILMS!$F$21*AM515+BMILMS!$G$21,IF(AM515&lt;9.5,BMILMS!$D$22*AM515^3+BMILMS!$E$22*AM515^2+BMILMS!$F$22*AM515+BMILMS!$G$22,IF(AM515&lt;26.75,BMILMS!$D$23*AM515^3+BMILMS!$E$23*AM515^2+BMILMS!$F$23*AM515+BMILMS!$G$23,IF(AM515&lt;90,BMILMS!$D$24*AM515^3+BMILMS!$E$24*AM515^2+BMILMS!$F$24*AM515+BMILMS!$G$24,BMILMS!$D$25*AM515^3+BMILMS!$E$25*AM515^2+BMILMS!$F$25*AM515+BMILMS!$G$25))))),(IF(AM515&lt;2.5,BMILMS!$D$27*AM515^3+BMILMS!$E$27*AM515^2+BMILMS!$F$27*AM515+BMILMS!$G$27,IF(AM515&lt;9.5,BMILMS!$D$28*AM515^3+BMILMS!$E$28*AM515^2+BMILMS!$F$28*AM515+BMILMS!$G$28,IF(AM515&lt;26.75,BMILMS!$D$29*AM515^3+BMILMS!$E$29*AM515^2+BMILMS!$F$29*AM515+BMILMS!$G$29,IF(AM515&lt;90,BMILMS!$D$30*AM515^3+BMILMS!$E$30*AM515^2+BMILMS!$F$30*AM515+BMILMS!$G$30,IF(AM515&lt;150,BMILMS!$D$31*AM515^3+BMILMS!$E$31*AM515^2+BMILMS!$F$31*AM515+BMILMS!$G$31,BMILMS!$D$32*AM515^3+BMILMS!$E$32*AM515^2+BMILMS!$F$32*AM515+BMILMS!$G$32)))))))</f>
        <v>12.568967990000001</v>
      </c>
      <c r="AL515" s="4">
        <f>IF(D515="M",(IF(AM515&lt;90,BMILMS!$D$14*AM515^3+BMILMS!$E$14*AM515^2+BMILMS!$F$14*AM515+BMILMS!$G$14,BMILMS!$D$15*AM515^3+BMILMS!$E$15*AM515^2+BMILMS!$F$15*AM515+BMILMS!$G$15)),(IF(AM515&lt;90,BMILMS!$D$17*AM515^3+BMILMS!$E$17*AM515^2+BMILMS!$F$17*AM515+BMILMS!$G$17,BMILMS!$D$18*AM515^3+BMILMS!$E$18*AM515^2+BMILMS!$F$18*AM515+BMILMS!$G$18)))</f>
        <v>8.8969350000000003E-2</v>
      </c>
      <c r="AM515" s="4">
        <f t="shared" si="167"/>
        <v>0</v>
      </c>
      <c r="AO515" s="56">
        <f>IF(D515="M",WeightSDS!P$5*$AM515^7+WeightSDS!Q$5*$AM515^6+WeightSDS!R$5*$AM515^5+WeightSDS!S$5*$AM515^4+WeightSDS!T$5*$AM515^3+WeightSDS!U$5*$AM515^2+WeightSDS!V$5*$AM515+WeightSDS!W$5,IF($AM515&lt;186,WeightSDS!P$8*$AM515^7+WeightSDS!Q$8*$AM515^6+WeightSDS!R$8*$AM515^5+WeightSDS!S$8*$AM515^4+WeightSDS!T$8*$AM515^3+WeightSDS!U$8*$AM515^2+WeightSDS!V$8*$AM515+WeightSDS!W$8,WeightSDS!$U$9+WeightSDS!$V$9*($AM515-WeightSDS!$W$9)))</f>
        <v>0.75407122999999998</v>
      </c>
      <c r="AP515" s="4">
        <f>IF(D515="M",IF($AM515&lt;45,WeightSDS!M$23*$AM515^10+WeightSDS!N$23*$AM515^9+WeightSDS!O$23*$AM515^8+WeightSDS!P$23*$AM515^7+WeightSDS!Q$23*$AM515^6+WeightSDS!R$23*$AM515^5+WeightSDS!S$23*$AM515^4+WeightSDS!T$23*$AM515^3+WeightSDS!U$23*$AM515^2+WeightSDS!V$23*$AM515+WeightSDS!W$23,IF($AM515&lt;153,WeightSDS!M$25*$AM515^10+WeightSDS!N$25*$AM515^9+WeightSDS!O$25*$AM515^8+WeightSDS!P$25*$AM515^7+WeightSDS!Q$25*$AM515^6+WeightSDS!R$25*$AM515^5+WeightSDS!S$25*$AM515^4+WeightSDS!T$25*$AM515^3+WeightSDS!U$25*$AM515^2+WeightSDS!V$25*$AM515+WeightSDS!W$25,WeightSDS!M$27+WeightSDS!N$27/(1+EXP(WeightSDS!O$27+WeightSDS!P$27*$AM515)))),IF($AM515&lt;43.8,WeightSDS!M$29*$AM515^10+WeightSDS!N$29*$AM515^9+WeightSDS!O$29*$AM515^8+WeightSDS!P$29*$AM515^7+WeightSDS!Q$29*$AM515^6+WeightSDS!R$29*$AM515^5+WeightSDS!S$29*$AM515^4+WeightSDS!T$29*$AM515^3+WeightSDS!U$29*$AM515^2+WeightSDS!V$29*$AM515+WeightSDS!W$29-0.010431*(1-$AM515/210),IF($AM515&lt;123,WeightSDS!M$30*$AM515^10+WeightSDS!N$30*$AM515^9+WeightSDS!O$30*$AM515^8+WeightSDS!P$30*$AM515^7+WeightSDS!Q$30*$AM515^6+WeightSDS!R$30*$AM515^5+WeightSDS!S$30*$AM515^4+WeightSDS!T$30*$AM515^3+WeightSDS!U$30*$AM515^2+WeightSDS!V$30*$AM515+WeightSDS!W$30-0.010431*(1-1/$AM515),WeightSDS!M$32+WeightSDS!N$32/(1+EXP(WeightSDS!O$32+WeightSDS!P$32*$AM515))-0.010431*(1-$AM515/210))))</f>
        <v>2.9500001032655536</v>
      </c>
      <c r="AQ515" s="4">
        <f>IF(D515="M",IF($AM515&lt;162,WeightSDS!P$12*$AM515^7+WeightSDS!Q$12*$AM515^6+WeightSDS!R$12*$AM515^5+WeightSDS!S$12*$AM515^4+WeightSDS!T$12*$AM515^3+WeightSDS!U$12*$AM515^2+WeightSDS!V$12*$AM515+WeightSDS!W$12,WeightSDS!P$14*$AM515^7+WeightSDS!Q$14*$AM515^6+WeightSDS!R$14*$AM515^5+WeightSDS!S$14*$AM515^4+WeightSDS!T$14*$AM515^3+WeightSDS!U$14*$AM515^2+WeightSDS!V$14*$AM515+WeightSDS!W$14),IF($AM515&lt;156,WeightSDS!O$17*$AM515^8+WeightSDS!P$17*$AM515^7+WeightSDS!Q$17*$AM515^6+WeightSDS!R$17*$AM515^5+WeightSDS!S$17*$AM515^4+WeightSDS!T$17*$AM515^3+WeightSDS!U$17*$AM515^2+WeightSDS!V$17*$AM515+WeightSDS!W$17,IF($AM515&lt;186,WeightSDS!$U$18+(WeightSDS!$V$18-WeightSDS!$U$18)/24*($AM515-186)+WeightSDS!$W$18*(-$AM515+186)^2-0.005,WeightSDS!$U$18+(WeightSDS!$V$18-WeightSDS!$U$18)/24*($AM515-186)-0.005)))</f>
        <v>0.14604529399999999</v>
      </c>
      <c r="AT515" s="4">
        <f t="shared" ref="AT515:AT578" si="175">INDEX(IF(D515="M",IGFmale, IGFfemale), AA515+1,1)</f>
        <v>0.56299999999999994</v>
      </c>
      <c r="AU515" s="4">
        <f t="shared" ref="AU515:AU578" si="176">INDEX(IF(D515="M",IGFmale, IGFfemale), AA515+1,2)</f>
        <v>69</v>
      </c>
      <c r="AV515" s="4">
        <f t="shared" ref="AV515:AV578" si="177">INDEX(IF(D515="M",IGFmale, IGFfemale), AA515+1,3)</f>
        <v>0.51</v>
      </c>
    </row>
    <row r="516" spans="1:48" x14ac:dyDescent="0.15">
      <c r="A516" s="4"/>
      <c r="B516" s="21"/>
      <c r="C516" s="21"/>
      <c r="D516" s="21"/>
      <c r="E516" s="22"/>
      <c r="F516" s="22"/>
      <c r="G516" s="23"/>
      <c r="H516" s="23"/>
      <c r="I516" s="181"/>
      <c r="J516" s="8" t="str">
        <f t="shared" si="169"/>
        <v/>
      </c>
      <c r="K516" s="2" t="str">
        <f t="shared" ref="K516:K579" si="178">IF(COUNTA(D516,E516,F516,G516,H516)=5,IF(T516&lt;1,"       *",IF(T516&gt;=6,"       *",IF(G516&gt;=120,"       *",IF(G516&lt;70,"       *",(H516-AG516)/AG516*100)))),"")</f>
        <v/>
      </c>
      <c r="L516" s="2" t="str">
        <f t="shared" si="170"/>
        <v/>
      </c>
      <c r="M516" s="2" t="str">
        <f t="shared" ref="M516:M579" si="179">IF(COUNTA(D516,E516,F516,G516,H516)=5,IF(G516&gt;=IF(D516="M",181,174),"*",IF(G516&lt;101,"       *",IF(T516&lt;6,"       *",IF(AA516+AB516/12&gt;=17.583,"*",(H516-AH516)/AH516*100)))),"")</f>
        <v/>
      </c>
      <c r="N516" s="2" t="str">
        <f t="shared" si="166"/>
        <v/>
      </c>
      <c r="O516" s="2" t="str">
        <f t="shared" ref="O516:O579" si="180">IF(COUNTA(D516,E516,F516,G516,H516)=5,IF(AA516+AB516/12&gt;17.583,"   *",NORMSDIST(((N516/AK516)^(AJ516)-1)/AJ516/AL516)*100),"")</f>
        <v/>
      </c>
      <c r="P516" s="8" t="str">
        <f t="shared" ref="P516:P579" si="181">IF(COUNTA(D516,E516,F516,G516,H516)=5,IF(AA516+AB516/12&gt;17.583,"   *",((N516/AK516)^(AJ516)-1)/AJ516/AL516),"")</f>
        <v/>
      </c>
      <c r="Q516" s="8" t="str">
        <f t="shared" ref="Q516:Q579" si="182">IF(COUNTA(D516,E516,F516,H516)=4,IF(AA516+AB516/12&gt;17.583,"   *",((H516/AP516)^(AO516)-1)/AO516/AQ516),"")</f>
        <v/>
      </c>
      <c r="R516" s="111" t="str">
        <f t="shared" ref="R516:R579" si="183">IF(COUNTA(D516,E516,F516,I516)=4,IF(AC516&gt;77,"*",NORMSDIST(((I516/AU516)^(AT516)-1)/AT516/AV516)*100),"")</f>
        <v/>
      </c>
      <c r="S516" s="44" t="str">
        <f t="shared" ref="S516:S579" si="184">IF(COUNTA(D516,E516,F516,I516)=4,IF(AC516&gt;77,"*",((I516/AU516)^(AT516)-1)/AT516/AV516),"")</f>
        <v/>
      </c>
      <c r="T516" s="37" t="str">
        <f t="shared" ref="T516:T579" si="185">IF(COUNTA(E516,F516)=2,AC516,"")</f>
        <v/>
      </c>
      <c r="U516" s="44" t="str">
        <f t="shared" ref="U516:U579" si="186">IF(COUNTA(E516,F516)=2,AA516&amp;"歳"&amp;AB516&amp;"か月","")</f>
        <v/>
      </c>
      <c r="V516" s="26"/>
      <c r="W516" s="26"/>
      <c r="X516" s="26"/>
      <c r="Y516" s="26"/>
      <c r="Z516" s="24"/>
      <c r="AA516" s="169">
        <f t="shared" si="171"/>
        <v>0</v>
      </c>
      <c r="AB516" s="4">
        <f t="shared" si="172"/>
        <v>0</v>
      </c>
      <c r="AC516" s="170">
        <f t="shared" si="168"/>
        <v>0</v>
      </c>
      <c r="AD516" s="58"/>
      <c r="AE516" s="58"/>
      <c r="AF516" s="58"/>
      <c r="AG516" s="59">
        <f t="shared" si="173"/>
        <v>9.0359999999999996</v>
      </c>
      <c r="AH516" s="59">
        <f t="shared" si="174"/>
        <v>-184.49199999999999</v>
      </c>
      <c r="AJ516" s="4">
        <f>IF(D516="M",IF(AM516&lt;78,BMILMS!$D$5*AM516^3+BMILMS!$E$5*AM516^2+BMILMS!$F$5*AM516+BMILMS!$G$5,IF(AM516&lt;150,BMILMS!$D$6*AM516^3+BMILMS!$E$6*AM516^2+BMILMS!$F$6*AM516+BMILMS!$G$6,BMILMS!$D$7*AM516^3+BMILMS!$E$7*AM516^2+BMILMS!$F$7*AM516+BMILMS!$G$7)),IF(AM516&lt;69,BMILMS!$D$9*AM516^3+BMILMS!$E$9*AM516^2+BMILMS!$F$9*AM516+BMILMS!$G$9,IF(AM516&lt;150,BMILMS!$D$10*AM516^3+BMILMS!$E$10*AM516^2+BMILMS!$F$10*AM516+BMILMS!$G$10,BMILMS!$D$11*AM516^3+BMILMS!$E$11*AM516^2+BMILMS!$F$11*AM516+BMILMS!$G$11)))</f>
        <v>0.79584630099999998</v>
      </c>
      <c r="AK516" s="4">
        <f>IF(D516="M",(IF(AM516&lt;2.5,BMILMS!$D$21*AM516^3+BMILMS!$E$21*AM516^2+BMILMS!$F$21*AM516+BMILMS!$G$21,IF(AM516&lt;9.5,BMILMS!$D$22*AM516^3+BMILMS!$E$22*AM516^2+BMILMS!$F$22*AM516+BMILMS!$G$22,IF(AM516&lt;26.75,BMILMS!$D$23*AM516^3+BMILMS!$E$23*AM516^2+BMILMS!$F$23*AM516+BMILMS!$G$23,IF(AM516&lt;90,BMILMS!$D$24*AM516^3+BMILMS!$E$24*AM516^2+BMILMS!$F$24*AM516+BMILMS!$G$24,BMILMS!$D$25*AM516^3+BMILMS!$E$25*AM516^2+BMILMS!$F$25*AM516+BMILMS!$G$25))))),(IF(AM516&lt;2.5,BMILMS!$D$27*AM516^3+BMILMS!$E$27*AM516^2+BMILMS!$F$27*AM516+BMILMS!$G$27,IF(AM516&lt;9.5,BMILMS!$D$28*AM516^3+BMILMS!$E$28*AM516^2+BMILMS!$F$28*AM516+BMILMS!$G$28,IF(AM516&lt;26.75,BMILMS!$D$29*AM516^3+BMILMS!$E$29*AM516^2+BMILMS!$F$29*AM516+BMILMS!$G$29,IF(AM516&lt;90,BMILMS!$D$30*AM516^3+BMILMS!$E$30*AM516^2+BMILMS!$F$30*AM516+BMILMS!$G$30,IF(AM516&lt;150,BMILMS!$D$31*AM516^3+BMILMS!$E$31*AM516^2+BMILMS!$F$31*AM516+BMILMS!$G$31,BMILMS!$D$32*AM516^3+BMILMS!$E$32*AM516^2+BMILMS!$F$32*AM516+BMILMS!$G$32)))))))</f>
        <v>12.568967990000001</v>
      </c>
      <c r="AL516" s="4">
        <f>IF(D516="M",(IF(AM516&lt;90,BMILMS!$D$14*AM516^3+BMILMS!$E$14*AM516^2+BMILMS!$F$14*AM516+BMILMS!$G$14,BMILMS!$D$15*AM516^3+BMILMS!$E$15*AM516^2+BMILMS!$F$15*AM516+BMILMS!$G$15)),(IF(AM516&lt;90,BMILMS!$D$17*AM516^3+BMILMS!$E$17*AM516^2+BMILMS!$F$17*AM516+BMILMS!$G$17,BMILMS!$D$18*AM516^3+BMILMS!$E$18*AM516^2+BMILMS!$F$18*AM516+BMILMS!$G$18)))</f>
        <v>8.8969350000000003E-2</v>
      </c>
      <c r="AM516" s="4">
        <f t="shared" si="167"/>
        <v>0</v>
      </c>
      <c r="AO516" s="56">
        <f>IF(D516="M",WeightSDS!P$5*$AM516^7+WeightSDS!Q$5*$AM516^6+WeightSDS!R$5*$AM516^5+WeightSDS!S$5*$AM516^4+WeightSDS!T$5*$AM516^3+WeightSDS!U$5*$AM516^2+WeightSDS!V$5*$AM516+WeightSDS!W$5,IF($AM516&lt;186,WeightSDS!P$8*$AM516^7+WeightSDS!Q$8*$AM516^6+WeightSDS!R$8*$AM516^5+WeightSDS!S$8*$AM516^4+WeightSDS!T$8*$AM516^3+WeightSDS!U$8*$AM516^2+WeightSDS!V$8*$AM516+WeightSDS!W$8,WeightSDS!$U$9+WeightSDS!$V$9*($AM516-WeightSDS!$W$9)))</f>
        <v>0.75407122999999998</v>
      </c>
      <c r="AP516" s="4">
        <f>IF(D516="M",IF($AM516&lt;45,WeightSDS!M$23*$AM516^10+WeightSDS!N$23*$AM516^9+WeightSDS!O$23*$AM516^8+WeightSDS!P$23*$AM516^7+WeightSDS!Q$23*$AM516^6+WeightSDS!R$23*$AM516^5+WeightSDS!S$23*$AM516^4+WeightSDS!T$23*$AM516^3+WeightSDS!U$23*$AM516^2+WeightSDS!V$23*$AM516+WeightSDS!W$23,IF($AM516&lt;153,WeightSDS!M$25*$AM516^10+WeightSDS!N$25*$AM516^9+WeightSDS!O$25*$AM516^8+WeightSDS!P$25*$AM516^7+WeightSDS!Q$25*$AM516^6+WeightSDS!R$25*$AM516^5+WeightSDS!S$25*$AM516^4+WeightSDS!T$25*$AM516^3+WeightSDS!U$25*$AM516^2+WeightSDS!V$25*$AM516+WeightSDS!W$25,WeightSDS!M$27+WeightSDS!N$27/(1+EXP(WeightSDS!O$27+WeightSDS!P$27*$AM516)))),IF($AM516&lt;43.8,WeightSDS!M$29*$AM516^10+WeightSDS!N$29*$AM516^9+WeightSDS!O$29*$AM516^8+WeightSDS!P$29*$AM516^7+WeightSDS!Q$29*$AM516^6+WeightSDS!R$29*$AM516^5+WeightSDS!S$29*$AM516^4+WeightSDS!T$29*$AM516^3+WeightSDS!U$29*$AM516^2+WeightSDS!V$29*$AM516+WeightSDS!W$29-0.010431*(1-$AM516/210),IF($AM516&lt;123,WeightSDS!M$30*$AM516^10+WeightSDS!N$30*$AM516^9+WeightSDS!O$30*$AM516^8+WeightSDS!P$30*$AM516^7+WeightSDS!Q$30*$AM516^6+WeightSDS!R$30*$AM516^5+WeightSDS!S$30*$AM516^4+WeightSDS!T$30*$AM516^3+WeightSDS!U$30*$AM516^2+WeightSDS!V$30*$AM516+WeightSDS!W$30-0.010431*(1-1/$AM516),WeightSDS!M$32+WeightSDS!N$32/(1+EXP(WeightSDS!O$32+WeightSDS!P$32*$AM516))-0.010431*(1-$AM516/210))))</f>
        <v>2.9500001032655536</v>
      </c>
      <c r="AQ516" s="4">
        <f>IF(D516="M",IF($AM516&lt;162,WeightSDS!P$12*$AM516^7+WeightSDS!Q$12*$AM516^6+WeightSDS!R$12*$AM516^5+WeightSDS!S$12*$AM516^4+WeightSDS!T$12*$AM516^3+WeightSDS!U$12*$AM516^2+WeightSDS!V$12*$AM516+WeightSDS!W$12,WeightSDS!P$14*$AM516^7+WeightSDS!Q$14*$AM516^6+WeightSDS!R$14*$AM516^5+WeightSDS!S$14*$AM516^4+WeightSDS!T$14*$AM516^3+WeightSDS!U$14*$AM516^2+WeightSDS!V$14*$AM516+WeightSDS!W$14),IF($AM516&lt;156,WeightSDS!O$17*$AM516^8+WeightSDS!P$17*$AM516^7+WeightSDS!Q$17*$AM516^6+WeightSDS!R$17*$AM516^5+WeightSDS!S$17*$AM516^4+WeightSDS!T$17*$AM516^3+WeightSDS!U$17*$AM516^2+WeightSDS!V$17*$AM516+WeightSDS!W$17,IF($AM516&lt;186,WeightSDS!$U$18+(WeightSDS!$V$18-WeightSDS!$U$18)/24*($AM516-186)+WeightSDS!$W$18*(-$AM516+186)^2-0.005,WeightSDS!$U$18+(WeightSDS!$V$18-WeightSDS!$U$18)/24*($AM516-186)-0.005)))</f>
        <v>0.14604529399999999</v>
      </c>
      <c r="AT516" s="4">
        <f t="shared" si="175"/>
        <v>0.56299999999999994</v>
      </c>
      <c r="AU516" s="4">
        <f t="shared" si="176"/>
        <v>69</v>
      </c>
      <c r="AV516" s="4">
        <f t="shared" si="177"/>
        <v>0.51</v>
      </c>
    </row>
    <row r="517" spans="1:48" x14ac:dyDescent="0.15">
      <c r="A517" s="4"/>
      <c r="B517" s="21"/>
      <c r="C517" s="21"/>
      <c r="D517" s="21"/>
      <c r="E517" s="22"/>
      <c r="F517" s="22"/>
      <c r="G517" s="23"/>
      <c r="H517" s="23"/>
      <c r="I517" s="181"/>
      <c r="J517" s="8" t="str">
        <f t="shared" si="169"/>
        <v/>
      </c>
      <c r="K517" s="2" t="str">
        <f t="shared" si="178"/>
        <v/>
      </c>
      <c r="L517" s="2" t="str">
        <f t="shared" si="170"/>
        <v/>
      </c>
      <c r="M517" s="2" t="str">
        <f t="shared" si="179"/>
        <v/>
      </c>
      <c r="N517" s="2" t="str">
        <f t="shared" si="166"/>
        <v/>
      </c>
      <c r="O517" s="2" t="str">
        <f t="shared" si="180"/>
        <v/>
      </c>
      <c r="P517" s="8" t="str">
        <f t="shared" si="181"/>
        <v/>
      </c>
      <c r="Q517" s="8" t="str">
        <f t="shared" si="182"/>
        <v/>
      </c>
      <c r="R517" s="111" t="str">
        <f t="shared" si="183"/>
        <v/>
      </c>
      <c r="S517" s="44" t="str">
        <f t="shared" si="184"/>
        <v/>
      </c>
      <c r="T517" s="37" t="str">
        <f t="shared" si="185"/>
        <v/>
      </c>
      <c r="U517" s="44" t="str">
        <f t="shared" si="186"/>
        <v/>
      </c>
      <c r="V517" s="26"/>
      <c r="W517" s="26"/>
      <c r="X517" s="26"/>
      <c r="Y517" s="26"/>
      <c r="Z517" s="24"/>
      <c r="AA517" s="169">
        <f t="shared" si="171"/>
        <v>0</v>
      </c>
      <c r="AB517" s="4">
        <f t="shared" si="172"/>
        <v>0</v>
      </c>
      <c r="AC517" s="170">
        <f t="shared" si="168"/>
        <v>0</v>
      </c>
      <c r="AD517" s="58"/>
      <c r="AE517" s="58"/>
      <c r="AF517" s="58"/>
      <c r="AG517" s="59">
        <f t="shared" si="173"/>
        <v>9.0359999999999996</v>
      </c>
      <c r="AH517" s="59">
        <f t="shared" si="174"/>
        <v>-184.49199999999999</v>
      </c>
      <c r="AJ517" s="4">
        <f>IF(D517="M",IF(AM517&lt;78,BMILMS!$D$5*AM517^3+BMILMS!$E$5*AM517^2+BMILMS!$F$5*AM517+BMILMS!$G$5,IF(AM517&lt;150,BMILMS!$D$6*AM517^3+BMILMS!$E$6*AM517^2+BMILMS!$F$6*AM517+BMILMS!$G$6,BMILMS!$D$7*AM517^3+BMILMS!$E$7*AM517^2+BMILMS!$F$7*AM517+BMILMS!$G$7)),IF(AM517&lt;69,BMILMS!$D$9*AM517^3+BMILMS!$E$9*AM517^2+BMILMS!$F$9*AM517+BMILMS!$G$9,IF(AM517&lt;150,BMILMS!$D$10*AM517^3+BMILMS!$E$10*AM517^2+BMILMS!$F$10*AM517+BMILMS!$G$10,BMILMS!$D$11*AM517^3+BMILMS!$E$11*AM517^2+BMILMS!$F$11*AM517+BMILMS!$G$11)))</f>
        <v>0.79584630099999998</v>
      </c>
      <c r="AK517" s="4">
        <f>IF(D517="M",(IF(AM517&lt;2.5,BMILMS!$D$21*AM517^3+BMILMS!$E$21*AM517^2+BMILMS!$F$21*AM517+BMILMS!$G$21,IF(AM517&lt;9.5,BMILMS!$D$22*AM517^3+BMILMS!$E$22*AM517^2+BMILMS!$F$22*AM517+BMILMS!$G$22,IF(AM517&lt;26.75,BMILMS!$D$23*AM517^3+BMILMS!$E$23*AM517^2+BMILMS!$F$23*AM517+BMILMS!$G$23,IF(AM517&lt;90,BMILMS!$D$24*AM517^3+BMILMS!$E$24*AM517^2+BMILMS!$F$24*AM517+BMILMS!$G$24,BMILMS!$D$25*AM517^3+BMILMS!$E$25*AM517^2+BMILMS!$F$25*AM517+BMILMS!$G$25))))),(IF(AM517&lt;2.5,BMILMS!$D$27*AM517^3+BMILMS!$E$27*AM517^2+BMILMS!$F$27*AM517+BMILMS!$G$27,IF(AM517&lt;9.5,BMILMS!$D$28*AM517^3+BMILMS!$E$28*AM517^2+BMILMS!$F$28*AM517+BMILMS!$G$28,IF(AM517&lt;26.75,BMILMS!$D$29*AM517^3+BMILMS!$E$29*AM517^2+BMILMS!$F$29*AM517+BMILMS!$G$29,IF(AM517&lt;90,BMILMS!$D$30*AM517^3+BMILMS!$E$30*AM517^2+BMILMS!$F$30*AM517+BMILMS!$G$30,IF(AM517&lt;150,BMILMS!$D$31*AM517^3+BMILMS!$E$31*AM517^2+BMILMS!$F$31*AM517+BMILMS!$G$31,BMILMS!$D$32*AM517^3+BMILMS!$E$32*AM517^2+BMILMS!$F$32*AM517+BMILMS!$G$32)))))))</f>
        <v>12.568967990000001</v>
      </c>
      <c r="AL517" s="4">
        <f>IF(D517="M",(IF(AM517&lt;90,BMILMS!$D$14*AM517^3+BMILMS!$E$14*AM517^2+BMILMS!$F$14*AM517+BMILMS!$G$14,BMILMS!$D$15*AM517^3+BMILMS!$E$15*AM517^2+BMILMS!$F$15*AM517+BMILMS!$G$15)),(IF(AM517&lt;90,BMILMS!$D$17*AM517^3+BMILMS!$E$17*AM517^2+BMILMS!$F$17*AM517+BMILMS!$G$17,BMILMS!$D$18*AM517^3+BMILMS!$E$18*AM517^2+BMILMS!$F$18*AM517+BMILMS!$G$18)))</f>
        <v>8.8969350000000003E-2</v>
      </c>
      <c r="AM517" s="4">
        <f t="shared" si="167"/>
        <v>0</v>
      </c>
      <c r="AO517" s="56">
        <f>IF(D517="M",WeightSDS!P$5*$AM517^7+WeightSDS!Q$5*$AM517^6+WeightSDS!R$5*$AM517^5+WeightSDS!S$5*$AM517^4+WeightSDS!T$5*$AM517^3+WeightSDS!U$5*$AM517^2+WeightSDS!V$5*$AM517+WeightSDS!W$5,IF($AM517&lt;186,WeightSDS!P$8*$AM517^7+WeightSDS!Q$8*$AM517^6+WeightSDS!R$8*$AM517^5+WeightSDS!S$8*$AM517^4+WeightSDS!T$8*$AM517^3+WeightSDS!U$8*$AM517^2+WeightSDS!V$8*$AM517+WeightSDS!W$8,WeightSDS!$U$9+WeightSDS!$V$9*($AM517-WeightSDS!$W$9)))</f>
        <v>0.75407122999999998</v>
      </c>
      <c r="AP517" s="4">
        <f>IF(D517="M",IF($AM517&lt;45,WeightSDS!M$23*$AM517^10+WeightSDS!N$23*$AM517^9+WeightSDS!O$23*$AM517^8+WeightSDS!P$23*$AM517^7+WeightSDS!Q$23*$AM517^6+WeightSDS!R$23*$AM517^5+WeightSDS!S$23*$AM517^4+WeightSDS!T$23*$AM517^3+WeightSDS!U$23*$AM517^2+WeightSDS!V$23*$AM517+WeightSDS!W$23,IF($AM517&lt;153,WeightSDS!M$25*$AM517^10+WeightSDS!N$25*$AM517^9+WeightSDS!O$25*$AM517^8+WeightSDS!P$25*$AM517^7+WeightSDS!Q$25*$AM517^6+WeightSDS!R$25*$AM517^5+WeightSDS!S$25*$AM517^4+WeightSDS!T$25*$AM517^3+WeightSDS!U$25*$AM517^2+WeightSDS!V$25*$AM517+WeightSDS!W$25,WeightSDS!M$27+WeightSDS!N$27/(1+EXP(WeightSDS!O$27+WeightSDS!P$27*$AM517)))),IF($AM517&lt;43.8,WeightSDS!M$29*$AM517^10+WeightSDS!N$29*$AM517^9+WeightSDS!O$29*$AM517^8+WeightSDS!P$29*$AM517^7+WeightSDS!Q$29*$AM517^6+WeightSDS!R$29*$AM517^5+WeightSDS!S$29*$AM517^4+WeightSDS!T$29*$AM517^3+WeightSDS!U$29*$AM517^2+WeightSDS!V$29*$AM517+WeightSDS!W$29-0.010431*(1-$AM517/210),IF($AM517&lt;123,WeightSDS!M$30*$AM517^10+WeightSDS!N$30*$AM517^9+WeightSDS!O$30*$AM517^8+WeightSDS!P$30*$AM517^7+WeightSDS!Q$30*$AM517^6+WeightSDS!R$30*$AM517^5+WeightSDS!S$30*$AM517^4+WeightSDS!T$30*$AM517^3+WeightSDS!U$30*$AM517^2+WeightSDS!V$30*$AM517+WeightSDS!W$30-0.010431*(1-1/$AM517),WeightSDS!M$32+WeightSDS!N$32/(1+EXP(WeightSDS!O$32+WeightSDS!P$32*$AM517))-0.010431*(1-$AM517/210))))</f>
        <v>2.9500001032655536</v>
      </c>
      <c r="AQ517" s="4">
        <f>IF(D517="M",IF($AM517&lt;162,WeightSDS!P$12*$AM517^7+WeightSDS!Q$12*$AM517^6+WeightSDS!R$12*$AM517^5+WeightSDS!S$12*$AM517^4+WeightSDS!T$12*$AM517^3+WeightSDS!U$12*$AM517^2+WeightSDS!V$12*$AM517+WeightSDS!W$12,WeightSDS!P$14*$AM517^7+WeightSDS!Q$14*$AM517^6+WeightSDS!R$14*$AM517^5+WeightSDS!S$14*$AM517^4+WeightSDS!T$14*$AM517^3+WeightSDS!U$14*$AM517^2+WeightSDS!V$14*$AM517+WeightSDS!W$14),IF($AM517&lt;156,WeightSDS!O$17*$AM517^8+WeightSDS!P$17*$AM517^7+WeightSDS!Q$17*$AM517^6+WeightSDS!R$17*$AM517^5+WeightSDS!S$17*$AM517^4+WeightSDS!T$17*$AM517^3+WeightSDS!U$17*$AM517^2+WeightSDS!V$17*$AM517+WeightSDS!W$17,IF($AM517&lt;186,WeightSDS!$U$18+(WeightSDS!$V$18-WeightSDS!$U$18)/24*($AM517-186)+WeightSDS!$W$18*(-$AM517+186)^2-0.005,WeightSDS!$U$18+(WeightSDS!$V$18-WeightSDS!$U$18)/24*($AM517-186)-0.005)))</f>
        <v>0.14604529399999999</v>
      </c>
      <c r="AT517" s="4">
        <f t="shared" si="175"/>
        <v>0.56299999999999994</v>
      </c>
      <c r="AU517" s="4">
        <f t="shared" si="176"/>
        <v>69</v>
      </c>
      <c r="AV517" s="4">
        <f t="shared" si="177"/>
        <v>0.51</v>
      </c>
    </row>
    <row r="518" spans="1:48" x14ac:dyDescent="0.15">
      <c r="A518" s="4"/>
      <c r="B518" s="21"/>
      <c r="C518" s="21"/>
      <c r="D518" s="21"/>
      <c r="E518" s="22"/>
      <c r="F518" s="22"/>
      <c r="G518" s="23"/>
      <c r="H518" s="23"/>
      <c r="I518" s="181"/>
      <c r="J518" s="8" t="str">
        <f t="shared" si="169"/>
        <v/>
      </c>
      <c r="K518" s="2" t="str">
        <f t="shared" si="178"/>
        <v/>
      </c>
      <c r="L518" s="2" t="str">
        <f t="shared" si="170"/>
        <v/>
      </c>
      <c r="M518" s="2" t="str">
        <f t="shared" si="179"/>
        <v/>
      </c>
      <c r="N518" s="2" t="str">
        <f t="shared" si="166"/>
        <v/>
      </c>
      <c r="O518" s="2" t="str">
        <f t="shared" si="180"/>
        <v/>
      </c>
      <c r="P518" s="8" t="str">
        <f t="shared" si="181"/>
        <v/>
      </c>
      <c r="Q518" s="8" t="str">
        <f t="shared" si="182"/>
        <v/>
      </c>
      <c r="R518" s="111" t="str">
        <f t="shared" si="183"/>
        <v/>
      </c>
      <c r="S518" s="44" t="str">
        <f t="shared" si="184"/>
        <v/>
      </c>
      <c r="T518" s="37" t="str">
        <f t="shared" si="185"/>
        <v/>
      </c>
      <c r="U518" s="44" t="str">
        <f t="shared" si="186"/>
        <v/>
      </c>
      <c r="V518" s="26"/>
      <c r="W518" s="26"/>
      <c r="X518" s="26"/>
      <c r="Y518" s="26"/>
      <c r="Z518" s="24"/>
      <c r="AA518" s="169">
        <f t="shared" si="171"/>
        <v>0</v>
      </c>
      <c r="AB518" s="4">
        <f t="shared" si="172"/>
        <v>0</v>
      </c>
      <c r="AC518" s="170">
        <f t="shared" si="168"/>
        <v>0</v>
      </c>
      <c r="AD518" s="58"/>
      <c r="AE518" s="58"/>
      <c r="AF518" s="58"/>
      <c r="AG518" s="59">
        <f t="shared" si="173"/>
        <v>9.0359999999999996</v>
      </c>
      <c r="AH518" s="59">
        <f t="shared" si="174"/>
        <v>-184.49199999999999</v>
      </c>
      <c r="AJ518" s="4">
        <f>IF(D518="M",IF(AM518&lt;78,BMILMS!$D$5*AM518^3+BMILMS!$E$5*AM518^2+BMILMS!$F$5*AM518+BMILMS!$G$5,IF(AM518&lt;150,BMILMS!$D$6*AM518^3+BMILMS!$E$6*AM518^2+BMILMS!$F$6*AM518+BMILMS!$G$6,BMILMS!$D$7*AM518^3+BMILMS!$E$7*AM518^2+BMILMS!$F$7*AM518+BMILMS!$G$7)),IF(AM518&lt;69,BMILMS!$D$9*AM518^3+BMILMS!$E$9*AM518^2+BMILMS!$F$9*AM518+BMILMS!$G$9,IF(AM518&lt;150,BMILMS!$D$10*AM518^3+BMILMS!$E$10*AM518^2+BMILMS!$F$10*AM518+BMILMS!$G$10,BMILMS!$D$11*AM518^3+BMILMS!$E$11*AM518^2+BMILMS!$F$11*AM518+BMILMS!$G$11)))</f>
        <v>0.79584630099999998</v>
      </c>
      <c r="AK518" s="4">
        <f>IF(D518="M",(IF(AM518&lt;2.5,BMILMS!$D$21*AM518^3+BMILMS!$E$21*AM518^2+BMILMS!$F$21*AM518+BMILMS!$G$21,IF(AM518&lt;9.5,BMILMS!$D$22*AM518^3+BMILMS!$E$22*AM518^2+BMILMS!$F$22*AM518+BMILMS!$G$22,IF(AM518&lt;26.75,BMILMS!$D$23*AM518^3+BMILMS!$E$23*AM518^2+BMILMS!$F$23*AM518+BMILMS!$G$23,IF(AM518&lt;90,BMILMS!$D$24*AM518^3+BMILMS!$E$24*AM518^2+BMILMS!$F$24*AM518+BMILMS!$G$24,BMILMS!$D$25*AM518^3+BMILMS!$E$25*AM518^2+BMILMS!$F$25*AM518+BMILMS!$G$25))))),(IF(AM518&lt;2.5,BMILMS!$D$27*AM518^3+BMILMS!$E$27*AM518^2+BMILMS!$F$27*AM518+BMILMS!$G$27,IF(AM518&lt;9.5,BMILMS!$D$28*AM518^3+BMILMS!$E$28*AM518^2+BMILMS!$F$28*AM518+BMILMS!$G$28,IF(AM518&lt;26.75,BMILMS!$D$29*AM518^3+BMILMS!$E$29*AM518^2+BMILMS!$F$29*AM518+BMILMS!$G$29,IF(AM518&lt;90,BMILMS!$D$30*AM518^3+BMILMS!$E$30*AM518^2+BMILMS!$F$30*AM518+BMILMS!$G$30,IF(AM518&lt;150,BMILMS!$D$31*AM518^3+BMILMS!$E$31*AM518^2+BMILMS!$F$31*AM518+BMILMS!$G$31,BMILMS!$D$32*AM518^3+BMILMS!$E$32*AM518^2+BMILMS!$F$32*AM518+BMILMS!$G$32)))))))</f>
        <v>12.568967990000001</v>
      </c>
      <c r="AL518" s="4">
        <f>IF(D518="M",(IF(AM518&lt;90,BMILMS!$D$14*AM518^3+BMILMS!$E$14*AM518^2+BMILMS!$F$14*AM518+BMILMS!$G$14,BMILMS!$D$15*AM518^3+BMILMS!$E$15*AM518^2+BMILMS!$F$15*AM518+BMILMS!$G$15)),(IF(AM518&lt;90,BMILMS!$D$17*AM518^3+BMILMS!$E$17*AM518^2+BMILMS!$F$17*AM518+BMILMS!$G$17,BMILMS!$D$18*AM518^3+BMILMS!$E$18*AM518^2+BMILMS!$F$18*AM518+BMILMS!$G$18)))</f>
        <v>8.8969350000000003E-2</v>
      </c>
      <c r="AM518" s="4">
        <f t="shared" si="167"/>
        <v>0</v>
      </c>
      <c r="AO518" s="56">
        <f>IF(D518="M",WeightSDS!P$5*$AM518^7+WeightSDS!Q$5*$AM518^6+WeightSDS!R$5*$AM518^5+WeightSDS!S$5*$AM518^4+WeightSDS!T$5*$AM518^3+WeightSDS!U$5*$AM518^2+WeightSDS!V$5*$AM518+WeightSDS!W$5,IF($AM518&lt;186,WeightSDS!P$8*$AM518^7+WeightSDS!Q$8*$AM518^6+WeightSDS!R$8*$AM518^5+WeightSDS!S$8*$AM518^4+WeightSDS!T$8*$AM518^3+WeightSDS!U$8*$AM518^2+WeightSDS!V$8*$AM518+WeightSDS!W$8,WeightSDS!$U$9+WeightSDS!$V$9*($AM518-WeightSDS!$W$9)))</f>
        <v>0.75407122999999998</v>
      </c>
      <c r="AP518" s="4">
        <f>IF(D518="M",IF($AM518&lt;45,WeightSDS!M$23*$AM518^10+WeightSDS!N$23*$AM518^9+WeightSDS!O$23*$AM518^8+WeightSDS!P$23*$AM518^7+WeightSDS!Q$23*$AM518^6+WeightSDS!R$23*$AM518^5+WeightSDS!S$23*$AM518^4+WeightSDS!T$23*$AM518^3+WeightSDS!U$23*$AM518^2+WeightSDS!V$23*$AM518+WeightSDS!W$23,IF($AM518&lt;153,WeightSDS!M$25*$AM518^10+WeightSDS!N$25*$AM518^9+WeightSDS!O$25*$AM518^8+WeightSDS!P$25*$AM518^7+WeightSDS!Q$25*$AM518^6+WeightSDS!R$25*$AM518^5+WeightSDS!S$25*$AM518^4+WeightSDS!T$25*$AM518^3+WeightSDS!U$25*$AM518^2+WeightSDS!V$25*$AM518+WeightSDS!W$25,WeightSDS!M$27+WeightSDS!N$27/(1+EXP(WeightSDS!O$27+WeightSDS!P$27*$AM518)))),IF($AM518&lt;43.8,WeightSDS!M$29*$AM518^10+WeightSDS!N$29*$AM518^9+WeightSDS!O$29*$AM518^8+WeightSDS!P$29*$AM518^7+WeightSDS!Q$29*$AM518^6+WeightSDS!R$29*$AM518^5+WeightSDS!S$29*$AM518^4+WeightSDS!T$29*$AM518^3+WeightSDS!U$29*$AM518^2+WeightSDS!V$29*$AM518+WeightSDS!W$29-0.010431*(1-$AM518/210),IF($AM518&lt;123,WeightSDS!M$30*$AM518^10+WeightSDS!N$30*$AM518^9+WeightSDS!O$30*$AM518^8+WeightSDS!P$30*$AM518^7+WeightSDS!Q$30*$AM518^6+WeightSDS!R$30*$AM518^5+WeightSDS!S$30*$AM518^4+WeightSDS!T$30*$AM518^3+WeightSDS!U$30*$AM518^2+WeightSDS!V$30*$AM518+WeightSDS!W$30-0.010431*(1-1/$AM518),WeightSDS!M$32+WeightSDS!N$32/(1+EXP(WeightSDS!O$32+WeightSDS!P$32*$AM518))-0.010431*(1-$AM518/210))))</f>
        <v>2.9500001032655536</v>
      </c>
      <c r="AQ518" s="4">
        <f>IF(D518="M",IF($AM518&lt;162,WeightSDS!P$12*$AM518^7+WeightSDS!Q$12*$AM518^6+WeightSDS!R$12*$AM518^5+WeightSDS!S$12*$AM518^4+WeightSDS!T$12*$AM518^3+WeightSDS!U$12*$AM518^2+WeightSDS!V$12*$AM518+WeightSDS!W$12,WeightSDS!P$14*$AM518^7+WeightSDS!Q$14*$AM518^6+WeightSDS!R$14*$AM518^5+WeightSDS!S$14*$AM518^4+WeightSDS!T$14*$AM518^3+WeightSDS!U$14*$AM518^2+WeightSDS!V$14*$AM518+WeightSDS!W$14),IF($AM518&lt;156,WeightSDS!O$17*$AM518^8+WeightSDS!P$17*$AM518^7+WeightSDS!Q$17*$AM518^6+WeightSDS!R$17*$AM518^5+WeightSDS!S$17*$AM518^4+WeightSDS!T$17*$AM518^3+WeightSDS!U$17*$AM518^2+WeightSDS!V$17*$AM518+WeightSDS!W$17,IF($AM518&lt;186,WeightSDS!$U$18+(WeightSDS!$V$18-WeightSDS!$U$18)/24*($AM518-186)+WeightSDS!$W$18*(-$AM518+186)^2-0.005,WeightSDS!$U$18+(WeightSDS!$V$18-WeightSDS!$U$18)/24*($AM518-186)-0.005)))</f>
        <v>0.14604529399999999</v>
      </c>
      <c r="AT518" s="4">
        <f t="shared" si="175"/>
        <v>0.56299999999999994</v>
      </c>
      <c r="AU518" s="4">
        <f t="shared" si="176"/>
        <v>69</v>
      </c>
      <c r="AV518" s="4">
        <f t="shared" si="177"/>
        <v>0.51</v>
      </c>
    </row>
    <row r="519" spans="1:48" x14ac:dyDescent="0.15">
      <c r="A519" s="4"/>
      <c r="B519" s="21"/>
      <c r="C519" s="21"/>
      <c r="D519" s="21"/>
      <c r="E519" s="22"/>
      <c r="F519" s="22"/>
      <c r="G519" s="23"/>
      <c r="H519" s="23"/>
      <c r="I519" s="181"/>
      <c r="J519" s="8" t="str">
        <f t="shared" si="169"/>
        <v/>
      </c>
      <c r="K519" s="2" t="str">
        <f t="shared" si="178"/>
        <v/>
      </c>
      <c r="L519" s="2" t="str">
        <f t="shared" si="170"/>
        <v/>
      </c>
      <c r="M519" s="2" t="str">
        <f t="shared" si="179"/>
        <v/>
      </c>
      <c r="N519" s="2" t="str">
        <f t="shared" si="166"/>
        <v/>
      </c>
      <c r="O519" s="2" t="str">
        <f t="shared" si="180"/>
        <v/>
      </c>
      <c r="P519" s="8" t="str">
        <f t="shared" si="181"/>
        <v/>
      </c>
      <c r="Q519" s="8" t="str">
        <f t="shared" si="182"/>
        <v/>
      </c>
      <c r="R519" s="111" t="str">
        <f t="shared" si="183"/>
        <v/>
      </c>
      <c r="S519" s="44" t="str">
        <f t="shared" si="184"/>
        <v/>
      </c>
      <c r="T519" s="37" t="str">
        <f t="shared" si="185"/>
        <v/>
      </c>
      <c r="U519" s="44" t="str">
        <f t="shared" si="186"/>
        <v/>
      </c>
      <c r="V519" s="26"/>
      <c r="W519" s="26"/>
      <c r="X519" s="26"/>
      <c r="Y519" s="26"/>
      <c r="Z519" s="24"/>
      <c r="AA519" s="169">
        <f t="shared" si="171"/>
        <v>0</v>
      </c>
      <c r="AB519" s="4">
        <f t="shared" si="172"/>
        <v>0</v>
      </c>
      <c r="AC519" s="170">
        <f t="shared" si="168"/>
        <v>0</v>
      </c>
      <c r="AD519" s="58"/>
      <c r="AE519" s="58"/>
      <c r="AF519" s="58"/>
      <c r="AG519" s="59">
        <f t="shared" si="173"/>
        <v>9.0359999999999996</v>
      </c>
      <c r="AH519" s="59">
        <f t="shared" si="174"/>
        <v>-184.49199999999999</v>
      </c>
      <c r="AJ519" s="4">
        <f>IF(D519="M",IF(AM519&lt;78,BMILMS!$D$5*AM519^3+BMILMS!$E$5*AM519^2+BMILMS!$F$5*AM519+BMILMS!$G$5,IF(AM519&lt;150,BMILMS!$D$6*AM519^3+BMILMS!$E$6*AM519^2+BMILMS!$F$6*AM519+BMILMS!$G$6,BMILMS!$D$7*AM519^3+BMILMS!$E$7*AM519^2+BMILMS!$F$7*AM519+BMILMS!$G$7)),IF(AM519&lt;69,BMILMS!$D$9*AM519^3+BMILMS!$E$9*AM519^2+BMILMS!$F$9*AM519+BMILMS!$G$9,IF(AM519&lt;150,BMILMS!$D$10*AM519^3+BMILMS!$E$10*AM519^2+BMILMS!$F$10*AM519+BMILMS!$G$10,BMILMS!$D$11*AM519^3+BMILMS!$E$11*AM519^2+BMILMS!$F$11*AM519+BMILMS!$G$11)))</f>
        <v>0.79584630099999998</v>
      </c>
      <c r="AK519" s="4">
        <f>IF(D519="M",(IF(AM519&lt;2.5,BMILMS!$D$21*AM519^3+BMILMS!$E$21*AM519^2+BMILMS!$F$21*AM519+BMILMS!$G$21,IF(AM519&lt;9.5,BMILMS!$D$22*AM519^3+BMILMS!$E$22*AM519^2+BMILMS!$F$22*AM519+BMILMS!$G$22,IF(AM519&lt;26.75,BMILMS!$D$23*AM519^3+BMILMS!$E$23*AM519^2+BMILMS!$F$23*AM519+BMILMS!$G$23,IF(AM519&lt;90,BMILMS!$D$24*AM519^3+BMILMS!$E$24*AM519^2+BMILMS!$F$24*AM519+BMILMS!$G$24,BMILMS!$D$25*AM519^3+BMILMS!$E$25*AM519^2+BMILMS!$F$25*AM519+BMILMS!$G$25))))),(IF(AM519&lt;2.5,BMILMS!$D$27*AM519^3+BMILMS!$E$27*AM519^2+BMILMS!$F$27*AM519+BMILMS!$G$27,IF(AM519&lt;9.5,BMILMS!$D$28*AM519^3+BMILMS!$E$28*AM519^2+BMILMS!$F$28*AM519+BMILMS!$G$28,IF(AM519&lt;26.75,BMILMS!$D$29*AM519^3+BMILMS!$E$29*AM519^2+BMILMS!$F$29*AM519+BMILMS!$G$29,IF(AM519&lt;90,BMILMS!$D$30*AM519^3+BMILMS!$E$30*AM519^2+BMILMS!$F$30*AM519+BMILMS!$G$30,IF(AM519&lt;150,BMILMS!$D$31*AM519^3+BMILMS!$E$31*AM519^2+BMILMS!$F$31*AM519+BMILMS!$G$31,BMILMS!$D$32*AM519^3+BMILMS!$E$32*AM519^2+BMILMS!$F$32*AM519+BMILMS!$G$32)))))))</f>
        <v>12.568967990000001</v>
      </c>
      <c r="AL519" s="4">
        <f>IF(D519="M",(IF(AM519&lt;90,BMILMS!$D$14*AM519^3+BMILMS!$E$14*AM519^2+BMILMS!$F$14*AM519+BMILMS!$G$14,BMILMS!$D$15*AM519^3+BMILMS!$E$15*AM519^2+BMILMS!$F$15*AM519+BMILMS!$G$15)),(IF(AM519&lt;90,BMILMS!$D$17*AM519^3+BMILMS!$E$17*AM519^2+BMILMS!$F$17*AM519+BMILMS!$G$17,BMILMS!$D$18*AM519^3+BMILMS!$E$18*AM519^2+BMILMS!$F$18*AM519+BMILMS!$G$18)))</f>
        <v>8.8969350000000003E-2</v>
      </c>
      <c r="AM519" s="4">
        <f t="shared" si="167"/>
        <v>0</v>
      </c>
      <c r="AO519" s="56">
        <f>IF(D519="M",WeightSDS!P$5*$AM519^7+WeightSDS!Q$5*$AM519^6+WeightSDS!R$5*$AM519^5+WeightSDS!S$5*$AM519^4+WeightSDS!T$5*$AM519^3+WeightSDS!U$5*$AM519^2+WeightSDS!V$5*$AM519+WeightSDS!W$5,IF($AM519&lt;186,WeightSDS!P$8*$AM519^7+WeightSDS!Q$8*$AM519^6+WeightSDS!R$8*$AM519^5+WeightSDS!S$8*$AM519^4+WeightSDS!T$8*$AM519^3+WeightSDS!U$8*$AM519^2+WeightSDS!V$8*$AM519+WeightSDS!W$8,WeightSDS!$U$9+WeightSDS!$V$9*($AM519-WeightSDS!$W$9)))</f>
        <v>0.75407122999999998</v>
      </c>
      <c r="AP519" s="4">
        <f>IF(D519="M",IF($AM519&lt;45,WeightSDS!M$23*$AM519^10+WeightSDS!N$23*$AM519^9+WeightSDS!O$23*$AM519^8+WeightSDS!P$23*$AM519^7+WeightSDS!Q$23*$AM519^6+WeightSDS!R$23*$AM519^5+WeightSDS!S$23*$AM519^4+WeightSDS!T$23*$AM519^3+WeightSDS!U$23*$AM519^2+WeightSDS!V$23*$AM519+WeightSDS!W$23,IF($AM519&lt;153,WeightSDS!M$25*$AM519^10+WeightSDS!N$25*$AM519^9+WeightSDS!O$25*$AM519^8+WeightSDS!P$25*$AM519^7+WeightSDS!Q$25*$AM519^6+WeightSDS!R$25*$AM519^5+WeightSDS!S$25*$AM519^4+WeightSDS!T$25*$AM519^3+WeightSDS!U$25*$AM519^2+WeightSDS!V$25*$AM519+WeightSDS!W$25,WeightSDS!M$27+WeightSDS!N$27/(1+EXP(WeightSDS!O$27+WeightSDS!P$27*$AM519)))),IF($AM519&lt;43.8,WeightSDS!M$29*$AM519^10+WeightSDS!N$29*$AM519^9+WeightSDS!O$29*$AM519^8+WeightSDS!P$29*$AM519^7+WeightSDS!Q$29*$AM519^6+WeightSDS!R$29*$AM519^5+WeightSDS!S$29*$AM519^4+WeightSDS!T$29*$AM519^3+WeightSDS!U$29*$AM519^2+WeightSDS!V$29*$AM519+WeightSDS!W$29-0.010431*(1-$AM519/210),IF($AM519&lt;123,WeightSDS!M$30*$AM519^10+WeightSDS!N$30*$AM519^9+WeightSDS!O$30*$AM519^8+WeightSDS!P$30*$AM519^7+WeightSDS!Q$30*$AM519^6+WeightSDS!R$30*$AM519^5+WeightSDS!S$30*$AM519^4+WeightSDS!T$30*$AM519^3+WeightSDS!U$30*$AM519^2+WeightSDS!V$30*$AM519+WeightSDS!W$30-0.010431*(1-1/$AM519),WeightSDS!M$32+WeightSDS!N$32/(1+EXP(WeightSDS!O$32+WeightSDS!P$32*$AM519))-0.010431*(1-$AM519/210))))</f>
        <v>2.9500001032655536</v>
      </c>
      <c r="AQ519" s="4">
        <f>IF(D519="M",IF($AM519&lt;162,WeightSDS!P$12*$AM519^7+WeightSDS!Q$12*$AM519^6+WeightSDS!R$12*$AM519^5+WeightSDS!S$12*$AM519^4+WeightSDS!T$12*$AM519^3+WeightSDS!U$12*$AM519^2+WeightSDS!V$12*$AM519+WeightSDS!W$12,WeightSDS!P$14*$AM519^7+WeightSDS!Q$14*$AM519^6+WeightSDS!R$14*$AM519^5+WeightSDS!S$14*$AM519^4+WeightSDS!T$14*$AM519^3+WeightSDS!U$14*$AM519^2+WeightSDS!V$14*$AM519+WeightSDS!W$14),IF($AM519&lt;156,WeightSDS!O$17*$AM519^8+WeightSDS!P$17*$AM519^7+WeightSDS!Q$17*$AM519^6+WeightSDS!R$17*$AM519^5+WeightSDS!S$17*$AM519^4+WeightSDS!T$17*$AM519^3+WeightSDS!U$17*$AM519^2+WeightSDS!V$17*$AM519+WeightSDS!W$17,IF($AM519&lt;186,WeightSDS!$U$18+(WeightSDS!$V$18-WeightSDS!$U$18)/24*($AM519-186)+WeightSDS!$W$18*(-$AM519+186)^2-0.005,WeightSDS!$U$18+(WeightSDS!$V$18-WeightSDS!$U$18)/24*($AM519-186)-0.005)))</f>
        <v>0.14604529399999999</v>
      </c>
      <c r="AT519" s="4">
        <f t="shared" si="175"/>
        <v>0.56299999999999994</v>
      </c>
      <c r="AU519" s="4">
        <f t="shared" si="176"/>
        <v>69</v>
      </c>
      <c r="AV519" s="4">
        <f t="shared" si="177"/>
        <v>0.51</v>
      </c>
    </row>
    <row r="520" spans="1:48" x14ac:dyDescent="0.15">
      <c r="A520" s="4"/>
      <c r="B520" s="21"/>
      <c r="C520" s="21"/>
      <c r="D520" s="21"/>
      <c r="E520" s="22"/>
      <c r="F520" s="22"/>
      <c r="G520" s="23"/>
      <c r="H520" s="23"/>
      <c r="I520" s="181"/>
      <c r="J520" s="8" t="str">
        <f t="shared" si="169"/>
        <v/>
      </c>
      <c r="K520" s="2" t="str">
        <f t="shared" si="178"/>
        <v/>
      </c>
      <c r="L520" s="2" t="str">
        <f t="shared" si="170"/>
        <v/>
      </c>
      <c r="M520" s="2" t="str">
        <f t="shared" si="179"/>
        <v/>
      </c>
      <c r="N520" s="2" t="str">
        <f t="shared" ref="N520:N583" si="187">IF(COUNTA(D520,E520,F520,G520,H520)=5,H520/G520^2*10000,"")</f>
        <v/>
      </c>
      <c r="O520" s="2" t="str">
        <f t="shared" si="180"/>
        <v/>
      </c>
      <c r="P520" s="8" t="str">
        <f t="shared" si="181"/>
        <v/>
      </c>
      <c r="Q520" s="8" t="str">
        <f t="shared" si="182"/>
        <v/>
      </c>
      <c r="R520" s="111" t="str">
        <f t="shared" si="183"/>
        <v/>
      </c>
      <c r="S520" s="44" t="str">
        <f t="shared" si="184"/>
        <v/>
      </c>
      <c r="T520" s="37" t="str">
        <f t="shared" si="185"/>
        <v/>
      </c>
      <c r="U520" s="44" t="str">
        <f t="shared" si="186"/>
        <v/>
      </c>
      <c r="V520" s="26"/>
      <c r="W520" s="26"/>
      <c r="X520" s="26"/>
      <c r="Y520" s="26"/>
      <c r="Z520" s="24"/>
      <c r="AA520" s="169">
        <f t="shared" si="171"/>
        <v>0</v>
      </c>
      <c r="AB520" s="4">
        <f t="shared" si="172"/>
        <v>0</v>
      </c>
      <c r="AC520" s="170">
        <f t="shared" si="168"/>
        <v>0</v>
      </c>
      <c r="AD520" s="58"/>
      <c r="AE520" s="58"/>
      <c r="AF520" s="58"/>
      <c r="AG520" s="59">
        <f t="shared" si="173"/>
        <v>9.0359999999999996</v>
      </c>
      <c r="AH520" s="59">
        <f t="shared" si="174"/>
        <v>-184.49199999999999</v>
      </c>
      <c r="AJ520" s="4">
        <f>IF(D520="M",IF(AM520&lt;78,BMILMS!$D$5*AM520^3+BMILMS!$E$5*AM520^2+BMILMS!$F$5*AM520+BMILMS!$G$5,IF(AM520&lt;150,BMILMS!$D$6*AM520^3+BMILMS!$E$6*AM520^2+BMILMS!$F$6*AM520+BMILMS!$G$6,BMILMS!$D$7*AM520^3+BMILMS!$E$7*AM520^2+BMILMS!$F$7*AM520+BMILMS!$G$7)),IF(AM520&lt;69,BMILMS!$D$9*AM520^3+BMILMS!$E$9*AM520^2+BMILMS!$F$9*AM520+BMILMS!$G$9,IF(AM520&lt;150,BMILMS!$D$10*AM520^3+BMILMS!$E$10*AM520^2+BMILMS!$F$10*AM520+BMILMS!$G$10,BMILMS!$D$11*AM520^3+BMILMS!$E$11*AM520^2+BMILMS!$F$11*AM520+BMILMS!$G$11)))</f>
        <v>0.79584630099999998</v>
      </c>
      <c r="AK520" s="4">
        <f>IF(D520="M",(IF(AM520&lt;2.5,BMILMS!$D$21*AM520^3+BMILMS!$E$21*AM520^2+BMILMS!$F$21*AM520+BMILMS!$G$21,IF(AM520&lt;9.5,BMILMS!$D$22*AM520^3+BMILMS!$E$22*AM520^2+BMILMS!$F$22*AM520+BMILMS!$G$22,IF(AM520&lt;26.75,BMILMS!$D$23*AM520^3+BMILMS!$E$23*AM520^2+BMILMS!$F$23*AM520+BMILMS!$G$23,IF(AM520&lt;90,BMILMS!$D$24*AM520^3+BMILMS!$E$24*AM520^2+BMILMS!$F$24*AM520+BMILMS!$G$24,BMILMS!$D$25*AM520^3+BMILMS!$E$25*AM520^2+BMILMS!$F$25*AM520+BMILMS!$G$25))))),(IF(AM520&lt;2.5,BMILMS!$D$27*AM520^3+BMILMS!$E$27*AM520^2+BMILMS!$F$27*AM520+BMILMS!$G$27,IF(AM520&lt;9.5,BMILMS!$D$28*AM520^3+BMILMS!$E$28*AM520^2+BMILMS!$F$28*AM520+BMILMS!$G$28,IF(AM520&lt;26.75,BMILMS!$D$29*AM520^3+BMILMS!$E$29*AM520^2+BMILMS!$F$29*AM520+BMILMS!$G$29,IF(AM520&lt;90,BMILMS!$D$30*AM520^3+BMILMS!$E$30*AM520^2+BMILMS!$F$30*AM520+BMILMS!$G$30,IF(AM520&lt;150,BMILMS!$D$31*AM520^3+BMILMS!$E$31*AM520^2+BMILMS!$F$31*AM520+BMILMS!$G$31,BMILMS!$D$32*AM520^3+BMILMS!$E$32*AM520^2+BMILMS!$F$32*AM520+BMILMS!$G$32)))))))</f>
        <v>12.568967990000001</v>
      </c>
      <c r="AL520" s="4">
        <f>IF(D520="M",(IF(AM520&lt;90,BMILMS!$D$14*AM520^3+BMILMS!$E$14*AM520^2+BMILMS!$F$14*AM520+BMILMS!$G$14,BMILMS!$D$15*AM520^3+BMILMS!$E$15*AM520^2+BMILMS!$F$15*AM520+BMILMS!$G$15)),(IF(AM520&lt;90,BMILMS!$D$17*AM520^3+BMILMS!$E$17*AM520^2+BMILMS!$F$17*AM520+BMILMS!$G$17,BMILMS!$D$18*AM520^3+BMILMS!$E$18*AM520^2+BMILMS!$F$18*AM520+BMILMS!$G$18)))</f>
        <v>8.8969350000000003E-2</v>
      </c>
      <c r="AM520" s="4">
        <f t="shared" ref="AM520:AM583" si="188">AA520*12+AB520</f>
        <v>0</v>
      </c>
      <c r="AO520" s="56">
        <f>IF(D520="M",WeightSDS!P$5*$AM520^7+WeightSDS!Q$5*$AM520^6+WeightSDS!R$5*$AM520^5+WeightSDS!S$5*$AM520^4+WeightSDS!T$5*$AM520^3+WeightSDS!U$5*$AM520^2+WeightSDS!V$5*$AM520+WeightSDS!W$5,IF($AM520&lt;186,WeightSDS!P$8*$AM520^7+WeightSDS!Q$8*$AM520^6+WeightSDS!R$8*$AM520^5+WeightSDS!S$8*$AM520^4+WeightSDS!T$8*$AM520^3+WeightSDS!U$8*$AM520^2+WeightSDS!V$8*$AM520+WeightSDS!W$8,WeightSDS!$U$9+WeightSDS!$V$9*($AM520-WeightSDS!$W$9)))</f>
        <v>0.75407122999999998</v>
      </c>
      <c r="AP520" s="4">
        <f>IF(D520="M",IF($AM520&lt;45,WeightSDS!M$23*$AM520^10+WeightSDS!N$23*$AM520^9+WeightSDS!O$23*$AM520^8+WeightSDS!P$23*$AM520^7+WeightSDS!Q$23*$AM520^6+WeightSDS!R$23*$AM520^5+WeightSDS!S$23*$AM520^4+WeightSDS!T$23*$AM520^3+WeightSDS!U$23*$AM520^2+WeightSDS!V$23*$AM520+WeightSDS!W$23,IF($AM520&lt;153,WeightSDS!M$25*$AM520^10+WeightSDS!N$25*$AM520^9+WeightSDS!O$25*$AM520^8+WeightSDS!P$25*$AM520^7+WeightSDS!Q$25*$AM520^6+WeightSDS!R$25*$AM520^5+WeightSDS!S$25*$AM520^4+WeightSDS!T$25*$AM520^3+WeightSDS!U$25*$AM520^2+WeightSDS!V$25*$AM520+WeightSDS!W$25,WeightSDS!M$27+WeightSDS!N$27/(1+EXP(WeightSDS!O$27+WeightSDS!P$27*$AM520)))),IF($AM520&lt;43.8,WeightSDS!M$29*$AM520^10+WeightSDS!N$29*$AM520^9+WeightSDS!O$29*$AM520^8+WeightSDS!P$29*$AM520^7+WeightSDS!Q$29*$AM520^6+WeightSDS!R$29*$AM520^5+WeightSDS!S$29*$AM520^4+WeightSDS!T$29*$AM520^3+WeightSDS!U$29*$AM520^2+WeightSDS!V$29*$AM520+WeightSDS!W$29-0.010431*(1-$AM520/210),IF($AM520&lt;123,WeightSDS!M$30*$AM520^10+WeightSDS!N$30*$AM520^9+WeightSDS!O$30*$AM520^8+WeightSDS!P$30*$AM520^7+WeightSDS!Q$30*$AM520^6+WeightSDS!R$30*$AM520^5+WeightSDS!S$30*$AM520^4+WeightSDS!T$30*$AM520^3+WeightSDS!U$30*$AM520^2+WeightSDS!V$30*$AM520+WeightSDS!W$30-0.010431*(1-1/$AM520),WeightSDS!M$32+WeightSDS!N$32/(1+EXP(WeightSDS!O$32+WeightSDS!P$32*$AM520))-0.010431*(1-$AM520/210))))</f>
        <v>2.9500001032655536</v>
      </c>
      <c r="AQ520" s="4">
        <f>IF(D520="M",IF($AM520&lt;162,WeightSDS!P$12*$AM520^7+WeightSDS!Q$12*$AM520^6+WeightSDS!R$12*$AM520^5+WeightSDS!S$12*$AM520^4+WeightSDS!T$12*$AM520^3+WeightSDS!U$12*$AM520^2+WeightSDS!V$12*$AM520+WeightSDS!W$12,WeightSDS!P$14*$AM520^7+WeightSDS!Q$14*$AM520^6+WeightSDS!R$14*$AM520^5+WeightSDS!S$14*$AM520^4+WeightSDS!T$14*$AM520^3+WeightSDS!U$14*$AM520^2+WeightSDS!V$14*$AM520+WeightSDS!W$14),IF($AM520&lt;156,WeightSDS!O$17*$AM520^8+WeightSDS!P$17*$AM520^7+WeightSDS!Q$17*$AM520^6+WeightSDS!R$17*$AM520^5+WeightSDS!S$17*$AM520^4+WeightSDS!T$17*$AM520^3+WeightSDS!U$17*$AM520^2+WeightSDS!V$17*$AM520+WeightSDS!W$17,IF($AM520&lt;186,WeightSDS!$U$18+(WeightSDS!$V$18-WeightSDS!$U$18)/24*($AM520-186)+WeightSDS!$W$18*(-$AM520+186)^2-0.005,WeightSDS!$U$18+(WeightSDS!$V$18-WeightSDS!$U$18)/24*($AM520-186)-0.005)))</f>
        <v>0.14604529399999999</v>
      </c>
      <c r="AT520" s="4">
        <f t="shared" si="175"/>
        <v>0.56299999999999994</v>
      </c>
      <c r="AU520" s="4">
        <f t="shared" si="176"/>
        <v>69</v>
      </c>
      <c r="AV520" s="4">
        <f t="shared" si="177"/>
        <v>0.51</v>
      </c>
    </row>
    <row r="521" spans="1:48" x14ac:dyDescent="0.15">
      <c r="A521" s="4"/>
      <c r="B521" s="21"/>
      <c r="C521" s="21"/>
      <c r="D521" s="21"/>
      <c r="E521" s="22"/>
      <c r="F521" s="22"/>
      <c r="G521" s="23"/>
      <c r="H521" s="23"/>
      <c r="I521" s="181"/>
      <c r="J521" s="8" t="str">
        <f t="shared" si="169"/>
        <v/>
      </c>
      <c r="K521" s="2" t="str">
        <f t="shared" si="178"/>
        <v/>
      </c>
      <c r="L521" s="2" t="str">
        <f t="shared" si="170"/>
        <v/>
      </c>
      <c r="M521" s="2" t="str">
        <f t="shared" si="179"/>
        <v/>
      </c>
      <c r="N521" s="2" t="str">
        <f t="shared" si="187"/>
        <v/>
      </c>
      <c r="O521" s="2" t="str">
        <f t="shared" si="180"/>
        <v/>
      </c>
      <c r="P521" s="8" t="str">
        <f t="shared" si="181"/>
        <v/>
      </c>
      <c r="Q521" s="8" t="str">
        <f t="shared" si="182"/>
        <v/>
      </c>
      <c r="R521" s="111" t="str">
        <f t="shared" si="183"/>
        <v/>
      </c>
      <c r="S521" s="44" t="str">
        <f t="shared" si="184"/>
        <v/>
      </c>
      <c r="T521" s="37" t="str">
        <f t="shared" si="185"/>
        <v/>
      </c>
      <c r="U521" s="44" t="str">
        <f t="shared" si="186"/>
        <v/>
      </c>
      <c r="V521" s="26"/>
      <c r="W521" s="26"/>
      <c r="X521" s="26"/>
      <c r="Y521" s="26"/>
      <c r="Z521" s="24"/>
      <c r="AA521" s="169">
        <f t="shared" si="171"/>
        <v>0</v>
      </c>
      <c r="AB521" s="4">
        <f t="shared" si="172"/>
        <v>0</v>
      </c>
      <c r="AC521" s="170">
        <f t="shared" si="168"/>
        <v>0</v>
      </c>
      <c r="AD521" s="58"/>
      <c r="AE521" s="58"/>
      <c r="AF521" s="58"/>
      <c r="AG521" s="59">
        <f t="shared" si="173"/>
        <v>9.0359999999999996</v>
      </c>
      <c r="AH521" s="59">
        <f t="shared" si="174"/>
        <v>-184.49199999999999</v>
      </c>
      <c r="AJ521" s="4">
        <f>IF(D521="M",IF(AM521&lt;78,BMILMS!$D$5*AM521^3+BMILMS!$E$5*AM521^2+BMILMS!$F$5*AM521+BMILMS!$G$5,IF(AM521&lt;150,BMILMS!$D$6*AM521^3+BMILMS!$E$6*AM521^2+BMILMS!$F$6*AM521+BMILMS!$G$6,BMILMS!$D$7*AM521^3+BMILMS!$E$7*AM521^2+BMILMS!$F$7*AM521+BMILMS!$G$7)),IF(AM521&lt;69,BMILMS!$D$9*AM521^3+BMILMS!$E$9*AM521^2+BMILMS!$F$9*AM521+BMILMS!$G$9,IF(AM521&lt;150,BMILMS!$D$10*AM521^3+BMILMS!$E$10*AM521^2+BMILMS!$F$10*AM521+BMILMS!$G$10,BMILMS!$D$11*AM521^3+BMILMS!$E$11*AM521^2+BMILMS!$F$11*AM521+BMILMS!$G$11)))</f>
        <v>0.79584630099999998</v>
      </c>
      <c r="AK521" s="4">
        <f>IF(D521="M",(IF(AM521&lt;2.5,BMILMS!$D$21*AM521^3+BMILMS!$E$21*AM521^2+BMILMS!$F$21*AM521+BMILMS!$G$21,IF(AM521&lt;9.5,BMILMS!$D$22*AM521^3+BMILMS!$E$22*AM521^2+BMILMS!$F$22*AM521+BMILMS!$G$22,IF(AM521&lt;26.75,BMILMS!$D$23*AM521^3+BMILMS!$E$23*AM521^2+BMILMS!$F$23*AM521+BMILMS!$G$23,IF(AM521&lt;90,BMILMS!$D$24*AM521^3+BMILMS!$E$24*AM521^2+BMILMS!$F$24*AM521+BMILMS!$G$24,BMILMS!$D$25*AM521^3+BMILMS!$E$25*AM521^2+BMILMS!$F$25*AM521+BMILMS!$G$25))))),(IF(AM521&lt;2.5,BMILMS!$D$27*AM521^3+BMILMS!$E$27*AM521^2+BMILMS!$F$27*AM521+BMILMS!$G$27,IF(AM521&lt;9.5,BMILMS!$D$28*AM521^3+BMILMS!$E$28*AM521^2+BMILMS!$F$28*AM521+BMILMS!$G$28,IF(AM521&lt;26.75,BMILMS!$D$29*AM521^3+BMILMS!$E$29*AM521^2+BMILMS!$F$29*AM521+BMILMS!$G$29,IF(AM521&lt;90,BMILMS!$D$30*AM521^3+BMILMS!$E$30*AM521^2+BMILMS!$F$30*AM521+BMILMS!$G$30,IF(AM521&lt;150,BMILMS!$D$31*AM521^3+BMILMS!$E$31*AM521^2+BMILMS!$F$31*AM521+BMILMS!$G$31,BMILMS!$D$32*AM521^3+BMILMS!$E$32*AM521^2+BMILMS!$F$32*AM521+BMILMS!$G$32)))))))</f>
        <v>12.568967990000001</v>
      </c>
      <c r="AL521" s="4">
        <f>IF(D521="M",(IF(AM521&lt;90,BMILMS!$D$14*AM521^3+BMILMS!$E$14*AM521^2+BMILMS!$F$14*AM521+BMILMS!$G$14,BMILMS!$D$15*AM521^3+BMILMS!$E$15*AM521^2+BMILMS!$F$15*AM521+BMILMS!$G$15)),(IF(AM521&lt;90,BMILMS!$D$17*AM521^3+BMILMS!$E$17*AM521^2+BMILMS!$F$17*AM521+BMILMS!$G$17,BMILMS!$D$18*AM521^3+BMILMS!$E$18*AM521^2+BMILMS!$F$18*AM521+BMILMS!$G$18)))</f>
        <v>8.8969350000000003E-2</v>
      </c>
      <c r="AM521" s="4">
        <f t="shared" si="188"/>
        <v>0</v>
      </c>
      <c r="AO521" s="56">
        <f>IF(D521="M",WeightSDS!P$5*$AM521^7+WeightSDS!Q$5*$AM521^6+WeightSDS!R$5*$AM521^5+WeightSDS!S$5*$AM521^4+WeightSDS!T$5*$AM521^3+WeightSDS!U$5*$AM521^2+WeightSDS!V$5*$AM521+WeightSDS!W$5,IF($AM521&lt;186,WeightSDS!P$8*$AM521^7+WeightSDS!Q$8*$AM521^6+WeightSDS!R$8*$AM521^5+WeightSDS!S$8*$AM521^4+WeightSDS!T$8*$AM521^3+WeightSDS!U$8*$AM521^2+WeightSDS!V$8*$AM521+WeightSDS!W$8,WeightSDS!$U$9+WeightSDS!$V$9*($AM521-WeightSDS!$W$9)))</f>
        <v>0.75407122999999998</v>
      </c>
      <c r="AP521" s="4">
        <f>IF(D521="M",IF($AM521&lt;45,WeightSDS!M$23*$AM521^10+WeightSDS!N$23*$AM521^9+WeightSDS!O$23*$AM521^8+WeightSDS!P$23*$AM521^7+WeightSDS!Q$23*$AM521^6+WeightSDS!R$23*$AM521^5+WeightSDS!S$23*$AM521^4+WeightSDS!T$23*$AM521^3+WeightSDS!U$23*$AM521^2+WeightSDS!V$23*$AM521+WeightSDS!W$23,IF($AM521&lt;153,WeightSDS!M$25*$AM521^10+WeightSDS!N$25*$AM521^9+WeightSDS!O$25*$AM521^8+WeightSDS!P$25*$AM521^7+WeightSDS!Q$25*$AM521^6+WeightSDS!R$25*$AM521^5+WeightSDS!S$25*$AM521^4+WeightSDS!T$25*$AM521^3+WeightSDS!U$25*$AM521^2+WeightSDS!V$25*$AM521+WeightSDS!W$25,WeightSDS!M$27+WeightSDS!N$27/(1+EXP(WeightSDS!O$27+WeightSDS!P$27*$AM521)))),IF($AM521&lt;43.8,WeightSDS!M$29*$AM521^10+WeightSDS!N$29*$AM521^9+WeightSDS!O$29*$AM521^8+WeightSDS!P$29*$AM521^7+WeightSDS!Q$29*$AM521^6+WeightSDS!R$29*$AM521^5+WeightSDS!S$29*$AM521^4+WeightSDS!T$29*$AM521^3+WeightSDS!U$29*$AM521^2+WeightSDS!V$29*$AM521+WeightSDS!W$29-0.010431*(1-$AM521/210),IF($AM521&lt;123,WeightSDS!M$30*$AM521^10+WeightSDS!N$30*$AM521^9+WeightSDS!O$30*$AM521^8+WeightSDS!P$30*$AM521^7+WeightSDS!Q$30*$AM521^6+WeightSDS!R$30*$AM521^5+WeightSDS!S$30*$AM521^4+WeightSDS!T$30*$AM521^3+WeightSDS!U$30*$AM521^2+WeightSDS!V$30*$AM521+WeightSDS!W$30-0.010431*(1-1/$AM521),WeightSDS!M$32+WeightSDS!N$32/(1+EXP(WeightSDS!O$32+WeightSDS!P$32*$AM521))-0.010431*(1-$AM521/210))))</f>
        <v>2.9500001032655536</v>
      </c>
      <c r="AQ521" s="4">
        <f>IF(D521="M",IF($AM521&lt;162,WeightSDS!P$12*$AM521^7+WeightSDS!Q$12*$AM521^6+WeightSDS!R$12*$AM521^5+WeightSDS!S$12*$AM521^4+WeightSDS!T$12*$AM521^3+WeightSDS!U$12*$AM521^2+WeightSDS!V$12*$AM521+WeightSDS!W$12,WeightSDS!P$14*$AM521^7+WeightSDS!Q$14*$AM521^6+WeightSDS!R$14*$AM521^5+WeightSDS!S$14*$AM521^4+WeightSDS!T$14*$AM521^3+WeightSDS!U$14*$AM521^2+WeightSDS!V$14*$AM521+WeightSDS!W$14),IF($AM521&lt;156,WeightSDS!O$17*$AM521^8+WeightSDS!P$17*$AM521^7+WeightSDS!Q$17*$AM521^6+WeightSDS!R$17*$AM521^5+WeightSDS!S$17*$AM521^4+WeightSDS!T$17*$AM521^3+WeightSDS!U$17*$AM521^2+WeightSDS!V$17*$AM521+WeightSDS!W$17,IF($AM521&lt;186,WeightSDS!$U$18+(WeightSDS!$V$18-WeightSDS!$U$18)/24*($AM521-186)+WeightSDS!$W$18*(-$AM521+186)^2-0.005,WeightSDS!$U$18+(WeightSDS!$V$18-WeightSDS!$U$18)/24*($AM521-186)-0.005)))</f>
        <v>0.14604529399999999</v>
      </c>
      <c r="AT521" s="4">
        <f t="shared" si="175"/>
        <v>0.56299999999999994</v>
      </c>
      <c r="AU521" s="4">
        <f t="shared" si="176"/>
        <v>69</v>
      </c>
      <c r="AV521" s="4">
        <f t="shared" si="177"/>
        <v>0.51</v>
      </c>
    </row>
    <row r="522" spans="1:48" x14ac:dyDescent="0.15">
      <c r="A522" s="4"/>
      <c r="B522" s="21"/>
      <c r="C522" s="21"/>
      <c r="D522" s="21"/>
      <c r="E522" s="22"/>
      <c r="F522" s="22"/>
      <c r="G522" s="23"/>
      <c r="H522" s="23"/>
      <c r="I522" s="181"/>
      <c r="J522" s="8" t="str">
        <f t="shared" si="169"/>
        <v/>
      </c>
      <c r="K522" s="2" t="str">
        <f t="shared" si="178"/>
        <v/>
      </c>
      <c r="L522" s="2" t="str">
        <f t="shared" si="170"/>
        <v/>
      </c>
      <c r="M522" s="2" t="str">
        <f t="shared" si="179"/>
        <v/>
      </c>
      <c r="N522" s="2" t="str">
        <f t="shared" si="187"/>
        <v/>
      </c>
      <c r="O522" s="2" t="str">
        <f t="shared" si="180"/>
        <v/>
      </c>
      <c r="P522" s="8" t="str">
        <f t="shared" si="181"/>
        <v/>
      </c>
      <c r="Q522" s="8" t="str">
        <f t="shared" si="182"/>
        <v/>
      </c>
      <c r="R522" s="111" t="str">
        <f t="shared" si="183"/>
        <v/>
      </c>
      <c r="S522" s="44" t="str">
        <f t="shared" si="184"/>
        <v/>
      </c>
      <c r="T522" s="37" t="str">
        <f t="shared" si="185"/>
        <v/>
      </c>
      <c r="U522" s="44" t="str">
        <f t="shared" si="186"/>
        <v/>
      </c>
      <c r="V522" s="26"/>
      <c r="W522" s="26"/>
      <c r="X522" s="26"/>
      <c r="Y522" s="26"/>
      <c r="Z522" s="24"/>
      <c r="AA522" s="169">
        <f t="shared" si="171"/>
        <v>0</v>
      </c>
      <c r="AB522" s="4">
        <f t="shared" si="172"/>
        <v>0</v>
      </c>
      <c r="AC522" s="170">
        <f t="shared" si="168"/>
        <v>0</v>
      </c>
      <c r="AD522" s="58"/>
      <c r="AE522" s="58"/>
      <c r="AF522" s="58"/>
      <c r="AG522" s="59">
        <f t="shared" si="173"/>
        <v>9.0359999999999996</v>
      </c>
      <c r="AH522" s="59">
        <f t="shared" si="174"/>
        <v>-184.49199999999999</v>
      </c>
      <c r="AJ522" s="4">
        <f>IF(D522="M",IF(AM522&lt;78,BMILMS!$D$5*AM522^3+BMILMS!$E$5*AM522^2+BMILMS!$F$5*AM522+BMILMS!$G$5,IF(AM522&lt;150,BMILMS!$D$6*AM522^3+BMILMS!$E$6*AM522^2+BMILMS!$F$6*AM522+BMILMS!$G$6,BMILMS!$D$7*AM522^3+BMILMS!$E$7*AM522^2+BMILMS!$F$7*AM522+BMILMS!$G$7)),IF(AM522&lt;69,BMILMS!$D$9*AM522^3+BMILMS!$E$9*AM522^2+BMILMS!$F$9*AM522+BMILMS!$G$9,IF(AM522&lt;150,BMILMS!$D$10*AM522^3+BMILMS!$E$10*AM522^2+BMILMS!$F$10*AM522+BMILMS!$G$10,BMILMS!$D$11*AM522^3+BMILMS!$E$11*AM522^2+BMILMS!$F$11*AM522+BMILMS!$G$11)))</f>
        <v>0.79584630099999998</v>
      </c>
      <c r="AK522" s="4">
        <f>IF(D522="M",(IF(AM522&lt;2.5,BMILMS!$D$21*AM522^3+BMILMS!$E$21*AM522^2+BMILMS!$F$21*AM522+BMILMS!$G$21,IF(AM522&lt;9.5,BMILMS!$D$22*AM522^3+BMILMS!$E$22*AM522^2+BMILMS!$F$22*AM522+BMILMS!$G$22,IF(AM522&lt;26.75,BMILMS!$D$23*AM522^3+BMILMS!$E$23*AM522^2+BMILMS!$F$23*AM522+BMILMS!$G$23,IF(AM522&lt;90,BMILMS!$D$24*AM522^3+BMILMS!$E$24*AM522^2+BMILMS!$F$24*AM522+BMILMS!$G$24,BMILMS!$D$25*AM522^3+BMILMS!$E$25*AM522^2+BMILMS!$F$25*AM522+BMILMS!$G$25))))),(IF(AM522&lt;2.5,BMILMS!$D$27*AM522^3+BMILMS!$E$27*AM522^2+BMILMS!$F$27*AM522+BMILMS!$G$27,IF(AM522&lt;9.5,BMILMS!$D$28*AM522^3+BMILMS!$E$28*AM522^2+BMILMS!$F$28*AM522+BMILMS!$G$28,IF(AM522&lt;26.75,BMILMS!$D$29*AM522^3+BMILMS!$E$29*AM522^2+BMILMS!$F$29*AM522+BMILMS!$G$29,IF(AM522&lt;90,BMILMS!$D$30*AM522^3+BMILMS!$E$30*AM522^2+BMILMS!$F$30*AM522+BMILMS!$G$30,IF(AM522&lt;150,BMILMS!$D$31*AM522^3+BMILMS!$E$31*AM522^2+BMILMS!$F$31*AM522+BMILMS!$G$31,BMILMS!$D$32*AM522^3+BMILMS!$E$32*AM522^2+BMILMS!$F$32*AM522+BMILMS!$G$32)))))))</f>
        <v>12.568967990000001</v>
      </c>
      <c r="AL522" s="4">
        <f>IF(D522="M",(IF(AM522&lt;90,BMILMS!$D$14*AM522^3+BMILMS!$E$14*AM522^2+BMILMS!$F$14*AM522+BMILMS!$G$14,BMILMS!$D$15*AM522^3+BMILMS!$E$15*AM522^2+BMILMS!$F$15*AM522+BMILMS!$G$15)),(IF(AM522&lt;90,BMILMS!$D$17*AM522^3+BMILMS!$E$17*AM522^2+BMILMS!$F$17*AM522+BMILMS!$G$17,BMILMS!$D$18*AM522^3+BMILMS!$E$18*AM522^2+BMILMS!$F$18*AM522+BMILMS!$G$18)))</f>
        <v>8.8969350000000003E-2</v>
      </c>
      <c r="AM522" s="4">
        <f t="shared" si="188"/>
        <v>0</v>
      </c>
      <c r="AO522" s="56">
        <f>IF(D522="M",WeightSDS!P$5*$AM522^7+WeightSDS!Q$5*$AM522^6+WeightSDS!R$5*$AM522^5+WeightSDS!S$5*$AM522^4+WeightSDS!T$5*$AM522^3+WeightSDS!U$5*$AM522^2+WeightSDS!V$5*$AM522+WeightSDS!W$5,IF($AM522&lt;186,WeightSDS!P$8*$AM522^7+WeightSDS!Q$8*$AM522^6+WeightSDS!R$8*$AM522^5+WeightSDS!S$8*$AM522^4+WeightSDS!T$8*$AM522^3+WeightSDS!U$8*$AM522^2+WeightSDS!V$8*$AM522+WeightSDS!W$8,WeightSDS!$U$9+WeightSDS!$V$9*($AM522-WeightSDS!$W$9)))</f>
        <v>0.75407122999999998</v>
      </c>
      <c r="AP522" s="4">
        <f>IF(D522="M",IF($AM522&lt;45,WeightSDS!M$23*$AM522^10+WeightSDS!N$23*$AM522^9+WeightSDS!O$23*$AM522^8+WeightSDS!P$23*$AM522^7+WeightSDS!Q$23*$AM522^6+WeightSDS!R$23*$AM522^5+WeightSDS!S$23*$AM522^4+WeightSDS!T$23*$AM522^3+WeightSDS!U$23*$AM522^2+WeightSDS!V$23*$AM522+WeightSDS!W$23,IF($AM522&lt;153,WeightSDS!M$25*$AM522^10+WeightSDS!N$25*$AM522^9+WeightSDS!O$25*$AM522^8+WeightSDS!P$25*$AM522^7+WeightSDS!Q$25*$AM522^6+WeightSDS!R$25*$AM522^5+WeightSDS!S$25*$AM522^4+WeightSDS!T$25*$AM522^3+WeightSDS!U$25*$AM522^2+WeightSDS!V$25*$AM522+WeightSDS!W$25,WeightSDS!M$27+WeightSDS!N$27/(1+EXP(WeightSDS!O$27+WeightSDS!P$27*$AM522)))),IF($AM522&lt;43.8,WeightSDS!M$29*$AM522^10+WeightSDS!N$29*$AM522^9+WeightSDS!O$29*$AM522^8+WeightSDS!P$29*$AM522^7+WeightSDS!Q$29*$AM522^6+WeightSDS!R$29*$AM522^5+WeightSDS!S$29*$AM522^4+WeightSDS!T$29*$AM522^3+WeightSDS!U$29*$AM522^2+WeightSDS!V$29*$AM522+WeightSDS!W$29-0.010431*(1-$AM522/210),IF($AM522&lt;123,WeightSDS!M$30*$AM522^10+WeightSDS!N$30*$AM522^9+WeightSDS!O$30*$AM522^8+WeightSDS!P$30*$AM522^7+WeightSDS!Q$30*$AM522^6+WeightSDS!R$30*$AM522^5+WeightSDS!S$30*$AM522^4+WeightSDS!T$30*$AM522^3+WeightSDS!U$30*$AM522^2+WeightSDS!V$30*$AM522+WeightSDS!W$30-0.010431*(1-1/$AM522),WeightSDS!M$32+WeightSDS!N$32/(1+EXP(WeightSDS!O$32+WeightSDS!P$32*$AM522))-0.010431*(1-$AM522/210))))</f>
        <v>2.9500001032655536</v>
      </c>
      <c r="AQ522" s="4">
        <f>IF(D522="M",IF($AM522&lt;162,WeightSDS!P$12*$AM522^7+WeightSDS!Q$12*$AM522^6+WeightSDS!R$12*$AM522^5+WeightSDS!S$12*$AM522^4+WeightSDS!T$12*$AM522^3+WeightSDS!U$12*$AM522^2+WeightSDS!V$12*$AM522+WeightSDS!W$12,WeightSDS!P$14*$AM522^7+WeightSDS!Q$14*$AM522^6+WeightSDS!R$14*$AM522^5+WeightSDS!S$14*$AM522^4+WeightSDS!T$14*$AM522^3+WeightSDS!U$14*$AM522^2+WeightSDS!V$14*$AM522+WeightSDS!W$14),IF($AM522&lt;156,WeightSDS!O$17*$AM522^8+WeightSDS!P$17*$AM522^7+WeightSDS!Q$17*$AM522^6+WeightSDS!R$17*$AM522^5+WeightSDS!S$17*$AM522^4+WeightSDS!T$17*$AM522^3+WeightSDS!U$17*$AM522^2+WeightSDS!V$17*$AM522+WeightSDS!W$17,IF($AM522&lt;186,WeightSDS!$U$18+(WeightSDS!$V$18-WeightSDS!$U$18)/24*($AM522-186)+WeightSDS!$W$18*(-$AM522+186)^2-0.005,WeightSDS!$U$18+(WeightSDS!$V$18-WeightSDS!$U$18)/24*($AM522-186)-0.005)))</f>
        <v>0.14604529399999999</v>
      </c>
      <c r="AT522" s="4">
        <f t="shared" si="175"/>
        <v>0.56299999999999994</v>
      </c>
      <c r="AU522" s="4">
        <f t="shared" si="176"/>
        <v>69</v>
      </c>
      <c r="AV522" s="4">
        <f t="shared" si="177"/>
        <v>0.51</v>
      </c>
    </row>
    <row r="523" spans="1:48" x14ac:dyDescent="0.15">
      <c r="A523" s="4"/>
      <c r="B523" s="21"/>
      <c r="C523" s="21"/>
      <c r="D523" s="21"/>
      <c r="E523" s="22"/>
      <c r="F523" s="22"/>
      <c r="G523" s="23"/>
      <c r="H523" s="23"/>
      <c r="I523" s="181"/>
      <c r="J523" s="8" t="str">
        <f t="shared" si="169"/>
        <v/>
      </c>
      <c r="K523" s="2" t="str">
        <f t="shared" si="178"/>
        <v/>
      </c>
      <c r="L523" s="2" t="str">
        <f t="shared" si="170"/>
        <v/>
      </c>
      <c r="M523" s="2" t="str">
        <f t="shared" si="179"/>
        <v/>
      </c>
      <c r="N523" s="2" t="str">
        <f t="shared" si="187"/>
        <v/>
      </c>
      <c r="O523" s="2" t="str">
        <f t="shared" si="180"/>
        <v/>
      </c>
      <c r="P523" s="8" t="str">
        <f t="shared" si="181"/>
        <v/>
      </c>
      <c r="Q523" s="8" t="str">
        <f t="shared" si="182"/>
        <v/>
      </c>
      <c r="R523" s="111" t="str">
        <f t="shared" si="183"/>
        <v/>
      </c>
      <c r="S523" s="44" t="str">
        <f t="shared" si="184"/>
        <v/>
      </c>
      <c r="T523" s="37" t="str">
        <f t="shared" si="185"/>
        <v/>
      </c>
      <c r="U523" s="44" t="str">
        <f t="shared" si="186"/>
        <v/>
      </c>
      <c r="V523" s="26"/>
      <c r="W523" s="26"/>
      <c r="X523" s="26"/>
      <c r="Y523" s="26"/>
      <c r="Z523" s="24"/>
      <c r="AA523" s="169">
        <f t="shared" si="171"/>
        <v>0</v>
      </c>
      <c r="AB523" s="4">
        <f t="shared" si="172"/>
        <v>0</v>
      </c>
      <c r="AC523" s="170">
        <f t="shared" si="168"/>
        <v>0</v>
      </c>
      <c r="AD523" s="58"/>
      <c r="AE523" s="58"/>
      <c r="AF523" s="58"/>
      <c r="AG523" s="59">
        <f t="shared" si="173"/>
        <v>9.0359999999999996</v>
      </c>
      <c r="AH523" s="59">
        <f t="shared" si="174"/>
        <v>-184.49199999999999</v>
      </c>
      <c r="AJ523" s="4">
        <f>IF(D523="M",IF(AM523&lt;78,BMILMS!$D$5*AM523^3+BMILMS!$E$5*AM523^2+BMILMS!$F$5*AM523+BMILMS!$G$5,IF(AM523&lt;150,BMILMS!$D$6*AM523^3+BMILMS!$E$6*AM523^2+BMILMS!$F$6*AM523+BMILMS!$G$6,BMILMS!$D$7*AM523^3+BMILMS!$E$7*AM523^2+BMILMS!$F$7*AM523+BMILMS!$G$7)),IF(AM523&lt;69,BMILMS!$D$9*AM523^3+BMILMS!$E$9*AM523^2+BMILMS!$F$9*AM523+BMILMS!$G$9,IF(AM523&lt;150,BMILMS!$D$10*AM523^3+BMILMS!$E$10*AM523^2+BMILMS!$F$10*AM523+BMILMS!$G$10,BMILMS!$D$11*AM523^3+BMILMS!$E$11*AM523^2+BMILMS!$F$11*AM523+BMILMS!$G$11)))</f>
        <v>0.79584630099999998</v>
      </c>
      <c r="AK523" s="4">
        <f>IF(D523="M",(IF(AM523&lt;2.5,BMILMS!$D$21*AM523^3+BMILMS!$E$21*AM523^2+BMILMS!$F$21*AM523+BMILMS!$G$21,IF(AM523&lt;9.5,BMILMS!$D$22*AM523^3+BMILMS!$E$22*AM523^2+BMILMS!$F$22*AM523+BMILMS!$G$22,IF(AM523&lt;26.75,BMILMS!$D$23*AM523^3+BMILMS!$E$23*AM523^2+BMILMS!$F$23*AM523+BMILMS!$G$23,IF(AM523&lt;90,BMILMS!$D$24*AM523^3+BMILMS!$E$24*AM523^2+BMILMS!$F$24*AM523+BMILMS!$G$24,BMILMS!$D$25*AM523^3+BMILMS!$E$25*AM523^2+BMILMS!$F$25*AM523+BMILMS!$G$25))))),(IF(AM523&lt;2.5,BMILMS!$D$27*AM523^3+BMILMS!$E$27*AM523^2+BMILMS!$F$27*AM523+BMILMS!$G$27,IF(AM523&lt;9.5,BMILMS!$D$28*AM523^3+BMILMS!$E$28*AM523^2+BMILMS!$F$28*AM523+BMILMS!$G$28,IF(AM523&lt;26.75,BMILMS!$D$29*AM523^3+BMILMS!$E$29*AM523^2+BMILMS!$F$29*AM523+BMILMS!$G$29,IF(AM523&lt;90,BMILMS!$D$30*AM523^3+BMILMS!$E$30*AM523^2+BMILMS!$F$30*AM523+BMILMS!$G$30,IF(AM523&lt;150,BMILMS!$D$31*AM523^3+BMILMS!$E$31*AM523^2+BMILMS!$F$31*AM523+BMILMS!$G$31,BMILMS!$D$32*AM523^3+BMILMS!$E$32*AM523^2+BMILMS!$F$32*AM523+BMILMS!$G$32)))))))</f>
        <v>12.568967990000001</v>
      </c>
      <c r="AL523" s="4">
        <f>IF(D523="M",(IF(AM523&lt;90,BMILMS!$D$14*AM523^3+BMILMS!$E$14*AM523^2+BMILMS!$F$14*AM523+BMILMS!$G$14,BMILMS!$D$15*AM523^3+BMILMS!$E$15*AM523^2+BMILMS!$F$15*AM523+BMILMS!$G$15)),(IF(AM523&lt;90,BMILMS!$D$17*AM523^3+BMILMS!$E$17*AM523^2+BMILMS!$F$17*AM523+BMILMS!$G$17,BMILMS!$D$18*AM523^3+BMILMS!$E$18*AM523^2+BMILMS!$F$18*AM523+BMILMS!$G$18)))</f>
        <v>8.8969350000000003E-2</v>
      </c>
      <c r="AM523" s="4">
        <f t="shared" si="188"/>
        <v>0</v>
      </c>
      <c r="AO523" s="56">
        <f>IF(D523="M",WeightSDS!P$5*$AM523^7+WeightSDS!Q$5*$AM523^6+WeightSDS!R$5*$AM523^5+WeightSDS!S$5*$AM523^4+WeightSDS!T$5*$AM523^3+WeightSDS!U$5*$AM523^2+WeightSDS!V$5*$AM523+WeightSDS!W$5,IF($AM523&lt;186,WeightSDS!P$8*$AM523^7+WeightSDS!Q$8*$AM523^6+WeightSDS!R$8*$AM523^5+WeightSDS!S$8*$AM523^4+WeightSDS!T$8*$AM523^3+WeightSDS!U$8*$AM523^2+WeightSDS!V$8*$AM523+WeightSDS!W$8,WeightSDS!$U$9+WeightSDS!$V$9*($AM523-WeightSDS!$W$9)))</f>
        <v>0.75407122999999998</v>
      </c>
      <c r="AP523" s="4">
        <f>IF(D523="M",IF($AM523&lt;45,WeightSDS!M$23*$AM523^10+WeightSDS!N$23*$AM523^9+WeightSDS!O$23*$AM523^8+WeightSDS!P$23*$AM523^7+WeightSDS!Q$23*$AM523^6+WeightSDS!R$23*$AM523^5+WeightSDS!S$23*$AM523^4+WeightSDS!T$23*$AM523^3+WeightSDS!U$23*$AM523^2+WeightSDS!V$23*$AM523+WeightSDS!W$23,IF($AM523&lt;153,WeightSDS!M$25*$AM523^10+WeightSDS!N$25*$AM523^9+WeightSDS!O$25*$AM523^8+WeightSDS!P$25*$AM523^7+WeightSDS!Q$25*$AM523^6+WeightSDS!R$25*$AM523^5+WeightSDS!S$25*$AM523^4+WeightSDS!T$25*$AM523^3+WeightSDS!U$25*$AM523^2+WeightSDS!V$25*$AM523+WeightSDS!W$25,WeightSDS!M$27+WeightSDS!N$27/(1+EXP(WeightSDS!O$27+WeightSDS!P$27*$AM523)))),IF($AM523&lt;43.8,WeightSDS!M$29*$AM523^10+WeightSDS!N$29*$AM523^9+WeightSDS!O$29*$AM523^8+WeightSDS!P$29*$AM523^7+WeightSDS!Q$29*$AM523^6+WeightSDS!R$29*$AM523^5+WeightSDS!S$29*$AM523^4+WeightSDS!T$29*$AM523^3+WeightSDS!U$29*$AM523^2+WeightSDS!V$29*$AM523+WeightSDS!W$29-0.010431*(1-$AM523/210),IF($AM523&lt;123,WeightSDS!M$30*$AM523^10+WeightSDS!N$30*$AM523^9+WeightSDS!O$30*$AM523^8+WeightSDS!P$30*$AM523^7+WeightSDS!Q$30*$AM523^6+WeightSDS!R$30*$AM523^5+WeightSDS!S$30*$AM523^4+WeightSDS!T$30*$AM523^3+WeightSDS!U$30*$AM523^2+WeightSDS!V$30*$AM523+WeightSDS!W$30-0.010431*(1-1/$AM523),WeightSDS!M$32+WeightSDS!N$32/(1+EXP(WeightSDS!O$32+WeightSDS!P$32*$AM523))-0.010431*(1-$AM523/210))))</f>
        <v>2.9500001032655536</v>
      </c>
      <c r="AQ523" s="4">
        <f>IF(D523="M",IF($AM523&lt;162,WeightSDS!P$12*$AM523^7+WeightSDS!Q$12*$AM523^6+WeightSDS!R$12*$AM523^5+WeightSDS!S$12*$AM523^4+WeightSDS!T$12*$AM523^3+WeightSDS!U$12*$AM523^2+WeightSDS!V$12*$AM523+WeightSDS!W$12,WeightSDS!P$14*$AM523^7+WeightSDS!Q$14*$AM523^6+WeightSDS!R$14*$AM523^5+WeightSDS!S$14*$AM523^4+WeightSDS!T$14*$AM523^3+WeightSDS!U$14*$AM523^2+WeightSDS!V$14*$AM523+WeightSDS!W$14),IF($AM523&lt;156,WeightSDS!O$17*$AM523^8+WeightSDS!P$17*$AM523^7+WeightSDS!Q$17*$AM523^6+WeightSDS!R$17*$AM523^5+WeightSDS!S$17*$AM523^4+WeightSDS!T$17*$AM523^3+WeightSDS!U$17*$AM523^2+WeightSDS!V$17*$AM523+WeightSDS!W$17,IF($AM523&lt;186,WeightSDS!$U$18+(WeightSDS!$V$18-WeightSDS!$U$18)/24*($AM523-186)+WeightSDS!$W$18*(-$AM523+186)^2-0.005,WeightSDS!$U$18+(WeightSDS!$V$18-WeightSDS!$U$18)/24*($AM523-186)-0.005)))</f>
        <v>0.14604529399999999</v>
      </c>
      <c r="AT523" s="4">
        <f t="shared" si="175"/>
        <v>0.56299999999999994</v>
      </c>
      <c r="AU523" s="4">
        <f t="shared" si="176"/>
        <v>69</v>
      </c>
      <c r="AV523" s="4">
        <f t="shared" si="177"/>
        <v>0.51</v>
      </c>
    </row>
    <row r="524" spans="1:48" x14ac:dyDescent="0.15">
      <c r="A524" s="4"/>
      <c r="B524" s="21"/>
      <c r="C524" s="21"/>
      <c r="D524" s="21"/>
      <c r="E524" s="22"/>
      <c r="F524" s="22"/>
      <c r="G524" s="23"/>
      <c r="H524" s="23"/>
      <c r="I524" s="181"/>
      <c r="J524" s="8" t="str">
        <f t="shared" si="169"/>
        <v/>
      </c>
      <c r="K524" s="2" t="str">
        <f t="shared" si="178"/>
        <v/>
      </c>
      <c r="L524" s="2" t="str">
        <f t="shared" si="170"/>
        <v/>
      </c>
      <c r="M524" s="2" t="str">
        <f t="shared" si="179"/>
        <v/>
      </c>
      <c r="N524" s="2" t="str">
        <f t="shared" si="187"/>
        <v/>
      </c>
      <c r="O524" s="2" t="str">
        <f t="shared" si="180"/>
        <v/>
      </c>
      <c r="P524" s="8" t="str">
        <f t="shared" si="181"/>
        <v/>
      </c>
      <c r="Q524" s="8" t="str">
        <f t="shared" si="182"/>
        <v/>
      </c>
      <c r="R524" s="111" t="str">
        <f t="shared" si="183"/>
        <v/>
      </c>
      <c r="S524" s="44" t="str">
        <f t="shared" si="184"/>
        <v/>
      </c>
      <c r="T524" s="37" t="str">
        <f t="shared" si="185"/>
        <v/>
      </c>
      <c r="U524" s="44" t="str">
        <f t="shared" si="186"/>
        <v/>
      </c>
      <c r="V524" s="26"/>
      <c r="W524" s="26"/>
      <c r="X524" s="26"/>
      <c r="Y524" s="26"/>
      <c r="Z524" s="24"/>
      <c r="AA524" s="169">
        <f t="shared" si="171"/>
        <v>0</v>
      </c>
      <c r="AB524" s="4">
        <f t="shared" si="172"/>
        <v>0</v>
      </c>
      <c r="AC524" s="170">
        <f t="shared" si="168"/>
        <v>0</v>
      </c>
      <c r="AD524" s="58"/>
      <c r="AE524" s="58"/>
      <c r="AF524" s="58"/>
      <c r="AG524" s="59">
        <f t="shared" si="173"/>
        <v>9.0359999999999996</v>
      </c>
      <c r="AH524" s="59">
        <f t="shared" si="174"/>
        <v>-184.49199999999999</v>
      </c>
      <c r="AJ524" s="4">
        <f>IF(D524="M",IF(AM524&lt;78,BMILMS!$D$5*AM524^3+BMILMS!$E$5*AM524^2+BMILMS!$F$5*AM524+BMILMS!$G$5,IF(AM524&lt;150,BMILMS!$D$6*AM524^3+BMILMS!$E$6*AM524^2+BMILMS!$F$6*AM524+BMILMS!$G$6,BMILMS!$D$7*AM524^3+BMILMS!$E$7*AM524^2+BMILMS!$F$7*AM524+BMILMS!$G$7)),IF(AM524&lt;69,BMILMS!$D$9*AM524^3+BMILMS!$E$9*AM524^2+BMILMS!$F$9*AM524+BMILMS!$G$9,IF(AM524&lt;150,BMILMS!$D$10*AM524^3+BMILMS!$E$10*AM524^2+BMILMS!$F$10*AM524+BMILMS!$G$10,BMILMS!$D$11*AM524^3+BMILMS!$E$11*AM524^2+BMILMS!$F$11*AM524+BMILMS!$G$11)))</f>
        <v>0.79584630099999998</v>
      </c>
      <c r="AK524" s="4">
        <f>IF(D524="M",(IF(AM524&lt;2.5,BMILMS!$D$21*AM524^3+BMILMS!$E$21*AM524^2+BMILMS!$F$21*AM524+BMILMS!$G$21,IF(AM524&lt;9.5,BMILMS!$D$22*AM524^3+BMILMS!$E$22*AM524^2+BMILMS!$F$22*AM524+BMILMS!$G$22,IF(AM524&lt;26.75,BMILMS!$D$23*AM524^3+BMILMS!$E$23*AM524^2+BMILMS!$F$23*AM524+BMILMS!$G$23,IF(AM524&lt;90,BMILMS!$D$24*AM524^3+BMILMS!$E$24*AM524^2+BMILMS!$F$24*AM524+BMILMS!$G$24,BMILMS!$D$25*AM524^3+BMILMS!$E$25*AM524^2+BMILMS!$F$25*AM524+BMILMS!$G$25))))),(IF(AM524&lt;2.5,BMILMS!$D$27*AM524^3+BMILMS!$E$27*AM524^2+BMILMS!$F$27*AM524+BMILMS!$G$27,IF(AM524&lt;9.5,BMILMS!$D$28*AM524^3+BMILMS!$E$28*AM524^2+BMILMS!$F$28*AM524+BMILMS!$G$28,IF(AM524&lt;26.75,BMILMS!$D$29*AM524^3+BMILMS!$E$29*AM524^2+BMILMS!$F$29*AM524+BMILMS!$G$29,IF(AM524&lt;90,BMILMS!$D$30*AM524^3+BMILMS!$E$30*AM524^2+BMILMS!$F$30*AM524+BMILMS!$G$30,IF(AM524&lt;150,BMILMS!$D$31*AM524^3+BMILMS!$E$31*AM524^2+BMILMS!$F$31*AM524+BMILMS!$G$31,BMILMS!$D$32*AM524^3+BMILMS!$E$32*AM524^2+BMILMS!$F$32*AM524+BMILMS!$G$32)))))))</f>
        <v>12.568967990000001</v>
      </c>
      <c r="AL524" s="4">
        <f>IF(D524="M",(IF(AM524&lt;90,BMILMS!$D$14*AM524^3+BMILMS!$E$14*AM524^2+BMILMS!$F$14*AM524+BMILMS!$G$14,BMILMS!$D$15*AM524^3+BMILMS!$E$15*AM524^2+BMILMS!$F$15*AM524+BMILMS!$G$15)),(IF(AM524&lt;90,BMILMS!$D$17*AM524^3+BMILMS!$E$17*AM524^2+BMILMS!$F$17*AM524+BMILMS!$G$17,BMILMS!$D$18*AM524^3+BMILMS!$E$18*AM524^2+BMILMS!$F$18*AM524+BMILMS!$G$18)))</f>
        <v>8.8969350000000003E-2</v>
      </c>
      <c r="AM524" s="4">
        <f t="shared" si="188"/>
        <v>0</v>
      </c>
      <c r="AO524" s="56">
        <f>IF(D524="M",WeightSDS!P$5*$AM524^7+WeightSDS!Q$5*$AM524^6+WeightSDS!R$5*$AM524^5+WeightSDS!S$5*$AM524^4+WeightSDS!T$5*$AM524^3+WeightSDS!U$5*$AM524^2+WeightSDS!V$5*$AM524+WeightSDS!W$5,IF($AM524&lt;186,WeightSDS!P$8*$AM524^7+WeightSDS!Q$8*$AM524^6+WeightSDS!R$8*$AM524^5+WeightSDS!S$8*$AM524^4+WeightSDS!T$8*$AM524^3+WeightSDS!U$8*$AM524^2+WeightSDS!V$8*$AM524+WeightSDS!W$8,WeightSDS!$U$9+WeightSDS!$V$9*($AM524-WeightSDS!$W$9)))</f>
        <v>0.75407122999999998</v>
      </c>
      <c r="AP524" s="4">
        <f>IF(D524="M",IF($AM524&lt;45,WeightSDS!M$23*$AM524^10+WeightSDS!N$23*$AM524^9+WeightSDS!O$23*$AM524^8+WeightSDS!P$23*$AM524^7+WeightSDS!Q$23*$AM524^6+WeightSDS!R$23*$AM524^5+WeightSDS!S$23*$AM524^4+WeightSDS!T$23*$AM524^3+WeightSDS!U$23*$AM524^2+WeightSDS!V$23*$AM524+WeightSDS!W$23,IF($AM524&lt;153,WeightSDS!M$25*$AM524^10+WeightSDS!N$25*$AM524^9+WeightSDS!O$25*$AM524^8+WeightSDS!P$25*$AM524^7+WeightSDS!Q$25*$AM524^6+WeightSDS!R$25*$AM524^5+WeightSDS!S$25*$AM524^4+WeightSDS!T$25*$AM524^3+WeightSDS!U$25*$AM524^2+WeightSDS!V$25*$AM524+WeightSDS!W$25,WeightSDS!M$27+WeightSDS!N$27/(1+EXP(WeightSDS!O$27+WeightSDS!P$27*$AM524)))),IF($AM524&lt;43.8,WeightSDS!M$29*$AM524^10+WeightSDS!N$29*$AM524^9+WeightSDS!O$29*$AM524^8+WeightSDS!P$29*$AM524^7+WeightSDS!Q$29*$AM524^6+WeightSDS!R$29*$AM524^5+WeightSDS!S$29*$AM524^4+WeightSDS!T$29*$AM524^3+WeightSDS!U$29*$AM524^2+WeightSDS!V$29*$AM524+WeightSDS!W$29-0.010431*(1-$AM524/210),IF($AM524&lt;123,WeightSDS!M$30*$AM524^10+WeightSDS!N$30*$AM524^9+WeightSDS!O$30*$AM524^8+WeightSDS!P$30*$AM524^7+WeightSDS!Q$30*$AM524^6+WeightSDS!R$30*$AM524^5+WeightSDS!S$30*$AM524^4+WeightSDS!T$30*$AM524^3+WeightSDS!U$30*$AM524^2+WeightSDS!V$30*$AM524+WeightSDS!W$30-0.010431*(1-1/$AM524),WeightSDS!M$32+WeightSDS!N$32/(1+EXP(WeightSDS!O$32+WeightSDS!P$32*$AM524))-0.010431*(1-$AM524/210))))</f>
        <v>2.9500001032655536</v>
      </c>
      <c r="AQ524" s="4">
        <f>IF(D524="M",IF($AM524&lt;162,WeightSDS!P$12*$AM524^7+WeightSDS!Q$12*$AM524^6+WeightSDS!R$12*$AM524^5+WeightSDS!S$12*$AM524^4+WeightSDS!T$12*$AM524^3+WeightSDS!U$12*$AM524^2+WeightSDS!V$12*$AM524+WeightSDS!W$12,WeightSDS!P$14*$AM524^7+WeightSDS!Q$14*$AM524^6+WeightSDS!R$14*$AM524^5+WeightSDS!S$14*$AM524^4+WeightSDS!T$14*$AM524^3+WeightSDS!U$14*$AM524^2+WeightSDS!V$14*$AM524+WeightSDS!W$14),IF($AM524&lt;156,WeightSDS!O$17*$AM524^8+WeightSDS!P$17*$AM524^7+WeightSDS!Q$17*$AM524^6+WeightSDS!R$17*$AM524^5+WeightSDS!S$17*$AM524^4+WeightSDS!T$17*$AM524^3+WeightSDS!U$17*$AM524^2+WeightSDS!V$17*$AM524+WeightSDS!W$17,IF($AM524&lt;186,WeightSDS!$U$18+(WeightSDS!$V$18-WeightSDS!$U$18)/24*($AM524-186)+WeightSDS!$W$18*(-$AM524+186)^2-0.005,WeightSDS!$U$18+(WeightSDS!$V$18-WeightSDS!$U$18)/24*($AM524-186)-0.005)))</f>
        <v>0.14604529399999999</v>
      </c>
      <c r="AT524" s="4">
        <f t="shared" si="175"/>
        <v>0.56299999999999994</v>
      </c>
      <c r="AU524" s="4">
        <f t="shared" si="176"/>
        <v>69</v>
      </c>
      <c r="AV524" s="4">
        <f t="shared" si="177"/>
        <v>0.51</v>
      </c>
    </row>
    <row r="525" spans="1:48" x14ac:dyDescent="0.15">
      <c r="A525" s="4"/>
      <c r="B525" s="21"/>
      <c r="C525" s="21"/>
      <c r="D525" s="21"/>
      <c r="E525" s="22"/>
      <c r="F525" s="22"/>
      <c r="G525" s="23"/>
      <c r="H525" s="23"/>
      <c r="I525" s="181"/>
      <c r="J525" s="8" t="str">
        <f t="shared" si="169"/>
        <v/>
      </c>
      <c r="K525" s="2" t="str">
        <f t="shared" si="178"/>
        <v/>
      </c>
      <c r="L525" s="2" t="str">
        <f t="shared" si="170"/>
        <v/>
      </c>
      <c r="M525" s="2" t="str">
        <f t="shared" si="179"/>
        <v/>
      </c>
      <c r="N525" s="2" t="str">
        <f t="shared" si="187"/>
        <v/>
      </c>
      <c r="O525" s="2" t="str">
        <f t="shared" si="180"/>
        <v/>
      </c>
      <c r="P525" s="8" t="str">
        <f t="shared" si="181"/>
        <v/>
      </c>
      <c r="Q525" s="8" t="str">
        <f t="shared" si="182"/>
        <v/>
      </c>
      <c r="R525" s="111" t="str">
        <f t="shared" si="183"/>
        <v/>
      </c>
      <c r="S525" s="44" t="str">
        <f t="shared" si="184"/>
        <v/>
      </c>
      <c r="T525" s="37" t="str">
        <f t="shared" si="185"/>
        <v/>
      </c>
      <c r="U525" s="44" t="str">
        <f t="shared" si="186"/>
        <v/>
      </c>
      <c r="V525" s="26"/>
      <c r="W525" s="26"/>
      <c r="X525" s="26"/>
      <c r="Y525" s="26"/>
      <c r="Z525" s="24"/>
      <c r="AA525" s="169">
        <f t="shared" si="171"/>
        <v>0</v>
      </c>
      <c r="AB525" s="4">
        <f t="shared" si="172"/>
        <v>0</v>
      </c>
      <c r="AC525" s="170">
        <f t="shared" si="168"/>
        <v>0</v>
      </c>
      <c r="AD525" s="58"/>
      <c r="AE525" s="58"/>
      <c r="AF525" s="58"/>
      <c r="AG525" s="59">
        <f t="shared" si="173"/>
        <v>9.0359999999999996</v>
      </c>
      <c r="AH525" s="59">
        <f t="shared" si="174"/>
        <v>-184.49199999999999</v>
      </c>
      <c r="AJ525" s="4">
        <f>IF(D525="M",IF(AM525&lt;78,BMILMS!$D$5*AM525^3+BMILMS!$E$5*AM525^2+BMILMS!$F$5*AM525+BMILMS!$G$5,IF(AM525&lt;150,BMILMS!$D$6*AM525^3+BMILMS!$E$6*AM525^2+BMILMS!$F$6*AM525+BMILMS!$G$6,BMILMS!$D$7*AM525^3+BMILMS!$E$7*AM525^2+BMILMS!$F$7*AM525+BMILMS!$G$7)),IF(AM525&lt;69,BMILMS!$D$9*AM525^3+BMILMS!$E$9*AM525^2+BMILMS!$F$9*AM525+BMILMS!$G$9,IF(AM525&lt;150,BMILMS!$D$10*AM525^3+BMILMS!$E$10*AM525^2+BMILMS!$F$10*AM525+BMILMS!$G$10,BMILMS!$D$11*AM525^3+BMILMS!$E$11*AM525^2+BMILMS!$F$11*AM525+BMILMS!$G$11)))</f>
        <v>0.79584630099999998</v>
      </c>
      <c r="AK525" s="4">
        <f>IF(D525="M",(IF(AM525&lt;2.5,BMILMS!$D$21*AM525^3+BMILMS!$E$21*AM525^2+BMILMS!$F$21*AM525+BMILMS!$G$21,IF(AM525&lt;9.5,BMILMS!$D$22*AM525^3+BMILMS!$E$22*AM525^2+BMILMS!$F$22*AM525+BMILMS!$G$22,IF(AM525&lt;26.75,BMILMS!$D$23*AM525^3+BMILMS!$E$23*AM525^2+BMILMS!$F$23*AM525+BMILMS!$G$23,IF(AM525&lt;90,BMILMS!$D$24*AM525^3+BMILMS!$E$24*AM525^2+BMILMS!$F$24*AM525+BMILMS!$G$24,BMILMS!$D$25*AM525^3+BMILMS!$E$25*AM525^2+BMILMS!$F$25*AM525+BMILMS!$G$25))))),(IF(AM525&lt;2.5,BMILMS!$D$27*AM525^3+BMILMS!$E$27*AM525^2+BMILMS!$F$27*AM525+BMILMS!$G$27,IF(AM525&lt;9.5,BMILMS!$D$28*AM525^3+BMILMS!$E$28*AM525^2+BMILMS!$F$28*AM525+BMILMS!$G$28,IF(AM525&lt;26.75,BMILMS!$D$29*AM525^3+BMILMS!$E$29*AM525^2+BMILMS!$F$29*AM525+BMILMS!$G$29,IF(AM525&lt;90,BMILMS!$D$30*AM525^3+BMILMS!$E$30*AM525^2+BMILMS!$F$30*AM525+BMILMS!$G$30,IF(AM525&lt;150,BMILMS!$D$31*AM525^3+BMILMS!$E$31*AM525^2+BMILMS!$F$31*AM525+BMILMS!$G$31,BMILMS!$D$32*AM525^3+BMILMS!$E$32*AM525^2+BMILMS!$F$32*AM525+BMILMS!$G$32)))))))</f>
        <v>12.568967990000001</v>
      </c>
      <c r="AL525" s="4">
        <f>IF(D525="M",(IF(AM525&lt;90,BMILMS!$D$14*AM525^3+BMILMS!$E$14*AM525^2+BMILMS!$F$14*AM525+BMILMS!$G$14,BMILMS!$D$15*AM525^3+BMILMS!$E$15*AM525^2+BMILMS!$F$15*AM525+BMILMS!$G$15)),(IF(AM525&lt;90,BMILMS!$D$17*AM525^3+BMILMS!$E$17*AM525^2+BMILMS!$F$17*AM525+BMILMS!$G$17,BMILMS!$D$18*AM525^3+BMILMS!$E$18*AM525^2+BMILMS!$F$18*AM525+BMILMS!$G$18)))</f>
        <v>8.8969350000000003E-2</v>
      </c>
      <c r="AM525" s="4">
        <f t="shared" si="188"/>
        <v>0</v>
      </c>
      <c r="AO525" s="56">
        <f>IF(D525="M",WeightSDS!P$5*$AM525^7+WeightSDS!Q$5*$AM525^6+WeightSDS!R$5*$AM525^5+WeightSDS!S$5*$AM525^4+WeightSDS!T$5*$AM525^3+WeightSDS!U$5*$AM525^2+WeightSDS!V$5*$AM525+WeightSDS!W$5,IF($AM525&lt;186,WeightSDS!P$8*$AM525^7+WeightSDS!Q$8*$AM525^6+WeightSDS!R$8*$AM525^5+WeightSDS!S$8*$AM525^4+WeightSDS!T$8*$AM525^3+WeightSDS!U$8*$AM525^2+WeightSDS!V$8*$AM525+WeightSDS!W$8,WeightSDS!$U$9+WeightSDS!$V$9*($AM525-WeightSDS!$W$9)))</f>
        <v>0.75407122999999998</v>
      </c>
      <c r="AP525" s="4">
        <f>IF(D525="M",IF($AM525&lt;45,WeightSDS!M$23*$AM525^10+WeightSDS!N$23*$AM525^9+WeightSDS!O$23*$AM525^8+WeightSDS!P$23*$AM525^7+WeightSDS!Q$23*$AM525^6+WeightSDS!R$23*$AM525^5+WeightSDS!S$23*$AM525^4+WeightSDS!T$23*$AM525^3+WeightSDS!U$23*$AM525^2+WeightSDS!V$23*$AM525+WeightSDS!W$23,IF($AM525&lt;153,WeightSDS!M$25*$AM525^10+WeightSDS!N$25*$AM525^9+WeightSDS!O$25*$AM525^8+WeightSDS!P$25*$AM525^7+WeightSDS!Q$25*$AM525^6+WeightSDS!R$25*$AM525^5+WeightSDS!S$25*$AM525^4+WeightSDS!T$25*$AM525^3+WeightSDS!U$25*$AM525^2+WeightSDS!V$25*$AM525+WeightSDS!W$25,WeightSDS!M$27+WeightSDS!N$27/(1+EXP(WeightSDS!O$27+WeightSDS!P$27*$AM525)))),IF($AM525&lt;43.8,WeightSDS!M$29*$AM525^10+WeightSDS!N$29*$AM525^9+WeightSDS!O$29*$AM525^8+WeightSDS!P$29*$AM525^7+WeightSDS!Q$29*$AM525^6+WeightSDS!R$29*$AM525^5+WeightSDS!S$29*$AM525^4+WeightSDS!T$29*$AM525^3+WeightSDS!U$29*$AM525^2+WeightSDS!V$29*$AM525+WeightSDS!W$29-0.010431*(1-$AM525/210),IF($AM525&lt;123,WeightSDS!M$30*$AM525^10+WeightSDS!N$30*$AM525^9+WeightSDS!O$30*$AM525^8+WeightSDS!P$30*$AM525^7+WeightSDS!Q$30*$AM525^6+WeightSDS!R$30*$AM525^5+WeightSDS!S$30*$AM525^4+WeightSDS!T$30*$AM525^3+WeightSDS!U$30*$AM525^2+WeightSDS!V$30*$AM525+WeightSDS!W$30-0.010431*(1-1/$AM525),WeightSDS!M$32+WeightSDS!N$32/(1+EXP(WeightSDS!O$32+WeightSDS!P$32*$AM525))-0.010431*(1-$AM525/210))))</f>
        <v>2.9500001032655536</v>
      </c>
      <c r="AQ525" s="4">
        <f>IF(D525="M",IF($AM525&lt;162,WeightSDS!P$12*$AM525^7+WeightSDS!Q$12*$AM525^6+WeightSDS!R$12*$AM525^5+WeightSDS!S$12*$AM525^4+WeightSDS!T$12*$AM525^3+WeightSDS!U$12*$AM525^2+WeightSDS!V$12*$AM525+WeightSDS!W$12,WeightSDS!P$14*$AM525^7+WeightSDS!Q$14*$AM525^6+WeightSDS!R$14*$AM525^5+WeightSDS!S$14*$AM525^4+WeightSDS!T$14*$AM525^3+WeightSDS!U$14*$AM525^2+WeightSDS!V$14*$AM525+WeightSDS!W$14),IF($AM525&lt;156,WeightSDS!O$17*$AM525^8+WeightSDS!P$17*$AM525^7+WeightSDS!Q$17*$AM525^6+WeightSDS!R$17*$AM525^5+WeightSDS!S$17*$AM525^4+WeightSDS!T$17*$AM525^3+WeightSDS!U$17*$AM525^2+WeightSDS!V$17*$AM525+WeightSDS!W$17,IF($AM525&lt;186,WeightSDS!$U$18+(WeightSDS!$V$18-WeightSDS!$U$18)/24*($AM525-186)+WeightSDS!$W$18*(-$AM525+186)^2-0.005,WeightSDS!$U$18+(WeightSDS!$V$18-WeightSDS!$U$18)/24*($AM525-186)-0.005)))</f>
        <v>0.14604529399999999</v>
      </c>
      <c r="AT525" s="4">
        <f t="shared" si="175"/>
        <v>0.56299999999999994</v>
      </c>
      <c r="AU525" s="4">
        <f t="shared" si="176"/>
        <v>69</v>
      </c>
      <c r="AV525" s="4">
        <f t="shared" si="177"/>
        <v>0.51</v>
      </c>
    </row>
    <row r="526" spans="1:48" x14ac:dyDescent="0.15">
      <c r="A526" s="4"/>
      <c r="B526" s="21"/>
      <c r="C526" s="21"/>
      <c r="D526" s="21"/>
      <c r="E526" s="22"/>
      <c r="F526" s="22"/>
      <c r="G526" s="23"/>
      <c r="H526" s="23"/>
      <c r="I526" s="181"/>
      <c r="J526" s="8" t="str">
        <f t="shared" si="169"/>
        <v/>
      </c>
      <c r="K526" s="2" t="str">
        <f t="shared" si="178"/>
        <v/>
      </c>
      <c r="L526" s="2" t="str">
        <f t="shared" si="170"/>
        <v/>
      </c>
      <c r="M526" s="2" t="str">
        <f t="shared" si="179"/>
        <v/>
      </c>
      <c r="N526" s="2" t="str">
        <f t="shared" si="187"/>
        <v/>
      </c>
      <c r="O526" s="2" t="str">
        <f t="shared" si="180"/>
        <v/>
      </c>
      <c r="P526" s="8" t="str">
        <f t="shared" si="181"/>
        <v/>
      </c>
      <c r="Q526" s="8" t="str">
        <f t="shared" si="182"/>
        <v/>
      </c>
      <c r="R526" s="111" t="str">
        <f t="shared" si="183"/>
        <v/>
      </c>
      <c r="S526" s="44" t="str">
        <f t="shared" si="184"/>
        <v/>
      </c>
      <c r="T526" s="37" t="str">
        <f t="shared" si="185"/>
        <v/>
      </c>
      <c r="U526" s="44" t="str">
        <f t="shared" si="186"/>
        <v/>
      </c>
      <c r="V526" s="26"/>
      <c r="W526" s="26"/>
      <c r="X526" s="26"/>
      <c r="Y526" s="26"/>
      <c r="Z526" s="24"/>
      <c r="AA526" s="169">
        <f t="shared" si="171"/>
        <v>0</v>
      </c>
      <c r="AB526" s="4">
        <f t="shared" si="172"/>
        <v>0</v>
      </c>
      <c r="AC526" s="170">
        <f t="shared" si="168"/>
        <v>0</v>
      </c>
      <c r="AD526" s="58"/>
      <c r="AE526" s="58"/>
      <c r="AF526" s="58"/>
      <c r="AG526" s="59">
        <f t="shared" si="173"/>
        <v>9.0359999999999996</v>
      </c>
      <c r="AH526" s="59">
        <f t="shared" si="174"/>
        <v>-184.49199999999999</v>
      </c>
      <c r="AJ526" s="4">
        <f>IF(D526="M",IF(AM526&lt;78,BMILMS!$D$5*AM526^3+BMILMS!$E$5*AM526^2+BMILMS!$F$5*AM526+BMILMS!$G$5,IF(AM526&lt;150,BMILMS!$D$6*AM526^3+BMILMS!$E$6*AM526^2+BMILMS!$F$6*AM526+BMILMS!$G$6,BMILMS!$D$7*AM526^3+BMILMS!$E$7*AM526^2+BMILMS!$F$7*AM526+BMILMS!$G$7)),IF(AM526&lt;69,BMILMS!$D$9*AM526^3+BMILMS!$E$9*AM526^2+BMILMS!$F$9*AM526+BMILMS!$G$9,IF(AM526&lt;150,BMILMS!$D$10*AM526^3+BMILMS!$E$10*AM526^2+BMILMS!$F$10*AM526+BMILMS!$G$10,BMILMS!$D$11*AM526^3+BMILMS!$E$11*AM526^2+BMILMS!$F$11*AM526+BMILMS!$G$11)))</f>
        <v>0.79584630099999998</v>
      </c>
      <c r="AK526" s="4">
        <f>IF(D526="M",(IF(AM526&lt;2.5,BMILMS!$D$21*AM526^3+BMILMS!$E$21*AM526^2+BMILMS!$F$21*AM526+BMILMS!$G$21,IF(AM526&lt;9.5,BMILMS!$D$22*AM526^3+BMILMS!$E$22*AM526^2+BMILMS!$F$22*AM526+BMILMS!$G$22,IF(AM526&lt;26.75,BMILMS!$D$23*AM526^3+BMILMS!$E$23*AM526^2+BMILMS!$F$23*AM526+BMILMS!$G$23,IF(AM526&lt;90,BMILMS!$D$24*AM526^3+BMILMS!$E$24*AM526^2+BMILMS!$F$24*AM526+BMILMS!$G$24,BMILMS!$D$25*AM526^3+BMILMS!$E$25*AM526^2+BMILMS!$F$25*AM526+BMILMS!$G$25))))),(IF(AM526&lt;2.5,BMILMS!$D$27*AM526^3+BMILMS!$E$27*AM526^2+BMILMS!$F$27*AM526+BMILMS!$G$27,IF(AM526&lt;9.5,BMILMS!$D$28*AM526^3+BMILMS!$E$28*AM526^2+BMILMS!$F$28*AM526+BMILMS!$G$28,IF(AM526&lt;26.75,BMILMS!$D$29*AM526^3+BMILMS!$E$29*AM526^2+BMILMS!$F$29*AM526+BMILMS!$G$29,IF(AM526&lt;90,BMILMS!$D$30*AM526^3+BMILMS!$E$30*AM526^2+BMILMS!$F$30*AM526+BMILMS!$G$30,IF(AM526&lt;150,BMILMS!$D$31*AM526^3+BMILMS!$E$31*AM526^2+BMILMS!$F$31*AM526+BMILMS!$G$31,BMILMS!$D$32*AM526^3+BMILMS!$E$32*AM526^2+BMILMS!$F$32*AM526+BMILMS!$G$32)))))))</f>
        <v>12.568967990000001</v>
      </c>
      <c r="AL526" s="4">
        <f>IF(D526="M",(IF(AM526&lt;90,BMILMS!$D$14*AM526^3+BMILMS!$E$14*AM526^2+BMILMS!$F$14*AM526+BMILMS!$G$14,BMILMS!$D$15*AM526^3+BMILMS!$E$15*AM526^2+BMILMS!$F$15*AM526+BMILMS!$G$15)),(IF(AM526&lt;90,BMILMS!$D$17*AM526^3+BMILMS!$E$17*AM526^2+BMILMS!$F$17*AM526+BMILMS!$G$17,BMILMS!$D$18*AM526^3+BMILMS!$E$18*AM526^2+BMILMS!$F$18*AM526+BMILMS!$G$18)))</f>
        <v>8.8969350000000003E-2</v>
      </c>
      <c r="AM526" s="4">
        <f t="shared" si="188"/>
        <v>0</v>
      </c>
      <c r="AO526" s="56">
        <f>IF(D526="M",WeightSDS!P$5*$AM526^7+WeightSDS!Q$5*$AM526^6+WeightSDS!R$5*$AM526^5+WeightSDS!S$5*$AM526^4+WeightSDS!T$5*$AM526^3+WeightSDS!U$5*$AM526^2+WeightSDS!V$5*$AM526+WeightSDS!W$5,IF($AM526&lt;186,WeightSDS!P$8*$AM526^7+WeightSDS!Q$8*$AM526^6+WeightSDS!R$8*$AM526^5+WeightSDS!S$8*$AM526^4+WeightSDS!T$8*$AM526^3+WeightSDS!U$8*$AM526^2+WeightSDS!V$8*$AM526+WeightSDS!W$8,WeightSDS!$U$9+WeightSDS!$V$9*($AM526-WeightSDS!$W$9)))</f>
        <v>0.75407122999999998</v>
      </c>
      <c r="AP526" s="4">
        <f>IF(D526="M",IF($AM526&lt;45,WeightSDS!M$23*$AM526^10+WeightSDS!N$23*$AM526^9+WeightSDS!O$23*$AM526^8+WeightSDS!P$23*$AM526^7+WeightSDS!Q$23*$AM526^6+WeightSDS!R$23*$AM526^5+WeightSDS!S$23*$AM526^4+WeightSDS!T$23*$AM526^3+WeightSDS!U$23*$AM526^2+WeightSDS!V$23*$AM526+WeightSDS!W$23,IF($AM526&lt;153,WeightSDS!M$25*$AM526^10+WeightSDS!N$25*$AM526^9+WeightSDS!O$25*$AM526^8+WeightSDS!P$25*$AM526^7+WeightSDS!Q$25*$AM526^6+WeightSDS!R$25*$AM526^5+WeightSDS!S$25*$AM526^4+WeightSDS!T$25*$AM526^3+WeightSDS!U$25*$AM526^2+WeightSDS!V$25*$AM526+WeightSDS!W$25,WeightSDS!M$27+WeightSDS!N$27/(1+EXP(WeightSDS!O$27+WeightSDS!P$27*$AM526)))),IF($AM526&lt;43.8,WeightSDS!M$29*$AM526^10+WeightSDS!N$29*$AM526^9+WeightSDS!O$29*$AM526^8+WeightSDS!P$29*$AM526^7+WeightSDS!Q$29*$AM526^6+WeightSDS!R$29*$AM526^5+WeightSDS!S$29*$AM526^4+WeightSDS!T$29*$AM526^3+WeightSDS!U$29*$AM526^2+WeightSDS!V$29*$AM526+WeightSDS!W$29-0.010431*(1-$AM526/210),IF($AM526&lt;123,WeightSDS!M$30*$AM526^10+WeightSDS!N$30*$AM526^9+WeightSDS!O$30*$AM526^8+WeightSDS!P$30*$AM526^7+WeightSDS!Q$30*$AM526^6+WeightSDS!R$30*$AM526^5+WeightSDS!S$30*$AM526^4+WeightSDS!T$30*$AM526^3+WeightSDS!U$30*$AM526^2+WeightSDS!V$30*$AM526+WeightSDS!W$30-0.010431*(1-1/$AM526),WeightSDS!M$32+WeightSDS!N$32/(1+EXP(WeightSDS!O$32+WeightSDS!P$32*$AM526))-0.010431*(1-$AM526/210))))</f>
        <v>2.9500001032655536</v>
      </c>
      <c r="AQ526" s="4">
        <f>IF(D526="M",IF($AM526&lt;162,WeightSDS!P$12*$AM526^7+WeightSDS!Q$12*$AM526^6+WeightSDS!R$12*$AM526^5+WeightSDS!S$12*$AM526^4+WeightSDS!T$12*$AM526^3+WeightSDS!U$12*$AM526^2+WeightSDS!V$12*$AM526+WeightSDS!W$12,WeightSDS!P$14*$AM526^7+WeightSDS!Q$14*$AM526^6+WeightSDS!R$14*$AM526^5+WeightSDS!S$14*$AM526^4+WeightSDS!T$14*$AM526^3+WeightSDS!U$14*$AM526^2+WeightSDS!V$14*$AM526+WeightSDS!W$14),IF($AM526&lt;156,WeightSDS!O$17*$AM526^8+WeightSDS!P$17*$AM526^7+WeightSDS!Q$17*$AM526^6+WeightSDS!R$17*$AM526^5+WeightSDS!S$17*$AM526^4+WeightSDS!T$17*$AM526^3+WeightSDS!U$17*$AM526^2+WeightSDS!V$17*$AM526+WeightSDS!W$17,IF($AM526&lt;186,WeightSDS!$U$18+(WeightSDS!$V$18-WeightSDS!$U$18)/24*($AM526-186)+WeightSDS!$W$18*(-$AM526+186)^2-0.005,WeightSDS!$U$18+(WeightSDS!$V$18-WeightSDS!$U$18)/24*($AM526-186)-0.005)))</f>
        <v>0.14604529399999999</v>
      </c>
      <c r="AT526" s="4">
        <f t="shared" si="175"/>
        <v>0.56299999999999994</v>
      </c>
      <c r="AU526" s="4">
        <f t="shared" si="176"/>
        <v>69</v>
      </c>
      <c r="AV526" s="4">
        <f t="shared" si="177"/>
        <v>0.51</v>
      </c>
    </row>
    <row r="527" spans="1:48" x14ac:dyDescent="0.15">
      <c r="A527" s="4"/>
      <c r="B527" s="21"/>
      <c r="C527" s="21"/>
      <c r="D527" s="21"/>
      <c r="E527" s="22"/>
      <c r="F527" s="22"/>
      <c r="G527" s="23"/>
      <c r="H527" s="23"/>
      <c r="I527" s="181"/>
      <c r="J527" s="8" t="str">
        <f t="shared" si="169"/>
        <v/>
      </c>
      <c r="K527" s="2" t="str">
        <f t="shared" si="178"/>
        <v/>
      </c>
      <c r="L527" s="2" t="str">
        <f t="shared" si="170"/>
        <v/>
      </c>
      <c r="M527" s="2" t="str">
        <f t="shared" si="179"/>
        <v/>
      </c>
      <c r="N527" s="2" t="str">
        <f t="shared" si="187"/>
        <v/>
      </c>
      <c r="O527" s="2" t="str">
        <f t="shared" si="180"/>
        <v/>
      </c>
      <c r="P527" s="8" t="str">
        <f t="shared" si="181"/>
        <v/>
      </c>
      <c r="Q527" s="8" t="str">
        <f t="shared" si="182"/>
        <v/>
      </c>
      <c r="R527" s="111" t="str">
        <f t="shared" si="183"/>
        <v/>
      </c>
      <c r="S527" s="44" t="str">
        <f t="shared" si="184"/>
        <v/>
      </c>
      <c r="T527" s="37" t="str">
        <f t="shared" si="185"/>
        <v/>
      </c>
      <c r="U527" s="44" t="str">
        <f t="shared" si="186"/>
        <v/>
      </c>
      <c r="V527" s="26"/>
      <c r="W527" s="26"/>
      <c r="X527" s="26"/>
      <c r="Y527" s="26"/>
      <c r="Z527" s="24"/>
      <c r="AA527" s="169">
        <f t="shared" si="171"/>
        <v>0</v>
      </c>
      <c r="AB527" s="4">
        <f t="shared" si="172"/>
        <v>0</v>
      </c>
      <c r="AC527" s="170">
        <f t="shared" si="168"/>
        <v>0</v>
      </c>
      <c r="AD527" s="58"/>
      <c r="AE527" s="58"/>
      <c r="AF527" s="58"/>
      <c r="AG527" s="59">
        <f t="shared" si="173"/>
        <v>9.0359999999999996</v>
      </c>
      <c r="AH527" s="59">
        <f t="shared" si="174"/>
        <v>-184.49199999999999</v>
      </c>
      <c r="AJ527" s="4">
        <f>IF(D527="M",IF(AM527&lt;78,BMILMS!$D$5*AM527^3+BMILMS!$E$5*AM527^2+BMILMS!$F$5*AM527+BMILMS!$G$5,IF(AM527&lt;150,BMILMS!$D$6*AM527^3+BMILMS!$E$6*AM527^2+BMILMS!$F$6*AM527+BMILMS!$G$6,BMILMS!$D$7*AM527^3+BMILMS!$E$7*AM527^2+BMILMS!$F$7*AM527+BMILMS!$G$7)),IF(AM527&lt;69,BMILMS!$D$9*AM527^3+BMILMS!$E$9*AM527^2+BMILMS!$F$9*AM527+BMILMS!$G$9,IF(AM527&lt;150,BMILMS!$D$10*AM527^3+BMILMS!$E$10*AM527^2+BMILMS!$F$10*AM527+BMILMS!$G$10,BMILMS!$D$11*AM527^3+BMILMS!$E$11*AM527^2+BMILMS!$F$11*AM527+BMILMS!$G$11)))</f>
        <v>0.79584630099999998</v>
      </c>
      <c r="AK527" s="4">
        <f>IF(D527="M",(IF(AM527&lt;2.5,BMILMS!$D$21*AM527^3+BMILMS!$E$21*AM527^2+BMILMS!$F$21*AM527+BMILMS!$G$21,IF(AM527&lt;9.5,BMILMS!$D$22*AM527^3+BMILMS!$E$22*AM527^2+BMILMS!$F$22*AM527+BMILMS!$G$22,IF(AM527&lt;26.75,BMILMS!$D$23*AM527^3+BMILMS!$E$23*AM527^2+BMILMS!$F$23*AM527+BMILMS!$G$23,IF(AM527&lt;90,BMILMS!$D$24*AM527^3+BMILMS!$E$24*AM527^2+BMILMS!$F$24*AM527+BMILMS!$G$24,BMILMS!$D$25*AM527^3+BMILMS!$E$25*AM527^2+BMILMS!$F$25*AM527+BMILMS!$G$25))))),(IF(AM527&lt;2.5,BMILMS!$D$27*AM527^3+BMILMS!$E$27*AM527^2+BMILMS!$F$27*AM527+BMILMS!$G$27,IF(AM527&lt;9.5,BMILMS!$D$28*AM527^3+BMILMS!$E$28*AM527^2+BMILMS!$F$28*AM527+BMILMS!$G$28,IF(AM527&lt;26.75,BMILMS!$D$29*AM527^3+BMILMS!$E$29*AM527^2+BMILMS!$F$29*AM527+BMILMS!$G$29,IF(AM527&lt;90,BMILMS!$D$30*AM527^3+BMILMS!$E$30*AM527^2+BMILMS!$F$30*AM527+BMILMS!$G$30,IF(AM527&lt;150,BMILMS!$D$31*AM527^3+BMILMS!$E$31*AM527^2+BMILMS!$F$31*AM527+BMILMS!$G$31,BMILMS!$D$32*AM527^3+BMILMS!$E$32*AM527^2+BMILMS!$F$32*AM527+BMILMS!$G$32)))))))</f>
        <v>12.568967990000001</v>
      </c>
      <c r="AL527" s="4">
        <f>IF(D527="M",(IF(AM527&lt;90,BMILMS!$D$14*AM527^3+BMILMS!$E$14*AM527^2+BMILMS!$F$14*AM527+BMILMS!$G$14,BMILMS!$D$15*AM527^3+BMILMS!$E$15*AM527^2+BMILMS!$F$15*AM527+BMILMS!$G$15)),(IF(AM527&lt;90,BMILMS!$D$17*AM527^3+BMILMS!$E$17*AM527^2+BMILMS!$F$17*AM527+BMILMS!$G$17,BMILMS!$D$18*AM527^3+BMILMS!$E$18*AM527^2+BMILMS!$F$18*AM527+BMILMS!$G$18)))</f>
        <v>8.8969350000000003E-2</v>
      </c>
      <c r="AM527" s="4">
        <f t="shared" si="188"/>
        <v>0</v>
      </c>
      <c r="AO527" s="56">
        <f>IF(D527="M",WeightSDS!P$5*$AM527^7+WeightSDS!Q$5*$AM527^6+WeightSDS!R$5*$AM527^5+WeightSDS!S$5*$AM527^4+WeightSDS!T$5*$AM527^3+WeightSDS!U$5*$AM527^2+WeightSDS!V$5*$AM527+WeightSDS!W$5,IF($AM527&lt;186,WeightSDS!P$8*$AM527^7+WeightSDS!Q$8*$AM527^6+WeightSDS!R$8*$AM527^5+WeightSDS!S$8*$AM527^4+WeightSDS!T$8*$AM527^3+WeightSDS!U$8*$AM527^2+WeightSDS!V$8*$AM527+WeightSDS!W$8,WeightSDS!$U$9+WeightSDS!$V$9*($AM527-WeightSDS!$W$9)))</f>
        <v>0.75407122999999998</v>
      </c>
      <c r="AP527" s="4">
        <f>IF(D527="M",IF($AM527&lt;45,WeightSDS!M$23*$AM527^10+WeightSDS!N$23*$AM527^9+WeightSDS!O$23*$AM527^8+WeightSDS!P$23*$AM527^7+WeightSDS!Q$23*$AM527^6+WeightSDS!R$23*$AM527^5+WeightSDS!S$23*$AM527^4+WeightSDS!T$23*$AM527^3+WeightSDS!U$23*$AM527^2+WeightSDS!V$23*$AM527+WeightSDS!W$23,IF($AM527&lt;153,WeightSDS!M$25*$AM527^10+WeightSDS!N$25*$AM527^9+WeightSDS!O$25*$AM527^8+WeightSDS!P$25*$AM527^7+WeightSDS!Q$25*$AM527^6+WeightSDS!R$25*$AM527^5+WeightSDS!S$25*$AM527^4+WeightSDS!T$25*$AM527^3+WeightSDS!U$25*$AM527^2+WeightSDS!V$25*$AM527+WeightSDS!W$25,WeightSDS!M$27+WeightSDS!N$27/(1+EXP(WeightSDS!O$27+WeightSDS!P$27*$AM527)))),IF($AM527&lt;43.8,WeightSDS!M$29*$AM527^10+WeightSDS!N$29*$AM527^9+WeightSDS!O$29*$AM527^8+WeightSDS!P$29*$AM527^7+WeightSDS!Q$29*$AM527^6+WeightSDS!R$29*$AM527^5+WeightSDS!S$29*$AM527^4+WeightSDS!T$29*$AM527^3+WeightSDS!U$29*$AM527^2+WeightSDS!V$29*$AM527+WeightSDS!W$29-0.010431*(1-$AM527/210),IF($AM527&lt;123,WeightSDS!M$30*$AM527^10+WeightSDS!N$30*$AM527^9+WeightSDS!O$30*$AM527^8+WeightSDS!P$30*$AM527^7+WeightSDS!Q$30*$AM527^6+WeightSDS!R$30*$AM527^5+WeightSDS!S$30*$AM527^4+WeightSDS!T$30*$AM527^3+WeightSDS!U$30*$AM527^2+WeightSDS!V$30*$AM527+WeightSDS!W$30-0.010431*(1-1/$AM527),WeightSDS!M$32+WeightSDS!N$32/(1+EXP(WeightSDS!O$32+WeightSDS!P$32*$AM527))-0.010431*(1-$AM527/210))))</f>
        <v>2.9500001032655536</v>
      </c>
      <c r="AQ527" s="4">
        <f>IF(D527="M",IF($AM527&lt;162,WeightSDS!P$12*$AM527^7+WeightSDS!Q$12*$AM527^6+WeightSDS!R$12*$AM527^5+WeightSDS!S$12*$AM527^4+WeightSDS!T$12*$AM527^3+WeightSDS!U$12*$AM527^2+WeightSDS!V$12*$AM527+WeightSDS!W$12,WeightSDS!P$14*$AM527^7+WeightSDS!Q$14*$AM527^6+WeightSDS!R$14*$AM527^5+WeightSDS!S$14*$AM527^4+WeightSDS!T$14*$AM527^3+WeightSDS!U$14*$AM527^2+WeightSDS!V$14*$AM527+WeightSDS!W$14),IF($AM527&lt;156,WeightSDS!O$17*$AM527^8+WeightSDS!P$17*$AM527^7+WeightSDS!Q$17*$AM527^6+WeightSDS!R$17*$AM527^5+WeightSDS!S$17*$AM527^4+WeightSDS!T$17*$AM527^3+WeightSDS!U$17*$AM527^2+WeightSDS!V$17*$AM527+WeightSDS!W$17,IF($AM527&lt;186,WeightSDS!$U$18+(WeightSDS!$V$18-WeightSDS!$U$18)/24*($AM527-186)+WeightSDS!$W$18*(-$AM527+186)^2-0.005,WeightSDS!$U$18+(WeightSDS!$V$18-WeightSDS!$U$18)/24*($AM527-186)-0.005)))</f>
        <v>0.14604529399999999</v>
      </c>
      <c r="AT527" s="4">
        <f t="shared" si="175"/>
        <v>0.56299999999999994</v>
      </c>
      <c r="AU527" s="4">
        <f t="shared" si="176"/>
        <v>69</v>
      </c>
      <c r="AV527" s="4">
        <f t="shared" si="177"/>
        <v>0.51</v>
      </c>
    </row>
    <row r="528" spans="1:48" x14ac:dyDescent="0.15">
      <c r="A528" s="4"/>
      <c r="B528" s="21"/>
      <c r="C528" s="21"/>
      <c r="D528" s="21"/>
      <c r="E528" s="22"/>
      <c r="F528" s="22"/>
      <c r="G528" s="23"/>
      <c r="H528" s="23"/>
      <c r="I528" s="181"/>
      <c r="J528" s="8" t="str">
        <f t="shared" si="169"/>
        <v/>
      </c>
      <c r="K528" s="2" t="str">
        <f t="shared" si="178"/>
        <v/>
      </c>
      <c r="L528" s="2" t="str">
        <f t="shared" si="170"/>
        <v/>
      </c>
      <c r="M528" s="2" t="str">
        <f t="shared" si="179"/>
        <v/>
      </c>
      <c r="N528" s="2" t="str">
        <f t="shared" si="187"/>
        <v/>
      </c>
      <c r="O528" s="2" t="str">
        <f t="shared" si="180"/>
        <v/>
      </c>
      <c r="P528" s="8" t="str">
        <f t="shared" si="181"/>
        <v/>
      </c>
      <c r="Q528" s="8" t="str">
        <f t="shared" si="182"/>
        <v/>
      </c>
      <c r="R528" s="111" t="str">
        <f t="shared" si="183"/>
        <v/>
      </c>
      <c r="S528" s="44" t="str">
        <f t="shared" si="184"/>
        <v/>
      </c>
      <c r="T528" s="37" t="str">
        <f t="shared" si="185"/>
        <v/>
      </c>
      <c r="U528" s="44" t="str">
        <f t="shared" si="186"/>
        <v/>
      </c>
      <c r="V528" s="26"/>
      <c r="W528" s="26"/>
      <c r="X528" s="26"/>
      <c r="Y528" s="26"/>
      <c r="Z528" s="24"/>
      <c r="AA528" s="169">
        <f t="shared" si="171"/>
        <v>0</v>
      </c>
      <c r="AB528" s="4">
        <f t="shared" si="172"/>
        <v>0</v>
      </c>
      <c r="AC528" s="170">
        <f t="shared" si="168"/>
        <v>0</v>
      </c>
      <c r="AD528" s="58"/>
      <c r="AE528" s="58"/>
      <c r="AF528" s="58"/>
      <c r="AG528" s="59">
        <f t="shared" si="173"/>
        <v>9.0359999999999996</v>
      </c>
      <c r="AH528" s="59">
        <f t="shared" si="174"/>
        <v>-184.49199999999999</v>
      </c>
      <c r="AJ528" s="4">
        <f>IF(D528="M",IF(AM528&lt;78,BMILMS!$D$5*AM528^3+BMILMS!$E$5*AM528^2+BMILMS!$F$5*AM528+BMILMS!$G$5,IF(AM528&lt;150,BMILMS!$D$6*AM528^3+BMILMS!$E$6*AM528^2+BMILMS!$F$6*AM528+BMILMS!$G$6,BMILMS!$D$7*AM528^3+BMILMS!$E$7*AM528^2+BMILMS!$F$7*AM528+BMILMS!$G$7)),IF(AM528&lt;69,BMILMS!$D$9*AM528^3+BMILMS!$E$9*AM528^2+BMILMS!$F$9*AM528+BMILMS!$G$9,IF(AM528&lt;150,BMILMS!$D$10*AM528^3+BMILMS!$E$10*AM528^2+BMILMS!$F$10*AM528+BMILMS!$G$10,BMILMS!$D$11*AM528^3+BMILMS!$E$11*AM528^2+BMILMS!$F$11*AM528+BMILMS!$G$11)))</f>
        <v>0.79584630099999998</v>
      </c>
      <c r="AK528" s="4">
        <f>IF(D528="M",(IF(AM528&lt;2.5,BMILMS!$D$21*AM528^3+BMILMS!$E$21*AM528^2+BMILMS!$F$21*AM528+BMILMS!$G$21,IF(AM528&lt;9.5,BMILMS!$D$22*AM528^3+BMILMS!$E$22*AM528^2+BMILMS!$F$22*AM528+BMILMS!$G$22,IF(AM528&lt;26.75,BMILMS!$D$23*AM528^3+BMILMS!$E$23*AM528^2+BMILMS!$F$23*AM528+BMILMS!$G$23,IF(AM528&lt;90,BMILMS!$D$24*AM528^3+BMILMS!$E$24*AM528^2+BMILMS!$F$24*AM528+BMILMS!$G$24,BMILMS!$D$25*AM528^3+BMILMS!$E$25*AM528^2+BMILMS!$F$25*AM528+BMILMS!$G$25))))),(IF(AM528&lt;2.5,BMILMS!$D$27*AM528^3+BMILMS!$E$27*AM528^2+BMILMS!$F$27*AM528+BMILMS!$G$27,IF(AM528&lt;9.5,BMILMS!$D$28*AM528^3+BMILMS!$E$28*AM528^2+BMILMS!$F$28*AM528+BMILMS!$G$28,IF(AM528&lt;26.75,BMILMS!$D$29*AM528^3+BMILMS!$E$29*AM528^2+BMILMS!$F$29*AM528+BMILMS!$G$29,IF(AM528&lt;90,BMILMS!$D$30*AM528^3+BMILMS!$E$30*AM528^2+BMILMS!$F$30*AM528+BMILMS!$G$30,IF(AM528&lt;150,BMILMS!$D$31*AM528^3+BMILMS!$E$31*AM528^2+BMILMS!$F$31*AM528+BMILMS!$G$31,BMILMS!$D$32*AM528^3+BMILMS!$E$32*AM528^2+BMILMS!$F$32*AM528+BMILMS!$G$32)))))))</f>
        <v>12.568967990000001</v>
      </c>
      <c r="AL528" s="4">
        <f>IF(D528="M",(IF(AM528&lt;90,BMILMS!$D$14*AM528^3+BMILMS!$E$14*AM528^2+BMILMS!$F$14*AM528+BMILMS!$G$14,BMILMS!$D$15*AM528^3+BMILMS!$E$15*AM528^2+BMILMS!$F$15*AM528+BMILMS!$G$15)),(IF(AM528&lt;90,BMILMS!$D$17*AM528^3+BMILMS!$E$17*AM528^2+BMILMS!$F$17*AM528+BMILMS!$G$17,BMILMS!$D$18*AM528^3+BMILMS!$E$18*AM528^2+BMILMS!$F$18*AM528+BMILMS!$G$18)))</f>
        <v>8.8969350000000003E-2</v>
      </c>
      <c r="AM528" s="4">
        <f t="shared" si="188"/>
        <v>0</v>
      </c>
      <c r="AO528" s="56">
        <f>IF(D528="M",WeightSDS!P$5*$AM528^7+WeightSDS!Q$5*$AM528^6+WeightSDS!R$5*$AM528^5+WeightSDS!S$5*$AM528^4+WeightSDS!T$5*$AM528^3+WeightSDS!U$5*$AM528^2+WeightSDS!V$5*$AM528+WeightSDS!W$5,IF($AM528&lt;186,WeightSDS!P$8*$AM528^7+WeightSDS!Q$8*$AM528^6+WeightSDS!R$8*$AM528^5+WeightSDS!S$8*$AM528^4+WeightSDS!T$8*$AM528^3+WeightSDS!U$8*$AM528^2+WeightSDS!V$8*$AM528+WeightSDS!W$8,WeightSDS!$U$9+WeightSDS!$V$9*($AM528-WeightSDS!$W$9)))</f>
        <v>0.75407122999999998</v>
      </c>
      <c r="AP528" s="4">
        <f>IF(D528="M",IF($AM528&lt;45,WeightSDS!M$23*$AM528^10+WeightSDS!N$23*$AM528^9+WeightSDS!O$23*$AM528^8+WeightSDS!P$23*$AM528^7+WeightSDS!Q$23*$AM528^6+WeightSDS!R$23*$AM528^5+WeightSDS!S$23*$AM528^4+WeightSDS!T$23*$AM528^3+WeightSDS!U$23*$AM528^2+WeightSDS!V$23*$AM528+WeightSDS!W$23,IF($AM528&lt;153,WeightSDS!M$25*$AM528^10+WeightSDS!N$25*$AM528^9+WeightSDS!O$25*$AM528^8+WeightSDS!P$25*$AM528^7+WeightSDS!Q$25*$AM528^6+WeightSDS!R$25*$AM528^5+WeightSDS!S$25*$AM528^4+WeightSDS!T$25*$AM528^3+WeightSDS!U$25*$AM528^2+WeightSDS!V$25*$AM528+WeightSDS!W$25,WeightSDS!M$27+WeightSDS!N$27/(1+EXP(WeightSDS!O$27+WeightSDS!P$27*$AM528)))),IF($AM528&lt;43.8,WeightSDS!M$29*$AM528^10+WeightSDS!N$29*$AM528^9+WeightSDS!O$29*$AM528^8+WeightSDS!P$29*$AM528^7+WeightSDS!Q$29*$AM528^6+WeightSDS!R$29*$AM528^5+WeightSDS!S$29*$AM528^4+WeightSDS!T$29*$AM528^3+WeightSDS!U$29*$AM528^2+WeightSDS!V$29*$AM528+WeightSDS!W$29-0.010431*(1-$AM528/210),IF($AM528&lt;123,WeightSDS!M$30*$AM528^10+WeightSDS!N$30*$AM528^9+WeightSDS!O$30*$AM528^8+WeightSDS!P$30*$AM528^7+WeightSDS!Q$30*$AM528^6+WeightSDS!R$30*$AM528^5+WeightSDS!S$30*$AM528^4+WeightSDS!T$30*$AM528^3+WeightSDS!U$30*$AM528^2+WeightSDS!V$30*$AM528+WeightSDS!W$30-0.010431*(1-1/$AM528),WeightSDS!M$32+WeightSDS!N$32/(1+EXP(WeightSDS!O$32+WeightSDS!P$32*$AM528))-0.010431*(1-$AM528/210))))</f>
        <v>2.9500001032655536</v>
      </c>
      <c r="AQ528" s="4">
        <f>IF(D528="M",IF($AM528&lt;162,WeightSDS!P$12*$AM528^7+WeightSDS!Q$12*$AM528^6+WeightSDS!R$12*$AM528^5+WeightSDS!S$12*$AM528^4+WeightSDS!T$12*$AM528^3+WeightSDS!U$12*$AM528^2+WeightSDS!V$12*$AM528+WeightSDS!W$12,WeightSDS!P$14*$AM528^7+WeightSDS!Q$14*$AM528^6+WeightSDS!R$14*$AM528^5+WeightSDS!S$14*$AM528^4+WeightSDS!T$14*$AM528^3+WeightSDS!U$14*$AM528^2+WeightSDS!V$14*$AM528+WeightSDS!W$14),IF($AM528&lt;156,WeightSDS!O$17*$AM528^8+WeightSDS!P$17*$AM528^7+WeightSDS!Q$17*$AM528^6+WeightSDS!R$17*$AM528^5+WeightSDS!S$17*$AM528^4+WeightSDS!T$17*$AM528^3+WeightSDS!U$17*$AM528^2+WeightSDS!V$17*$AM528+WeightSDS!W$17,IF($AM528&lt;186,WeightSDS!$U$18+(WeightSDS!$V$18-WeightSDS!$U$18)/24*($AM528-186)+WeightSDS!$W$18*(-$AM528+186)^2-0.005,WeightSDS!$U$18+(WeightSDS!$V$18-WeightSDS!$U$18)/24*($AM528-186)-0.005)))</f>
        <v>0.14604529399999999</v>
      </c>
      <c r="AT528" s="4">
        <f t="shared" si="175"/>
        <v>0.56299999999999994</v>
      </c>
      <c r="AU528" s="4">
        <f t="shared" si="176"/>
        <v>69</v>
      </c>
      <c r="AV528" s="4">
        <f t="shared" si="177"/>
        <v>0.51</v>
      </c>
    </row>
    <row r="529" spans="1:48" x14ac:dyDescent="0.15">
      <c r="A529" s="4"/>
      <c r="B529" s="21"/>
      <c r="C529" s="21"/>
      <c r="D529" s="21"/>
      <c r="E529" s="22"/>
      <c r="F529" s="22"/>
      <c r="G529" s="23"/>
      <c r="H529" s="23"/>
      <c r="I529" s="181"/>
      <c r="J529" s="8" t="str">
        <f t="shared" si="169"/>
        <v/>
      </c>
      <c r="K529" s="2" t="str">
        <f t="shared" si="178"/>
        <v/>
      </c>
      <c r="L529" s="2" t="str">
        <f t="shared" si="170"/>
        <v/>
      </c>
      <c r="M529" s="2" t="str">
        <f t="shared" si="179"/>
        <v/>
      </c>
      <c r="N529" s="2" t="str">
        <f t="shared" si="187"/>
        <v/>
      </c>
      <c r="O529" s="2" t="str">
        <f t="shared" si="180"/>
        <v/>
      </c>
      <c r="P529" s="8" t="str">
        <f t="shared" si="181"/>
        <v/>
      </c>
      <c r="Q529" s="8" t="str">
        <f t="shared" si="182"/>
        <v/>
      </c>
      <c r="R529" s="111" t="str">
        <f t="shared" si="183"/>
        <v/>
      </c>
      <c r="S529" s="44" t="str">
        <f t="shared" si="184"/>
        <v/>
      </c>
      <c r="T529" s="37" t="str">
        <f t="shared" si="185"/>
        <v/>
      </c>
      <c r="U529" s="44" t="str">
        <f t="shared" si="186"/>
        <v/>
      </c>
      <c r="V529" s="26"/>
      <c r="W529" s="26"/>
      <c r="X529" s="26"/>
      <c r="Y529" s="26"/>
      <c r="Z529" s="24"/>
      <c r="AA529" s="169">
        <f t="shared" si="171"/>
        <v>0</v>
      </c>
      <c r="AB529" s="4">
        <f t="shared" si="172"/>
        <v>0</v>
      </c>
      <c r="AC529" s="170">
        <f t="shared" si="168"/>
        <v>0</v>
      </c>
      <c r="AD529" s="58"/>
      <c r="AE529" s="58"/>
      <c r="AF529" s="58"/>
      <c r="AG529" s="59">
        <f t="shared" si="173"/>
        <v>9.0359999999999996</v>
      </c>
      <c r="AH529" s="59">
        <f t="shared" si="174"/>
        <v>-184.49199999999999</v>
      </c>
      <c r="AJ529" s="4">
        <f>IF(D529="M",IF(AM529&lt;78,BMILMS!$D$5*AM529^3+BMILMS!$E$5*AM529^2+BMILMS!$F$5*AM529+BMILMS!$G$5,IF(AM529&lt;150,BMILMS!$D$6*AM529^3+BMILMS!$E$6*AM529^2+BMILMS!$F$6*AM529+BMILMS!$G$6,BMILMS!$D$7*AM529^3+BMILMS!$E$7*AM529^2+BMILMS!$F$7*AM529+BMILMS!$G$7)),IF(AM529&lt;69,BMILMS!$D$9*AM529^3+BMILMS!$E$9*AM529^2+BMILMS!$F$9*AM529+BMILMS!$G$9,IF(AM529&lt;150,BMILMS!$D$10*AM529^3+BMILMS!$E$10*AM529^2+BMILMS!$F$10*AM529+BMILMS!$G$10,BMILMS!$D$11*AM529^3+BMILMS!$E$11*AM529^2+BMILMS!$F$11*AM529+BMILMS!$G$11)))</f>
        <v>0.79584630099999998</v>
      </c>
      <c r="AK529" s="4">
        <f>IF(D529="M",(IF(AM529&lt;2.5,BMILMS!$D$21*AM529^3+BMILMS!$E$21*AM529^2+BMILMS!$F$21*AM529+BMILMS!$G$21,IF(AM529&lt;9.5,BMILMS!$D$22*AM529^3+BMILMS!$E$22*AM529^2+BMILMS!$F$22*AM529+BMILMS!$G$22,IF(AM529&lt;26.75,BMILMS!$D$23*AM529^3+BMILMS!$E$23*AM529^2+BMILMS!$F$23*AM529+BMILMS!$G$23,IF(AM529&lt;90,BMILMS!$D$24*AM529^3+BMILMS!$E$24*AM529^2+BMILMS!$F$24*AM529+BMILMS!$G$24,BMILMS!$D$25*AM529^3+BMILMS!$E$25*AM529^2+BMILMS!$F$25*AM529+BMILMS!$G$25))))),(IF(AM529&lt;2.5,BMILMS!$D$27*AM529^3+BMILMS!$E$27*AM529^2+BMILMS!$F$27*AM529+BMILMS!$G$27,IF(AM529&lt;9.5,BMILMS!$D$28*AM529^3+BMILMS!$E$28*AM529^2+BMILMS!$F$28*AM529+BMILMS!$G$28,IF(AM529&lt;26.75,BMILMS!$D$29*AM529^3+BMILMS!$E$29*AM529^2+BMILMS!$F$29*AM529+BMILMS!$G$29,IF(AM529&lt;90,BMILMS!$D$30*AM529^3+BMILMS!$E$30*AM529^2+BMILMS!$F$30*AM529+BMILMS!$G$30,IF(AM529&lt;150,BMILMS!$D$31*AM529^3+BMILMS!$E$31*AM529^2+BMILMS!$F$31*AM529+BMILMS!$G$31,BMILMS!$D$32*AM529^3+BMILMS!$E$32*AM529^2+BMILMS!$F$32*AM529+BMILMS!$G$32)))))))</f>
        <v>12.568967990000001</v>
      </c>
      <c r="AL529" s="4">
        <f>IF(D529="M",(IF(AM529&lt;90,BMILMS!$D$14*AM529^3+BMILMS!$E$14*AM529^2+BMILMS!$F$14*AM529+BMILMS!$G$14,BMILMS!$D$15*AM529^3+BMILMS!$E$15*AM529^2+BMILMS!$F$15*AM529+BMILMS!$G$15)),(IF(AM529&lt;90,BMILMS!$D$17*AM529^3+BMILMS!$E$17*AM529^2+BMILMS!$F$17*AM529+BMILMS!$G$17,BMILMS!$D$18*AM529^3+BMILMS!$E$18*AM529^2+BMILMS!$F$18*AM529+BMILMS!$G$18)))</f>
        <v>8.8969350000000003E-2</v>
      </c>
      <c r="AM529" s="4">
        <f t="shared" si="188"/>
        <v>0</v>
      </c>
      <c r="AO529" s="56">
        <f>IF(D529="M",WeightSDS!P$5*$AM529^7+WeightSDS!Q$5*$AM529^6+WeightSDS!R$5*$AM529^5+WeightSDS!S$5*$AM529^4+WeightSDS!T$5*$AM529^3+WeightSDS!U$5*$AM529^2+WeightSDS!V$5*$AM529+WeightSDS!W$5,IF($AM529&lt;186,WeightSDS!P$8*$AM529^7+WeightSDS!Q$8*$AM529^6+WeightSDS!R$8*$AM529^5+WeightSDS!S$8*$AM529^4+WeightSDS!T$8*$AM529^3+WeightSDS!U$8*$AM529^2+WeightSDS!V$8*$AM529+WeightSDS!W$8,WeightSDS!$U$9+WeightSDS!$V$9*($AM529-WeightSDS!$W$9)))</f>
        <v>0.75407122999999998</v>
      </c>
      <c r="AP529" s="4">
        <f>IF(D529="M",IF($AM529&lt;45,WeightSDS!M$23*$AM529^10+WeightSDS!N$23*$AM529^9+WeightSDS!O$23*$AM529^8+WeightSDS!P$23*$AM529^7+WeightSDS!Q$23*$AM529^6+WeightSDS!R$23*$AM529^5+WeightSDS!S$23*$AM529^4+WeightSDS!T$23*$AM529^3+WeightSDS!U$23*$AM529^2+WeightSDS!V$23*$AM529+WeightSDS!W$23,IF($AM529&lt;153,WeightSDS!M$25*$AM529^10+WeightSDS!N$25*$AM529^9+WeightSDS!O$25*$AM529^8+WeightSDS!P$25*$AM529^7+WeightSDS!Q$25*$AM529^6+WeightSDS!R$25*$AM529^5+WeightSDS!S$25*$AM529^4+WeightSDS!T$25*$AM529^3+WeightSDS!U$25*$AM529^2+WeightSDS!V$25*$AM529+WeightSDS!W$25,WeightSDS!M$27+WeightSDS!N$27/(1+EXP(WeightSDS!O$27+WeightSDS!P$27*$AM529)))),IF($AM529&lt;43.8,WeightSDS!M$29*$AM529^10+WeightSDS!N$29*$AM529^9+WeightSDS!O$29*$AM529^8+WeightSDS!P$29*$AM529^7+WeightSDS!Q$29*$AM529^6+WeightSDS!R$29*$AM529^5+WeightSDS!S$29*$AM529^4+WeightSDS!T$29*$AM529^3+WeightSDS!U$29*$AM529^2+WeightSDS!V$29*$AM529+WeightSDS!W$29-0.010431*(1-$AM529/210),IF($AM529&lt;123,WeightSDS!M$30*$AM529^10+WeightSDS!N$30*$AM529^9+WeightSDS!O$30*$AM529^8+WeightSDS!P$30*$AM529^7+WeightSDS!Q$30*$AM529^6+WeightSDS!R$30*$AM529^5+WeightSDS!S$30*$AM529^4+WeightSDS!T$30*$AM529^3+WeightSDS!U$30*$AM529^2+WeightSDS!V$30*$AM529+WeightSDS!W$30-0.010431*(1-1/$AM529),WeightSDS!M$32+WeightSDS!N$32/(1+EXP(WeightSDS!O$32+WeightSDS!P$32*$AM529))-0.010431*(1-$AM529/210))))</f>
        <v>2.9500001032655536</v>
      </c>
      <c r="AQ529" s="4">
        <f>IF(D529="M",IF($AM529&lt;162,WeightSDS!P$12*$AM529^7+WeightSDS!Q$12*$AM529^6+WeightSDS!R$12*$AM529^5+WeightSDS!S$12*$AM529^4+WeightSDS!T$12*$AM529^3+WeightSDS!U$12*$AM529^2+WeightSDS!V$12*$AM529+WeightSDS!W$12,WeightSDS!P$14*$AM529^7+WeightSDS!Q$14*$AM529^6+WeightSDS!R$14*$AM529^5+WeightSDS!S$14*$AM529^4+WeightSDS!T$14*$AM529^3+WeightSDS!U$14*$AM529^2+WeightSDS!V$14*$AM529+WeightSDS!W$14),IF($AM529&lt;156,WeightSDS!O$17*$AM529^8+WeightSDS!P$17*$AM529^7+WeightSDS!Q$17*$AM529^6+WeightSDS!R$17*$AM529^5+WeightSDS!S$17*$AM529^4+WeightSDS!T$17*$AM529^3+WeightSDS!U$17*$AM529^2+WeightSDS!V$17*$AM529+WeightSDS!W$17,IF($AM529&lt;186,WeightSDS!$U$18+(WeightSDS!$V$18-WeightSDS!$U$18)/24*($AM529-186)+WeightSDS!$W$18*(-$AM529+186)^2-0.005,WeightSDS!$U$18+(WeightSDS!$V$18-WeightSDS!$U$18)/24*($AM529-186)-0.005)))</f>
        <v>0.14604529399999999</v>
      </c>
      <c r="AT529" s="4">
        <f t="shared" si="175"/>
        <v>0.56299999999999994</v>
      </c>
      <c r="AU529" s="4">
        <f t="shared" si="176"/>
        <v>69</v>
      </c>
      <c r="AV529" s="4">
        <f t="shared" si="177"/>
        <v>0.51</v>
      </c>
    </row>
    <row r="530" spans="1:48" x14ac:dyDescent="0.15">
      <c r="A530" s="4"/>
      <c r="B530" s="21"/>
      <c r="C530" s="21"/>
      <c r="D530" s="21"/>
      <c r="E530" s="22"/>
      <c r="F530" s="22"/>
      <c r="G530" s="23"/>
      <c r="H530" s="23"/>
      <c r="I530" s="181"/>
      <c r="J530" s="8" t="str">
        <f t="shared" si="169"/>
        <v/>
      </c>
      <c r="K530" s="2" t="str">
        <f t="shared" si="178"/>
        <v/>
      </c>
      <c r="L530" s="2" t="str">
        <f t="shared" si="170"/>
        <v/>
      </c>
      <c r="M530" s="2" t="str">
        <f t="shared" si="179"/>
        <v/>
      </c>
      <c r="N530" s="2" t="str">
        <f t="shared" si="187"/>
        <v/>
      </c>
      <c r="O530" s="2" t="str">
        <f t="shared" si="180"/>
        <v/>
      </c>
      <c r="P530" s="8" t="str">
        <f t="shared" si="181"/>
        <v/>
      </c>
      <c r="Q530" s="8" t="str">
        <f t="shared" si="182"/>
        <v/>
      </c>
      <c r="R530" s="111" t="str">
        <f t="shared" si="183"/>
        <v/>
      </c>
      <c r="S530" s="44" t="str">
        <f t="shared" si="184"/>
        <v/>
      </c>
      <c r="T530" s="37" t="str">
        <f t="shared" si="185"/>
        <v/>
      </c>
      <c r="U530" s="44" t="str">
        <f t="shared" si="186"/>
        <v/>
      </c>
      <c r="V530" s="26"/>
      <c r="W530" s="26"/>
      <c r="X530" s="26"/>
      <c r="Y530" s="26"/>
      <c r="Z530" s="24"/>
      <c r="AA530" s="169">
        <f t="shared" si="171"/>
        <v>0</v>
      </c>
      <c r="AB530" s="4">
        <f t="shared" si="172"/>
        <v>0</v>
      </c>
      <c r="AC530" s="170">
        <f t="shared" si="168"/>
        <v>0</v>
      </c>
      <c r="AD530" s="58"/>
      <c r="AE530" s="58"/>
      <c r="AF530" s="58"/>
      <c r="AG530" s="59">
        <f t="shared" si="173"/>
        <v>9.0359999999999996</v>
      </c>
      <c r="AH530" s="59">
        <f t="shared" si="174"/>
        <v>-184.49199999999999</v>
      </c>
      <c r="AJ530" s="4">
        <f>IF(D530="M",IF(AM530&lt;78,BMILMS!$D$5*AM530^3+BMILMS!$E$5*AM530^2+BMILMS!$F$5*AM530+BMILMS!$G$5,IF(AM530&lt;150,BMILMS!$D$6*AM530^3+BMILMS!$E$6*AM530^2+BMILMS!$F$6*AM530+BMILMS!$G$6,BMILMS!$D$7*AM530^3+BMILMS!$E$7*AM530^2+BMILMS!$F$7*AM530+BMILMS!$G$7)),IF(AM530&lt;69,BMILMS!$D$9*AM530^3+BMILMS!$E$9*AM530^2+BMILMS!$F$9*AM530+BMILMS!$G$9,IF(AM530&lt;150,BMILMS!$D$10*AM530^3+BMILMS!$E$10*AM530^2+BMILMS!$F$10*AM530+BMILMS!$G$10,BMILMS!$D$11*AM530^3+BMILMS!$E$11*AM530^2+BMILMS!$F$11*AM530+BMILMS!$G$11)))</f>
        <v>0.79584630099999998</v>
      </c>
      <c r="AK530" s="4">
        <f>IF(D530="M",(IF(AM530&lt;2.5,BMILMS!$D$21*AM530^3+BMILMS!$E$21*AM530^2+BMILMS!$F$21*AM530+BMILMS!$G$21,IF(AM530&lt;9.5,BMILMS!$D$22*AM530^3+BMILMS!$E$22*AM530^2+BMILMS!$F$22*AM530+BMILMS!$G$22,IF(AM530&lt;26.75,BMILMS!$D$23*AM530^3+BMILMS!$E$23*AM530^2+BMILMS!$F$23*AM530+BMILMS!$G$23,IF(AM530&lt;90,BMILMS!$D$24*AM530^3+BMILMS!$E$24*AM530^2+BMILMS!$F$24*AM530+BMILMS!$G$24,BMILMS!$D$25*AM530^3+BMILMS!$E$25*AM530^2+BMILMS!$F$25*AM530+BMILMS!$G$25))))),(IF(AM530&lt;2.5,BMILMS!$D$27*AM530^3+BMILMS!$E$27*AM530^2+BMILMS!$F$27*AM530+BMILMS!$G$27,IF(AM530&lt;9.5,BMILMS!$D$28*AM530^3+BMILMS!$E$28*AM530^2+BMILMS!$F$28*AM530+BMILMS!$G$28,IF(AM530&lt;26.75,BMILMS!$D$29*AM530^3+BMILMS!$E$29*AM530^2+BMILMS!$F$29*AM530+BMILMS!$G$29,IF(AM530&lt;90,BMILMS!$D$30*AM530^3+BMILMS!$E$30*AM530^2+BMILMS!$F$30*AM530+BMILMS!$G$30,IF(AM530&lt;150,BMILMS!$D$31*AM530^3+BMILMS!$E$31*AM530^2+BMILMS!$F$31*AM530+BMILMS!$G$31,BMILMS!$D$32*AM530^3+BMILMS!$E$32*AM530^2+BMILMS!$F$32*AM530+BMILMS!$G$32)))))))</f>
        <v>12.568967990000001</v>
      </c>
      <c r="AL530" s="4">
        <f>IF(D530="M",(IF(AM530&lt;90,BMILMS!$D$14*AM530^3+BMILMS!$E$14*AM530^2+BMILMS!$F$14*AM530+BMILMS!$G$14,BMILMS!$D$15*AM530^3+BMILMS!$E$15*AM530^2+BMILMS!$F$15*AM530+BMILMS!$G$15)),(IF(AM530&lt;90,BMILMS!$D$17*AM530^3+BMILMS!$E$17*AM530^2+BMILMS!$F$17*AM530+BMILMS!$G$17,BMILMS!$D$18*AM530^3+BMILMS!$E$18*AM530^2+BMILMS!$F$18*AM530+BMILMS!$G$18)))</f>
        <v>8.8969350000000003E-2</v>
      </c>
      <c r="AM530" s="4">
        <f t="shared" si="188"/>
        <v>0</v>
      </c>
      <c r="AO530" s="56">
        <f>IF(D530="M",WeightSDS!P$5*$AM530^7+WeightSDS!Q$5*$AM530^6+WeightSDS!R$5*$AM530^5+WeightSDS!S$5*$AM530^4+WeightSDS!T$5*$AM530^3+WeightSDS!U$5*$AM530^2+WeightSDS!V$5*$AM530+WeightSDS!W$5,IF($AM530&lt;186,WeightSDS!P$8*$AM530^7+WeightSDS!Q$8*$AM530^6+WeightSDS!R$8*$AM530^5+WeightSDS!S$8*$AM530^4+WeightSDS!T$8*$AM530^3+WeightSDS!U$8*$AM530^2+WeightSDS!V$8*$AM530+WeightSDS!W$8,WeightSDS!$U$9+WeightSDS!$V$9*($AM530-WeightSDS!$W$9)))</f>
        <v>0.75407122999999998</v>
      </c>
      <c r="AP530" s="4">
        <f>IF(D530="M",IF($AM530&lt;45,WeightSDS!M$23*$AM530^10+WeightSDS!N$23*$AM530^9+WeightSDS!O$23*$AM530^8+WeightSDS!P$23*$AM530^7+WeightSDS!Q$23*$AM530^6+WeightSDS!R$23*$AM530^5+WeightSDS!S$23*$AM530^4+WeightSDS!T$23*$AM530^3+WeightSDS!U$23*$AM530^2+WeightSDS!V$23*$AM530+WeightSDS!W$23,IF($AM530&lt;153,WeightSDS!M$25*$AM530^10+WeightSDS!N$25*$AM530^9+WeightSDS!O$25*$AM530^8+WeightSDS!P$25*$AM530^7+WeightSDS!Q$25*$AM530^6+WeightSDS!R$25*$AM530^5+WeightSDS!S$25*$AM530^4+WeightSDS!T$25*$AM530^3+WeightSDS!U$25*$AM530^2+WeightSDS!V$25*$AM530+WeightSDS!W$25,WeightSDS!M$27+WeightSDS!N$27/(1+EXP(WeightSDS!O$27+WeightSDS!P$27*$AM530)))),IF($AM530&lt;43.8,WeightSDS!M$29*$AM530^10+WeightSDS!N$29*$AM530^9+WeightSDS!O$29*$AM530^8+WeightSDS!P$29*$AM530^7+WeightSDS!Q$29*$AM530^6+WeightSDS!R$29*$AM530^5+WeightSDS!S$29*$AM530^4+WeightSDS!T$29*$AM530^3+WeightSDS!U$29*$AM530^2+WeightSDS!V$29*$AM530+WeightSDS!W$29-0.010431*(1-$AM530/210),IF($AM530&lt;123,WeightSDS!M$30*$AM530^10+WeightSDS!N$30*$AM530^9+WeightSDS!O$30*$AM530^8+WeightSDS!P$30*$AM530^7+WeightSDS!Q$30*$AM530^6+WeightSDS!R$30*$AM530^5+WeightSDS!S$30*$AM530^4+WeightSDS!T$30*$AM530^3+WeightSDS!U$30*$AM530^2+WeightSDS!V$30*$AM530+WeightSDS!W$30-0.010431*(1-1/$AM530),WeightSDS!M$32+WeightSDS!N$32/(1+EXP(WeightSDS!O$32+WeightSDS!P$32*$AM530))-0.010431*(1-$AM530/210))))</f>
        <v>2.9500001032655536</v>
      </c>
      <c r="AQ530" s="4">
        <f>IF(D530="M",IF($AM530&lt;162,WeightSDS!P$12*$AM530^7+WeightSDS!Q$12*$AM530^6+WeightSDS!R$12*$AM530^5+WeightSDS!S$12*$AM530^4+WeightSDS!T$12*$AM530^3+WeightSDS!U$12*$AM530^2+WeightSDS!V$12*$AM530+WeightSDS!W$12,WeightSDS!P$14*$AM530^7+WeightSDS!Q$14*$AM530^6+WeightSDS!R$14*$AM530^5+WeightSDS!S$14*$AM530^4+WeightSDS!T$14*$AM530^3+WeightSDS!U$14*$AM530^2+WeightSDS!V$14*$AM530+WeightSDS!W$14),IF($AM530&lt;156,WeightSDS!O$17*$AM530^8+WeightSDS!P$17*$AM530^7+WeightSDS!Q$17*$AM530^6+WeightSDS!R$17*$AM530^5+WeightSDS!S$17*$AM530^4+WeightSDS!T$17*$AM530^3+WeightSDS!U$17*$AM530^2+WeightSDS!V$17*$AM530+WeightSDS!W$17,IF($AM530&lt;186,WeightSDS!$U$18+(WeightSDS!$V$18-WeightSDS!$U$18)/24*($AM530-186)+WeightSDS!$W$18*(-$AM530+186)^2-0.005,WeightSDS!$U$18+(WeightSDS!$V$18-WeightSDS!$U$18)/24*($AM530-186)-0.005)))</f>
        <v>0.14604529399999999</v>
      </c>
      <c r="AT530" s="4">
        <f t="shared" si="175"/>
        <v>0.56299999999999994</v>
      </c>
      <c r="AU530" s="4">
        <f t="shared" si="176"/>
        <v>69</v>
      </c>
      <c r="AV530" s="4">
        <f t="shared" si="177"/>
        <v>0.51</v>
      </c>
    </row>
    <row r="531" spans="1:48" x14ac:dyDescent="0.15">
      <c r="A531" s="4"/>
      <c r="B531" s="21"/>
      <c r="C531" s="21"/>
      <c r="D531" s="21"/>
      <c r="E531" s="22"/>
      <c r="F531" s="22"/>
      <c r="G531" s="23"/>
      <c r="H531" s="23"/>
      <c r="I531" s="181"/>
      <c r="J531" s="8" t="str">
        <f t="shared" si="169"/>
        <v/>
      </c>
      <c r="K531" s="2" t="str">
        <f t="shared" si="178"/>
        <v/>
      </c>
      <c r="L531" s="2" t="str">
        <f t="shared" si="170"/>
        <v/>
      </c>
      <c r="M531" s="2" t="str">
        <f t="shared" si="179"/>
        <v/>
      </c>
      <c r="N531" s="2" t="str">
        <f t="shared" si="187"/>
        <v/>
      </c>
      <c r="O531" s="2" t="str">
        <f t="shared" si="180"/>
        <v/>
      </c>
      <c r="P531" s="8" t="str">
        <f t="shared" si="181"/>
        <v/>
      </c>
      <c r="Q531" s="8" t="str">
        <f t="shared" si="182"/>
        <v/>
      </c>
      <c r="R531" s="111" t="str">
        <f t="shared" si="183"/>
        <v/>
      </c>
      <c r="S531" s="44" t="str">
        <f t="shared" si="184"/>
        <v/>
      </c>
      <c r="T531" s="37" t="str">
        <f t="shared" si="185"/>
        <v/>
      </c>
      <c r="U531" s="44" t="str">
        <f t="shared" si="186"/>
        <v/>
      </c>
      <c r="V531" s="26"/>
      <c r="W531" s="26"/>
      <c r="X531" s="26"/>
      <c r="Y531" s="26"/>
      <c r="Z531" s="24"/>
      <c r="AA531" s="169">
        <f t="shared" si="171"/>
        <v>0</v>
      </c>
      <c r="AB531" s="4">
        <f t="shared" si="172"/>
        <v>0</v>
      </c>
      <c r="AC531" s="170">
        <f t="shared" si="168"/>
        <v>0</v>
      </c>
      <c r="AD531" s="58"/>
      <c r="AE531" s="58"/>
      <c r="AF531" s="58"/>
      <c r="AG531" s="59">
        <f t="shared" si="173"/>
        <v>9.0359999999999996</v>
      </c>
      <c r="AH531" s="59">
        <f t="shared" si="174"/>
        <v>-184.49199999999999</v>
      </c>
      <c r="AJ531" s="4">
        <f>IF(D531="M",IF(AM531&lt;78,BMILMS!$D$5*AM531^3+BMILMS!$E$5*AM531^2+BMILMS!$F$5*AM531+BMILMS!$G$5,IF(AM531&lt;150,BMILMS!$D$6*AM531^3+BMILMS!$E$6*AM531^2+BMILMS!$F$6*AM531+BMILMS!$G$6,BMILMS!$D$7*AM531^3+BMILMS!$E$7*AM531^2+BMILMS!$F$7*AM531+BMILMS!$G$7)),IF(AM531&lt;69,BMILMS!$D$9*AM531^3+BMILMS!$E$9*AM531^2+BMILMS!$F$9*AM531+BMILMS!$G$9,IF(AM531&lt;150,BMILMS!$D$10*AM531^3+BMILMS!$E$10*AM531^2+BMILMS!$F$10*AM531+BMILMS!$G$10,BMILMS!$D$11*AM531^3+BMILMS!$E$11*AM531^2+BMILMS!$F$11*AM531+BMILMS!$G$11)))</f>
        <v>0.79584630099999998</v>
      </c>
      <c r="AK531" s="4">
        <f>IF(D531="M",(IF(AM531&lt;2.5,BMILMS!$D$21*AM531^3+BMILMS!$E$21*AM531^2+BMILMS!$F$21*AM531+BMILMS!$G$21,IF(AM531&lt;9.5,BMILMS!$D$22*AM531^3+BMILMS!$E$22*AM531^2+BMILMS!$F$22*AM531+BMILMS!$G$22,IF(AM531&lt;26.75,BMILMS!$D$23*AM531^3+BMILMS!$E$23*AM531^2+BMILMS!$F$23*AM531+BMILMS!$G$23,IF(AM531&lt;90,BMILMS!$D$24*AM531^3+BMILMS!$E$24*AM531^2+BMILMS!$F$24*AM531+BMILMS!$G$24,BMILMS!$D$25*AM531^3+BMILMS!$E$25*AM531^2+BMILMS!$F$25*AM531+BMILMS!$G$25))))),(IF(AM531&lt;2.5,BMILMS!$D$27*AM531^3+BMILMS!$E$27*AM531^2+BMILMS!$F$27*AM531+BMILMS!$G$27,IF(AM531&lt;9.5,BMILMS!$D$28*AM531^3+BMILMS!$E$28*AM531^2+BMILMS!$F$28*AM531+BMILMS!$G$28,IF(AM531&lt;26.75,BMILMS!$D$29*AM531^3+BMILMS!$E$29*AM531^2+BMILMS!$F$29*AM531+BMILMS!$G$29,IF(AM531&lt;90,BMILMS!$D$30*AM531^3+BMILMS!$E$30*AM531^2+BMILMS!$F$30*AM531+BMILMS!$G$30,IF(AM531&lt;150,BMILMS!$D$31*AM531^3+BMILMS!$E$31*AM531^2+BMILMS!$F$31*AM531+BMILMS!$G$31,BMILMS!$D$32*AM531^3+BMILMS!$E$32*AM531^2+BMILMS!$F$32*AM531+BMILMS!$G$32)))))))</f>
        <v>12.568967990000001</v>
      </c>
      <c r="AL531" s="4">
        <f>IF(D531="M",(IF(AM531&lt;90,BMILMS!$D$14*AM531^3+BMILMS!$E$14*AM531^2+BMILMS!$F$14*AM531+BMILMS!$G$14,BMILMS!$D$15*AM531^3+BMILMS!$E$15*AM531^2+BMILMS!$F$15*AM531+BMILMS!$G$15)),(IF(AM531&lt;90,BMILMS!$D$17*AM531^3+BMILMS!$E$17*AM531^2+BMILMS!$F$17*AM531+BMILMS!$G$17,BMILMS!$D$18*AM531^3+BMILMS!$E$18*AM531^2+BMILMS!$F$18*AM531+BMILMS!$G$18)))</f>
        <v>8.8969350000000003E-2</v>
      </c>
      <c r="AM531" s="4">
        <f t="shared" si="188"/>
        <v>0</v>
      </c>
      <c r="AO531" s="56">
        <f>IF(D531="M",WeightSDS!P$5*$AM531^7+WeightSDS!Q$5*$AM531^6+WeightSDS!R$5*$AM531^5+WeightSDS!S$5*$AM531^4+WeightSDS!T$5*$AM531^3+WeightSDS!U$5*$AM531^2+WeightSDS!V$5*$AM531+WeightSDS!W$5,IF($AM531&lt;186,WeightSDS!P$8*$AM531^7+WeightSDS!Q$8*$AM531^6+WeightSDS!R$8*$AM531^5+WeightSDS!S$8*$AM531^4+WeightSDS!T$8*$AM531^3+WeightSDS!U$8*$AM531^2+WeightSDS!V$8*$AM531+WeightSDS!W$8,WeightSDS!$U$9+WeightSDS!$V$9*($AM531-WeightSDS!$W$9)))</f>
        <v>0.75407122999999998</v>
      </c>
      <c r="AP531" s="4">
        <f>IF(D531="M",IF($AM531&lt;45,WeightSDS!M$23*$AM531^10+WeightSDS!N$23*$AM531^9+WeightSDS!O$23*$AM531^8+WeightSDS!P$23*$AM531^7+WeightSDS!Q$23*$AM531^6+WeightSDS!R$23*$AM531^5+WeightSDS!S$23*$AM531^4+WeightSDS!T$23*$AM531^3+WeightSDS!U$23*$AM531^2+WeightSDS!V$23*$AM531+WeightSDS!W$23,IF($AM531&lt;153,WeightSDS!M$25*$AM531^10+WeightSDS!N$25*$AM531^9+WeightSDS!O$25*$AM531^8+WeightSDS!P$25*$AM531^7+WeightSDS!Q$25*$AM531^6+WeightSDS!R$25*$AM531^5+WeightSDS!S$25*$AM531^4+WeightSDS!T$25*$AM531^3+WeightSDS!U$25*$AM531^2+WeightSDS!V$25*$AM531+WeightSDS!W$25,WeightSDS!M$27+WeightSDS!N$27/(1+EXP(WeightSDS!O$27+WeightSDS!P$27*$AM531)))),IF($AM531&lt;43.8,WeightSDS!M$29*$AM531^10+WeightSDS!N$29*$AM531^9+WeightSDS!O$29*$AM531^8+WeightSDS!P$29*$AM531^7+WeightSDS!Q$29*$AM531^6+WeightSDS!R$29*$AM531^5+WeightSDS!S$29*$AM531^4+WeightSDS!T$29*$AM531^3+WeightSDS!U$29*$AM531^2+WeightSDS!V$29*$AM531+WeightSDS!W$29-0.010431*(1-$AM531/210),IF($AM531&lt;123,WeightSDS!M$30*$AM531^10+WeightSDS!N$30*$AM531^9+WeightSDS!O$30*$AM531^8+WeightSDS!P$30*$AM531^7+WeightSDS!Q$30*$AM531^6+WeightSDS!R$30*$AM531^5+WeightSDS!S$30*$AM531^4+WeightSDS!T$30*$AM531^3+WeightSDS!U$30*$AM531^2+WeightSDS!V$30*$AM531+WeightSDS!W$30-0.010431*(1-1/$AM531),WeightSDS!M$32+WeightSDS!N$32/(1+EXP(WeightSDS!O$32+WeightSDS!P$32*$AM531))-0.010431*(1-$AM531/210))))</f>
        <v>2.9500001032655536</v>
      </c>
      <c r="AQ531" s="4">
        <f>IF(D531="M",IF($AM531&lt;162,WeightSDS!P$12*$AM531^7+WeightSDS!Q$12*$AM531^6+WeightSDS!R$12*$AM531^5+WeightSDS!S$12*$AM531^4+WeightSDS!T$12*$AM531^3+WeightSDS!U$12*$AM531^2+WeightSDS!V$12*$AM531+WeightSDS!W$12,WeightSDS!P$14*$AM531^7+WeightSDS!Q$14*$AM531^6+WeightSDS!R$14*$AM531^5+WeightSDS!S$14*$AM531^4+WeightSDS!T$14*$AM531^3+WeightSDS!U$14*$AM531^2+WeightSDS!V$14*$AM531+WeightSDS!W$14),IF($AM531&lt;156,WeightSDS!O$17*$AM531^8+WeightSDS!P$17*$AM531^7+WeightSDS!Q$17*$AM531^6+WeightSDS!R$17*$AM531^5+WeightSDS!S$17*$AM531^4+WeightSDS!T$17*$AM531^3+WeightSDS!U$17*$AM531^2+WeightSDS!V$17*$AM531+WeightSDS!W$17,IF($AM531&lt;186,WeightSDS!$U$18+(WeightSDS!$V$18-WeightSDS!$U$18)/24*($AM531-186)+WeightSDS!$W$18*(-$AM531+186)^2-0.005,WeightSDS!$U$18+(WeightSDS!$V$18-WeightSDS!$U$18)/24*($AM531-186)-0.005)))</f>
        <v>0.14604529399999999</v>
      </c>
      <c r="AT531" s="4">
        <f t="shared" si="175"/>
        <v>0.56299999999999994</v>
      </c>
      <c r="AU531" s="4">
        <f t="shared" si="176"/>
        <v>69</v>
      </c>
      <c r="AV531" s="4">
        <f t="shared" si="177"/>
        <v>0.51</v>
      </c>
    </row>
    <row r="532" spans="1:48" x14ac:dyDescent="0.15">
      <c r="A532" s="4"/>
      <c r="B532" s="21"/>
      <c r="C532" s="21"/>
      <c r="D532" s="21"/>
      <c r="E532" s="22"/>
      <c r="F532" s="22"/>
      <c r="G532" s="23"/>
      <c r="H532" s="23"/>
      <c r="I532" s="181"/>
      <c r="J532" s="8" t="str">
        <f t="shared" si="169"/>
        <v/>
      </c>
      <c r="K532" s="2" t="str">
        <f t="shared" si="178"/>
        <v/>
      </c>
      <c r="L532" s="2" t="str">
        <f t="shared" si="170"/>
        <v/>
      </c>
      <c r="M532" s="2" t="str">
        <f t="shared" si="179"/>
        <v/>
      </c>
      <c r="N532" s="2" t="str">
        <f t="shared" si="187"/>
        <v/>
      </c>
      <c r="O532" s="2" t="str">
        <f t="shared" si="180"/>
        <v/>
      </c>
      <c r="P532" s="8" t="str">
        <f t="shared" si="181"/>
        <v/>
      </c>
      <c r="Q532" s="8" t="str">
        <f t="shared" si="182"/>
        <v/>
      </c>
      <c r="R532" s="111" t="str">
        <f t="shared" si="183"/>
        <v/>
      </c>
      <c r="S532" s="44" t="str">
        <f t="shared" si="184"/>
        <v/>
      </c>
      <c r="T532" s="37" t="str">
        <f t="shared" si="185"/>
        <v/>
      </c>
      <c r="U532" s="44" t="str">
        <f t="shared" si="186"/>
        <v/>
      </c>
      <c r="V532" s="26"/>
      <c r="W532" s="26"/>
      <c r="X532" s="26"/>
      <c r="Y532" s="26"/>
      <c r="Z532" s="24"/>
      <c r="AA532" s="169">
        <f t="shared" si="171"/>
        <v>0</v>
      </c>
      <c r="AB532" s="4">
        <f t="shared" si="172"/>
        <v>0</v>
      </c>
      <c r="AC532" s="170">
        <f t="shared" si="168"/>
        <v>0</v>
      </c>
      <c r="AD532" s="58"/>
      <c r="AE532" s="58"/>
      <c r="AF532" s="58"/>
      <c r="AG532" s="59">
        <f t="shared" si="173"/>
        <v>9.0359999999999996</v>
      </c>
      <c r="AH532" s="59">
        <f t="shared" si="174"/>
        <v>-184.49199999999999</v>
      </c>
      <c r="AJ532" s="4">
        <f>IF(D532="M",IF(AM532&lt;78,BMILMS!$D$5*AM532^3+BMILMS!$E$5*AM532^2+BMILMS!$F$5*AM532+BMILMS!$G$5,IF(AM532&lt;150,BMILMS!$D$6*AM532^3+BMILMS!$E$6*AM532^2+BMILMS!$F$6*AM532+BMILMS!$G$6,BMILMS!$D$7*AM532^3+BMILMS!$E$7*AM532^2+BMILMS!$F$7*AM532+BMILMS!$G$7)),IF(AM532&lt;69,BMILMS!$D$9*AM532^3+BMILMS!$E$9*AM532^2+BMILMS!$F$9*AM532+BMILMS!$G$9,IF(AM532&lt;150,BMILMS!$D$10*AM532^3+BMILMS!$E$10*AM532^2+BMILMS!$F$10*AM532+BMILMS!$G$10,BMILMS!$D$11*AM532^3+BMILMS!$E$11*AM532^2+BMILMS!$F$11*AM532+BMILMS!$G$11)))</f>
        <v>0.79584630099999998</v>
      </c>
      <c r="AK532" s="4">
        <f>IF(D532="M",(IF(AM532&lt;2.5,BMILMS!$D$21*AM532^3+BMILMS!$E$21*AM532^2+BMILMS!$F$21*AM532+BMILMS!$G$21,IF(AM532&lt;9.5,BMILMS!$D$22*AM532^3+BMILMS!$E$22*AM532^2+BMILMS!$F$22*AM532+BMILMS!$G$22,IF(AM532&lt;26.75,BMILMS!$D$23*AM532^3+BMILMS!$E$23*AM532^2+BMILMS!$F$23*AM532+BMILMS!$G$23,IF(AM532&lt;90,BMILMS!$D$24*AM532^3+BMILMS!$E$24*AM532^2+BMILMS!$F$24*AM532+BMILMS!$G$24,BMILMS!$D$25*AM532^3+BMILMS!$E$25*AM532^2+BMILMS!$F$25*AM532+BMILMS!$G$25))))),(IF(AM532&lt;2.5,BMILMS!$D$27*AM532^3+BMILMS!$E$27*AM532^2+BMILMS!$F$27*AM532+BMILMS!$G$27,IF(AM532&lt;9.5,BMILMS!$D$28*AM532^3+BMILMS!$E$28*AM532^2+BMILMS!$F$28*AM532+BMILMS!$G$28,IF(AM532&lt;26.75,BMILMS!$D$29*AM532^3+BMILMS!$E$29*AM532^2+BMILMS!$F$29*AM532+BMILMS!$G$29,IF(AM532&lt;90,BMILMS!$D$30*AM532^3+BMILMS!$E$30*AM532^2+BMILMS!$F$30*AM532+BMILMS!$G$30,IF(AM532&lt;150,BMILMS!$D$31*AM532^3+BMILMS!$E$31*AM532^2+BMILMS!$F$31*AM532+BMILMS!$G$31,BMILMS!$D$32*AM532^3+BMILMS!$E$32*AM532^2+BMILMS!$F$32*AM532+BMILMS!$G$32)))))))</f>
        <v>12.568967990000001</v>
      </c>
      <c r="AL532" s="4">
        <f>IF(D532="M",(IF(AM532&lt;90,BMILMS!$D$14*AM532^3+BMILMS!$E$14*AM532^2+BMILMS!$F$14*AM532+BMILMS!$G$14,BMILMS!$D$15*AM532^3+BMILMS!$E$15*AM532^2+BMILMS!$F$15*AM532+BMILMS!$G$15)),(IF(AM532&lt;90,BMILMS!$D$17*AM532^3+BMILMS!$E$17*AM532^2+BMILMS!$F$17*AM532+BMILMS!$G$17,BMILMS!$D$18*AM532^3+BMILMS!$E$18*AM532^2+BMILMS!$F$18*AM532+BMILMS!$G$18)))</f>
        <v>8.8969350000000003E-2</v>
      </c>
      <c r="AM532" s="4">
        <f t="shared" si="188"/>
        <v>0</v>
      </c>
      <c r="AO532" s="56">
        <f>IF(D532="M",WeightSDS!P$5*$AM532^7+WeightSDS!Q$5*$AM532^6+WeightSDS!R$5*$AM532^5+WeightSDS!S$5*$AM532^4+WeightSDS!T$5*$AM532^3+WeightSDS!U$5*$AM532^2+WeightSDS!V$5*$AM532+WeightSDS!W$5,IF($AM532&lt;186,WeightSDS!P$8*$AM532^7+WeightSDS!Q$8*$AM532^6+WeightSDS!R$8*$AM532^5+WeightSDS!S$8*$AM532^4+WeightSDS!T$8*$AM532^3+WeightSDS!U$8*$AM532^2+WeightSDS!V$8*$AM532+WeightSDS!W$8,WeightSDS!$U$9+WeightSDS!$V$9*($AM532-WeightSDS!$W$9)))</f>
        <v>0.75407122999999998</v>
      </c>
      <c r="AP532" s="4">
        <f>IF(D532="M",IF($AM532&lt;45,WeightSDS!M$23*$AM532^10+WeightSDS!N$23*$AM532^9+WeightSDS!O$23*$AM532^8+WeightSDS!P$23*$AM532^7+WeightSDS!Q$23*$AM532^6+WeightSDS!R$23*$AM532^5+WeightSDS!S$23*$AM532^4+WeightSDS!T$23*$AM532^3+WeightSDS!U$23*$AM532^2+WeightSDS!V$23*$AM532+WeightSDS!W$23,IF($AM532&lt;153,WeightSDS!M$25*$AM532^10+WeightSDS!N$25*$AM532^9+WeightSDS!O$25*$AM532^8+WeightSDS!P$25*$AM532^7+WeightSDS!Q$25*$AM532^6+WeightSDS!R$25*$AM532^5+WeightSDS!S$25*$AM532^4+WeightSDS!T$25*$AM532^3+WeightSDS!U$25*$AM532^2+WeightSDS!V$25*$AM532+WeightSDS!W$25,WeightSDS!M$27+WeightSDS!N$27/(1+EXP(WeightSDS!O$27+WeightSDS!P$27*$AM532)))),IF($AM532&lt;43.8,WeightSDS!M$29*$AM532^10+WeightSDS!N$29*$AM532^9+WeightSDS!O$29*$AM532^8+WeightSDS!P$29*$AM532^7+WeightSDS!Q$29*$AM532^6+WeightSDS!R$29*$AM532^5+WeightSDS!S$29*$AM532^4+WeightSDS!T$29*$AM532^3+WeightSDS!U$29*$AM532^2+WeightSDS!V$29*$AM532+WeightSDS!W$29-0.010431*(1-$AM532/210),IF($AM532&lt;123,WeightSDS!M$30*$AM532^10+WeightSDS!N$30*$AM532^9+WeightSDS!O$30*$AM532^8+WeightSDS!P$30*$AM532^7+WeightSDS!Q$30*$AM532^6+WeightSDS!R$30*$AM532^5+WeightSDS!S$30*$AM532^4+WeightSDS!T$30*$AM532^3+WeightSDS!U$30*$AM532^2+WeightSDS!V$30*$AM532+WeightSDS!W$30-0.010431*(1-1/$AM532),WeightSDS!M$32+WeightSDS!N$32/(1+EXP(WeightSDS!O$32+WeightSDS!P$32*$AM532))-0.010431*(1-$AM532/210))))</f>
        <v>2.9500001032655536</v>
      </c>
      <c r="AQ532" s="4">
        <f>IF(D532="M",IF($AM532&lt;162,WeightSDS!P$12*$AM532^7+WeightSDS!Q$12*$AM532^6+WeightSDS!R$12*$AM532^5+WeightSDS!S$12*$AM532^4+WeightSDS!T$12*$AM532^3+WeightSDS!U$12*$AM532^2+WeightSDS!V$12*$AM532+WeightSDS!W$12,WeightSDS!P$14*$AM532^7+WeightSDS!Q$14*$AM532^6+WeightSDS!R$14*$AM532^5+WeightSDS!S$14*$AM532^4+WeightSDS!T$14*$AM532^3+WeightSDS!U$14*$AM532^2+WeightSDS!V$14*$AM532+WeightSDS!W$14),IF($AM532&lt;156,WeightSDS!O$17*$AM532^8+WeightSDS!P$17*$AM532^7+WeightSDS!Q$17*$AM532^6+WeightSDS!R$17*$AM532^5+WeightSDS!S$17*$AM532^4+WeightSDS!T$17*$AM532^3+WeightSDS!U$17*$AM532^2+WeightSDS!V$17*$AM532+WeightSDS!W$17,IF($AM532&lt;186,WeightSDS!$U$18+(WeightSDS!$V$18-WeightSDS!$U$18)/24*($AM532-186)+WeightSDS!$W$18*(-$AM532+186)^2-0.005,WeightSDS!$U$18+(WeightSDS!$V$18-WeightSDS!$U$18)/24*($AM532-186)-0.005)))</f>
        <v>0.14604529399999999</v>
      </c>
      <c r="AT532" s="4">
        <f t="shared" si="175"/>
        <v>0.56299999999999994</v>
      </c>
      <c r="AU532" s="4">
        <f t="shared" si="176"/>
        <v>69</v>
      </c>
      <c r="AV532" s="4">
        <f t="shared" si="177"/>
        <v>0.51</v>
      </c>
    </row>
    <row r="533" spans="1:48" x14ac:dyDescent="0.15">
      <c r="A533" s="4"/>
      <c r="B533" s="21"/>
      <c r="C533" s="21"/>
      <c r="D533" s="21"/>
      <c r="E533" s="22"/>
      <c r="F533" s="22"/>
      <c r="G533" s="23"/>
      <c r="H533" s="23"/>
      <c r="I533" s="181"/>
      <c r="J533" s="8" t="str">
        <f t="shared" si="169"/>
        <v/>
      </c>
      <c r="K533" s="2" t="str">
        <f t="shared" si="178"/>
        <v/>
      </c>
      <c r="L533" s="2" t="str">
        <f t="shared" si="170"/>
        <v/>
      </c>
      <c r="M533" s="2" t="str">
        <f t="shared" si="179"/>
        <v/>
      </c>
      <c r="N533" s="2" t="str">
        <f t="shared" si="187"/>
        <v/>
      </c>
      <c r="O533" s="2" t="str">
        <f t="shared" si="180"/>
        <v/>
      </c>
      <c r="P533" s="8" t="str">
        <f t="shared" si="181"/>
        <v/>
      </c>
      <c r="Q533" s="8" t="str">
        <f t="shared" si="182"/>
        <v/>
      </c>
      <c r="R533" s="111" t="str">
        <f t="shared" si="183"/>
        <v/>
      </c>
      <c r="S533" s="44" t="str">
        <f t="shared" si="184"/>
        <v/>
      </c>
      <c r="T533" s="37" t="str">
        <f t="shared" si="185"/>
        <v/>
      </c>
      <c r="U533" s="44" t="str">
        <f t="shared" si="186"/>
        <v/>
      </c>
      <c r="V533" s="26"/>
      <c r="W533" s="26"/>
      <c r="X533" s="26"/>
      <c r="Y533" s="26"/>
      <c r="Z533" s="24"/>
      <c r="AA533" s="169">
        <f t="shared" si="171"/>
        <v>0</v>
      </c>
      <c r="AB533" s="4">
        <f t="shared" si="172"/>
        <v>0</v>
      </c>
      <c r="AC533" s="170">
        <f t="shared" si="168"/>
        <v>0</v>
      </c>
      <c r="AD533" s="58"/>
      <c r="AE533" s="58"/>
      <c r="AF533" s="58"/>
      <c r="AG533" s="59">
        <f t="shared" si="173"/>
        <v>9.0359999999999996</v>
      </c>
      <c r="AH533" s="59">
        <f t="shared" si="174"/>
        <v>-184.49199999999999</v>
      </c>
      <c r="AJ533" s="4">
        <f>IF(D533="M",IF(AM533&lt;78,BMILMS!$D$5*AM533^3+BMILMS!$E$5*AM533^2+BMILMS!$F$5*AM533+BMILMS!$G$5,IF(AM533&lt;150,BMILMS!$D$6*AM533^3+BMILMS!$E$6*AM533^2+BMILMS!$F$6*AM533+BMILMS!$G$6,BMILMS!$D$7*AM533^3+BMILMS!$E$7*AM533^2+BMILMS!$F$7*AM533+BMILMS!$G$7)),IF(AM533&lt;69,BMILMS!$D$9*AM533^3+BMILMS!$E$9*AM533^2+BMILMS!$F$9*AM533+BMILMS!$G$9,IF(AM533&lt;150,BMILMS!$D$10*AM533^3+BMILMS!$E$10*AM533^2+BMILMS!$F$10*AM533+BMILMS!$G$10,BMILMS!$D$11*AM533^3+BMILMS!$E$11*AM533^2+BMILMS!$F$11*AM533+BMILMS!$G$11)))</f>
        <v>0.79584630099999998</v>
      </c>
      <c r="AK533" s="4">
        <f>IF(D533="M",(IF(AM533&lt;2.5,BMILMS!$D$21*AM533^3+BMILMS!$E$21*AM533^2+BMILMS!$F$21*AM533+BMILMS!$G$21,IF(AM533&lt;9.5,BMILMS!$D$22*AM533^3+BMILMS!$E$22*AM533^2+BMILMS!$F$22*AM533+BMILMS!$G$22,IF(AM533&lt;26.75,BMILMS!$D$23*AM533^3+BMILMS!$E$23*AM533^2+BMILMS!$F$23*AM533+BMILMS!$G$23,IF(AM533&lt;90,BMILMS!$D$24*AM533^3+BMILMS!$E$24*AM533^2+BMILMS!$F$24*AM533+BMILMS!$G$24,BMILMS!$D$25*AM533^3+BMILMS!$E$25*AM533^2+BMILMS!$F$25*AM533+BMILMS!$G$25))))),(IF(AM533&lt;2.5,BMILMS!$D$27*AM533^3+BMILMS!$E$27*AM533^2+BMILMS!$F$27*AM533+BMILMS!$G$27,IF(AM533&lt;9.5,BMILMS!$D$28*AM533^3+BMILMS!$E$28*AM533^2+BMILMS!$F$28*AM533+BMILMS!$G$28,IF(AM533&lt;26.75,BMILMS!$D$29*AM533^3+BMILMS!$E$29*AM533^2+BMILMS!$F$29*AM533+BMILMS!$G$29,IF(AM533&lt;90,BMILMS!$D$30*AM533^3+BMILMS!$E$30*AM533^2+BMILMS!$F$30*AM533+BMILMS!$G$30,IF(AM533&lt;150,BMILMS!$D$31*AM533^3+BMILMS!$E$31*AM533^2+BMILMS!$F$31*AM533+BMILMS!$G$31,BMILMS!$D$32*AM533^3+BMILMS!$E$32*AM533^2+BMILMS!$F$32*AM533+BMILMS!$G$32)))))))</f>
        <v>12.568967990000001</v>
      </c>
      <c r="AL533" s="4">
        <f>IF(D533="M",(IF(AM533&lt;90,BMILMS!$D$14*AM533^3+BMILMS!$E$14*AM533^2+BMILMS!$F$14*AM533+BMILMS!$G$14,BMILMS!$D$15*AM533^3+BMILMS!$E$15*AM533^2+BMILMS!$F$15*AM533+BMILMS!$G$15)),(IF(AM533&lt;90,BMILMS!$D$17*AM533^3+BMILMS!$E$17*AM533^2+BMILMS!$F$17*AM533+BMILMS!$G$17,BMILMS!$D$18*AM533^3+BMILMS!$E$18*AM533^2+BMILMS!$F$18*AM533+BMILMS!$G$18)))</f>
        <v>8.8969350000000003E-2</v>
      </c>
      <c r="AM533" s="4">
        <f t="shared" si="188"/>
        <v>0</v>
      </c>
      <c r="AO533" s="56">
        <f>IF(D533="M",WeightSDS!P$5*$AM533^7+WeightSDS!Q$5*$AM533^6+WeightSDS!R$5*$AM533^5+WeightSDS!S$5*$AM533^4+WeightSDS!T$5*$AM533^3+WeightSDS!U$5*$AM533^2+WeightSDS!V$5*$AM533+WeightSDS!W$5,IF($AM533&lt;186,WeightSDS!P$8*$AM533^7+WeightSDS!Q$8*$AM533^6+WeightSDS!R$8*$AM533^5+WeightSDS!S$8*$AM533^4+WeightSDS!T$8*$AM533^3+WeightSDS!U$8*$AM533^2+WeightSDS!V$8*$AM533+WeightSDS!W$8,WeightSDS!$U$9+WeightSDS!$V$9*($AM533-WeightSDS!$W$9)))</f>
        <v>0.75407122999999998</v>
      </c>
      <c r="AP533" s="4">
        <f>IF(D533="M",IF($AM533&lt;45,WeightSDS!M$23*$AM533^10+WeightSDS!N$23*$AM533^9+WeightSDS!O$23*$AM533^8+WeightSDS!P$23*$AM533^7+WeightSDS!Q$23*$AM533^6+WeightSDS!R$23*$AM533^5+WeightSDS!S$23*$AM533^4+WeightSDS!T$23*$AM533^3+WeightSDS!U$23*$AM533^2+WeightSDS!V$23*$AM533+WeightSDS!W$23,IF($AM533&lt;153,WeightSDS!M$25*$AM533^10+WeightSDS!N$25*$AM533^9+WeightSDS!O$25*$AM533^8+WeightSDS!P$25*$AM533^7+WeightSDS!Q$25*$AM533^6+WeightSDS!R$25*$AM533^5+WeightSDS!S$25*$AM533^4+WeightSDS!T$25*$AM533^3+WeightSDS!U$25*$AM533^2+WeightSDS!V$25*$AM533+WeightSDS!W$25,WeightSDS!M$27+WeightSDS!N$27/(1+EXP(WeightSDS!O$27+WeightSDS!P$27*$AM533)))),IF($AM533&lt;43.8,WeightSDS!M$29*$AM533^10+WeightSDS!N$29*$AM533^9+WeightSDS!O$29*$AM533^8+WeightSDS!P$29*$AM533^7+WeightSDS!Q$29*$AM533^6+WeightSDS!R$29*$AM533^5+WeightSDS!S$29*$AM533^4+WeightSDS!T$29*$AM533^3+WeightSDS!U$29*$AM533^2+WeightSDS!V$29*$AM533+WeightSDS!W$29-0.010431*(1-$AM533/210),IF($AM533&lt;123,WeightSDS!M$30*$AM533^10+WeightSDS!N$30*$AM533^9+WeightSDS!O$30*$AM533^8+WeightSDS!P$30*$AM533^7+WeightSDS!Q$30*$AM533^6+WeightSDS!R$30*$AM533^5+WeightSDS!S$30*$AM533^4+WeightSDS!T$30*$AM533^3+WeightSDS!U$30*$AM533^2+WeightSDS!V$30*$AM533+WeightSDS!W$30-0.010431*(1-1/$AM533),WeightSDS!M$32+WeightSDS!N$32/(1+EXP(WeightSDS!O$32+WeightSDS!P$32*$AM533))-0.010431*(1-$AM533/210))))</f>
        <v>2.9500001032655536</v>
      </c>
      <c r="AQ533" s="4">
        <f>IF(D533="M",IF($AM533&lt;162,WeightSDS!P$12*$AM533^7+WeightSDS!Q$12*$AM533^6+WeightSDS!R$12*$AM533^5+WeightSDS!S$12*$AM533^4+WeightSDS!T$12*$AM533^3+WeightSDS!U$12*$AM533^2+WeightSDS!V$12*$AM533+WeightSDS!W$12,WeightSDS!P$14*$AM533^7+WeightSDS!Q$14*$AM533^6+WeightSDS!R$14*$AM533^5+WeightSDS!S$14*$AM533^4+WeightSDS!T$14*$AM533^3+WeightSDS!U$14*$AM533^2+WeightSDS!V$14*$AM533+WeightSDS!W$14),IF($AM533&lt;156,WeightSDS!O$17*$AM533^8+WeightSDS!P$17*$AM533^7+WeightSDS!Q$17*$AM533^6+WeightSDS!R$17*$AM533^5+WeightSDS!S$17*$AM533^4+WeightSDS!T$17*$AM533^3+WeightSDS!U$17*$AM533^2+WeightSDS!V$17*$AM533+WeightSDS!W$17,IF($AM533&lt;186,WeightSDS!$U$18+(WeightSDS!$V$18-WeightSDS!$U$18)/24*($AM533-186)+WeightSDS!$W$18*(-$AM533+186)^2-0.005,WeightSDS!$U$18+(WeightSDS!$V$18-WeightSDS!$U$18)/24*($AM533-186)-0.005)))</f>
        <v>0.14604529399999999</v>
      </c>
      <c r="AT533" s="4">
        <f t="shared" si="175"/>
        <v>0.56299999999999994</v>
      </c>
      <c r="AU533" s="4">
        <f t="shared" si="176"/>
        <v>69</v>
      </c>
      <c r="AV533" s="4">
        <f t="shared" si="177"/>
        <v>0.51</v>
      </c>
    </row>
    <row r="534" spans="1:48" x14ac:dyDescent="0.15">
      <c r="A534" s="4"/>
      <c r="B534" s="21"/>
      <c r="C534" s="21"/>
      <c r="D534" s="21"/>
      <c r="E534" s="22"/>
      <c r="F534" s="22"/>
      <c r="G534" s="23"/>
      <c r="H534" s="23"/>
      <c r="I534" s="181"/>
      <c r="J534" s="8" t="str">
        <f t="shared" si="169"/>
        <v/>
      </c>
      <c r="K534" s="2" t="str">
        <f t="shared" si="178"/>
        <v/>
      </c>
      <c r="L534" s="2" t="str">
        <f t="shared" si="170"/>
        <v/>
      </c>
      <c r="M534" s="2" t="str">
        <f t="shared" si="179"/>
        <v/>
      </c>
      <c r="N534" s="2" t="str">
        <f t="shared" si="187"/>
        <v/>
      </c>
      <c r="O534" s="2" t="str">
        <f t="shared" si="180"/>
        <v/>
      </c>
      <c r="P534" s="8" t="str">
        <f t="shared" si="181"/>
        <v/>
      </c>
      <c r="Q534" s="8" t="str">
        <f t="shared" si="182"/>
        <v/>
      </c>
      <c r="R534" s="111" t="str">
        <f t="shared" si="183"/>
        <v/>
      </c>
      <c r="S534" s="44" t="str">
        <f t="shared" si="184"/>
        <v/>
      </c>
      <c r="T534" s="37" t="str">
        <f t="shared" si="185"/>
        <v/>
      </c>
      <c r="U534" s="44" t="str">
        <f t="shared" si="186"/>
        <v/>
      </c>
      <c r="V534" s="26"/>
      <c r="W534" s="26"/>
      <c r="X534" s="26"/>
      <c r="Y534" s="26"/>
      <c r="Z534" s="24"/>
      <c r="AA534" s="169">
        <f t="shared" si="171"/>
        <v>0</v>
      </c>
      <c r="AB534" s="4">
        <f t="shared" si="172"/>
        <v>0</v>
      </c>
      <c r="AC534" s="170">
        <f t="shared" si="168"/>
        <v>0</v>
      </c>
      <c r="AD534" s="58"/>
      <c r="AE534" s="58"/>
      <c r="AF534" s="58"/>
      <c r="AG534" s="59">
        <f t="shared" si="173"/>
        <v>9.0359999999999996</v>
      </c>
      <c r="AH534" s="59">
        <f t="shared" si="174"/>
        <v>-184.49199999999999</v>
      </c>
      <c r="AJ534" s="4">
        <f>IF(D534="M",IF(AM534&lt;78,BMILMS!$D$5*AM534^3+BMILMS!$E$5*AM534^2+BMILMS!$F$5*AM534+BMILMS!$G$5,IF(AM534&lt;150,BMILMS!$D$6*AM534^3+BMILMS!$E$6*AM534^2+BMILMS!$F$6*AM534+BMILMS!$G$6,BMILMS!$D$7*AM534^3+BMILMS!$E$7*AM534^2+BMILMS!$F$7*AM534+BMILMS!$G$7)),IF(AM534&lt;69,BMILMS!$D$9*AM534^3+BMILMS!$E$9*AM534^2+BMILMS!$F$9*AM534+BMILMS!$G$9,IF(AM534&lt;150,BMILMS!$D$10*AM534^3+BMILMS!$E$10*AM534^2+BMILMS!$F$10*AM534+BMILMS!$G$10,BMILMS!$D$11*AM534^3+BMILMS!$E$11*AM534^2+BMILMS!$F$11*AM534+BMILMS!$G$11)))</f>
        <v>0.79584630099999998</v>
      </c>
      <c r="AK534" s="4">
        <f>IF(D534="M",(IF(AM534&lt;2.5,BMILMS!$D$21*AM534^3+BMILMS!$E$21*AM534^2+BMILMS!$F$21*AM534+BMILMS!$G$21,IF(AM534&lt;9.5,BMILMS!$D$22*AM534^3+BMILMS!$E$22*AM534^2+BMILMS!$F$22*AM534+BMILMS!$G$22,IF(AM534&lt;26.75,BMILMS!$D$23*AM534^3+BMILMS!$E$23*AM534^2+BMILMS!$F$23*AM534+BMILMS!$G$23,IF(AM534&lt;90,BMILMS!$D$24*AM534^3+BMILMS!$E$24*AM534^2+BMILMS!$F$24*AM534+BMILMS!$G$24,BMILMS!$D$25*AM534^3+BMILMS!$E$25*AM534^2+BMILMS!$F$25*AM534+BMILMS!$G$25))))),(IF(AM534&lt;2.5,BMILMS!$D$27*AM534^3+BMILMS!$E$27*AM534^2+BMILMS!$F$27*AM534+BMILMS!$G$27,IF(AM534&lt;9.5,BMILMS!$D$28*AM534^3+BMILMS!$E$28*AM534^2+BMILMS!$F$28*AM534+BMILMS!$G$28,IF(AM534&lt;26.75,BMILMS!$D$29*AM534^3+BMILMS!$E$29*AM534^2+BMILMS!$F$29*AM534+BMILMS!$G$29,IF(AM534&lt;90,BMILMS!$D$30*AM534^3+BMILMS!$E$30*AM534^2+BMILMS!$F$30*AM534+BMILMS!$G$30,IF(AM534&lt;150,BMILMS!$D$31*AM534^3+BMILMS!$E$31*AM534^2+BMILMS!$F$31*AM534+BMILMS!$G$31,BMILMS!$D$32*AM534^3+BMILMS!$E$32*AM534^2+BMILMS!$F$32*AM534+BMILMS!$G$32)))))))</f>
        <v>12.568967990000001</v>
      </c>
      <c r="AL534" s="4">
        <f>IF(D534="M",(IF(AM534&lt;90,BMILMS!$D$14*AM534^3+BMILMS!$E$14*AM534^2+BMILMS!$F$14*AM534+BMILMS!$G$14,BMILMS!$D$15*AM534^3+BMILMS!$E$15*AM534^2+BMILMS!$F$15*AM534+BMILMS!$G$15)),(IF(AM534&lt;90,BMILMS!$D$17*AM534^3+BMILMS!$E$17*AM534^2+BMILMS!$F$17*AM534+BMILMS!$G$17,BMILMS!$D$18*AM534^3+BMILMS!$E$18*AM534^2+BMILMS!$F$18*AM534+BMILMS!$G$18)))</f>
        <v>8.8969350000000003E-2</v>
      </c>
      <c r="AM534" s="4">
        <f t="shared" si="188"/>
        <v>0</v>
      </c>
      <c r="AO534" s="56">
        <f>IF(D534="M",WeightSDS!P$5*$AM534^7+WeightSDS!Q$5*$AM534^6+WeightSDS!R$5*$AM534^5+WeightSDS!S$5*$AM534^4+WeightSDS!T$5*$AM534^3+WeightSDS!U$5*$AM534^2+WeightSDS!V$5*$AM534+WeightSDS!W$5,IF($AM534&lt;186,WeightSDS!P$8*$AM534^7+WeightSDS!Q$8*$AM534^6+WeightSDS!R$8*$AM534^5+WeightSDS!S$8*$AM534^4+WeightSDS!T$8*$AM534^3+WeightSDS!U$8*$AM534^2+WeightSDS!V$8*$AM534+WeightSDS!W$8,WeightSDS!$U$9+WeightSDS!$V$9*($AM534-WeightSDS!$W$9)))</f>
        <v>0.75407122999999998</v>
      </c>
      <c r="AP534" s="4">
        <f>IF(D534="M",IF($AM534&lt;45,WeightSDS!M$23*$AM534^10+WeightSDS!N$23*$AM534^9+WeightSDS!O$23*$AM534^8+WeightSDS!P$23*$AM534^7+WeightSDS!Q$23*$AM534^6+WeightSDS!R$23*$AM534^5+WeightSDS!S$23*$AM534^4+WeightSDS!T$23*$AM534^3+WeightSDS!U$23*$AM534^2+WeightSDS!V$23*$AM534+WeightSDS!W$23,IF($AM534&lt;153,WeightSDS!M$25*$AM534^10+WeightSDS!N$25*$AM534^9+WeightSDS!O$25*$AM534^8+WeightSDS!P$25*$AM534^7+WeightSDS!Q$25*$AM534^6+WeightSDS!R$25*$AM534^5+WeightSDS!S$25*$AM534^4+WeightSDS!T$25*$AM534^3+WeightSDS!U$25*$AM534^2+WeightSDS!V$25*$AM534+WeightSDS!W$25,WeightSDS!M$27+WeightSDS!N$27/(1+EXP(WeightSDS!O$27+WeightSDS!P$27*$AM534)))),IF($AM534&lt;43.8,WeightSDS!M$29*$AM534^10+WeightSDS!N$29*$AM534^9+WeightSDS!O$29*$AM534^8+WeightSDS!P$29*$AM534^7+WeightSDS!Q$29*$AM534^6+WeightSDS!R$29*$AM534^5+WeightSDS!S$29*$AM534^4+WeightSDS!T$29*$AM534^3+WeightSDS!U$29*$AM534^2+WeightSDS!V$29*$AM534+WeightSDS!W$29-0.010431*(1-$AM534/210),IF($AM534&lt;123,WeightSDS!M$30*$AM534^10+WeightSDS!N$30*$AM534^9+WeightSDS!O$30*$AM534^8+WeightSDS!P$30*$AM534^7+WeightSDS!Q$30*$AM534^6+WeightSDS!R$30*$AM534^5+WeightSDS!S$30*$AM534^4+WeightSDS!T$30*$AM534^3+WeightSDS!U$30*$AM534^2+WeightSDS!V$30*$AM534+WeightSDS!W$30-0.010431*(1-1/$AM534),WeightSDS!M$32+WeightSDS!N$32/(1+EXP(WeightSDS!O$32+WeightSDS!P$32*$AM534))-0.010431*(1-$AM534/210))))</f>
        <v>2.9500001032655536</v>
      </c>
      <c r="AQ534" s="4">
        <f>IF(D534="M",IF($AM534&lt;162,WeightSDS!P$12*$AM534^7+WeightSDS!Q$12*$AM534^6+WeightSDS!R$12*$AM534^5+WeightSDS!S$12*$AM534^4+WeightSDS!T$12*$AM534^3+WeightSDS!U$12*$AM534^2+WeightSDS!V$12*$AM534+WeightSDS!W$12,WeightSDS!P$14*$AM534^7+WeightSDS!Q$14*$AM534^6+WeightSDS!R$14*$AM534^5+WeightSDS!S$14*$AM534^4+WeightSDS!T$14*$AM534^3+WeightSDS!U$14*$AM534^2+WeightSDS!V$14*$AM534+WeightSDS!W$14),IF($AM534&lt;156,WeightSDS!O$17*$AM534^8+WeightSDS!P$17*$AM534^7+WeightSDS!Q$17*$AM534^6+WeightSDS!R$17*$AM534^5+WeightSDS!S$17*$AM534^4+WeightSDS!T$17*$AM534^3+WeightSDS!U$17*$AM534^2+WeightSDS!V$17*$AM534+WeightSDS!W$17,IF($AM534&lt;186,WeightSDS!$U$18+(WeightSDS!$V$18-WeightSDS!$U$18)/24*($AM534-186)+WeightSDS!$W$18*(-$AM534+186)^2-0.005,WeightSDS!$U$18+(WeightSDS!$V$18-WeightSDS!$U$18)/24*($AM534-186)-0.005)))</f>
        <v>0.14604529399999999</v>
      </c>
      <c r="AT534" s="4">
        <f t="shared" si="175"/>
        <v>0.56299999999999994</v>
      </c>
      <c r="AU534" s="4">
        <f t="shared" si="176"/>
        <v>69</v>
      </c>
      <c r="AV534" s="4">
        <f t="shared" si="177"/>
        <v>0.51</v>
      </c>
    </row>
    <row r="535" spans="1:48" x14ac:dyDescent="0.15">
      <c r="A535" s="4"/>
      <c r="B535" s="21"/>
      <c r="C535" s="21"/>
      <c r="D535" s="21"/>
      <c r="E535" s="22"/>
      <c r="F535" s="22"/>
      <c r="G535" s="23"/>
      <c r="H535" s="23"/>
      <c r="I535" s="181"/>
      <c r="J535" s="8" t="str">
        <f t="shared" si="169"/>
        <v/>
      </c>
      <c r="K535" s="2" t="str">
        <f t="shared" si="178"/>
        <v/>
      </c>
      <c r="L535" s="2" t="str">
        <f t="shared" si="170"/>
        <v/>
      </c>
      <c r="M535" s="2" t="str">
        <f t="shared" si="179"/>
        <v/>
      </c>
      <c r="N535" s="2" t="str">
        <f t="shared" si="187"/>
        <v/>
      </c>
      <c r="O535" s="2" t="str">
        <f t="shared" si="180"/>
        <v/>
      </c>
      <c r="P535" s="8" t="str">
        <f t="shared" si="181"/>
        <v/>
      </c>
      <c r="Q535" s="8" t="str">
        <f t="shared" si="182"/>
        <v/>
      </c>
      <c r="R535" s="111" t="str">
        <f t="shared" si="183"/>
        <v/>
      </c>
      <c r="S535" s="44" t="str">
        <f t="shared" si="184"/>
        <v/>
      </c>
      <c r="T535" s="37" t="str">
        <f t="shared" si="185"/>
        <v/>
      </c>
      <c r="U535" s="44" t="str">
        <f t="shared" si="186"/>
        <v/>
      </c>
      <c r="V535" s="26"/>
      <c r="W535" s="26"/>
      <c r="X535" s="26"/>
      <c r="Y535" s="26"/>
      <c r="Z535" s="24"/>
      <c r="AA535" s="169">
        <f t="shared" si="171"/>
        <v>0</v>
      </c>
      <c r="AB535" s="4">
        <f t="shared" si="172"/>
        <v>0</v>
      </c>
      <c r="AC535" s="170">
        <f t="shared" si="168"/>
        <v>0</v>
      </c>
      <c r="AD535" s="58"/>
      <c r="AE535" s="58"/>
      <c r="AF535" s="58"/>
      <c r="AG535" s="59">
        <f t="shared" si="173"/>
        <v>9.0359999999999996</v>
      </c>
      <c r="AH535" s="59">
        <f t="shared" si="174"/>
        <v>-184.49199999999999</v>
      </c>
      <c r="AJ535" s="4">
        <f>IF(D535="M",IF(AM535&lt;78,BMILMS!$D$5*AM535^3+BMILMS!$E$5*AM535^2+BMILMS!$F$5*AM535+BMILMS!$G$5,IF(AM535&lt;150,BMILMS!$D$6*AM535^3+BMILMS!$E$6*AM535^2+BMILMS!$F$6*AM535+BMILMS!$G$6,BMILMS!$D$7*AM535^3+BMILMS!$E$7*AM535^2+BMILMS!$F$7*AM535+BMILMS!$G$7)),IF(AM535&lt;69,BMILMS!$D$9*AM535^3+BMILMS!$E$9*AM535^2+BMILMS!$F$9*AM535+BMILMS!$G$9,IF(AM535&lt;150,BMILMS!$D$10*AM535^3+BMILMS!$E$10*AM535^2+BMILMS!$F$10*AM535+BMILMS!$G$10,BMILMS!$D$11*AM535^3+BMILMS!$E$11*AM535^2+BMILMS!$F$11*AM535+BMILMS!$G$11)))</f>
        <v>0.79584630099999998</v>
      </c>
      <c r="AK535" s="4">
        <f>IF(D535="M",(IF(AM535&lt;2.5,BMILMS!$D$21*AM535^3+BMILMS!$E$21*AM535^2+BMILMS!$F$21*AM535+BMILMS!$G$21,IF(AM535&lt;9.5,BMILMS!$D$22*AM535^3+BMILMS!$E$22*AM535^2+BMILMS!$F$22*AM535+BMILMS!$G$22,IF(AM535&lt;26.75,BMILMS!$D$23*AM535^3+BMILMS!$E$23*AM535^2+BMILMS!$F$23*AM535+BMILMS!$G$23,IF(AM535&lt;90,BMILMS!$D$24*AM535^3+BMILMS!$E$24*AM535^2+BMILMS!$F$24*AM535+BMILMS!$G$24,BMILMS!$D$25*AM535^3+BMILMS!$E$25*AM535^2+BMILMS!$F$25*AM535+BMILMS!$G$25))))),(IF(AM535&lt;2.5,BMILMS!$D$27*AM535^3+BMILMS!$E$27*AM535^2+BMILMS!$F$27*AM535+BMILMS!$G$27,IF(AM535&lt;9.5,BMILMS!$D$28*AM535^3+BMILMS!$E$28*AM535^2+BMILMS!$F$28*AM535+BMILMS!$G$28,IF(AM535&lt;26.75,BMILMS!$D$29*AM535^3+BMILMS!$E$29*AM535^2+BMILMS!$F$29*AM535+BMILMS!$G$29,IF(AM535&lt;90,BMILMS!$D$30*AM535^3+BMILMS!$E$30*AM535^2+BMILMS!$F$30*AM535+BMILMS!$G$30,IF(AM535&lt;150,BMILMS!$D$31*AM535^3+BMILMS!$E$31*AM535^2+BMILMS!$F$31*AM535+BMILMS!$G$31,BMILMS!$D$32*AM535^3+BMILMS!$E$32*AM535^2+BMILMS!$F$32*AM535+BMILMS!$G$32)))))))</f>
        <v>12.568967990000001</v>
      </c>
      <c r="AL535" s="4">
        <f>IF(D535="M",(IF(AM535&lt;90,BMILMS!$D$14*AM535^3+BMILMS!$E$14*AM535^2+BMILMS!$F$14*AM535+BMILMS!$G$14,BMILMS!$D$15*AM535^3+BMILMS!$E$15*AM535^2+BMILMS!$F$15*AM535+BMILMS!$G$15)),(IF(AM535&lt;90,BMILMS!$D$17*AM535^3+BMILMS!$E$17*AM535^2+BMILMS!$F$17*AM535+BMILMS!$G$17,BMILMS!$D$18*AM535^3+BMILMS!$E$18*AM535^2+BMILMS!$F$18*AM535+BMILMS!$G$18)))</f>
        <v>8.8969350000000003E-2</v>
      </c>
      <c r="AM535" s="4">
        <f t="shared" si="188"/>
        <v>0</v>
      </c>
      <c r="AO535" s="56">
        <f>IF(D535="M",WeightSDS!P$5*$AM535^7+WeightSDS!Q$5*$AM535^6+WeightSDS!R$5*$AM535^5+WeightSDS!S$5*$AM535^4+WeightSDS!T$5*$AM535^3+WeightSDS!U$5*$AM535^2+WeightSDS!V$5*$AM535+WeightSDS!W$5,IF($AM535&lt;186,WeightSDS!P$8*$AM535^7+WeightSDS!Q$8*$AM535^6+WeightSDS!R$8*$AM535^5+WeightSDS!S$8*$AM535^4+WeightSDS!T$8*$AM535^3+WeightSDS!U$8*$AM535^2+WeightSDS!V$8*$AM535+WeightSDS!W$8,WeightSDS!$U$9+WeightSDS!$V$9*($AM535-WeightSDS!$W$9)))</f>
        <v>0.75407122999999998</v>
      </c>
      <c r="AP535" s="4">
        <f>IF(D535="M",IF($AM535&lt;45,WeightSDS!M$23*$AM535^10+WeightSDS!N$23*$AM535^9+WeightSDS!O$23*$AM535^8+WeightSDS!P$23*$AM535^7+WeightSDS!Q$23*$AM535^6+WeightSDS!R$23*$AM535^5+WeightSDS!S$23*$AM535^4+WeightSDS!T$23*$AM535^3+WeightSDS!U$23*$AM535^2+WeightSDS!V$23*$AM535+WeightSDS!W$23,IF($AM535&lt;153,WeightSDS!M$25*$AM535^10+WeightSDS!N$25*$AM535^9+WeightSDS!O$25*$AM535^8+WeightSDS!P$25*$AM535^7+WeightSDS!Q$25*$AM535^6+WeightSDS!R$25*$AM535^5+WeightSDS!S$25*$AM535^4+WeightSDS!T$25*$AM535^3+WeightSDS!U$25*$AM535^2+WeightSDS!V$25*$AM535+WeightSDS!W$25,WeightSDS!M$27+WeightSDS!N$27/(1+EXP(WeightSDS!O$27+WeightSDS!P$27*$AM535)))),IF($AM535&lt;43.8,WeightSDS!M$29*$AM535^10+WeightSDS!N$29*$AM535^9+WeightSDS!O$29*$AM535^8+WeightSDS!P$29*$AM535^7+WeightSDS!Q$29*$AM535^6+WeightSDS!R$29*$AM535^5+WeightSDS!S$29*$AM535^4+WeightSDS!T$29*$AM535^3+WeightSDS!U$29*$AM535^2+WeightSDS!V$29*$AM535+WeightSDS!W$29-0.010431*(1-$AM535/210),IF($AM535&lt;123,WeightSDS!M$30*$AM535^10+WeightSDS!N$30*$AM535^9+WeightSDS!O$30*$AM535^8+WeightSDS!P$30*$AM535^7+WeightSDS!Q$30*$AM535^6+WeightSDS!R$30*$AM535^5+WeightSDS!S$30*$AM535^4+WeightSDS!T$30*$AM535^3+WeightSDS!U$30*$AM535^2+WeightSDS!V$30*$AM535+WeightSDS!W$30-0.010431*(1-1/$AM535),WeightSDS!M$32+WeightSDS!N$32/(1+EXP(WeightSDS!O$32+WeightSDS!P$32*$AM535))-0.010431*(1-$AM535/210))))</f>
        <v>2.9500001032655536</v>
      </c>
      <c r="AQ535" s="4">
        <f>IF(D535="M",IF($AM535&lt;162,WeightSDS!P$12*$AM535^7+WeightSDS!Q$12*$AM535^6+WeightSDS!R$12*$AM535^5+WeightSDS!S$12*$AM535^4+WeightSDS!T$12*$AM535^3+WeightSDS!U$12*$AM535^2+WeightSDS!V$12*$AM535+WeightSDS!W$12,WeightSDS!P$14*$AM535^7+WeightSDS!Q$14*$AM535^6+WeightSDS!R$14*$AM535^5+WeightSDS!S$14*$AM535^4+WeightSDS!T$14*$AM535^3+WeightSDS!U$14*$AM535^2+WeightSDS!V$14*$AM535+WeightSDS!W$14),IF($AM535&lt;156,WeightSDS!O$17*$AM535^8+WeightSDS!P$17*$AM535^7+WeightSDS!Q$17*$AM535^6+WeightSDS!R$17*$AM535^5+WeightSDS!S$17*$AM535^4+WeightSDS!T$17*$AM535^3+WeightSDS!U$17*$AM535^2+WeightSDS!V$17*$AM535+WeightSDS!W$17,IF($AM535&lt;186,WeightSDS!$U$18+(WeightSDS!$V$18-WeightSDS!$U$18)/24*($AM535-186)+WeightSDS!$W$18*(-$AM535+186)^2-0.005,WeightSDS!$U$18+(WeightSDS!$V$18-WeightSDS!$U$18)/24*($AM535-186)-0.005)))</f>
        <v>0.14604529399999999</v>
      </c>
      <c r="AT535" s="4">
        <f t="shared" si="175"/>
        <v>0.56299999999999994</v>
      </c>
      <c r="AU535" s="4">
        <f t="shared" si="176"/>
        <v>69</v>
      </c>
      <c r="AV535" s="4">
        <f t="shared" si="177"/>
        <v>0.51</v>
      </c>
    </row>
    <row r="536" spans="1:48" x14ac:dyDescent="0.15">
      <c r="A536" s="4"/>
      <c r="B536" s="21"/>
      <c r="C536" s="21"/>
      <c r="D536" s="21"/>
      <c r="E536" s="22"/>
      <c r="F536" s="22"/>
      <c r="G536" s="23"/>
      <c r="H536" s="23"/>
      <c r="I536" s="181"/>
      <c r="J536" s="8" t="str">
        <f t="shared" si="169"/>
        <v/>
      </c>
      <c r="K536" s="2" t="str">
        <f t="shared" si="178"/>
        <v/>
      </c>
      <c r="L536" s="2" t="str">
        <f t="shared" si="170"/>
        <v/>
      </c>
      <c r="M536" s="2" t="str">
        <f t="shared" si="179"/>
        <v/>
      </c>
      <c r="N536" s="2" t="str">
        <f t="shared" si="187"/>
        <v/>
      </c>
      <c r="O536" s="2" t="str">
        <f t="shared" si="180"/>
        <v/>
      </c>
      <c r="P536" s="8" t="str">
        <f t="shared" si="181"/>
        <v/>
      </c>
      <c r="Q536" s="8" t="str">
        <f t="shared" si="182"/>
        <v/>
      </c>
      <c r="R536" s="111" t="str">
        <f t="shared" si="183"/>
        <v/>
      </c>
      <c r="S536" s="44" t="str">
        <f t="shared" si="184"/>
        <v/>
      </c>
      <c r="T536" s="37" t="str">
        <f t="shared" si="185"/>
        <v/>
      </c>
      <c r="U536" s="44" t="str">
        <f t="shared" si="186"/>
        <v/>
      </c>
      <c r="V536" s="26"/>
      <c r="W536" s="26"/>
      <c r="X536" s="26"/>
      <c r="Y536" s="26"/>
      <c r="Z536" s="24"/>
      <c r="AA536" s="169">
        <f t="shared" si="171"/>
        <v>0</v>
      </c>
      <c r="AB536" s="4">
        <f t="shared" si="172"/>
        <v>0</v>
      </c>
      <c r="AC536" s="170">
        <f t="shared" si="168"/>
        <v>0</v>
      </c>
      <c r="AD536" s="58"/>
      <c r="AE536" s="58"/>
      <c r="AF536" s="58"/>
      <c r="AG536" s="59">
        <f t="shared" si="173"/>
        <v>9.0359999999999996</v>
      </c>
      <c r="AH536" s="59">
        <f t="shared" si="174"/>
        <v>-184.49199999999999</v>
      </c>
      <c r="AJ536" s="4">
        <f>IF(D536="M",IF(AM536&lt;78,BMILMS!$D$5*AM536^3+BMILMS!$E$5*AM536^2+BMILMS!$F$5*AM536+BMILMS!$G$5,IF(AM536&lt;150,BMILMS!$D$6*AM536^3+BMILMS!$E$6*AM536^2+BMILMS!$F$6*AM536+BMILMS!$G$6,BMILMS!$D$7*AM536^3+BMILMS!$E$7*AM536^2+BMILMS!$F$7*AM536+BMILMS!$G$7)),IF(AM536&lt;69,BMILMS!$D$9*AM536^3+BMILMS!$E$9*AM536^2+BMILMS!$F$9*AM536+BMILMS!$G$9,IF(AM536&lt;150,BMILMS!$D$10*AM536^3+BMILMS!$E$10*AM536^2+BMILMS!$F$10*AM536+BMILMS!$G$10,BMILMS!$D$11*AM536^3+BMILMS!$E$11*AM536^2+BMILMS!$F$11*AM536+BMILMS!$G$11)))</f>
        <v>0.79584630099999998</v>
      </c>
      <c r="AK536" s="4">
        <f>IF(D536="M",(IF(AM536&lt;2.5,BMILMS!$D$21*AM536^3+BMILMS!$E$21*AM536^2+BMILMS!$F$21*AM536+BMILMS!$G$21,IF(AM536&lt;9.5,BMILMS!$D$22*AM536^3+BMILMS!$E$22*AM536^2+BMILMS!$F$22*AM536+BMILMS!$G$22,IF(AM536&lt;26.75,BMILMS!$D$23*AM536^3+BMILMS!$E$23*AM536^2+BMILMS!$F$23*AM536+BMILMS!$G$23,IF(AM536&lt;90,BMILMS!$D$24*AM536^3+BMILMS!$E$24*AM536^2+BMILMS!$F$24*AM536+BMILMS!$G$24,BMILMS!$D$25*AM536^3+BMILMS!$E$25*AM536^2+BMILMS!$F$25*AM536+BMILMS!$G$25))))),(IF(AM536&lt;2.5,BMILMS!$D$27*AM536^3+BMILMS!$E$27*AM536^2+BMILMS!$F$27*AM536+BMILMS!$G$27,IF(AM536&lt;9.5,BMILMS!$D$28*AM536^3+BMILMS!$E$28*AM536^2+BMILMS!$F$28*AM536+BMILMS!$G$28,IF(AM536&lt;26.75,BMILMS!$D$29*AM536^3+BMILMS!$E$29*AM536^2+BMILMS!$F$29*AM536+BMILMS!$G$29,IF(AM536&lt;90,BMILMS!$D$30*AM536^3+BMILMS!$E$30*AM536^2+BMILMS!$F$30*AM536+BMILMS!$G$30,IF(AM536&lt;150,BMILMS!$D$31*AM536^3+BMILMS!$E$31*AM536^2+BMILMS!$F$31*AM536+BMILMS!$G$31,BMILMS!$D$32*AM536^3+BMILMS!$E$32*AM536^2+BMILMS!$F$32*AM536+BMILMS!$G$32)))))))</f>
        <v>12.568967990000001</v>
      </c>
      <c r="AL536" s="4">
        <f>IF(D536="M",(IF(AM536&lt;90,BMILMS!$D$14*AM536^3+BMILMS!$E$14*AM536^2+BMILMS!$F$14*AM536+BMILMS!$G$14,BMILMS!$D$15*AM536^3+BMILMS!$E$15*AM536^2+BMILMS!$F$15*AM536+BMILMS!$G$15)),(IF(AM536&lt;90,BMILMS!$D$17*AM536^3+BMILMS!$E$17*AM536^2+BMILMS!$F$17*AM536+BMILMS!$G$17,BMILMS!$D$18*AM536^3+BMILMS!$E$18*AM536^2+BMILMS!$F$18*AM536+BMILMS!$G$18)))</f>
        <v>8.8969350000000003E-2</v>
      </c>
      <c r="AM536" s="4">
        <f t="shared" si="188"/>
        <v>0</v>
      </c>
      <c r="AO536" s="56">
        <f>IF(D536="M",WeightSDS!P$5*$AM536^7+WeightSDS!Q$5*$AM536^6+WeightSDS!R$5*$AM536^5+WeightSDS!S$5*$AM536^4+WeightSDS!T$5*$AM536^3+WeightSDS!U$5*$AM536^2+WeightSDS!V$5*$AM536+WeightSDS!W$5,IF($AM536&lt;186,WeightSDS!P$8*$AM536^7+WeightSDS!Q$8*$AM536^6+WeightSDS!R$8*$AM536^5+WeightSDS!S$8*$AM536^4+WeightSDS!T$8*$AM536^3+WeightSDS!U$8*$AM536^2+WeightSDS!V$8*$AM536+WeightSDS!W$8,WeightSDS!$U$9+WeightSDS!$V$9*($AM536-WeightSDS!$W$9)))</f>
        <v>0.75407122999999998</v>
      </c>
      <c r="AP536" s="4">
        <f>IF(D536="M",IF($AM536&lt;45,WeightSDS!M$23*$AM536^10+WeightSDS!N$23*$AM536^9+WeightSDS!O$23*$AM536^8+WeightSDS!P$23*$AM536^7+WeightSDS!Q$23*$AM536^6+WeightSDS!R$23*$AM536^5+WeightSDS!S$23*$AM536^4+WeightSDS!T$23*$AM536^3+WeightSDS!U$23*$AM536^2+WeightSDS!V$23*$AM536+WeightSDS!W$23,IF($AM536&lt;153,WeightSDS!M$25*$AM536^10+WeightSDS!N$25*$AM536^9+WeightSDS!O$25*$AM536^8+WeightSDS!P$25*$AM536^7+WeightSDS!Q$25*$AM536^6+WeightSDS!R$25*$AM536^5+WeightSDS!S$25*$AM536^4+WeightSDS!T$25*$AM536^3+WeightSDS!U$25*$AM536^2+WeightSDS!V$25*$AM536+WeightSDS!W$25,WeightSDS!M$27+WeightSDS!N$27/(1+EXP(WeightSDS!O$27+WeightSDS!P$27*$AM536)))),IF($AM536&lt;43.8,WeightSDS!M$29*$AM536^10+WeightSDS!N$29*$AM536^9+WeightSDS!O$29*$AM536^8+WeightSDS!P$29*$AM536^7+WeightSDS!Q$29*$AM536^6+WeightSDS!R$29*$AM536^5+WeightSDS!S$29*$AM536^4+WeightSDS!T$29*$AM536^3+WeightSDS!U$29*$AM536^2+WeightSDS!V$29*$AM536+WeightSDS!W$29-0.010431*(1-$AM536/210),IF($AM536&lt;123,WeightSDS!M$30*$AM536^10+WeightSDS!N$30*$AM536^9+WeightSDS!O$30*$AM536^8+WeightSDS!P$30*$AM536^7+WeightSDS!Q$30*$AM536^6+WeightSDS!R$30*$AM536^5+WeightSDS!S$30*$AM536^4+WeightSDS!T$30*$AM536^3+WeightSDS!U$30*$AM536^2+WeightSDS!V$30*$AM536+WeightSDS!W$30-0.010431*(1-1/$AM536),WeightSDS!M$32+WeightSDS!N$32/(1+EXP(WeightSDS!O$32+WeightSDS!P$32*$AM536))-0.010431*(1-$AM536/210))))</f>
        <v>2.9500001032655536</v>
      </c>
      <c r="AQ536" s="4">
        <f>IF(D536="M",IF($AM536&lt;162,WeightSDS!P$12*$AM536^7+WeightSDS!Q$12*$AM536^6+WeightSDS!R$12*$AM536^5+WeightSDS!S$12*$AM536^4+WeightSDS!T$12*$AM536^3+WeightSDS!U$12*$AM536^2+WeightSDS!V$12*$AM536+WeightSDS!W$12,WeightSDS!P$14*$AM536^7+WeightSDS!Q$14*$AM536^6+WeightSDS!R$14*$AM536^5+WeightSDS!S$14*$AM536^4+WeightSDS!T$14*$AM536^3+WeightSDS!U$14*$AM536^2+WeightSDS!V$14*$AM536+WeightSDS!W$14),IF($AM536&lt;156,WeightSDS!O$17*$AM536^8+WeightSDS!P$17*$AM536^7+WeightSDS!Q$17*$AM536^6+WeightSDS!R$17*$AM536^5+WeightSDS!S$17*$AM536^4+WeightSDS!T$17*$AM536^3+WeightSDS!U$17*$AM536^2+WeightSDS!V$17*$AM536+WeightSDS!W$17,IF($AM536&lt;186,WeightSDS!$U$18+(WeightSDS!$V$18-WeightSDS!$U$18)/24*($AM536-186)+WeightSDS!$W$18*(-$AM536+186)^2-0.005,WeightSDS!$U$18+(WeightSDS!$V$18-WeightSDS!$U$18)/24*($AM536-186)-0.005)))</f>
        <v>0.14604529399999999</v>
      </c>
      <c r="AT536" s="4">
        <f t="shared" si="175"/>
        <v>0.56299999999999994</v>
      </c>
      <c r="AU536" s="4">
        <f t="shared" si="176"/>
        <v>69</v>
      </c>
      <c r="AV536" s="4">
        <f t="shared" si="177"/>
        <v>0.51</v>
      </c>
    </row>
    <row r="537" spans="1:48" x14ac:dyDescent="0.15">
      <c r="A537" s="4"/>
      <c r="B537" s="21"/>
      <c r="C537" s="21"/>
      <c r="D537" s="21"/>
      <c r="E537" s="22"/>
      <c r="F537" s="22"/>
      <c r="G537" s="23"/>
      <c r="H537" s="23"/>
      <c r="I537" s="181"/>
      <c r="J537" s="8" t="str">
        <f t="shared" si="169"/>
        <v/>
      </c>
      <c r="K537" s="2" t="str">
        <f t="shared" si="178"/>
        <v/>
      </c>
      <c r="L537" s="2" t="str">
        <f t="shared" si="170"/>
        <v/>
      </c>
      <c r="M537" s="2" t="str">
        <f t="shared" si="179"/>
        <v/>
      </c>
      <c r="N537" s="2" t="str">
        <f t="shared" si="187"/>
        <v/>
      </c>
      <c r="O537" s="2" t="str">
        <f t="shared" si="180"/>
        <v/>
      </c>
      <c r="P537" s="8" t="str">
        <f t="shared" si="181"/>
        <v/>
      </c>
      <c r="Q537" s="8" t="str">
        <f t="shared" si="182"/>
        <v/>
      </c>
      <c r="R537" s="111" t="str">
        <f t="shared" si="183"/>
        <v/>
      </c>
      <c r="S537" s="44" t="str">
        <f t="shared" si="184"/>
        <v/>
      </c>
      <c r="T537" s="37" t="str">
        <f t="shared" si="185"/>
        <v/>
      </c>
      <c r="U537" s="44" t="str">
        <f t="shared" si="186"/>
        <v/>
      </c>
      <c r="V537" s="26"/>
      <c r="W537" s="26"/>
      <c r="X537" s="26"/>
      <c r="Y537" s="26"/>
      <c r="Z537" s="24"/>
      <c r="AA537" s="169">
        <f t="shared" si="171"/>
        <v>0</v>
      </c>
      <c r="AB537" s="4">
        <f t="shared" si="172"/>
        <v>0</v>
      </c>
      <c r="AC537" s="170">
        <f t="shared" si="168"/>
        <v>0</v>
      </c>
      <c r="AD537" s="58"/>
      <c r="AE537" s="58"/>
      <c r="AF537" s="58"/>
      <c r="AG537" s="59">
        <f t="shared" si="173"/>
        <v>9.0359999999999996</v>
      </c>
      <c r="AH537" s="59">
        <f t="shared" si="174"/>
        <v>-184.49199999999999</v>
      </c>
      <c r="AJ537" s="4">
        <f>IF(D537="M",IF(AM537&lt;78,BMILMS!$D$5*AM537^3+BMILMS!$E$5*AM537^2+BMILMS!$F$5*AM537+BMILMS!$G$5,IF(AM537&lt;150,BMILMS!$D$6*AM537^3+BMILMS!$E$6*AM537^2+BMILMS!$F$6*AM537+BMILMS!$G$6,BMILMS!$D$7*AM537^3+BMILMS!$E$7*AM537^2+BMILMS!$F$7*AM537+BMILMS!$G$7)),IF(AM537&lt;69,BMILMS!$D$9*AM537^3+BMILMS!$E$9*AM537^2+BMILMS!$F$9*AM537+BMILMS!$G$9,IF(AM537&lt;150,BMILMS!$D$10*AM537^3+BMILMS!$E$10*AM537^2+BMILMS!$F$10*AM537+BMILMS!$G$10,BMILMS!$D$11*AM537^3+BMILMS!$E$11*AM537^2+BMILMS!$F$11*AM537+BMILMS!$G$11)))</f>
        <v>0.79584630099999998</v>
      </c>
      <c r="AK537" s="4">
        <f>IF(D537="M",(IF(AM537&lt;2.5,BMILMS!$D$21*AM537^3+BMILMS!$E$21*AM537^2+BMILMS!$F$21*AM537+BMILMS!$G$21,IF(AM537&lt;9.5,BMILMS!$D$22*AM537^3+BMILMS!$E$22*AM537^2+BMILMS!$F$22*AM537+BMILMS!$G$22,IF(AM537&lt;26.75,BMILMS!$D$23*AM537^3+BMILMS!$E$23*AM537^2+BMILMS!$F$23*AM537+BMILMS!$G$23,IF(AM537&lt;90,BMILMS!$D$24*AM537^3+BMILMS!$E$24*AM537^2+BMILMS!$F$24*AM537+BMILMS!$G$24,BMILMS!$D$25*AM537^3+BMILMS!$E$25*AM537^2+BMILMS!$F$25*AM537+BMILMS!$G$25))))),(IF(AM537&lt;2.5,BMILMS!$D$27*AM537^3+BMILMS!$E$27*AM537^2+BMILMS!$F$27*AM537+BMILMS!$G$27,IF(AM537&lt;9.5,BMILMS!$D$28*AM537^3+BMILMS!$E$28*AM537^2+BMILMS!$F$28*AM537+BMILMS!$G$28,IF(AM537&lt;26.75,BMILMS!$D$29*AM537^3+BMILMS!$E$29*AM537^2+BMILMS!$F$29*AM537+BMILMS!$G$29,IF(AM537&lt;90,BMILMS!$D$30*AM537^3+BMILMS!$E$30*AM537^2+BMILMS!$F$30*AM537+BMILMS!$G$30,IF(AM537&lt;150,BMILMS!$D$31*AM537^3+BMILMS!$E$31*AM537^2+BMILMS!$F$31*AM537+BMILMS!$G$31,BMILMS!$D$32*AM537^3+BMILMS!$E$32*AM537^2+BMILMS!$F$32*AM537+BMILMS!$G$32)))))))</f>
        <v>12.568967990000001</v>
      </c>
      <c r="AL537" s="4">
        <f>IF(D537="M",(IF(AM537&lt;90,BMILMS!$D$14*AM537^3+BMILMS!$E$14*AM537^2+BMILMS!$F$14*AM537+BMILMS!$G$14,BMILMS!$D$15*AM537^3+BMILMS!$E$15*AM537^2+BMILMS!$F$15*AM537+BMILMS!$G$15)),(IF(AM537&lt;90,BMILMS!$D$17*AM537^3+BMILMS!$E$17*AM537^2+BMILMS!$F$17*AM537+BMILMS!$G$17,BMILMS!$D$18*AM537^3+BMILMS!$E$18*AM537^2+BMILMS!$F$18*AM537+BMILMS!$G$18)))</f>
        <v>8.8969350000000003E-2</v>
      </c>
      <c r="AM537" s="4">
        <f t="shared" si="188"/>
        <v>0</v>
      </c>
      <c r="AO537" s="56">
        <f>IF(D537="M",WeightSDS!P$5*$AM537^7+WeightSDS!Q$5*$AM537^6+WeightSDS!R$5*$AM537^5+WeightSDS!S$5*$AM537^4+WeightSDS!T$5*$AM537^3+WeightSDS!U$5*$AM537^2+WeightSDS!V$5*$AM537+WeightSDS!W$5,IF($AM537&lt;186,WeightSDS!P$8*$AM537^7+WeightSDS!Q$8*$AM537^6+WeightSDS!R$8*$AM537^5+WeightSDS!S$8*$AM537^4+WeightSDS!T$8*$AM537^3+WeightSDS!U$8*$AM537^2+WeightSDS!V$8*$AM537+WeightSDS!W$8,WeightSDS!$U$9+WeightSDS!$V$9*($AM537-WeightSDS!$W$9)))</f>
        <v>0.75407122999999998</v>
      </c>
      <c r="AP537" s="4">
        <f>IF(D537="M",IF($AM537&lt;45,WeightSDS!M$23*$AM537^10+WeightSDS!N$23*$AM537^9+WeightSDS!O$23*$AM537^8+WeightSDS!P$23*$AM537^7+WeightSDS!Q$23*$AM537^6+WeightSDS!R$23*$AM537^5+WeightSDS!S$23*$AM537^4+WeightSDS!T$23*$AM537^3+WeightSDS!U$23*$AM537^2+WeightSDS!V$23*$AM537+WeightSDS!W$23,IF($AM537&lt;153,WeightSDS!M$25*$AM537^10+WeightSDS!N$25*$AM537^9+WeightSDS!O$25*$AM537^8+WeightSDS!P$25*$AM537^7+WeightSDS!Q$25*$AM537^6+WeightSDS!R$25*$AM537^5+WeightSDS!S$25*$AM537^4+WeightSDS!T$25*$AM537^3+WeightSDS!U$25*$AM537^2+WeightSDS!V$25*$AM537+WeightSDS!W$25,WeightSDS!M$27+WeightSDS!N$27/(1+EXP(WeightSDS!O$27+WeightSDS!P$27*$AM537)))),IF($AM537&lt;43.8,WeightSDS!M$29*$AM537^10+WeightSDS!N$29*$AM537^9+WeightSDS!O$29*$AM537^8+WeightSDS!P$29*$AM537^7+WeightSDS!Q$29*$AM537^6+WeightSDS!R$29*$AM537^5+WeightSDS!S$29*$AM537^4+WeightSDS!T$29*$AM537^3+WeightSDS!U$29*$AM537^2+WeightSDS!V$29*$AM537+WeightSDS!W$29-0.010431*(1-$AM537/210),IF($AM537&lt;123,WeightSDS!M$30*$AM537^10+WeightSDS!N$30*$AM537^9+WeightSDS!O$30*$AM537^8+WeightSDS!P$30*$AM537^7+WeightSDS!Q$30*$AM537^6+WeightSDS!R$30*$AM537^5+WeightSDS!S$30*$AM537^4+WeightSDS!T$30*$AM537^3+WeightSDS!U$30*$AM537^2+WeightSDS!V$30*$AM537+WeightSDS!W$30-0.010431*(1-1/$AM537),WeightSDS!M$32+WeightSDS!N$32/(1+EXP(WeightSDS!O$32+WeightSDS!P$32*$AM537))-0.010431*(1-$AM537/210))))</f>
        <v>2.9500001032655536</v>
      </c>
      <c r="AQ537" s="4">
        <f>IF(D537="M",IF($AM537&lt;162,WeightSDS!P$12*$AM537^7+WeightSDS!Q$12*$AM537^6+WeightSDS!R$12*$AM537^5+WeightSDS!S$12*$AM537^4+WeightSDS!T$12*$AM537^3+WeightSDS!U$12*$AM537^2+WeightSDS!V$12*$AM537+WeightSDS!W$12,WeightSDS!P$14*$AM537^7+WeightSDS!Q$14*$AM537^6+WeightSDS!R$14*$AM537^5+WeightSDS!S$14*$AM537^4+WeightSDS!T$14*$AM537^3+WeightSDS!U$14*$AM537^2+WeightSDS!V$14*$AM537+WeightSDS!W$14),IF($AM537&lt;156,WeightSDS!O$17*$AM537^8+WeightSDS!P$17*$AM537^7+WeightSDS!Q$17*$AM537^6+WeightSDS!R$17*$AM537^5+WeightSDS!S$17*$AM537^4+WeightSDS!T$17*$AM537^3+WeightSDS!U$17*$AM537^2+WeightSDS!V$17*$AM537+WeightSDS!W$17,IF($AM537&lt;186,WeightSDS!$U$18+(WeightSDS!$V$18-WeightSDS!$U$18)/24*($AM537-186)+WeightSDS!$W$18*(-$AM537+186)^2-0.005,WeightSDS!$U$18+(WeightSDS!$V$18-WeightSDS!$U$18)/24*($AM537-186)-0.005)))</f>
        <v>0.14604529399999999</v>
      </c>
      <c r="AT537" s="4">
        <f t="shared" si="175"/>
        <v>0.56299999999999994</v>
      </c>
      <c r="AU537" s="4">
        <f t="shared" si="176"/>
        <v>69</v>
      </c>
      <c r="AV537" s="4">
        <f t="shared" si="177"/>
        <v>0.51</v>
      </c>
    </row>
    <row r="538" spans="1:48" x14ac:dyDescent="0.15">
      <c r="A538" s="4"/>
      <c r="B538" s="21"/>
      <c r="C538" s="21"/>
      <c r="D538" s="21"/>
      <c r="E538" s="22"/>
      <c r="F538" s="22"/>
      <c r="G538" s="23"/>
      <c r="H538" s="23"/>
      <c r="I538" s="181"/>
      <c r="J538" s="8" t="str">
        <f t="shared" si="169"/>
        <v/>
      </c>
      <c r="K538" s="2" t="str">
        <f t="shared" si="178"/>
        <v/>
      </c>
      <c r="L538" s="2" t="str">
        <f t="shared" si="170"/>
        <v/>
      </c>
      <c r="M538" s="2" t="str">
        <f t="shared" si="179"/>
        <v/>
      </c>
      <c r="N538" s="2" t="str">
        <f t="shared" si="187"/>
        <v/>
      </c>
      <c r="O538" s="2" t="str">
        <f t="shared" si="180"/>
        <v/>
      </c>
      <c r="P538" s="8" t="str">
        <f t="shared" si="181"/>
        <v/>
      </c>
      <c r="Q538" s="8" t="str">
        <f t="shared" si="182"/>
        <v/>
      </c>
      <c r="R538" s="111" t="str">
        <f t="shared" si="183"/>
        <v/>
      </c>
      <c r="S538" s="44" t="str">
        <f t="shared" si="184"/>
        <v/>
      </c>
      <c r="T538" s="37" t="str">
        <f t="shared" si="185"/>
        <v/>
      </c>
      <c r="U538" s="44" t="str">
        <f t="shared" si="186"/>
        <v/>
      </c>
      <c r="V538" s="26"/>
      <c r="W538" s="26"/>
      <c r="X538" s="26"/>
      <c r="Y538" s="26"/>
      <c r="Z538" s="24"/>
      <c r="AA538" s="169">
        <f t="shared" si="171"/>
        <v>0</v>
      </c>
      <c r="AB538" s="4">
        <f t="shared" si="172"/>
        <v>0</v>
      </c>
      <c r="AC538" s="170">
        <f t="shared" si="168"/>
        <v>0</v>
      </c>
      <c r="AD538" s="58"/>
      <c r="AE538" s="58"/>
      <c r="AF538" s="58"/>
      <c r="AG538" s="59">
        <f t="shared" si="173"/>
        <v>9.0359999999999996</v>
      </c>
      <c r="AH538" s="59">
        <f t="shared" si="174"/>
        <v>-184.49199999999999</v>
      </c>
      <c r="AJ538" s="4">
        <f>IF(D538="M",IF(AM538&lt;78,BMILMS!$D$5*AM538^3+BMILMS!$E$5*AM538^2+BMILMS!$F$5*AM538+BMILMS!$G$5,IF(AM538&lt;150,BMILMS!$D$6*AM538^3+BMILMS!$E$6*AM538^2+BMILMS!$F$6*AM538+BMILMS!$G$6,BMILMS!$D$7*AM538^3+BMILMS!$E$7*AM538^2+BMILMS!$F$7*AM538+BMILMS!$G$7)),IF(AM538&lt;69,BMILMS!$D$9*AM538^3+BMILMS!$E$9*AM538^2+BMILMS!$F$9*AM538+BMILMS!$G$9,IF(AM538&lt;150,BMILMS!$D$10*AM538^3+BMILMS!$E$10*AM538^2+BMILMS!$F$10*AM538+BMILMS!$G$10,BMILMS!$D$11*AM538^3+BMILMS!$E$11*AM538^2+BMILMS!$F$11*AM538+BMILMS!$G$11)))</f>
        <v>0.79584630099999998</v>
      </c>
      <c r="AK538" s="4">
        <f>IF(D538="M",(IF(AM538&lt;2.5,BMILMS!$D$21*AM538^3+BMILMS!$E$21*AM538^2+BMILMS!$F$21*AM538+BMILMS!$G$21,IF(AM538&lt;9.5,BMILMS!$D$22*AM538^3+BMILMS!$E$22*AM538^2+BMILMS!$F$22*AM538+BMILMS!$G$22,IF(AM538&lt;26.75,BMILMS!$D$23*AM538^3+BMILMS!$E$23*AM538^2+BMILMS!$F$23*AM538+BMILMS!$G$23,IF(AM538&lt;90,BMILMS!$D$24*AM538^3+BMILMS!$E$24*AM538^2+BMILMS!$F$24*AM538+BMILMS!$G$24,BMILMS!$D$25*AM538^3+BMILMS!$E$25*AM538^2+BMILMS!$F$25*AM538+BMILMS!$G$25))))),(IF(AM538&lt;2.5,BMILMS!$D$27*AM538^3+BMILMS!$E$27*AM538^2+BMILMS!$F$27*AM538+BMILMS!$G$27,IF(AM538&lt;9.5,BMILMS!$D$28*AM538^3+BMILMS!$E$28*AM538^2+BMILMS!$F$28*AM538+BMILMS!$G$28,IF(AM538&lt;26.75,BMILMS!$D$29*AM538^3+BMILMS!$E$29*AM538^2+BMILMS!$F$29*AM538+BMILMS!$G$29,IF(AM538&lt;90,BMILMS!$D$30*AM538^3+BMILMS!$E$30*AM538^2+BMILMS!$F$30*AM538+BMILMS!$G$30,IF(AM538&lt;150,BMILMS!$D$31*AM538^3+BMILMS!$E$31*AM538^2+BMILMS!$F$31*AM538+BMILMS!$G$31,BMILMS!$D$32*AM538^3+BMILMS!$E$32*AM538^2+BMILMS!$F$32*AM538+BMILMS!$G$32)))))))</f>
        <v>12.568967990000001</v>
      </c>
      <c r="AL538" s="4">
        <f>IF(D538="M",(IF(AM538&lt;90,BMILMS!$D$14*AM538^3+BMILMS!$E$14*AM538^2+BMILMS!$F$14*AM538+BMILMS!$G$14,BMILMS!$D$15*AM538^3+BMILMS!$E$15*AM538^2+BMILMS!$F$15*AM538+BMILMS!$G$15)),(IF(AM538&lt;90,BMILMS!$D$17*AM538^3+BMILMS!$E$17*AM538^2+BMILMS!$F$17*AM538+BMILMS!$G$17,BMILMS!$D$18*AM538^3+BMILMS!$E$18*AM538^2+BMILMS!$F$18*AM538+BMILMS!$G$18)))</f>
        <v>8.8969350000000003E-2</v>
      </c>
      <c r="AM538" s="4">
        <f t="shared" si="188"/>
        <v>0</v>
      </c>
      <c r="AO538" s="56">
        <f>IF(D538="M",WeightSDS!P$5*$AM538^7+WeightSDS!Q$5*$AM538^6+WeightSDS!R$5*$AM538^5+WeightSDS!S$5*$AM538^4+WeightSDS!T$5*$AM538^3+WeightSDS!U$5*$AM538^2+WeightSDS!V$5*$AM538+WeightSDS!W$5,IF($AM538&lt;186,WeightSDS!P$8*$AM538^7+WeightSDS!Q$8*$AM538^6+WeightSDS!R$8*$AM538^5+WeightSDS!S$8*$AM538^4+WeightSDS!T$8*$AM538^3+WeightSDS!U$8*$AM538^2+WeightSDS!V$8*$AM538+WeightSDS!W$8,WeightSDS!$U$9+WeightSDS!$V$9*($AM538-WeightSDS!$W$9)))</f>
        <v>0.75407122999999998</v>
      </c>
      <c r="AP538" s="4">
        <f>IF(D538="M",IF($AM538&lt;45,WeightSDS!M$23*$AM538^10+WeightSDS!N$23*$AM538^9+WeightSDS!O$23*$AM538^8+WeightSDS!P$23*$AM538^7+WeightSDS!Q$23*$AM538^6+WeightSDS!R$23*$AM538^5+WeightSDS!S$23*$AM538^4+WeightSDS!T$23*$AM538^3+WeightSDS!U$23*$AM538^2+WeightSDS!V$23*$AM538+WeightSDS!W$23,IF($AM538&lt;153,WeightSDS!M$25*$AM538^10+WeightSDS!N$25*$AM538^9+WeightSDS!O$25*$AM538^8+WeightSDS!P$25*$AM538^7+WeightSDS!Q$25*$AM538^6+WeightSDS!R$25*$AM538^5+WeightSDS!S$25*$AM538^4+WeightSDS!T$25*$AM538^3+WeightSDS!U$25*$AM538^2+WeightSDS!V$25*$AM538+WeightSDS!W$25,WeightSDS!M$27+WeightSDS!N$27/(1+EXP(WeightSDS!O$27+WeightSDS!P$27*$AM538)))),IF($AM538&lt;43.8,WeightSDS!M$29*$AM538^10+WeightSDS!N$29*$AM538^9+WeightSDS!O$29*$AM538^8+WeightSDS!P$29*$AM538^7+WeightSDS!Q$29*$AM538^6+WeightSDS!R$29*$AM538^5+WeightSDS!S$29*$AM538^4+WeightSDS!T$29*$AM538^3+WeightSDS!U$29*$AM538^2+WeightSDS!V$29*$AM538+WeightSDS!W$29-0.010431*(1-$AM538/210),IF($AM538&lt;123,WeightSDS!M$30*$AM538^10+WeightSDS!N$30*$AM538^9+WeightSDS!O$30*$AM538^8+WeightSDS!P$30*$AM538^7+WeightSDS!Q$30*$AM538^6+WeightSDS!R$30*$AM538^5+WeightSDS!S$30*$AM538^4+WeightSDS!T$30*$AM538^3+WeightSDS!U$30*$AM538^2+WeightSDS!V$30*$AM538+WeightSDS!W$30-0.010431*(1-1/$AM538),WeightSDS!M$32+WeightSDS!N$32/(1+EXP(WeightSDS!O$32+WeightSDS!P$32*$AM538))-0.010431*(1-$AM538/210))))</f>
        <v>2.9500001032655536</v>
      </c>
      <c r="AQ538" s="4">
        <f>IF(D538="M",IF($AM538&lt;162,WeightSDS!P$12*$AM538^7+WeightSDS!Q$12*$AM538^6+WeightSDS!R$12*$AM538^5+WeightSDS!S$12*$AM538^4+WeightSDS!T$12*$AM538^3+WeightSDS!U$12*$AM538^2+WeightSDS!V$12*$AM538+WeightSDS!W$12,WeightSDS!P$14*$AM538^7+WeightSDS!Q$14*$AM538^6+WeightSDS!R$14*$AM538^5+WeightSDS!S$14*$AM538^4+WeightSDS!T$14*$AM538^3+WeightSDS!U$14*$AM538^2+WeightSDS!V$14*$AM538+WeightSDS!W$14),IF($AM538&lt;156,WeightSDS!O$17*$AM538^8+WeightSDS!P$17*$AM538^7+WeightSDS!Q$17*$AM538^6+WeightSDS!R$17*$AM538^5+WeightSDS!S$17*$AM538^4+WeightSDS!T$17*$AM538^3+WeightSDS!U$17*$AM538^2+WeightSDS!V$17*$AM538+WeightSDS!W$17,IF($AM538&lt;186,WeightSDS!$U$18+(WeightSDS!$V$18-WeightSDS!$U$18)/24*($AM538-186)+WeightSDS!$W$18*(-$AM538+186)^2-0.005,WeightSDS!$U$18+(WeightSDS!$V$18-WeightSDS!$U$18)/24*($AM538-186)-0.005)))</f>
        <v>0.14604529399999999</v>
      </c>
      <c r="AT538" s="4">
        <f t="shared" si="175"/>
        <v>0.56299999999999994</v>
      </c>
      <c r="AU538" s="4">
        <f t="shared" si="176"/>
        <v>69</v>
      </c>
      <c r="AV538" s="4">
        <f t="shared" si="177"/>
        <v>0.51</v>
      </c>
    </row>
    <row r="539" spans="1:48" x14ac:dyDescent="0.15">
      <c r="A539" s="4"/>
      <c r="B539" s="21"/>
      <c r="C539" s="21"/>
      <c r="D539" s="21"/>
      <c r="E539" s="22"/>
      <c r="F539" s="22"/>
      <c r="G539" s="23"/>
      <c r="H539" s="23"/>
      <c r="I539" s="181"/>
      <c r="J539" s="8" t="str">
        <f t="shared" si="169"/>
        <v/>
      </c>
      <c r="K539" s="2" t="str">
        <f t="shared" si="178"/>
        <v/>
      </c>
      <c r="L539" s="2" t="str">
        <f t="shared" si="170"/>
        <v/>
      </c>
      <c r="M539" s="2" t="str">
        <f t="shared" si="179"/>
        <v/>
      </c>
      <c r="N539" s="2" t="str">
        <f t="shared" si="187"/>
        <v/>
      </c>
      <c r="O539" s="2" t="str">
        <f t="shared" si="180"/>
        <v/>
      </c>
      <c r="P539" s="8" t="str">
        <f t="shared" si="181"/>
        <v/>
      </c>
      <c r="Q539" s="8" t="str">
        <f t="shared" si="182"/>
        <v/>
      </c>
      <c r="R539" s="111" t="str">
        <f t="shared" si="183"/>
        <v/>
      </c>
      <c r="S539" s="44" t="str">
        <f t="shared" si="184"/>
        <v/>
      </c>
      <c r="T539" s="37" t="str">
        <f t="shared" si="185"/>
        <v/>
      </c>
      <c r="U539" s="44" t="str">
        <f t="shared" si="186"/>
        <v/>
      </c>
      <c r="V539" s="26"/>
      <c r="W539" s="26"/>
      <c r="X539" s="26"/>
      <c r="Y539" s="26"/>
      <c r="Z539" s="24"/>
      <c r="AA539" s="169">
        <f t="shared" si="171"/>
        <v>0</v>
      </c>
      <c r="AB539" s="4">
        <f t="shared" si="172"/>
        <v>0</v>
      </c>
      <c r="AC539" s="170">
        <f t="shared" si="168"/>
        <v>0</v>
      </c>
      <c r="AD539" s="58"/>
      <c r="AE539" s="58"/>
      <c r="AF539" s="58"/>
      <c r="AG539" s="59">
        <f t="shared" si="173"/>
        <v>9.0359999999999996</v>
      </c>
      <c r="AH539" s="59">
        <f t="shared" si="174"/>
        <v>-184.49199999999999</v>
      </c>
      <c r="AJ539" s="4">
        <f>IF(D539="M",IF(AM539&lt;78,BMILMS!$D$5*AM539^3+BMILMS!$E$5*AM539^2+BMILMS!$F$5*AM539+BMILMS!$G$5,IF(AM539&lt;150,BMILMS!$D$6*AM539^3+BMILMS!$E$6*AM539^2+BMILMS!$F$6*AM539+BMILMS!$G$6,BMILMS!$D$7*AM539^3+BMILMS!$E$7*AM539^2+BMILMS!$F$7*AM539+BMILMS!$G$7)),IF(AM539&lt;69,BMILMS!$D$9*AM539^3+BMILMS!$E$9*AM539^2+BMILMS!$F$9*AM539+BMILMS!$G$9,IF(AM539&lt;150,BMILMS!$D$10*AM539^3+BMILMS!$E$10*AM539^2+BMILMS!$F$10*AM539+BMILMS!$G$10,BMILMS!$D$11*AM539^3+BMILMS!$E$11*AM539^2+BMILMS!$F$11*AM539+BMILMS!$G$11)))</f>
        <v>0.79584630099999998</v>
      </c>
      <c r="AK539" s="4">
        <f>IF(D539="M",(IF(AM539&lt;2.5,BMILMS!$D$21*AM539^3+BMILMS!$E$21*AM539^2+BMILMS!$F$21*AM539+BMILMS!$G$21,IF(AM539&lt;9.5,BMILMS!$D$22*AM539^3+BMILMS!$E$22*AM539^2+BMILMS!$F$22*AM539+BMILMS!$G$22,IF(AM539&lt;26.75,BMILMS!$D$23*AM539^3+BMILMS!$E$23*AM539^2+BMILMS!$F$23*AM539+BMILMS!$G$23,IF(AM539&lt;90,BMILMS!$D$24*AM539^3+BMILMS!$E$24*AM539^2+BMILMS!$F$24*AM539+BMILMS!$G$24,BMILMS!$D$25*AM539^3+BMILMS!$E$25*AM539^2+BMILMS!$F$25*AM539+BMILMS!$G$25))))),(IF(AM539&lt;2.5,BMILMS!$D$27*AM539^3+BMILMS!$E$27*AM539^2+BMILMS!$F$27*AM539+BMILMS!$G$27,IF(AM539&lt;9.5,BMILMS!$D$28*AM539^3+BMILMS!$E$28*AM539^2+BMILMS!$F$28*AM539+BMILMS!$G$28,IF(AM539&lt;26.75,BMILMS!$D$29*AM539^3+BMILMS!$E$29*AM539^2+BMILMS!$F$29*AM539+BMILMS!$G$29,IF(AM539&lt;90,BMILMS!$D$30*AM539^3+BMILMS!$E$30*AM539^2+BMILMS!$F$30*AM539+BMILMS!$G$30,IF(AM539&lt;150,BMILMS!$D$31*AM539^3+BMILMS!$E$31*AM539^2+BMILMS!$F$31*AM539+BMILMS!$G$31,BMILMS!$D$32*AM539^3+BMILMS!$E$32*AM539^2+BMILMS!$F$32*AM539+BMILMS!$G$32)))))))</f>
        <v>12.568967990000001</v>
      </c>
      <c r="AL539" s="4">
        <f>IF(D539="M",(IF(AM539&lt;90,BMILMS!$D$14*AM539^3+BMILMS!$E$14*AM539^2+BMILMS!$F$14*AM539+BMILMS!$G$14,BMILMS!$D$15*AM539^3+BMILMS!$E$15*AM539^2+BMILMS!$F$15*AM539+BMILMS!$G$15)),(IF(AM539&lt;90,BMILMS!$D$17*AM539^3+BMILMS!$E$17*AM539^2+BMILMS!$F$17*AM539+BMILMS!$G$17,BMILMS!$D$18*AM539^3+BMILMS!$E$18*AM539^2+BMILMS!$F$18*AM539+BMILMS!$G$18)))</f>
        <v>8.8969350000000003E-2</v>
      </c>
      <c r="AM539" s="4">
        <f t="shared" si="188"/>
        <v>0</v>
      </c>
      <c r="AO539" s="56">
        <f>IF(D539="M",WeightSDS!P$5*$AM539^7+WeightSDS!Q$5*$AM539^6+WeightSDS!R$5*$AM539^5+WeightSDS!S$5*$AM539^4+WeightSDS!T$5*$AM539^3+WeightSDS!U$5*$AM539^2+WeightSDS!V$5*$AM539+WeightSDS!W$5,IF($AM539&lt;186,WeightSDS!P$8*$AM539^7+WeightSDS!Q$8*$AM539^6+WeightSDS!R$8*$AM539^5+WeightSDS!S$8*$AM539^4+WeightSDS!T$8*$AM539^3+WeightSDS!U$8*$AM539^2+WeightSDS!V$8*$AM539+WeightSDS!W$8,WeightSDS!$U$9+WeightSDS!$V$9*($AM539-WeightSDS!$W$9)))</f>
        <v>0.75407122999999998</v>
      </c>
      <c r="AP539" s="4">
        <f>IF(D539="M",IF($AM539&lt;45,WeightSDS!M$23*$AM539^10+WeightSDS!N$23*$AM539^9+WeightSDS!O$23*$AM539^8+WeightSDS!P$23*$AM539^7+WeightSDS!Q$23*$AM539^6+WeightSDS!R$23*$AM539^5+WeightSDS!S$23*$AM539^4+WeightSDS!T$23*$AM539^3+WeightSDS!U$23*$AM539^2+WeightSDS!V$23*$AM539+WeightSDS!W$23,IF($AM539&lt;153,WeightSDS!M$25*$AM539^10+WeightSDS!N$25*$AM539^9+WeightSDS!O$25*$AM539^8+WeightSDS!P$25*$AM539^7+WeightSDS!Q$25*$AM539^6+WeightSDS!R$25*$AM539^5+WeightSDS!S$25*$AM539^4+WeightSDS!T$25*$AM539^3+WeightSDS!U$25*$AM539^2+WeightSDS!V$25*$AM539+WeightSDS!W$25,WeightSDS!M$27+WeightSDS!N$27/(1+EXP(WeightSDS!O$27+WeightSDS!P$27*$AM539)))),IF($AM539&lt;43.8,WeightSDS!M$29*$AM539^10+WeightSDS!N$29*$AM539^9+WeightSDS!O$29*$AM539^8+WeightSDS!P$29*$AM539^7+WeightSDS!Q$29*$AM539^6+WeightSDS!R$29*$AM539^5+WeightSDS!S$29*$AM539^4+WeightSDS!T$29*$AM539^3+WeightSDS!U$29*$AM539^2+WeightSDS!V$29*$AM539+WeightSDS!W$29-0.010431*(1-$AM539/210),IF($AM539&lt;123,WeightSDS!M$30*$AM539^10+WeightSDS!N$30*$AM539^9+WeightSDS!O$30*$AM539^8+WeightSDS!P$30*$AM539^7+WeightSDS!Q$30*$AM539^6+WeightSDS!R$30*$AM539^5+WeightSDS!S$30*$AM539^4+WeightSDS!T$30*$AM539^3+WeightSDS!U$30*$AM539^2+WeightSDS!V$30*$AM539+WeightSDS!W$30-0.010431*(1-1/$AM539),WeightSDS!M$32+WeightSDS!N$32/(1+EXP(WeightSDS!O$32+WeightSDS!P$32*$AM539))-0.010431*(1-$AM539/210))))</f>
        <v>2.9500001032655536</v>
      </c>
      <c r="AQ539" s="4">
        <f>IF(D539="M",IF($AM539&lt;162,WeightSDS!P$12*$AM539^7+WeightSDS!Q$12*$AM539^6+WeightSDS!R$12*$AM539^5+WeightSDS!S$12*$AM539^4+WeightSDS!T$12*$AM539^3+WeightSDS!U$12*$AM539^2+WeightSDS!V$12*$AM539+WeightSDS!W$12,WeightSDS!P$14*$AM539^7+WeightSDS!Q$14*$AM539^6+WeightSDS!R$14*$AM539^5+WeightSDS!S$14*$AM539^4+WeightSDS!T$14*$AM539^3+WeightSDS!U$14*$AM539^2+WeightSDS!V$14*$AM539+WeightSDS!W$14),IF($AM539&lt;156,WeightSDS!O$17*$AM539^8+WeightSDS!P$17*$AM539^7+WeightSDS!Q$17*$AM539^6+WeightSDS!R$17*$AM539^5+WeightSDS!S$17*$AM539^4+WeightSDS!T$17*$AM539^3+WeightSDS!U$17*$AM539^2+WeightSDS!V$17*$AM539+WeightSDS!W$17,IF($AM539&lt;186,WeightSDS!$U$18+(WeightSDS!$V$18-WeightSDS!$U$18)/24*($AM539-186)+WeightSDS!$W$18*(-$AM539+186)^2-0.005,WeightSDS!$U$18+(WeightSDS!$V$18-WeightSDS!$U$18)/24*($AM539-186)-0.005)))</f>
        <v>0.14604529399999999</v>
      </c>
      <c r="AT539" s="4">
        <f t="shared" si="175"/>
        <v>0.56299999999999994</v>
      </c>
      <c r="AU539" s="4">
        <f t="shared" si="176"/>
        <v>69</v>
      </c>
      <c r="AV539" s="4">
        <f t="shared" si="177"/>
        <v>0.51</v>
      </c>
    </row>
    <row r="540" spans="1:48" x14ac:dyDescent="0.15">
      <c r="A540" s="4"/>
      <c r="B540" s="21"/>
      <c r="C540" s="21"/>
      <c r="D540" s="21"/>
      <c r="E540" s="22"/>
      <c r="F540" s="22"/>
      <c r="G540" s="23"/>
      <c r="H540" s="23"/>
      <c r="I540" s="181"/>
      <c r="J540" s="8" t="str">
        <f t="shared" si="169"/>
        <v/>
      </c>
      <c r="K540" s="2" t="str">
        <f t="shared" si="178"/>
        <v/>
      </c>
      <c r="L540" s="2" t="str">
        <f t="shared" si="170"/>
        <v/>
      </c>
      <c r="M540" s="2" t="str">
        <f t="shared" si="179"/>
        <v/>
      </c>
      <c r="N540" s="2" t="str">
        <f t="shared" si="187"/>
        <v/>
      </c>
      <c r="O540" s="2" t="str">
        <f t="shared" si="180"/>
        <v/>
      </c>
      <c r="P540" s="8" t="str">
        <f t="shared" si="181"/>
        <v/>
      </c>
      <c r="Q540" s="8" t="str">
        <f t="shared" si="182"/>
        <v/>
      </c>
      <c r="R540" s="111" t="str">
        <f t="shared" si="183"/>
        <v/>
      </c>
      <c r="S540" s="44" t="str">
        <f t="shared" si="184"/>
        <v/>
      </c>
      <c r="T540" s="37" t="str">
        <f t="shared" si="185"/>
        <v/>
      </c>
      <c r="U540" s="44" t="str">
        <f t="shared" si="186"/>
        <v/>
      </c>
      <c r="V540" s="26"/>
      <c r="W540" s="26"/>
      <c r="X540" s="26"/>
      <c r="Y540" s="26"/>
      <c r="Z540" s="24"/>
      <c r="AA540" s="169">
        <f t="shared" si="171"/>
        <v>0</v>
      </c>
      <c r="AB540" s="4">
        <f t="shared" si="172"/>
        <v>0</v>
      </c>
      <c r="AC540" s="170">
        <f t="shared" si="168"/>
        <v>0</v>
      </c>
      <c r="AD540" s="58"/>
      <c r="AE540" s="58"/>
      <c r="AF540" s="58"/>
      <c r="AG540" s="59">
        <f t="shared" si="173"/>
        <v>9.0359999999999996</v>
      </c>
      <c r="AH540" s="59">
        <f t="shared" si="174"/>
        <v>-184.49199999999999</v>
      </c>
      <c r="AJ540" s="4">
        <f>IF(D540="M",IF(AM540&lt;78,BMILMS!$D$5*AM540^3+BMILMS!$E$5*AM540^2+BMILMS!$F$5*AM540+BMILMS!$G$5,IF(AM540&lt;150,BMILMS!$D$6*AM540^3+BMILMS!$E$6*AM540^2+BMILMS!$F$6*AM540+BMILMS!$G$6,BMILMS!$D$7*AM540^3+BMILMS!$E$7*AM540^2+BMILMS!$F$7*AM540+BMILMS!$G$7)),IF(AM540&lt;69,BMILMS!$D$9*AM540^3+BMILMS!$E$9*AM540^2+BMILMS!$F$9*AM540+BMILMS!$G$9,IF(AM540&lt;150,BMILMS!$D$10*AM540^3+BMILMS!$E$10*AM540^2+BMILMS!$F$10*AM540+BMILMS!$G$10,BMILMS!$D$11*AM540^3+BMILMS!$E$11*AM540^2+BMILMS!$F$11*AM540+BMILMS!$G$11)))</f>
        <v>0.79584630099999998</v>
      </c>
      <c r="AK540" s="4">
        <f>IF(D540="M",(IF(AM540&lt;2.5,BMILMS!$D$21*AM540^3+BMILMS!$E$21*AM540^2+BMILMS!$F$21*AM540+BMILMS!$G$21,IF(AM540&lt;9.5,BMILMS!$D$22*AM540^3+BMILMS!$E$22*AM540^2+BMILMS!$F$22*AM540+BMILMS!$G$22,IF(AM540&lt;26.75,BMILMS!$D$23*AM540^3+BMILMS!$E$23*AM540^2+BMILMS!$F$23*AM540+BMILMS!$G$23,IF(AM540&lt;90,BMILMS!$D$24*AM540^3+BMILMS!$E$24*AM540^2+BMILMS!$F$24*AM540+BMILMS!$G$24,BMILMS!$D$25*AM540^3+BMILMS!$E$25*AM540^2+BMILMS!$F$25*AM540+BMILMS!$G$25))))),(IF(AM540&lt;2.5,BMILMS!$D$27*AM540^3+BMILMS!$E$27*AM540^2+BMILMS!$F$27*AM540+BMILMS!$G$27,IF(AM540&lt;9.5,BMILMS!$D$28*AM540^3+BMILMS!$E$28*AM540^2+BMILMS!$F$28*AM540+BMILMS!$G$28,IF(AM540&lt;26.75,BMILMS!$D$29*AM540^3+BMILMS!$E$29*AM540^2+BMILMS!$F$29*AM540+BMILMS!$G$29,IF(AM540&lt;90,BMILMS!$D$30*AM540^3+BMILMS!$E$30*AM540^2+BMILMS!$F$30*AM540+BMILMS!$G$30,IF(AM540&lt;150,BMILMS!$D$31*AM540^3+BMILMS!$E$31*AM540^2+BMILMS!$F$31*AM540+BMILMS!$G$31,BMILMS!$D$32*AM540^3+BMILMS!$E$32*AM540^2+BMILMS!$F$32*AM540+BMILMS!$G$32)))))))</f>
        <v>12.568967990000001</v>
      </c>
      <c r="AL540" s="4">
        <f>IF(D540="M",(IF(AM540&lt;90,BMILMS!$D$14*AM540^3+BMILMS!$E$14*AM540^2+BMILMS!$F$14*AM540+BMILMS!$G$14,BMILMS!$D$15*AM540^3+BMILMS!$E$15*AM540^2+BMILMS!$F$15*AM540+BMILMS!$G$15)),(IF(AM540&lt;90,BMILMS!$D$17*AM540^3+BMILMS!$E$17*AM540^2+BMILMS!$F$17*AM540+BMILMS!$G$17,BMILMS!$D$18*AM540^3+BMILMS!$E$18*AM540^2+BMILMS!$F$18*AM540+BMILMS!$G$18)))</f>
        <v>8.8969350000000003E-2</v>
      </c>
      <c r="AM540" s="4">
        <f t="shared" si="188"/>
        <v>0</v>
      </c>
      <c r="AO540" s="56">
        <f>IF(D540="M",WeightSDS!P$5*$AM540^7+WeightSDS!Q$5*$AM540^6+WeightSDS!R$5*$AM540^5+WeightSDS!S$5*$AM540^4+WeightSDS!T$5*$AM540^3+WeightSDS!U$5*$AM540^2+WeightSDS!V$5*$AM540+WeightSDS!W$5,IF($AM540&lt;186,WeightSDS!P$8*$AM540^7+WeightSDS!Q$8*$AM540^6+WeightSDS!R$8*$AM540^5+WeightSDS!S$8*$AM540^4+WeightSDS!T$8*$AM540^3+WeightSDS!U$8*$AM540^2+WeightSDS!V$8*$AM540+WeightSDS!W$8,WeightSDS!$U$9+WeightSDS!$V$9*($AM540-WeightSDS!$W$9)))</f>
        <v>0.75407122999999998</v>
      </c>
      <c r="AP540" s="4">
        <f>IF(D540="M",IF($AM540&lt;45,WeightSDS!M$23*$AM540^10+WeightSDS!N$23*$AM540^9+WeightSDS!O$23*$AM540^8+WeightSDS!P$23*$AM540^7+WeightSDS!Q$23*$AM540^6+WeightSDS!R$23*$AM540^5+WeightSDS!S$23*$AM540^4+WeightSDS!T$23*$AM540^3+WeightSDS!U$23*$AM540^2+WeightSDS!V$23*$AM540+WeightSDS!W$23,IF($AM540&lt;153,WeightSDS!M$25*$AM540^10+WeightSDS!N$25*$AM540^9+WeightSDS!O$25*$AM540^8+WeightSDS!P$25*$AM540^7+WeightSDS!Q$25*$AM540^6+WeightSDS!R$25*$AM540^5+WeightSDS!S$25*$AM540^4+WeightSDS!T$25*$AM540^3+WeightSDS!U$25*$AM540^2+WeightSDS!V$25*$AM540+WeightSDS!W$25,WeightSDS!M$27+WeightSDS!N$27/(1+EXP(WeightSDS!O$27+WeightSDS!P$27*$AM540)))),IF($AM540&lt;43.8,WeightSDS!M$29*$AM540^10+WeightSDS!N$29*$AM540^9+WeightSDS!O$29*$AM540^8+WeightSDS!P$29*$AM540^7+WeightSDS!Q$29*$AM540^6+WeightSDS!R$29*$AM540^5+WeightSDS!S$29*$AM540^4+WeightSDS!T$29*$AM540^3+WeightSDS!U$29*$AM540^2+WeightSDS!V$29*$AM540+WeightSDS!W$29-0.010431*(1-$AM540/210),IF($AM540&lt;123,WeightSDS!M$30*$AM540^10+WeightSDS!N$30*$AM540^9+WeightSDS!O$30*$AM540^8+WeightSDS!P$30*$AM540^7+WeightSDS!Q$30*$AM540^6+WeightSDS!R$30*$AM540^5+WeightSDS!S$30*$AM540^4+WeightSDS!T$30*$AM540^3+WeightSDS!U$30*$AM540^2+WeightSDS!V$30*$AM540+WeightSDS!W$30-0.010431*(1-1/$AM540),WeightSDS!M$32+WeightSDS!N$32/(1+EXP(WeightSDS!O$32+WeightSDS!P$32*$AM540))-0.010431*(1-$AM540/210))))</f>
        <v>2.9500001032655536</v>
      </c>
      <c r="AQ540" s="4">
        <f>IF(D540="M",IF($AM540&lt;162,WeightSDS!P$12*$AM540^7+WeightSDS!Q$12*$AM540^6+WeightSDS!R$12*$AM540^5+WeightSDS!S$12*$AM540^4+WeightSDS!T$12*$AM540^3+WeightSDS!U$12*$AM540^2+WeightSDS!V$12*$AM540+WeightSDS!W$12,WeightSDS!P$14*$AM540^7+WeightSDS!Q$14*$AM540^6+WeightSDS!R$14*$AM540^5+WeightSDS!S$14*$AM540^4+WeightSDS!T$14*$AM540^3+WeightSDS!U$14*$AM540^2+WeightSDS!V$14*$AM540+WeightSDS!W$14),IF($AM540&lt;156,WeightSDS!O$17*$AM540^8+WeightSDS!P$17*$AM540^7+WeightSDS!Q$17*$AM540^6+WeightSDS!R$17*$AM540^5+WeightSDS!S$17*$AM540^4+WeightSDS!T$17*$AM540^3+WeightSDS!U$17*$AM540^2+WeightSDS!V$17*$AM540+WeightSDS!W$17,IF($AM540&lt;186,WeightSDS!$U$18+(WeightSDS!$V$18-WeightSDS!$U$18)/24*($AM540-186)+WeightSDS!$W$18*(-$AM540+186)^2-0.005,WeightSDS!$U$18+(WeightSDS!$V$18-WeightSDS!$U$18)/24*($AM540-186)-0.005)))</f>
        <v>0.14604529399999999</v>
      </c>
      <c r="AT540" s="4">
        <f t="shared" si="175"/>
        <v>0.56299999999999994</v>
      </c>
      <c r="AU540" s="4">
        <f t="shared" si="176"/>
        <v>69</v>
      </c>
      <c r="AV540" s="4">
        <f t="shared" si="177"/>
        <v>0.51</v>
      </c>
    </row>
    <row r="541" spans="1:48" x14ac:dyDescent="0.15">
      <c r="A541" s="4"/>
      <c r="B541" s="21"/>
      <c r="C541" s="21"/>
      <c r="D541" s="21"/>
      <c r="E541" s="22"/>
      <c r="F541" s="22"/>
      <c r="G541" s="23"/>
      <c r="H541" s="23"/>
      <c r="I541" s="181"/>
      <c r="J541" s="8" t="str">
        <f t="shared" si="169"/>
        <v/>
      </c>
      <c r="K541" s="2" t="str">
        <f t="shared" si="178"/>
        <v/>
      </c>
      <c r="L541" s="2" t="str">
        <f t="shared" si="170"/>
        <v/>
      </c>
      <c r="M541" s="2" t="str">
        <f t="shared" si="179"/>
        <v/>
      </c>
      <c r="N541" s="2" t="str">
        <f t="shared" si="187"/>
        <v/>
      </c>
      <c r="O541" s="2" t="str">
        <f t="shared" si="180"/>
        <v/>
      </c>
      <c r="P541" s="8" t="str">
        <f t="shared" si="181"/>
        <v/>
      </c>
      <c r="Q541" s="8" t="str">
        <f t="shared" si="182"/>
        <v/>
      </c>
      <c r="R541" s="111" t="str">
        <f t="shared" si="183"/>
        <v/>
      </c>
      <c r="S541" s="44" t="str">
        <f t="shared" si="184"/>
        <v/>
      </c>
      <c r="T541" s="37" t="str">
        <f t="shared" si="185"/>
        <v/>
      </c>
      <c r="U541" s="44" t="str">
        <f t="shared" si="186"/>
        <v/>
      </c>
      <c r="V541" s="26"/>
      <c r="W541" s="26"/>
      <c r="X541" s="26"/>
      <c r="Y541" s="26"/>
      <c r="Z541" s="24"/>
      <c r="AA541" s="169">
        <f t="shared" si="171"/>
        <v>0</v>
      </c>
      <c r="AB541" s="4">
        <f t="shared" si="172"/>
        <v>0</v>
      </c>
      <c r="AC541" s="170">
        <f t="shared" si="168"/>
        <v>0</v>
      </c>
      <c r="AD541" s="58"/>
      <c r="AE541" s="58"/>
      <c r="AF541" s="58"/>
      <c r="AG541" s="59">
        <f t="shared" si="173"/>
        <v>9.0359999999999996</v>
      </c>
      <c r="AH541" s="59">
        <f t="shared" si="174"/>
        <v>-184.49199999999999</v>
      </c>
      <c r="AJ541" s="4">
        <f>IF(D541="M",IF(AM541&lt;78,BMILMS!$D$5*AM541^3+BMILMS!$E$5*AM541^2+BMILMS!$F$5*AM541+BMILMS!$G$5,IF(AM541&lt;150,BMILMS!$D$6*AM541^3+BMILMS!$E$6*AM541^2+BMILMS!$F$6*AM541+BMILMS!$G$6,BMILMS!$D$7*AM541^3+BMILMS!$E$7*AM541^2+BMILMS!$F$7*AM541+BMILMS!$G$7)),IF(AM541&lt;69,BMILMS!$D$9*AM541^3+BMILMS!$E$9*AM541^2+BMILMS!$F$9*AM541+BMILMS!$G$9,IF(AM541&lt;150,BMILMS!$D$10*AM541^3+BMILMS!$E$10*AM541^2+BMILMS!$F$10*AM541+BMILMS!$G$10,BMILMS!$D$11*AM541^3+BMILMS!$E$11*AM541^2+BMILMS!$F$11*AM541+BMILMS!$G$11)))</f>
        <v>0.79584630099999998</v>
      </c>
      <c r="AK541" s="4">
        <f>IF(D541="M",(IF(AM541&lt;2.5,BMILMS!$D$21*AM541^3+BMILMS!$E$21*AM541^2+BMILMS!$F$21*AM541+BMILMS!$G$21,IF(AM541&lt;9.5,BMILMS!$D$22*AM541^3+BMILMS!$E$22*AM541^2+BMILMS!$F$22*AM541+BMILMS!$G$22,IF(AM541&lt;26.75,BMILMS!$D$23*AM541^3+BMILMS!$E$23*AM541^2+BMILMS!$F$23*AM541+BMILMS!$G$23,IF(AM541&lt;90,BMILMS!$D$24*AM541^3+BMILMS!$E$24*AM541^2+BMILMS!$F$24*AM541+BMILMS!$G$24,BMILMS!$D$25*AM541^3+BMILMS!$E$25*AM541^2+BMILMS!$F$25*AM541+BMILMS!$G$25))))),(IF(AM541&lt;2.5,BMILMS!$D$27*AM541^3+BMILMS!$E$27*AM541^2+BMILMS!$F$27*AM541+BMILMS!$G$27,IF(AM541&lt;9.5,BMILMS!$D$28*AM541^3+BMILMS!$E$28*AM541^2+BMILMS!$F$28*AM541+BMILMS!$G$28,IF(AM541&lt;26.75,BMILMS!$D$29*AM541^3+BMILMS!$E$29*AM541^2+BMILMS!$F$29*AM541+BMILMS!$G$29,IF(AM541&lt;90,BMILMS!$D$30*AM541^3+BMILMS!$E$30*AM541^2+BMILMS!$F$30*AM541+BMILMS!$G$30,IF(AM541&lt;150,BMILMS!$D$31*AM541^3+BMILMS!$E$31*AM541^2+BMILMS!$F$31*AM541+BMILMS!$G$31,BMILMS!$D$32*AM541^3+BMILMS!$E$32*AM541^2+BMILMS!$F$32*AM541+BMILMS!$G$32)))))))</f>
        <v>12.568967990000001</v>
      </c>
      <c r="AL541" s="4">
        <f>IF(D541="M",(IF(AM541&lt;90,BMILMS!$D$14*AM541^3+BMILMS!$E$14*AM541^2+BMILMS!$F$14*AM541+BMILMS!$G$14,BMILMS!$D$15*AM541^3+BMILMS!$E$15*AM541^2+BMILMS!$F$15*AM541+BMILMS!$G$15)),(IF(AM541&lt;90,BMILMS!$D$17*AM541^3+BMILMS!$E$17*AM541^2+BMILMS!$F$17*AM541+BMILMS!$G$17,BMILMS!$D$18*AM541^3+BMILMS!$E$18*AM541^2+BMILMS!$F$18*AM541+BMILMS!$G$18)))</f>
        <v>8.8969350000000003E-2</v>
      </c>
      <c r="AM541" s="4">
        <f t="shared" si="188"/>
        <v>0</v>
      </c>
      <c r="AO541" s="56">
        <f>IF(D541="M",WeightSDS!P$5*$AM541^7+WeightSDS!Q$5*$AM541^6+WeightSDS!R$5*$AM541^5+WeightSDS!S$5*$AM541^4+WeightSDS!T$5*$AM541^3+WeightSDS!U$5*$AM541^2+WeightSDS!V$5*$AM541+WeightSDS!W$5,IF($AM541&lt;186,WeightSDS!P$8*$AM541^7+WeightSDS!Q$8*$AM541^6+WeightSDS!R$8*$AM541^5+WeightSDS!S$8*$AM541^4+WeightSDS!T$8*$AM541^3+WeightSDS!U$8*$AM541^2+WeightSDS!V$8*$AM541+WeightSDS!W$8,WeightSDS!$U$9+WeightSDS!$V$9*($AM541-WeightSDS!$W$9)))</f>
        <v>0.75407122999999998</v>
      </c>
      <c r="AP541" s="4">
        <f>IF(D541="M",IF($AM541&lt;45,WeightSDS!M$23*$AM541^10+WeightSDS!N$23*$AM541^9+WeightSDS!O$23*$AM541^8+WeightSDS!P$23*$AM541^7+WeightSDS!Q$23*$AM541^6+WeightSDS!R$23*$AM541^5+WeightSDS!S$23*$AM541^4+WeightSDS!T$23*$AM541^3+WeightSDS!U$23*$AM541^2+WeightSDS!V$23*$AM541+WeightSDS!W$23,IF($AM541&lt;153,WeightSDS!M$25*$AM541^10+WeightSDS!N$25*$AM541^9+WeightSDS!O$25*$AM541^8+WeightSDS!P$25*$AM541^7+WeightSDS!Q$25*$AM541^6+WeightSDS!R$25*$AM541^5+WeightSDS!S$25*$AM541^4+WeightSDS!T$25*$AM541^3+WeightSDS!U$25*$AM541^2+WeightSDS!V$25*$AM541+WeightSDS!W$25,WeightSDS!M$27+WeightSDS!N$27/(1+EXP(WeightSDS!O$27+WeightSDS!P$27*$AM541)))),IF($AM541&lt;43.8,WeightSDS!M$29*$AM541^10+WeightSDS!N$29*$AM541^9+WeightSDS!O$29*$AM541^8+WeightSDS!P$29*$AM541^7+WeightSDS!Q$29*$AM541^6+WeightSDS!R$29*$AM541^5+WeightSDS!S$29*$AM541^4+WeightSDS!T$29*$AM541^3+WeightSDS!U$29*$AM541^2+WeightSDS!V$29*$AM541+WeightSDS!W$29-0.010431*(1-$AM541/210),IF($AM541&lt;123,WeightSDS!M$30*$AM541^10+WeightSDS!N$30*$AM541^9+WeightSDS!O$30*$AM541^8+WeightSDS!P$30*$AM541^7+WeightSDS!Q$30*$AM541^6+WeightSDS!R$30*$AM541^5+WeightSDS!S$30*$AM541^4+WeightSDS!T$30*$AM541^3+WeightSDS!U$30*$AM541^2+WeightSDS!V$30*$AM541+WeightSDS!W$30-0.010431*(1-1/$AM541),WeightSDS!M$32+WeightSDS!N$32/(1+EXP(WeightSDS!O$32+WeightSDS!P$32*$AM541))-0.010431*(1-$AM541/210))))</f>
        <v>2.9500001032655536</v>
      </c>
      <c r="AQ541" s="4">
        <f>IF(D541="M",IF($AM541&lt;162,WeightSDS!P$12*$AM541^7+WeightSDS!Q$12*$AM541^6+WeightSDS!R$12*$AM541^5+WeightSDS!S$12*$AM541^4+WeightSDS!T$12*$AM541^3+WeightSDS!U$12*$AM541^2+WeightSDS!V$12*$AM541+WeightSDS!W$12,WeightSDS!P$14*$AM541^7+WeightSDS!Q$14*$AM541^6+WeightSDS!R$14*$AM541^5+WeightSDS!S$14*$AM541^4+WeightSDS!T$14*$AM541^3+WeightSDS!U$14*$AM541^2+WeightSDS!V$14*$AM541+WeightSDS!W$14),IF($AM541&lt;156,WeightSDS!O$17*$AM541^8+WeightSDS!P$17*$AM541^7+WeightSDS!Q$17*$AM541^6+WeightSDS!R$17*$AM541^5+WeightSDS!S$17*$AM541^4+WeightSDS!T$17*$AM541^3+WeightSDS!U$17*$AM541^2+WeightSDS!V$17*$AM541+WeightSDS!W$17,IF($AM541&lt;186,WeightSDS!$U$18+(WeightSDS!$V$18-WeightSDS!$U$18)/24*($AM541-186)+WeightSDS!$W$18*(-$AM541+186)^2-0.005,WeightSDS!$U$18+(WeightSDS!$V$18-WeightSDS!$U$18)/24*($AM541-186)-0.005)))</f>
        <v>0.14604529399999999</v>
      </c>
      <c r="AT541" s="4">
        <f t="shared" si="175"/>
        <v>0.56299999999999994</v>
      </c>
      <c r="AU541" s="4">
        <f t="shared" si="176"/>
        <v>69</v>
      </c>
      <c r="AV541" s="4">
        <f t="shared" si="177"/>
        <v>0.51</v>
      </c>
    </row>
    <row r="542" spans="1:48" x14ac:dyDescent="0.15">
      <c r="A542" s="4"/>
      <c r="B542" s="21"/>
      <c r="C542" s="21"/>
      <c r="D542" s="21"/>
      <c r="E542" s="22"/>
      <c r="F542" s="22"/>
      <c r="G542" s="23"/>
      <c r="H542" s="23"/>
      <c r="I542" s="181"/>
      <c r="J542" s="8" t="str">
        <f t="shared" si="169"/>
        <v/>
      </c>
      <c r="K542" s="2" t="str">
        <f t="shared" si="178"/>
        <v/>
      </c>
      <c r="L542" s="2" t="str">
        <f t="shared" si="170"/>
        <v/>
      </c>
      <c r="M542" s="2" t="str">
        <f t="shared" si="179"/>
        <v/>
      </c>
      <c r="N542" s="2" t="str">
        <f t="shared" si="187"/>
        <v/>
      </c>
      <c r="O542" s="2" t="str">
        <f t="shared" si="180"/>
        <v/>
      </c>
      <c r="P542" s="8" t="str">
        <f t="shared" si="181"/>
        <v/>
      </c>
      <c r="Q542" s="8" t="str">
        <f t="shared" si="182"/>
        <v/>
      </c>
      <c r="R542" s="111" t="str">
        <f t="shared" si="183"/>
        <v/>
      </c>
      <c r="S542" s="44" t="str">
        <f t="shared" si="184"/>
        <v/>
      </c>
      <c r="T542" s="37" t="str">
        <f t="shared" si="185"/>
        <v/>
      </c>
      <c r="U542" s="44" t="str">
        <f t="shared" si="186"/>
        <v/>
      </c>
      <c r="V542" s="26"/>
      <c r="W542" s="26"/>
      <c r="X542" s="26"/>
      <c r="Y542" s="26"/>
      <c r="Z542" s="24"/>
      <c r="AA542" s="169">
        <f t="shared" si="171"/>
        <v>0</v>
      </c>
      <c r="AB542" s="4">
        <f t="shared" si="172"/>
        <v>0</v>
      </c>
      <c r="AC542" s="170">
        <f t="shared" ref="AC542:AC605" si="189">DATEDIF(E542,F542,"Y")+(F542-(DATE(YEAR(E542)+DATEDIF(E542,F542,"Y"),MONTH(E542),DAY(E542))))/(365+IF(MOD(YEAR((DATE(YEAR(F542)-1,MONTH(E542),DAY(E542)))),4)=0,IF((DATE(YEAR(F542)-1,MONTH(E542),DAY(E542)))&gt;DATE(YEAR((DATE(YEAR(F542)-1,MONTH(E542),DAY(E542)))),2,29),0,1),0)+IF(MOD(YEAR(F542),4)=0,IF(F542&gt;DATE(YEAR(F542),2,29),1,0),0))</f>
        <v>0</v>
      </c>
      <c r="AD542" s="58"/>
      <c r="AE542" s="58"/>
      <c r="AF542" s="58"/>
      <c r="AG542" s="59">
        <f t="shared" si="173"/>
        <v>9.0359999999999996</v>
      </c>
      <c r="AH542" s="59">
        <f t="shared" si="174"/>
        <v>-184.49199999999999</v>
      </c>
      <c r="AJ542" s="4">
        <f>IF(D542="M",IF(AM542&lt;78,BMILMS!$D$5*AM542^3+BMILMS!$E$5*AM542^2+BMILMS!$F$5*AM542+BMILMS!$G$5,IF(AM542&lt;150,BMILMS!$D$6*AM542^3+BMILMS!$E$6*AM542^2+BMILMS!$F$6*AM542+BMILMS!$G$6,BMILMS!$D$7*AM542^3+BMILMS!$E$7*AM542^2+BMILMS!$F$7*AM542+BMILMS!$G$7)),IF(AM542&lt;69,BMILMS!$D$9*AM542^3+BMILMS!$E$9*AM542^2+BMILMS!$F$9*AM542+BMILMS!$G$9,IF(AM542&lt;150,BMILMS!$D$10*AM542^3+BMILMS!$E$10*AM542^2+BMILMS!$F$10*AM542+BMILMS!$G$10,BMILMS!$D$11*AM542^3+BMILMS!$E$11*AM542^2+BMILMS!$F$11*AM542+BMILMS!$G$11)))</f>
        <v>0.79584630099999998</v>
      </c>
      <c r="AK542" s="4">
        <f>IF(D542="M",(IF(AM542&lt;2.5,BMILMS!$D$21*AM542^3+BMILMS!$E$21*AM542^2+BMILMS!$F$21*AM542+BMILMS!$G$21,IF(AM542&lt;9.5,BMILMS!$D$22*AM542^3+BMILMS!$E$22*AM542^2+BMILMS!$F$22*AM542+BMILMS!$G$22,IF(AM542&lt;26.75,BMILMS!$D$23*AM542^3+BMILMS!$E$23*AM542^2+BMILMS!$F$23*AM542+BMILMS!$G$23,IF(AM542&lt;90,BMILMS!$D$24*AM542^3+BMILMS!$E$24*AM542^2+BMILMS!$F$24*AM542+BMILMS!$G$24,BMILMS!$D$25*AM542^3+BMILMS!$E$25*AM542^2+BMILMS!$F$25*AM542+BMILMS!$G$25))))),(IF(AM542&lt;2.5,BMILMS!$D$27*AM542^3+BMILMS!$E$27*AM542^2+BMILMS!$F$27*AM542+BMILMS!$G$27,IF(AM542&lt;9.5,BMILMS!$D$28*AM542^3+BMILMS!$E$28*AM542^2+BMILMS!$F$28*AM542+BMILMS!$G$28,IF(AM542&lt;26.75,BMILMS!$D$29*AM542^3+BMILMS!$E$29*AM542^2+BMILMS!$F$29*AM542+BMILMS!$G$29,IF(AM542&lt;90,BMILMS!$D$30*AM542^3+BMILMS!$E$30*AM542^2+BMILMS!$F$30*AM542+BMILMS!$G$30,IF(AM542&lt;150,BMILMS!$D$31*AM542^3+BMILMS!$E$31*AM542^2+BMILMS!$F$31*AM542+BMILMS!$G$31,BMILMS!$D$32*AM542^3+BMILMS!$E$32*AM542^2+BMILMS!$F$32*AM542+BMILMS!$G$32)))))))</f>
        <v>12.568967990000001</v>
      </c>
      <c r="AL542" s="4">
        <f>IF(D542="M",(IF(AM542&lt;90,BMILMS!$D$14*AM542^3+BMILMS!$E$14*AM542^2+BMILMS!$F$14*AM542+BMILMS!$G$14,BMILMS!$D$15*AM542^3+BMILMS!$E$15*AM542^2+BMILMS!$F$15*AM542+BMILMS!$G$15)),(IF(AM542&lt;90,BMILMS!$D$17*AM542^3+BMILMS!$E$17*AM542^2+BMILMS!$F$17*AM542+BMILMS!$G$17,BMILMS!$D$18*AM542^3+BMILMS!$E$18*AM542^2+BMILMS!$F$18*AM542+BMILMS!$G$18)))</f>
        <v>8.8969350000000003E-2</v>
      </c>
      <c r="AM542" s="4">
        <f t="shared" si="188"/>
        <v>0</v>
      </c>
      <c r="AO542" s="56">
        <f>IF(D542="M",WeightSDS!P$5*$AM542^7+WeightSDS!Q$5*$AM542^6+WeightSDS!R$5*$AM542^5+WeightSDS!S$5*$AM542^4+WeightSDS!T$5*$AM542^3+WeightSDS!U$5*$AM542^2+WeightSDS!V$5*$AM542+WeightSDS!W$5,IF($AM542&lt;186,WeightSDS!P$8*$AM542^7+WeightSDS!Q$8*$AM542^6+WeightSDS!R$8*$AM542^5+WeightSDS!S$8*$AM542^4+WeightSDS!T$8*$AM542^3+WeightSDS!U$8*$AM542^2+WeightSDS!V$8*$AM542+WeightSDS!W$8,WeightSDS!$U$9+WeightSDS!$V$9*($AM542-WeightSDS!$W$9)))</f>
        <v>0.75407122999999998</v>
      </c>
      <c r="AP542" s="4">
        <f>IF(D542="M",IF($AM542&lt;45,WeightSDS!M$23*$AM542^10+WeightSDS!N$23*$AM542^9+WeightSDS!O$23*$AM542^8+WeightSDS!P$23*$AM542^7+WeightSDS!Q$23*$AM542^6+WeightSDS!R$23*$AM542^5+WeightSDS!S$23*$AM542^4+WeightSDS!T$23*$AM542^3+WeightSDS!U$23*$AM542^2+WeightSDS!V$23*$AM542+WeightSDS!W$23,IF($AM542&lt;153,WeightSDS!M$25*$AM542^10+WeightSDS!N$25*$AM542^9+WeightSDS!O$25*$AM542^8+WeightSDS!P$25*$AM542^7+WeightSDS!Q$25*$AM542^6+WeightSDS!R$25*$AM542^5+WeightSDS!S$25*$AM542^4+WeightSDS!T$25*$AM542^3+WeightSDS!U$25*$AM542^2+WeightSDS!V$25*$AM542+WeightSDS!W$25,WeightSDS!M$27+WeightSDS!N$27/(1+EXP(WeightSDS!O$27+WeightSDS!P$27*$AM542)))),IF($AM542&lt;43.8,WeightSDS!M$29*$AM542^10+WeightSDS!N$29*$AM542^9+WeightSDS!O$29*$AM542^8+WeightSDS!P$29*$AM542^7+WeightSDS!Q$29*$AM542^6+WeightSDS!R$29*$AM542^5+WeightSDS!S$29*$AM542^4+WeightSDS!T$29*$AM542^3+WeightSDS!U$29*$AM542^2+WeightSDS!V$29*$AM542+WeightSDS!W$29-0.010431*(1-$AM542/210),IF($AM542&lt;123,WeightSDS!M$30*$AM542^10+WeightSDS!N$30*$AM542^9+WeightSDS!O$30*$AM542^8+WeightSDS!P$30*$AM542^7+WeightSDS!Q$30*$AM542^6+WeightSDS!R$30*$AM542^5+WeightSDS!S$30*$AM542^4+WeightSDS!T$30*$AM542^3+WeightSDS!U$30*$AM542^2+WeightSDS!V$30*$AM542+WeightSDS!W$30-0.010431*(1-1/$AM542),WeightSDS!M$32+WeightSDS!N$32/(1+EXP(WeightSDS!O$32+WeightSDS!P$32*$AM542))-0.010431*(1-$AM542/210))))</f>
        <v>2.9500001032655536</v>
      </c>
      <c r="AQ542" s="4">
        <f>IF(D542="M",IF($AM542&lt;162,WeightSDS!P$12*$AM542^7+WeightSDS!Q$12*$AM542^6+WeightSDS!R$12*$AM542^5+WeightSDS!S$12*$AM542^4+WeightSDS!T$12*$AM542^3+WeightSDS!U$12*$AM542^2+WeightSDS!V$12*$AM542+WeightSDS!W$12,WeightSDS!P$14*$AM542^7+WeightSDS!Q$14*$AM542^6+WeightSDS!R$14*$AM542^5+WeightSDS!S$14*$AM542^4+WeightSDS!T$14*$AM542^3+WeightSDS!U$14*$AM542^2+WeightSDS!V$14*$AM542+WeightSDS!W$14),IF($AM542&lt;156,WeightSDS!O$17*$AM542^8+WeightSDS!P$17*$AM542^7+WeightSDS!Q$17*$AM542^6+WeightSDS!R$17*$AM542^5+WeightSDS!S$17*$AM542^4+WeightSDS!T$17*$AM542^3+WeightSDS!U$17*$AM542^2+WeightSDS!V$17*$AM542+WeightSDS!W$17,IF($AM542&lt;186,WeightSDS!$U$18+(WeightSDS!$V$18-WeightSDS!$U$18)/24*($AM542-186)+WeightSDS!$W$18*(-$AM542+186)^2-0.005,WeightSDS!$U$18+(WeightSDS!$V$18-WeightSDS!$U$18)/24*($AM542-186)-0.005)))</f>
        <v>0.14604529399999999</v>
      </c>
      <c r="AT542" s="4">
        <f t="shared" si="175"/>
        <v>0.56299999999999994</v>
      </c>
      <c r="AU542" s="4">
        <f t="shared" si="176"/>
        <v>69</v>
      </c>
      <c r="AV542" s="4">
        <f t="shared" si="177"/>
        <v>0.51</v>
      </c>
    </row>
    <row r="543" spans="1:48" x14ac:dyDescent="0.15">
      <c r="A543" s="4"/>
      <c r="B543" s="21"/>
      <c r="C543" s="21"/>
      <c r="D543" s="21"/>
      <c r="E543" s="22"/>
      <c r="F543" s="22"/>
      <c r="G543" s="23"/>
      <c r="H543" s="23"/>
      <c r="I543" s="181"/>
      <c r="J543" s="8" t="str">
        <f t="shared" si="169"/>
        <v/>
      </c>
      <c r="K543" s="2" t="str">
        <f t="shared" si="178"/>
        <v/>
      </c>
      <c r="L543" s="2" t="str">
        <f t="shared" si="170"/>
        <v/>
      </c>
      <c r="M543" s="2" t="str">
        <f t="shared" si="179"/>
        <v/>
      </c>
      <c r="N543" s="2" t="str">
        <f t="shared" si="187"/>
        <v/>
      </c>
      <c r="O543" s="2" t="str">
        <f t="shared" si="180"/>
        <v/>
      </c>
      <c r="P543" s="8" t="str">
        <f t="shared" si="181"/>
        <v/>
      </c>
      <c r="Q543" s="8" t="str">
        <f t="shared" si="182"/>
        <v/>
      </c>
      <c r="R543" s="111" t="str">
        <f t="shared" si="183"/>
        <v/>
      </c>
      <c r="S543" s="44" t="str">
        <f t="shared" si="184"/>
        <v/>
      </c>
      <c r="T543" s="37" t="str">
        <f t="shared" si="185"/>
        <v/>
      </c>
      <c r="U543" s="44" t="str">
        <f t="shared" si="186"/>
        <v/>
      </c>
      <c r="V543" s="26"/>
      <c r="W543" s="26"/>
      <c r="X543" s="26"/>
      <c r="Y543" s="26"/>
      <c r="Z543" s="24"/>
      <c r="AA543" s="169">
        <f t="shared" si="171"/>
        <v>0</v>
      </c>
      <c r="AB543" s="4">
        <f t="shared" si="172"/>
        <v>0</v>
      </c>
      <c r="AC543" s="170">
        <f t="shared" si="189"/>
        <v>0</v>
      </c>
      <c r="AD543" s="58"/>
      <c r="AE543" s="58"/>
      <c r="AF543" s="58"/>
      <c r="AG543" s="59">
        <f t="shared" si="173"/>
        <v>9.0359999999999996</v>
      </c>
      <c r="AH543" s="59">
        <f t="shared" si="174"/>
        <v>-184.49199999999999</v>
      </c>
      <c r="AJ543" s="4">
        <f>IF(D543="M",IF(AM543&lt;78,BMILMS!$D$5*AM543^3+BMILMS!$E$5*AM543^2+BMILMS!$F$5*AM543+BMILMS!$G$5,IF(AM543&lt;150,BMILMS!$D$6*AM543^3+BMILMS!$E$6*AM543^2+BMILMS!$F$6*AM543+BMILMS!$G$6,BMILMS!$D$7*AM543^3+BMILMS!$E$7*AM543^2+BMILMS!$F$7*AM543+BMILMS!$G$7)),IF(AM543&lt;69,BMILMS!$D$9*AM543^3+BMILMS!$E$9*AM543^2+BMILMS!$F$9*AM543+BMILMS!$G$9,IF(AM543&lt;150,BMILMS!$D$10*AM543^3+BMILMS!$E$10*AM543^2+BMILMS!$F$10*AM543+BMILMS!$G$10,BMILMS!$D$11*AM543^3+BMILMS!$E$11*AM543^2+BMILMS!$F$11*AM543+BMILMS!$G$11)))</f>
        <v>0.79584630099999998</v>
      </c>
      <c r="AK543" s="4">
        <f>IF(D543="M",(IF(AM543&lt;2.5,BMILMS!$D$21*AM543^3+BMILMS!$E$21*AM543^2+BMILMS!$F$21*AM543+BMILMS!$G$21,IF(AM543&lt;9.5,BMILMS!$D$22*AM543^3+BMILMS!$E$22*AM543^2+BMILMS!$F$22*AM543+BMILMS!$G$22,IF(AM543&lt;26.75,BMILMS!$D$23*AM543^3+BMILMS!$E$23*AM543^2+BMILMS!$F$23*AM543+BMILMS!$G$23,IF(AM543&lt;90,BMILMS!$D$24*AM543^3+BMILMS!$E$24*AM543^2+BMILMS!$F$24*AM543+BMILMS!$G$24,BMILMS!$D$25*AM543^3+BMILMS!$E$25*AM543^2+BMILMS!$F$25*AM543+BMILMS!$G$25))))),(IF(AM543&lt;2.5,BMILMS!$D$27*AM543^3+BMILMS!$E$27*AM543^2+BMILMS!$F$27*AM543+BMILMS!$G$27,IF(AM543&lt;9.5,BMILMS!$D$28*AM543^3+BMILMS!$E$28*AM543^2+BMILMS!$F$28*AM543+BMILMS!$G$28,IF(AM543&lt;26.75,BMILMS!$D$29*AM543^3+BMILMS!$E$29*AM543^2+BMILMS!$F$29*AM543+BMILMS!$G$29,IF(AM543&lt;90,BMILMS!$D$30*AM543^3+BMILMS!$E$30*AM543^2+BMILMS!$F$30*AM543+BMILMS!$G$30,IF(AM543&lt;150,BMILMS!$D$31*AM543^3+BMILMS!$E$31*AM543^2+BMILMS!$F$31*AM543+BMILMS!$G$31,BMILMS!$D$32*AM543^3+BMILMS!$E$32*AM543^2+BMILMS!$F$32*AM543+BMILMS!$G$32)))))))</f>
        <v>12.568967990000001</v>
      </c>
      <c r="AL543" s="4">
        <f>IF(D543="M",(IF(AM543&lt;90,BMILMS!$D$14*AM543^3+BMILMS!$E$14*AM543^2+BMILMS!$F$14*AM543+BMILMS!$G$14,BMILMS!$D$15*AM543^3+BMILMS!$E$15*AM543^2+BMILMS!$F$15*AM543+BMILMS!$G$15)),(IF(AM543&lt;90,BMILMS!$D$17*AM543^3+BMILMS!$E$17*AM543^2+BMILMS!$F$17*AM543+BMILMS!$G$17,BMILMS!$D$18*AM543^3+BMILMS!$E$18*AM543^2+BMILMS!$F$18*AM543+BMILMS!$G$18)))</f>
        <v>8.8969350000000003E-2</v>
      </c>
      <c r="AM543" s="4">
        <f t="shared" si="188"/>
        <v>0</v>
      </c>
      <c r="AO543" s="56">
        <f>IF(D543="M",WeightSDS!P$5*$AM543^7+WeightSDS!Q$5*$AM543^6+WeightSDS!R$5*$AM543^5+WeightSDS!S$5*$AM543^4+WeightSDS!T$5*$AM543^3+WeightSDS!U$5*$AM543^2+WeightSDS!V$5*$AM543+WeightSDS!W$5,IF($AM543&lt;186,WeightSDS!P$8*$AM543^7+WeightSDS!Q$8*$AM543^6+WeightSDS!R$8*$AM543^5+WeightSDS!S$8*$AM543^4+WeightSDS!T$8*$AM543^3+WeightSDS!U$8*$AM543^2+WeightSDS!V$8*$AM543+WeightSDS!W$8,WeightSDS!$U$9+WeightSDS!$V$9*($AM543-WeightSDS!$W$9)))</f>
        <v>0.75407122999999998</v>
      </c>
      <c r="AP543" s="4">
        <f>IF(D543="M",IF($AM543&lt;45,WeightSDS!M$23*$AM543^10+WeightSDS!N$23*$AM543^9+WeightSDS!O$23*$AM543^8+WeightSDS!P$23*$AM543^7+WeightSDS!Q$23*$AM543^6+WeightSDS!R$23*$AM543^5+WeightSDS!S$23*$AM543^4+WeightSDS!T$23*$AM543^3+WeightSDS!U$23*$AM543^2+WeightSDS!V$23*$AM543+WeightSDS!W$23,IF($AM543&lt;153,WeightSDS!M$25*$AM543^10+WeightSDS!N$25*$AM543^9+WeightSDS!O$25*$AM543^8+WeightSDS!P$25*$AM543^7+WeightSDS!Q$25*$AM543^6+WeightSDS!R$25*$AM543^5+WeightSDS!S$25*$AM543^4+WeightSDS!T$25*$AM543^3+WeightSDS!U$25*$AM543^2+WeightSDS!V$25*$AM543+WeightSDS!W$25,WeightSDS!M$27+WeightSDS!N$27/(1+EXP(WeightSDS!O$27+WeightSDS!P$27*$AM543)))),IF($AM543&lt;43.8,WeightSDS!M$29*$AM543^10+WeightSDS!N$29*$AM543^9+WeightSDS!O$29*$AM543^8+WeightSDS!P$29*$AM543^7+WeightSDS!Q$29*$AM543^6+WeightSDS!R$29*$AM543^5+WeightSDS!S$29*$AM543^4+WeightSDS!T$29*$AM543^3+WeightSDS!U$29*$AM543^2+WeightSDS!V$29*$AM543+WeightSDS!W$29-0.010431*(1-$AM543/210),IF($AM543&lt;123,WeightSDS!M$30*$AM543^10+WeightSDS!N$30*$AM543^9+WeightSDS!O$30*$AM543^8+WeightSDS!P$30*$AM543^7+WeightSDS!Q$30*$AM543^6+WeightSDS!R$30*$AM543^5+WeightSDS!S$30*$AM543^4+WeightSDS!T$30*$AM543^3+WeightSDS!U$30*$AM543^2+WeightSDS!V$30*$AM543+WeightSDS!W$30-0.010431*(1-1/$AM543),WeightSDS!M$32+WeightSDS!N$32/(1+EXP(WeightSDS!O$32+WeightSDS!P$32*$AM543))-0.010431*(1-$AM543/210))))</f>
        <v>2.9500001032655536</v>
      </c>
      <c r="AQ543" s="4">
        <f>IF(D543="M",IF($AM543&lt;162,WeightSDS!P$12*$AM543^7+WeightSDS!Q$12*$AM543^6+WeightSDS!R$12*$AM543^5+WeightSDS!S$12*$AM543^4+WeightSDS!T$12*$AM543^3+WeightSDS!U$12*$AM543^2+WeightSDS!V$12*$AM543+WeightSDS!W$12,WeightSDS!P$14*$AM543^7+WeightSDS!Q$14*$AM543^6+WeightSDS!R$14*$AM543^5+WeightSDS!S$14*$AM543^4+WeightSDS!T$14*$AM543^3+WeightSDS!U$14*$AM543^2+WeightSDS!V$14*$AM543+WeightSDS!W$14),IF($AM543&lt;156,WeightSDS!O$17*$AM543^8+WeightSDS!P$17*$AM543^7+WeightSDS!Q$17*$AM543^6+WeightSDS!R$17*$AM543^5+WeightSDS!S$17*$AM543^4+WeightSDS!T$17*$AM543^3+WeightSDS!U$17*$AM543^2+WeightSDS!V$17*$AM543+WeightSDS!W$17,IF($AM543&lt;186,WeightSDS!$U$18+(WeightSDS!$V$18-WeightSDS!$U$18)/24*($AM543-186)+WeightSDS!$W$18*(-$AM543+186)^2-0.005,WeightSDS!$U$18+(WeightSDS!$V$18-WeightSDS!$U$18)/24*($AM543-186)-0.005)))</f>
        <v>0.14604529399999999</v>
      </c>
      <c r="AT543" s="4">
        <f t="shared" si="175"/>
        <v>0.56299999999999994</v>
      </c>
      <c r="AU543" s="4">
        <f t="shared" si="176"/>
        <v>69</v>
      </c>
      <c r="AV543" s="4">
        <f t="shared" si="177"/>
        <v>0.51</v>
      </c>
    </row>
    <row r="544" spans="1:48" x14ac:dyDescent="0.15">
      <c r="A544" s="4"/>
      <c r="B544" s="21"/>
      <c r="C544" s="21"/>
      <c r="D544" s="21"/>
      <c r="E544" s="22"/>
      <c r="F544" s="22"/>
      <c r="G544" s="23"/>
      <c r="H544" s="23"/>
      <c r="I544" s="181"/>
      <c r="J544" s="8" t="str">
        <f t="shared" si="169"/>
        <v/>
      </c>
      <c r="K544" s="2" t="str">
        <f t="shared" si="178"/>
        <v/>
      </c>
      <c r="L544" s="2" t="str">
        <f t="shared" si="170"/>
        <v/>
      </c>
      <c r="M544" s="2" t="str">
        <f t="shared" si="179"/>
        <v/>
      </c>
      <c r="N544" s="2" t="str">
        <f t="shared" si="187"/>
        <v/>
      </c>
      <c r="O544" s="2" t="str">
        <f t="shared" si="180"/>
        <v/>
      </c>
      <c r="P544" s="8" t="str">
        <f t="shared" si="181"/>
        <v/>
      </c>
      <c r="Q544" s="8" t="str">
        <f t="shared" si="182"/>
        <v/>
      </c>
      <c r="R544" s="111" t="str">
        <f t="shared" si="183"/>
        <v/>
      </c>
      <c r="S544" s="44" t="str">
        <f t="shared" si="184"/>
        <v/>
      </c>
      <c r="T544" s="37" t="str">
        <f t="shared" si="185"/>
        <v/>
      </c>
      <c r="U544" s="44" t="str">
        <f t="shared" si="186"/>
        <v/>
      </c>
      <c r="V544" s="26"/>
      <c r="W544" s="26"/>
      <c r="X544" s="26"/>
      <c r="Y544" s="26"/>
      <c r="Z544" s="24"/>
      <c r="AA544" s="169">
        <f t="shared" si="171"/>
        <v>0</v>
      </c>
      <c r="AB544" s="4">
        <f t="shared" si="172"/>
        <v>0</v>
      </c>
      <c r="AC544" s="170">
        <f t="shared" si="189"/>
        <v>0</v>
      </c>
      <c r="AD544" s="58"/>
      <c r="AE544" s="58"/>
      <c r="AF544" s="58"/>
      <c r="AG544" s="59">
        <f t="shared" si="173"/>
        <v>9.0359999999999996</v>
      </c>
      <c r="AH544" s="59">
        <f t="shared" si="174"/>
        <v>-184.49199999999999</v>
      </c>
      <c r="AJ544" s="4">
        <f>IF(D544="M",IF(AM544&lt;78,BMILMS!$D$5*AM544^3+BMILMS!$E$5*AM544^2+BMILMS!$F$5*AM544+BMILMS!$G$5,IF(AM544&lt;150,BMILMS!$D$6*AM544^3+BMILMS!$E$6*AM544^2+BMILMS!$F$6*AM544+BMILMS!$G$6,BMILMS!$D$7*AM544^3+BMILMS!$E$7*AM544^2+BMILMS!$F$7*AM544+BMILMS!$G$7)),IF(AM544&lt;69,BMILMS!$D$9*AM544^3+BMILMS!$E$9*AM544^2+BMILMS!$F$9*AM544+BMILMS!$G$9,IF(AM544&lt;150,BMILMS!$D$10*AM544^3+BMILMS!$E$10*AM544^2+BMILMS!$F$10*AM544+BMILMS!$G$10,BMILMS!$D$11*AM544^3+BMILMS!$E$11*AM544^2+BMILMS!$F$11*AM544+BMILMS!$G$11)))</f>
        <v>0.79584630099999998</v>
      </c>
      <c r="AK544" s="4">
        <f>IF(D544="M",(IF(AM544&lt;2.5,BMILMS!$D$21*AM544^3+BMILMS!$E$21*AM544^2+BMILMS!$F$21*AM544+BMILMS!$G$21,IF(AM544&lt;9.5,BMILMS!$D$22*AM544^3+BMILMS!$E$22*AM544^2+BMILMS!$F$22*AM544+BMILMS!$G$22,IF(AM544&lt;26.75,BMILMS!$D$23*AM544^3+BMILMS!$E$23*AM544^2+BMILMS!$F$23*AM544+BMILMS!$G$23,IF(AM544&lt;90,BMILMS!$D$24*AM544^3+BMILMS!$E$24*AM544^2+BMILMS!$F$24*AM544+BMILMS!$G$24,BMILMS!$D$25*AM544^3+BMILMS!$E$25*AM544^2+BMILMS!$F$25*AM544+BMILMS!$G$25))))),(IF(AM544&lt;2.5,BMILMS!$D$27*AM544^3+BMILMS!$E$27*AM544^2+BMILMS!$F$27*AM544+BMILMS!$G$27,IF(AM544&lt;9.5,BMILMS!$D$28*AM544^3+BMILMS!$E$28*AM544^2+BMILMS!$F$28*AM544+BMILMS!$G$28,IF(AM544&lt;26.75,BMILMS!$D$29*AM544^3+BMILMS!$E$29*AM544^2+BMILMS!$F$29*AM544+BMILMS!$G$29,IF(AM544&lt;90,BMILMS!$D$30*AM544^3+BMILMS!$E$30*AM544^2+BMILMS!$F$30*AM544+BMILMS!$G$30,IF(AM544&lt;150,BMILMS!$D$31*AM544^3+BMILMS!$E$31*AM544^2+BMILMS!$F$31*AM544+BMILMS!$G$31,BMILMS!$D$32*AM544^3+BMILMS!$E$32*AM544^2+BMILMS!$F$32*AM544+BMILMS!$G$32)))))))</f>
        <v>12.568967990000001</v>
      </c>
      <c r="AL544" s="4">
        <f>IF(D544="M",(IF(AM544&lt;90,BMILMS!$D$14*AM544^3+BMILMS!$E$14*AM544^2+BMILMS!$F$14*AM544+BMILMS!$G$14,BMILMS!$D$15*AM544^3+BMILMS!$E$15*AM544^2+BMILMS!$F$15*AM544+BMILMS!$G$15)),(IF(AM544&lt;90,BMILMS!$D$17*AM544^3+BMILMS!$E$17*AM544^2+BMILMS!$F$17*AM544+BMILMS!$G$17,BMILMS!$D$18*AM544^3+BMILMS!$E$18*AM544^2+BMILMS!$F$18*AM544+BMILMS!$G$18)))</f>
        <v>8.8969350000000003E-2</v>
      </c>
      <c r="AM544" s="4">
        <f t="shared" si="188"/>
        <v>0</v>
      </c>
      <c r="AO544" s="56">
        <f>IF(D544="M",WeightSDS!P$5*$AM544^7+WeightSDS!Q$5*$AM544^6+WeightSDS!R$5*$AM544^5+WeightSDS!S$5*$AM544^4+WeightSDS!T$5*$AM544^3+WeightSDS!U$5*$AM544^2+WeightSDS!V$5*$AM544+WeightSDS!W$5,IF($AM544&lt;186,WeightSDS!P$8*$AM544^7+WeightSDS!Q$8*$AM544^6+WeightSDS!R$8*$AM544^5+WeightSDS!S$8*$AM544^4+WeightSDS!T$8*$AM544^3+WeightSDS!U$8*$AM544^2+WeightSDS!V$8*$AM544+WeightSDS!W$8,WeightSDS!$U$9+WeightSDS!$V$9*($AM544-WeightSDS!$W$9)))</f>
        <v>0.75407122999999998</v>
      </c>
      <c r="AP544" s="4">
        <f>IF(D544="M",IF($AM544&lt;45,WeightSDS!M$23*$AM544^10+WeightSDS!N$23*$AM544^9+WeightSDS!O$23*$AM544^8+WeightSDS!P$23*$AM544^7+WeightSDS!Q$23*$AM544^6+WeightSDS!R$23*$AM544^5+WeightSDS!S$23*$AM544^4+WeightSDS!T$23*$AM544^3+WeightSDS!U$23*$AM544^2+WeightSDS!V$23*$AM544+WeightSDS!W$23,IF($AM544&lt;153,WeightSDS!M$25*$AM544^10+WeightSDS!N$25*$AM544^9+WeightSDS!O$25*$AM544^8+WeightSDS!P$25*$AM544^7+WeightSDS!Q$25*$AM544^6+WeightSDS!R$25*$AM544^5+WeightSDS!S$25*$AM544^4+WeightSDS!T$25*$AM544^3+WeightSDS!U$25*$AM544^2+WeightSDS!V$25*$AM544+WeightSDS!W$25,WeightSDS!M$27+WeightSDS!N$27/(1+EXP(WeightSDS!O$27+WeightSDS!P$27*$AM544)))),IF($AM544&lt;43.8,WeightSDS!M$29*$AM544^10+WeightSDS!N$29*$AM544^9+WeightSDS!O$29*$AM544^8+WeightSDS!P$29*$AM544^7+WeightSDS!Q$29*$AM544^6+WeightSDS!R$29*$AM544^5+WeightSDS!S$29*$AM544^4+WeightSDS!T$29*$AM544^3+WeightSDS!U$29*$AM544^2+WeightSDS!V$29*$AM544+WeightSDS!W$29-0.010431*(1-$AM544/210),IF($AM544&lt;123,WeightSDS!M$30*$AM544^10+WeightSDS!N$30*$AM544^9+WeightSDS!O$30*$AM544^8+WeightSDS!P$30*$AM544^7+WeightSDS!Q$30*$AM544^6+WeightSDS!R$30*$AM544^5+WeightSDS!S$30*$AM544^4+WeightSDS!T$30*$AM544^3+WeightSDS!U$30*$AM544^2+WeightSDS!V$30*$AM544+WeightSDS!W$30-0.010431*(1-1/$AM544),WeightSDS!M$32+WeightSDS!N$32/(1+EXP(WeightSDS!O$32+WeightSDS!P$32*$AM544))-0.010431*(1-$AM544/210))))</f>
        <v>2.9500001032655536</v>
      </c>
      <c r="AQ544" s="4">
        <f>IF(D544="M",IF($AM544&lt;162,WeightSDS!P$12*$AM544^7+WeightSDS!Q$12*$AM544^6+WeightSDS!R$12*$AM544^5+WeightSDS!S$12*$AM544^4+WeightSDS!T$12*$AM544^3+WeightSDS!U$12*$AM544^2+WeightSDS!V$12*$AM544+WeightSDS!W$12,WeightSDS!P$14*$AM544^7+WeightSDS!Q$14*$AM544^6+WeightSDS!R$14*$AM544^5+WeightSDS!S$14*$AM544^4+WeightSDS!T$14*$AM544^3+WeightSDS!U$14*$AM544^2+WeightSDS!V$14*$AM544+WeightSDS!W$14),IF($AM544&lt;156,WeightSDS!O$17*$AM544^8+WeightSDS!P$17*$AM544^7+WeightSDS!Q$17*$AM544^6+WeightSDS!R$17*$AM544^5+WeightSDS!S$17*$AM544^4+WeightSDS!T$17*$AM544^3+WeightSDS!U$17*$AM544^2+WeightSDS!V$17*$AM544+WeightSDS!W$17,IF($AM544&lt;186,WeightSDS!$U$18+(WeightSDS!$V$18-WeightSDS!$U$18)/24*($AM544-186)+WeightSDS!$W$18*(-$AM544+186)^2-0.005,WeightSDS!$U$18+(WeightSDS!$V$18-WeightSDS!$U$18)/24*($AM544-186)-0.005)))</f>
        <v>0.14604529399999999</v>
      </c>
      <c r="AT544" s="4">
        <f t="shared" si="175"/>
        <v>0.56299999999999994</v>
      </c>
      <c r="AU544" s="4">
        <f t="shared" si="176"/>
        <v>69</v>
      </c>
      <c r="AV544" s="4">
        <f t="shared" si="177"/>
        <v>0.51</v>
      </c>
    </row>
    <row r="545" spans="1:48" x14ac:dyDescent="0.15">
      <c r="A545" s="4"/>
      <c r="B545" s="21"/>
      <c r="C545" s="21"/>
      <c r="D545" s="21"/>
      <c r="E545" s="22"/>
      <c r="F545" s="22"/>
      <c r="G545" s="23"/>
      <c r="H545" s="23"/>
      <c r="I545" s="181"/>
      <c r="J545" s="8" t="str">
        <f t="shared" si="169"/>
        <v/>
      </c>
      <c r="K545" s="2" t="str">
        <f t="shared" si="178"/>
        <v/>
      </c>
      <c r="L545" s="2" t="str">
        <f t="shared" si="170"/>
        <v/>
      </c>
      <c r="M545" s="2" t="str">
        <f t="shared" si="179"/>
        <v/>
      </c>
      <c r="N545" s="2" t="str">
        <f t="shared" si="187"/>
        <v/>
      </c>
      <c r="O545" s="2" t="str">
        <f t="shared" si="180"/>
        <v/>
      </c>
      <c r="P545" s="8" t="str">
        <f t="shared" si="181"/>
        <v/>
      </c>
      <c r="Q545" s="8" t="str">
        <f t="shared" si="182"/>
        <v/>
      </c>
      <c r="R545" s="111" t="str">
        <f t="shared" si="183"/>
        <v/>
      </c>
      <c r="S545" s="44" t="str">
        <f t="shared" si="184"/>
        <v/>
      </c>
      <c r="T545" s="37" t="str">
        <f t="shared" si="185"/>
        <v/>
      </c>
      <c r="U545" s="44" t="str">
        <f t="shared" si="186"/>
        <v/>
      </c>
      <c r="V545" s="26"/>
      <c r="W545" s="26"/>
      <c r="X545" s="26"/>
      <c r="Y545" s="26"/>
      <c r="Z545" s="24"/>
      <c r="AA545" s="169">
        <f t="shared" si="171"/>
        <v>0</v>
      </c>
      <c r="AB545" s="4">
        <f t="shared" si="172"/>
        <v>0</v>
      </c>
      <c r="AC545" s="170">
        <f t="shared" si="189"/>
        <v>0</v>
      </c>
      <c r="AD545" s="58"/>
      <c r="AE545" s="58"/>
      <c r="AF545" s="58"/>
      <c r="AG545" s="59">
        <f t="shared" si="173"/>
        <v>9.0359999999999996</v>
      </c>
      <c r="AH545" s="59">
        <f t="shared" si="174"/>
        <v>-184.49199999999999</v>
      </c>
      <c r="AJ545" s="4">
        <f>IF(D545="M",IF(AM545&lt;78,BMILMS!$D$5*AM545^3+BMILMS!$E$5*AM545^2+BMILMS!$F$5*AM545+BMILMS!$G$5,IF(AM545&lt;150,BMILMS!$D$6*AM545^3+BMILMS!$E$6*AM545^2+BMILMS!$F$6*AM545+BMILMS!$G$6,BMILMS!$D$7*AM545^3+BMILMS!$E$7*AM545^2+BMILMS!$F$7*AM545+BMILMS!$G$7)),IF(AM545&lt;69,BMILMS!$D$9*AM545^3+BMILMS!$E$9*AM545^2+BMILMS!$F$9*AM545+BMILMS!$G$9,IF(AM545&lt;150,BMILMS!$D$10*AM545^3+BMILMS!$E$10*AM545^2+BMILMS!$F$10*AM545+BMILMS!$G$10,BMILMS!$D$11*AM545^3+BMILMS!$E$11*AM545^2+BMILMS!$F$11*AM545+BMILMS!$G$11)))</f>
        <v>0.79584630099999998</v>
      </c>
      <c r="AK545" s="4">
        <f>IF(D545="M",(IF(AM545&lt;2.5,BMILMS!$D$21*AM545^3+BMILMS!$E$21*AM545^2+BMILMS!$F$21*AM545+BMILMS!$G$21,IF(AM545&lt;9.5,BMILMS!$D$22*AM545^3+BMILMS!$E$22*AM545^2+BMILMS!$F$22*AM545+BMILMS!$G$22,IF(AM545&lt;26.75,BMILMS!$D$23*AM545^3+BMILMS!$E$23*AM545^2+BMILMS!$F$23*AM545+BMILMS!$G$23,IF(AM545&lt;90,BMILMS!$D$24*AM545^3+BMILMS!$E$24*AM545^2+BMILMS!$F$24*AM545+BMILMS!$G$24,BMILMS!$D$25*AM545^3+BMILMS!$E$25*AM545^2+BMILMS!$F$25*AM545+BMILMS!$G$25))))),(IF(AM545&lt;2.5,BMILMS!$D$27*AM545^3+BMILMS!$E$27*AM545^2+BMILMS!$F$27*AM545+BMILMS!$G$27,IF(AM545&lt;9.5,BMILMS!$D$28*AM545^3+BMILMS!$E$28*AM545^2+BMILMS!$F$28*AM545+BMILMS!$G$28,IF(AM545&lt;26.75,BMILMS!$D$29*AM545^3+BMILMS!$E$29*AM545^2+BMILMS!$F$29*AM545+BMILMS!$G$29,IF(AM545&lt;90,BMILMS!$D$30*AM545^3+BMILMS!$E$30*AM545^2+BMILMS!$F$30*AM545+BMILMS!$G$30,IF(AM545&lt;150,BMILMS!$D$31*AM545^3+BMILMS!$E$31*AM545^2+BMILMS!$F$31*AM545+BMILMS!$G$31,BMILMS!$D$32*AM545^3+BMILMS!$E$32*AM545^2+BMILMS!$F$32*AM545+BMILMS!$G$32)))))))</f>
        <v>12.568967990000001</v>
      </c>
      <c r="AL545" s="4">
        <f>IF(D545="M",(IF(AM545&lt;90,BMILMS!$D$14*AM545^3+BMILMS!$E$14*AM545^2+BMILMS!$F$14*AM545+BMILMS!$G$14,BMILMS!$D$15*AM545^3+BMILMS!$E$15*AM545^2+BMILMS!$F$15*AM545+BMILMS!$G$15)),(IF(AM545&lt;90,BMILMS!$D$17*AM545^3+BMILMS!$E$17*AM545^2+BMILMS!$F$17*AM545+BMILMS!$G$17,BMILMS!$D$18*AM545^3+BMILMS!$E$18*AM545^2+BMILMS!$F$18*AM545+BMILMS!$G$18)))</f>
        <v>8.8969350000000003E-2</v>
      </c>
      <c r="AM545" s="4">
        <f t="shared" si="188"/>
        <v>0</v>
      </c>
      <c r="AO545" s="56">
        <f>IF(D545="M",WeightSDS!P$5*$AM545^7+WeightSDS!Q$5*$AM545^6+WeightSDS!R$5*$AM545^5+WeightSDS!S$5*$AM545^4+WeightSDS!T$5*$AM545^3+WeightSDS!U$5*$AM545^2+WeightSDS!V$5*$AM545+WeightSDS!W$5,IF($AM545&lt;186,WeightSDS!P$8*$AM545^7+WeightSDS!Q$8*$AM545^6+WeightSDS!R$8*$AM545^5+WeightSDS!S$8*$AM545^4+WeightSDS!T$8*$AM545^3+WeightSDS!U$8*$AM545^2+WeightSDS!V$8*$AM545+WeightSDS!W$8,WeightSDS!$U$9+WeightSDS!$V$9*($AM545-WeightSDS!$W$9)))</f>
        <v>0.75407122999999998</v>
      </c>
      <c r="AP545" s="4">
        <f>IF(D545="M",IF($AM545&lt;45,WeightSDS!M$23*$AM545^10+WeightSDS!N$23*$AM545^9+WeightSDS!O$23*$AM545^8+WeightSDS!P$23*$AM545^7+WeightSDS!Q$23*$AM545^6+WeightSDS!R$23*$AM545^5+WeightSDS!S$23*$AM545^4+WeightSDS!T$23*$AM545^3+WeightSDS!U$23*$AM545^2+WeightSDS!V$23*$AM545+WeightSDS!W$23,IF($AM545&lt;153,WeightSDS!M$25*$AM545^10+WeightSDS!N$25*$AM545^9+WeightSDS!O$25*$AM545^8+WeightSDS!P$25*$AM545^7+WeightSDS!Q$25*$AM545^6+WeightSDS!R$25*$AM545^5+WeightSDS!S$25*$AM545^4+WeightSDS!T$25*$AM545^3+WeightSDS!U$25*$AM545^2+WeightSDS!V$25*$AM545+WeightSDS!W$25,WeightSDS!M$27+WeightSDS!N$27/(1+EXP(WeightSDS!O$27+WeightSDS!P$27*$AM545)))),IF($AM545&lt;43.8,WeightSDS!M$29*$AM545^10+WeightSDS!N$29*$AM545^9+WeightSDS!O$29*$AM545^8+WeightSDS!P$29*$AM545^7+WeightSDS!Q$29*$AM545^6+WeightSDS!R$29*$AM545^5+WeightSDS!S$29*$AM545^4+WeightSDS!T$29*$AM545^3+WeightSDS!U$29*$AM545^2+WeightSDS!V$29*$AM545+WeightSDS!W$29-0.010431*(1-$AM545/210),IF($AM545&lt;123,WeightSDS!M$30*$AM545^10+WeightSDS!N$30*$AM545^9+WeightSDS!O$30*$AM545^8+WeightSDS!P$30*$AM545^7+WeightSDS!Q$30*$AM545^6+WeightSDS!R$30*$AM545^5+WeightSDS!S$30*$AM545^4+WeightSDS!T$30*$AM545^3+WeightSDS!U$30*$AM545^2+WeightSDS!V$30*$AM545+WeightSDS!W$30-0.010431*(1-1/$AM545),WeightSDS!M$32+WeightSDS!N$32/(1+EXP(WeightSDS!O$32+WeightSDS!P$32*$AM545))-0.010431*(1-$AM545/210))))</f>
        <v>2.9500001032655536</v>
      </c>
      <c r="AQ545" s="4">
        <f>IF(D545="M",IF($AM545&lt;162,WeightSDS!P$12*$AM545^7+WeightSDS!Q$12*$AM545^6+WeightSDS!R$12*$AM545^5+WeightSDS!S$12*$AM545^4+WeightSDS!T$12*$AM545^3+WeightSDS!U$12*$AM545^2+WeightSDS!V$12*$AM545+WeightSDS!W$12,WeightSDS!P$14*$AM545^7+WeightSDS!Q$14*$AM545^6+WeightSDS!R$14*$AM545^5+WeightSDS!S$14*$AM545^4+WeightSDS!T$14*$AM545^3+WeightSDS!U$14*$AM545^2+WeightSDS!V$14*$AM545+WeightSDS!W$14),IF($AM545&lt;156,WeightSDS!O$17*$AM545^8+WeightSDS!P$17*$AM545^7+WeightSDS!Q$17*$AM545^6+WeightSDS!R$17*$AM545^5+WeightSDS!S$17*$AM545^4+WeightSDS!T$17*$AM545^3+WeightSDS!U$17*$AM545^2+WeightSDS!V$17*$AM545+WeightSDS!W$17,IF($AM545&lt;186,WeightSDS!$U$18+(WeightSDS!$V$18-WeightSDS!$U$18)/24*($AM545-186)+WeightSDS!$W$18*(-$AM545+186)^2-0.005,WeightSDS!$U$18+(WeightSDS!$V$18-WeightSDS!$U$18)/24*($AM545-186)-0.005)))</f>
        <v>0.14604529399999999</v>
      </c>
      <c r="AT545" s="4">
        <f t="shared" si="175"/>
        <v>0.56299999999999994</v>
      </c>
      <c r="AU545" s="4">
        <f t="shared" si="176"/>
        <v>69</v>
      </c>
      <c r="AV545" s="4">
        <f t="shared" si="177"/>
        <v>0.51</v>
      </c>
    </row>
    <row r="546" spans="1:48" x14ac:dyDescent="0.15">
      <c r="A546" s="4"/>
      <c r="B546" s="21"/>
      <c r="C546" s="21"/>
      <c r="D546" s="21"/>
      <c r="E546" s="22"/>
      <c r="F546" s="22"/>
      <c r="G546" s="23"/>
      <c r="H546" s="23"/>
      <c r="I546" s="181"/>
      <c r="J546" s="8" t="str">
        <f t="shared" si="169"/>
        <v/>
      </c>
      <c r="K546" s="2" t="str">
        <f t="shared" si="178"/>
        <v/>
      </c>
      <c r="L546" s="2" t="str">
        <f t="shared" si="170"/>
        <v/>
      </c>
      <c r="M546" s="2" t="str">
        <f t="shared" si="179"/>
        <v/>
      </c>
      <c r="N546" s="2" t="str">
        <f t="shared" si="187"/>
        <v/>
      </c>
      <c r="O546" s="2" t="str">
        <f t="shared" si="180"/>
        <v/>
      </c>
      <c r="P546" s="8" t="str">
        <f t="shared" si="181"/>
        <v/>
      </c>
      <c r="Q546" s="8" t="str">
        <f t="shared" si="182"/>
        <v/>
      </c>
      <c r="R546" s="111" t="str">
        <f t="shared" si="183"/>
        <v/>
      </c>
      <c r="S546" s="44" t="str">
        <f t="shared" si="184"/>
        <v/>
      </c>
      <c r="T546" s="37" t="str">
        <f t="shared" si="185"/>
        <v/>
      </c>
      <c r="U546" s="44" t="str">
        <f t="shared" si="186"/>
        <v/>
      </c>
      <c r="V546" s="26"/>
      <c r="W546" s="26"/>
      <c r="X546" s="26"/>
      <c r="Y546" s="26"/>
      <c r="Z546" s="24"/>
      <c r="AA546" s="169">
        <f t="shared" si="171"/>
        <v>0</v>
      </c>
      <c r="AB546" s="4">
        <f t="shared" si="172"/>
        <v>0</v>
      </c>
      <c r="AC546" s="170">
        <f t="shared" si="189"/>
        <v>0</v>
      </c>
      <c r="AD546" s="58"/>
      <c r="AE546" s="58"/>
      <c r="AF546" s="58"/>
      <c r="AG546" s="59">
        <f t="shared" si="173"/>
        <v>9.0359999999999996</v>
      </c>
      <c r="AH546" s="59">
        <f t="shared" si="174"/>
        <v>-184.49199999999999</v>
      </c>
      <c r="AJ546" s="4">
        <f>IF(D546="M",IF(AM546&lt;78,BMILMS!$D$5*AM546^3+BMILMS!$E$5*AM546^2+BMILMS!$F$5*AM546+BMILMS!$G$5,IF(AM546&lt;150,BMILMS!$D$6*AM546^3+BMILMS!$E$6*AM546^2+BMILMS!$F$6*AM546+BMILMS!$G$6,BMILMS!$D$7*AM546^3+BMILMS!$E$7*AM546^2+BMILMS!$F$7*AM546+BMILMS!$G$7)),IF(AM546&lt;69,BMILMS!$D$9*AM546^3+BMILMS!$E$9*AM546^2+BMILMS!$F$9*AM546+BMILMS!$G$9,IF(AM546&lt;150,BMILMS!$D$10*AM546^3+BMILMS!$E$10*AM546^2+BMILMS!$F$10*AM546+BMILMS!$G$10,BMILMS!$D$11*AM546^3+BMILMS!$E$11*AM546^2+BMILMS!$F$11*AM546+BMILMS!$G$11)))</f>
        <v>0.79584630099999998</v>
      </c>
      <c r="AK546" s="4">
        <f>IF(D546="M",(IF(AM546&lt;2.5,BMILMS!$D$21*AM546^3+BMILMS!$E$21*AM546^2+BMILMS!$F$21*AM546+BMILMS!$G$21,IF(AM546&lt;9.5,BMILMS!$D$22*AM546^3+BMILMS!$E$22*AM546^2+BMILMS!$F$22*AM546+BMILMS!$G$22,IF(AM546&lt;26.75,BMILMS!$D$23*AM546^3+BMILMS!$E$23*AM546^2+BMILMS!$F$23*AM546+BMILMS!$G$23,IF(AM546&lt;90,BMILMS!$D$24*AM546^3+BMILMS!$E$24*AM546^2+BMILMS!$F$24*AM546+BMILMS!$G$24,BMILMS!$D$25*AM546^3+BMILMS!$E$25*AM546^2+BMILMS!$F$25*AM546+BMILMS!$G$25))))),(IF(AM546&lt;2.5,BMILMS!$D$27*AM546^3+BMILMS!$E$27*AM546^2+BMILMS!$F$27*AM546+BMILMS!$G$27,IF(AM546&lt;9.5,BMILMS!$D$28*AM546^3+BMILMS!$E$28*AM546^2+BMILMS!$F$28*AM546+BMILMS!$G$28,IF(AM546&lt;26.75,BMILMS!$D$29*AM546^3+BMILMS!$E$29*AM546^2+BMILMS!$F$29*AM546+BMILMS!$G$29,IF(AM546&lt;90,BMILMS!$D$30*AM546^3+BMILMS!$E$30*AM546^2+BMILMS!$F$30*AM546+BMILMS!$G$30,IF(AM546&lt;150,BMILMS!$D$31*AM546^3+BMILMS!$E$31*AM546^2+BMILMS!$F$31*AM546+BMILMS!$G$31,BMILMS!$D$32*AM546^3+BMILMS!$E$32*AM546^2+BMILMS!$F$32*AM546+BMILMS!$G$32)))))))</f>
        <v>12.568967990000001</v>
      </c>
      <c r="AL546" s="4">
        <f>IF(D546="M",(IF(AM546&lt;90,BMILMS!$D$14*AM546^3+BMILMS!$E$14*AM546^2+BMILMS!$F$14*AM546+BMILMS!$G$14,BMILMS!$D$15*AM546^3+BMILMS!$E$15*AM546^2+BMILMS!$F$15*AM546+BMILMS!$G$15)),(IF(AM546&lt;90,BMILMS!$D$17*AM546^3+BMILMS!$E$17*AM546^2+BMILMS!$F$17*AM546+BMILMS!$G$17,BMILMS!$D$18*AM546^3+BMILMS!$E$18*AM546^2+BMILMS!$F$18*AM546+BMILMS!$G$18)))</f>
        <v>8.8969350000000003E-2</v>
      </c>
      <c r="AM546" s="4">
        <f t="shared" si="188"/>
        <v>0</v>
      </c>
      <c r="AO546" s="56">
        <f>IF(D546="M",WeightSDS!P$5*$AM546^7+WeightSDS!Q$5*$AM546^6+WeightSDS!R$5*$AM546^5+WeightSDS!S$5*$AM546^4+WeightSDS!T$5*$AM546^3+WeightSDS!U$5*$AM546^2+WeightSDS!V$5*$AM546+WeightSDS!W$5,IF($AM546&lt;186,WeightSDS!P$8*$AM546^7+WeightSDS!Q$8*$AM546^6+WeightSDS!R$8*$AM546^5+WeightSDS!S$8*$AM546^4+WeightSDS!T$8*$AM546^3+WeightSDS!U$8*$AM546^2+WeightSDS!V$8*$AM546+WeightSDS!W$8,WeightSDS!$U$9+WeightSDS!$V$9*($AM546-WeightSDS!$W$9)))</f>
        <v>0.75407122999999998</v>
      </c>
      <c r="AP546" s="4">
        <f>IF(D546="M",IF($AM546&lt;45,WeightSDS!M$23*$AM546^10+WeightSDS!N$23*$AM546^9+WeightSDS!O$23*$AM546^8+WeightSDS!P$23*$AM546^7+WeightSDS!Q$23*$AM546^6+WeightSDS!R$23*$AM546^5+WeightSDS!S$23*$AM546^4+WeightSDS!T$23*$AM546^3+WeightSDS!U$23*$AM546^2+WeightSDS!V$23*$AM546+WeightSDS!W$23,IF($AM546&lt;153,WeightSDS!M$25*$AM546^10+WeightSDS!N$25*$AM546^9+WeightSDS!O$25*$AM546^8+WeightSDS!P$25*$AM546^7+WeightSDS!Q$25*$AM546^6+WeightSDS!R$25*$AM546^5+WeightSDS!S$25*$AM546^4+WeightSDS!T$25*$AM546^3+WeightSDS!U$25*$AM546^2+WeightSDS!V$25*$AM546+WeightSDS!W$25,WeightSDS!M$27+WeightSDS!N$27/(1+EXP(WeightSDS!O$27+WeightSDS!P$27*$AM546)))),IF($AM546&lt;43.8,WeightSDS!M$29*$AM546^10+WeightSDS!N$29*$AM546^9+WeightSDS!O$29*$AM546^8+WeightSDS!P$29*$AM546^7+WeightSDS!Q$29*$AM546^6+WeightSDS!R$29*$AM546^5+WeightSDS!S$29*$AM546^4+WeightSDS!T$29*$AM546^3+WeightSDS!U$29*$AM546^2+WeightSDS!V$29*$AM546+WeightSDS!W$29-0.010431*(1-$AM546/210),IF($AM546&lt;123,WeightSDS!M$30*$AM546^10+WeightSDS!N$30*$AM546^9+WeightSDS!O$30*$AM546^8+WeightSDS!P$30*$AM546^7+WeightSDS!Q$30*$AM546^6+WeightSDS!R$30*$AM546^5+WeightSDS!S$30*$AM546^4+WeightSDS!T$30*$AM546^3+WeightSDS!U$30*$AM546^2+WeightSDS!V$30*$AM546+WeightSDS!W$30-0.010431*(1-1/$AM546),WeightSDS!M$32+WeightSDS!N$32/(1+EXP(WeightSDS!O$32+WeightSDS!P$32*$AM546))-0.010431*(1-$AM546/210))))</f>
        <v>2.9500001032655536</v>
      </c>
      <c r="AQ546" s="4">
        <f>IF(D546="M",IF($AM546&lt;162,WeightSDS!P$12*$AM546^7+WeightSDS!Q$12*$AM546^6+WeightSDS!R$12*$AM546^5+WeightSDS!S$12*$AM546^4+WeightSDS!T$12*$AM546^3+WeightSDS!U$12*$AM546^2+WeightSDS!V$12*$AM546+WeightSDS!W$12,WeightSDS!P$14*$AM546^7+WeightSDS!Q$14*$AM546^6+WeightSDS!R$14*$AM546^5+WeightSDS!S$14*$AM546^4+WeightSDS!T$14*$AM546^3+WeightSDS!U$14*$AM546^2+WeightSDS!V$14*$AM546+WeightSDS!W$14),IF($AM546&lt;156,WeightSDS!O$17*$AM546^8+WeightSDS!P$17*$AM546^7+WeightSDS!Q$17*$AM546^6+WeightSDS!R$17*$AM546^5+WeightSDS!S$17*$AM546^4+WeightSDS!T$17*$AM546^3+WeightSDS!U$17*$AM546^2+WeightSDS!V$17*$AM546+WeightSDS!W$17,IF($AM546&lt;186,WeightSDS!$U$18+(WeightSDS!$V$18-WeightSDS!$U$18)/24*($AM546-186)+WeightSDS!$W$18*(-$AM546+186)^2-0.005,WeightSDS!$U$18+(WeightSDS!$V$18-WeightSDS!$U$18)/24*($AM546-186)-0.005)))</f>
        <v>0.14604529399999999</v>
      </c>
      <c r="AT546" s="4">
        <f t="shared" si="175"/>
        <v>0.56299999999999994</v>
      </c>
      <c r="AU546" s="4">
        <f t="shared" si="176"/>
        <v>69</v>
      </c>
      <c r="AV546" s="4">
        <f t="shared" si="177"/>
        <v>0.51</v>
      </c>
    </row>
    <row r="547" spans="1:48" x14ac:dyDescent="0.15">
      <c r="A547" s="4"/>
      <c r="B547" s="21"/>
      <c r="C547" s="21"/>
      <c r="D547" s="21"/>
      <c r="E547" s="22"/>
      <c r="F547" s="22"/>
      <c r="G547" s="23"/>
      <c r="H547" s="23"/>
      <c r="I547" s="181"/>
      <c r="J547" s="8" t="str">
        <f t="shared" si="169"/>
        <v/>
      </c>
      <c r="K547" s="2" t="str">
        <f t="shared" si="178"/>
        <v/>
      </c>
      <c r="L547" s="2" t="str">
        <f t="shared" si="170"/>
        <v/>
      </c>
      <c r="M547" s="2" t="str">
        <f t="shared" si="179"/>
        <v/>
      </c>
      <c r="N547" s="2" t="str">
        <f t="shared" si="187"/>
        <v/>
      </c>
      <c r="O547" s="2" t="str">
        <f t="shared" si="180"/>
        <v/>
      </c>
      <c r="P547" s="8" t="str">
        <f t="shared" si="181"/>
        <v/>
      </c>
      <c r="Q547" s="8" t="str">
        <f t="shared" si="182"/>
        <v/>
      </c>
      <c r="R547" s="111" t="str">
        <f t="shared" si="183"/>
        <v/>
      </c>
      <c r="S547" s="44" t="str">
        <f t="shared" si="184"/>
        <v/>
      </c>
      <c r="T547" s="37" t="str">
        <f t="shared" si="185"/>
        <v/>
      </c>
      <c r="U547" s="44" t="str">
        <f t="shared" si="186"/>
        <v/>
      </c>
      <c r="V547" s="26"/>
      <c r="W547" s="26"/>
      <c r="X547" s="26"/>
      <c r="Y547" s="26"/>
      <c r="Z547" s="24"/>
      <c r="AA547" s="169">
        <f t="shared" si="171"/>
        <v>0</v>
      </c>
      <c r="AB547" s="4">
        <f t="shared" si="172"/>
        <v>0</v>
      </c>
      <c r="AC547" s="170">
        <f t="shared" si="189"/>
        <v>0</v>
      </c>
      <c r="AD547" s="58"/>
      <c r="AE547" s="58"/>
      <c r="AF547" s="58"/>
      <c r="AG547" s="59">
        <f t="shared" si="173"/>
        <v>9.0359999999999996</v>
      </c>
      <c r="AH547" s="59">
        <f t="shared" si="174"/>
        <v>-184.49199999999999</v>
      </c>
      <c r="AJ547" s="4">
        <f>IF(D547="M",IF(AM547&lt;78,BMILMS!$D$5*AM547^3+BMILMS!$E$5*AM547^2+BMILMS!$F$5*AM547+BMILMS!$G$5,IF(AM547&lt;150,BMILMS!$D$6*AM547^3+BMILMS!$E$6*AM547^2+BMILMS!$F$6*AM547+BMILMS!$G$6,BMILMS!$D$7*AM547^3+BMILMS!$E$7*AM547^2+BMILMS!$F$7*AM547+BMILMS!$G$7)),IF(AM547&lt;69,BMILMS!$D$9*AM547^3+BMILMS!$E$9*AM547^2+BMILMS!$F$9*AM547+BMILMS!$G$9,IF(AM547&lt;150,BMILMS!$D$10*AM547^3+BMILMS!$E$10*AM547^2+BMILMS!$F$10*AM547+BMILMS!$G$10,BMILMS!$D$11*AM547^3+BMILMS!$E$11*AM547^2+BMILMS!$F$11*AM547+BMILMS!$G$11)))</f>
        <v>0.79584630099999998</v>
      </c>
      <c r="AK547" s="4">
        <f>IF(D547="M",(IF(AM547&lt;2.5,BMILMS!$D$21*AM547^3+BMILMS!$E$21*AM547^2+BMILMS!$F$21*AM547+BMILMS!$G$21,IF(AM547&lt;9.5,BMILMS!$D$22*AM547^3+BMILMS!$E$22*AM547^2+BMILMS!$F$22*AM547+BMILMS!$G$22,IF(AM547&lt;26.75,BMILMS!$D$23*AM547^3+BMILMS!$E$23*AM547^2+BMILMS!$F$23*AM547+BMILMS!$G$23,IF(AM547&lt;90,BMILMS!$D$24*AM547^3+BMILMS!$E$24*AM547^2+BMILMS!$F$24*AM547+BMILMS!$G$24,BMILMS!$D$25*AM547^3+BMILMS!$E$25*AM547^2+BMILMS!$F$25*AM547+BMILMS!$G$25))))),(IF(AM547&lt;2.5,BMILMS!$D$27*AM547^3+BMILMS!$E$27*AM547^2+BMILMS!$F$27*AM547+BMILMS!$G$27,IF(AM547&lt;9.5,BMILMS!$D$28*AM547^3+BMILMS!$E$28*AM547^2+BMILMS!$F$28*AM547+BMILMS!$G$28,IF(AM547&lt;26.75,BMILMS!$D$29*AM547^3+BMILMS!$E$29*AM547^2+BMILMS!$F$29*AM547+BMILMS!$G$29,IF(AM547&lt;90,BMILMS!$D$30*AM547^3+BMILMS!$E$30*AM547^2+BMILMS!$F$30*AM547+BMILMS!$G$30,IF(AM547&lt;150,BMILMS!$D$31*AM547^3+BMILMS!$E$31*AM547^2+BMILMS!$F$31*AM547+BMILMS!$G$31,BMILMS!$D$32*AM547^3+BMILMS!$E$32*AM547^2+BMILMS!$F$32*AM547+BMILMS!$G$32)))))))</f>
        <v>12.568967990000001</v>
      </c>
      <c r="AL547" s="4">
        <f>IF(D547="M",(IF(AM547&lt;90,BMILMS!$D$14*AM547^3+BMILMS!$E$14*AM547^2+BMILMS!$F$14*AM547+BMILMS!$G$14,BMILMS!$D$15*AM547^3+BMILMS!$E$15*AM547^2+BMILMS!$F$15*AM547+BMILMS!$G$15)),(IF(AM547&lt;90,BMILMS!$D$17*AM547^3+BMILMS!$E$17*AM547^2+BMILMS!$F$17*AM547+BMILMS!$G$17,BMILMS!$D$18*AM547^3+BMILMS!$E$18*AM547^2+BMILMS!$F$18*AM547+BMILMS!$G$18)))</f>
        <v>8.8969350000000003E-2</v>
      </c>
      <c r="AM547" s="4">
        <f t="shared" si="188"/>
        <v>0</v>
      </c>
      <c r="AO547" s="56">
        <f>IF(D547="M",WeightSDS!P$5*$AM547^7+WeightSDS!Q$5*$AM547^6+WeightSDS!R$5*$AM547^5+WeightSDS!S$5*$AM547^4+WeightSDS!T$5*$AM547^3+WeightSDS!U$5*$AM547^2+WeightSDS!V$5*$AM547+WeightSDS!W$5,IF($AM547&lt;186,WeightSDS!P$8*$AM547^7+WeightSDS!Q$8*$AM547^6+WeightSDS!R$8*$AM547^5+WeightSDS!S$8*$AM547^4+WeightSDS!T$8*$AM547^3+WeightSDS!U$8*$AM547^2+WeightSDS!V$8*$AM547+WeightSDS!W$8,WeightSDS!$U$9+WeightSDS!$V$9*($AM547-WeightSDS!$W$9)))</f>
        <v>0.75407122999999998</v>
      </c>
      <c r="AP547" s="4">
        <f>IF(D547="M",IF($AM547&lt;45,WeightSDS!M$23*$AM547^10+WeightSDS!N$23*$AM547^9+WeightSDS!O$23*$AM547^8+WeightSDS!P$23*$AM547^7+WeightSDS!Q$23*$AM547^6+WeightSDS!R$23*$AM547^5+WeightSDS!S$23*$AM547^4+WeightSDS!T$23*$AM547^3+WeightSDS!U$23*$AM547^2+WeightSDS!V$23*$AM547+WeightSDS!W$23,IF($AM547&lt;153,WeightSDS!M$25*$AM547^10+WeightSDS!N$25*$AM547^9+WeightSDS!O$25*$AM547^8+WeightSDS!P$25*$AM547^7+WeightSDS!Q$25*$AM547^6+WeightSDS!R$25*$AM547^5+WeightSDS!S$25*$AM547^4+WeightSDS!T$25*$AM547^3+WeightSDS!U$25*$AM547^2+WeightSDS!V$25*$AM547+WeightSDS!W$25,WeightSDS!M$27+WeightSDS!N$27/(1+EXP(WeightSDS!O$27+WeightSDS!P$27*$AM547)))),IF($AM547&lt;43.8,WeightSDS!M$29*$AM547^10+WeightSDS!N$29*$AM547^9+WeightSDS!O$29*$AM547^8+WeightSDS!P$29*$AM547^7+WeightSDS!Q$29*$AM547^6+WeightSDS!R$29*$AM547^5+WeightSDS!S$29*$AM547^4+WeightSDS!T$29*$AM547^3+WeightSDS!U$29*$AM547^2+WeightSDS!V$29*$AM547+WeightSDS!W$29-0.010431*(1-$AM547/210),IF($AM547&lt;123,WeightSDS!M$30*$AM547^10+WeightSDS!N$30*$AM547^9+WeightSDS!O$30*$AM547^8+WeightSDS!P$30*$AM547^7+WeightSDS!Q$30*$AM547^6+WeightSDS!R$30*$AM547^5+WeightSDS!S$30*$AM547^4+WeightSDS!T$30*$AM547^3+WeightSDS!U$30*$AM547^2+WeightSDS!V$30*$AM547+WeightSDS!W$30-0.010431*(1-1/$AM547),WeightSDS!M$32+WeightSDS!N$32/(1+EXP(WeightSDS!O$32+WeightSDS!P$32*$AM547))-0.010431*(1-$AM547/210))))</f>
        <v>2.9500001032655536</v>
      </c>
      <c r="AQ547" s="4">
        <f>IF(D547="M",IF($AM547&lt;162,WeightSDS!P$12*$AM547^7+WeightSDS!Q$12*$AM547^6+WeightSDS!R$12*$AM547^5+WeightSDS!S$12*$AM547^4+WeightSDS!T$12*$AM547^3+WeightSDS!U$12*$AM547^2+WeightSDS!V$12*$AM547+WeightSDS!W$12,WeightSDS!P$14*$AM547^7+WeightSDS!Q$14*$AM547^6+WeightSDS!R$14*$AM547^5+WeightSDS!S$14*$AM547^4+WeightSDS!T$14*$AM547^3+WeightSDS!U$14*$AM547^2+WeightSDS!V$14*$AM547+WeightSDS!W$14),IF($AM547&lt;156,WeightSDS!O$17*$AM547^8+WeightSDS!P$17*$AM547^7+WeightSDS!Q$17*$AM547^6+WeightSDS!R$17*$AM547^5+WeightSDS!S$17*$AM547^4+WeightSDS!T$17*$AM547^3+WeightSDS!U$17*$AM547^2+WeightSDS!V$17*$AM547+WeightSDS!W$17,IF($AM547&lt;186,WeightSDS!$U$18+(WeightSDS!$V$18-WeightSDS!$U$18)/24*($AM547-186)+WeightSDS!$W$18*(-$AM547+186)^2-0.005,WeightSDS!$U$18+(WeightSDS!$V$18-WeightSDS!$U$18)/24*($AM547-186)-0.005)))</f>
        <v>0.14604529399999999</v>
      </c>
      <c r="AT547" s="4">
        <f t="shared" si="175"/>
        <v>0.56299999999999994</v>
      </c>
      <c r="AU547" s="4">
        <f t="shared" si="176"/>
        <v>69</v>
      </c>
      <c r="AV547" s="4">
        <f t="shared" si="177"/>
        <v>0.51</v>
      </c>
    </row>
    <row r="548" spans="1:48" x14ac:dyDescent="0.15">
      <c r="A548" s="4"/>
      <c r="B548" s="21"/>
      <c r="C548" s="21"/>
      <c r="D548" s="21"/>
      <c r="E548" s="22"/>
      <c r="F548" s="22"/>
      <c r="G548" s="23"/>
      <c r="H548" s="23"/>
      <c r="I548" s="181"/>
      <c r="J548" s="8" t="str">
        <f t="shared" si="169"/>
        <v/>
      </c>
      <c r="K548" s="2" t="str">
        <f t="shared" si="178"/>
        <v/>
      </c>
      <c r="L548" s="2" t="str">
        <f t="shared" si="170"/>
        <v/>
      </c>
      <c r="M548" s="2" t="str">
        <f t="shared" si="179"/>
        <v/>
      </c>
      <c r="N548" s="2" t="str">
        <f t="shared" si="187"/>
        <v/>
      </c>
      <c r="O548" s="2" t="str">
        <f t="shared" si="180"/>
        <v/>
      </c>
      <c r="P548" s="8" t="str">
        <f t="shared" si="181"/>
        <v/>
      </c>
      <c r="Q548" s="8" t="str">
        <f t="shared" si="182"/>
        <v/>
      </c>
      <c r="R548" s="111" t="str">
        <f t="shared" si="183"/>
        <v/>
      </c>
      <c r="S548" s="44" t="str">
        <f t="shared" si="184"/>
        <v/>
      </c>
      <c r="T548" s="37" t="str">
        <f t="shared" si="185"/>
        <v/>
      </c>
      <c r="U548" s="44" t="str">
        <f t="shared" si="186"/>
        <v/>
      </c>
      <c r="V548" s="26"/>
      <c r="W548" s="26"/>
      <c r="X548" s="26"/>
      <c r="Y548" s="26"/>
      <c r="Z548" s="24"/>
      <c r="AA548" s="169">
        <f t="shared" si="171"/>
        <v>0</v>
      </c>
      <c r="AB548" s="4">
        <f t="shared" si="172"/>
        <v>0</v>
      </c>
      <c r="AC548" s="170">
        <f t="shared" si="189"/>
        <v>0</v>
      </c>
      <c r="AD548" s="58"/>
      <c r="AE548" s="58"/>
      <c r="AF548" s="58"/>
      <c r="AG548" s="59">
        <f t="shared" si="173"/>
        <v>9.0359999999999996</v>
      </c>
      <c r="AH548" s="59">
        <f t="shared" si="174"/>
        <v>-184.49199999999999</v>
      </c>
      <c r="AJ548" s="4">
        <f>IF(D548="M",IF(AM548&lt;78,BMILMS!$D$5*AM548^3+BMILMS!$E$5*AM548^2+BMILMS!$F$5*AM548+BMILMS!$G$5,IF(AM548&lt;150,BMILMS!$D$6*AM548^3+BMILMS!$E$6*AM548^2+BMILMS!$F$6*AM548+BMILMS!$G$6,BMILMS!$D$7*AM548^3+BMILMS!$E$7*AM548^2+BMILMS!$F$7*AM548+BMILMS!$G$7)),IF(AM548&lt;69,BMILMS!$D$9*AM548^3+BMILMS!$E$9*AM548^2+BMILMS!$F$9*AM548+BMILMS!$G$9,IF(AM548&lt;150,BMILMS!$D$10*AM548^3+BMILMS!$E$10*AM548^2+BMILMS!$F$10*AM548+BMILMS!$G$10,BMILMS!$D$11*AM548^3+BMILMS!$E$11*AM548^2+BMILMS!$F$11*AM548+BMILMS!$G$11)))</f>
        <v>0.79584630099999998</v>
      </c>
      <c r="AK548" s="4">
        <f>IF(D548="M",(IF(AM548&lt;2.5,BMILMS!$D$21*AM548^3+BMILMS!$E$21*AM548^2+BMILMS!$F$21*AM548+BMILMS!$G$21,IF(AM548&lt;9.5,BMILMS!$D$22*AM548^3+BMILMS!$E$22*AM548^2+BMILMS!$F$22*AM548+BMILMS!$G$22,IF(AM548&lt;26.75,BMILMS!$D$23*AM548^3+BMILMS!$E$23*AM548^2+BMILMS!$F$23*AM548+BMILMS!$G$23,IF(AM548&lt;90,BMILMS!$D$24*AM548^3+BMILMS!$E$24*AM548^2+BMILMS!$F$24*AM548+BMILMS!$G$24,BMILMS!$D$25*AM548^3+BMILMS!$E$25*AM548^2+BMILMS!$F$25*AM548+BMILMS!$G$25))))),(IF(AM548&lt;2.5,BMILMS!$D$27*AM548^3+BMILMS!$E$27*AM548^2+BMILMS!$F$27*AM548+BMILMS!$G$27,IF(AM548&lt;9.5,BMILMS!$D$28*AM548^3+BMILMS!$E$28*AM548^2+BMILMS!$F$28*AM548+BMILMS!$G$28,IF(AM548&lt;26.75,BMILMS!$D$29*AM548^3+BMILMS!$E$29*AM548^2+BMILMS!$F$29*AM548+BMILMS!$G$29,IF(AM548&lt;90,BMILMS!$D$30*AM548^3+BMILMS!$E$30*AM548^2+BMILMS!$F$30*AM548+BMILMS!$G$30,IF(AM548&lt;150,BMILMS!$D$31*AM548^3+BMILMS!$E$31*AM548^2+BMILMS!$F$31*AM548+BMILMS!$G$31,BMILMS!$D$32*AM548^3+BMILMS!$E$32*AM548^2+BMILMS!$F$32*AM548+BMILMS!$G$32)))))))</f>
        <v>12.568967990000001</v>
      </c>
      <c r="AL548" s="4">
        <f>IF(D548="M",(IF(AM548&lt;90,BMILMS!$D$14*AM548^3+BMILMS!$E$14*AM548^2+BMILMS!$F$14*AM548+BMILMS!$G$14,BMILMS!$D$15*AM548^3+BMILMS!$E$15*AM548^2+BMILMS!$F$15*AM548+BMILMS!$G$15)),(IF(AM548&lt;90,BMILMS!$D$17*AM548^3+BMILMS!$E$17*AM548^2+BMILMS!$F$17*AM548+BMILMS!$G$17,BMILMS!$D$18*AM548^3+BMILMS!$E$18*AM548^2+BMILMS!$F$18*AM548+BMILMS!$G$18)))</f>
        <v>8.8969350000000003E-2</v>
      </c>
      <c r="AM548" s="4">
        <f t="shared" si="188"/>
        <v>0</v>
      </c>
      <c r="AO548" s="56">
        <f>IF(D548="M",WeightSDS!P$5*$AM548^7+WeightSDS!Q$5*$AM548^6+WeightSDS!R$5*$AM548^5+WeightSDS!S$5*$AM548^4+WeightSDS!T$5*$AM548^3+WeightSDS!U$5*$AM548^2+WeightSDS!V$5*$AM548+WeightSDS!W$5,IF($AM548&lt;186,WeightSDS!P$8*$AM548^7+WeightSDS!Q$8*$AM548^6+WeightSDS!R$8*$AM548^5+WeightSDS!S$8*$AM548^4+WeightSDS!T$8*$AM548^3+WeightSDS!U$8*$AM548^2+WeightSDS!V$8*$AM548+WeightSDS!W$8,WeightSDS!$U$9+WeightSDS!$V$9*($AM548-WeightSDS!$W$9)))</f>
        <v>0.75407122999999998</v>
      </c>
      <c r="AP548" s="4">
        <f>IF(D548="M",IF($AM548&lt;45,WeightSDS!M$23*$AM548^10+WeightSDS!N$23*$AM548^9+WeightSDS!O$23*$AM548^8+WeightSDS!P$23*$AM548^7+WeightSDS!Q$23*$AM548^6+WeightSDS!R$23*$AM548^5+WeightSDS!S$23*$AM548^4+WeightSDS!T$23*$AM548^3+WeightSDS!U$23*$AM548^2+WeightSDS!V$23*$AM548+WeightSDS!W$23,IF($AM548&lt;153,WeightSDS!M$25*$AM548^10+WeightSDS!N$25*$AM548^9+WeightSDS!O$25*$AM548^8+WeightSDS!P$25*$AM548^7+WeightSDS!Q$25*$AM548^6+WeightSDS!R$25*$AM548^5+WeightSDS!S$25*$AM548^4+WeightSDS!T$25*$AM548^3+WeightSDS!U$25*$AM548^2+WeightSDS!V$25*$AM548+WeightSDS!W$25,WeightSDS!M$27+WeightSDS!N$27/(1+EXP(WeightSDS!O$27+WeightSDS!P$27*$AM548)))),IF($AM548&lt;43.8,WeightSDS!M$29*$AM548^10+WeightSDS!N$29*$AM548^9+WeightSDS!O$29*$AM548^8+WeightSDS!P$29*$AM548^7+WeightSDS!Q$29*$AM548^6+WeightSDS!R$29*$AM548^5+WeightSDS!S$29*$AM548^4+WeightSDS!T$29*$AM548^3+WeightSDS!U$29*$AM548^2+WeightSDS!V$29*$AM548+WeightSDS!W$29-0.010431*(1-$AM548/210),IF($AM548&lt;123,WeightSDS!M$30*$AM548^10+WeightSDS!N$30*$AM548^9+WeightSDS!O$30*$AM548^8+WeightSDS!P$30*$AM548^7+WeightSDS!Q$30*$AM548^6+WeightSDS!R$30*$AM548^5+WeightSDS!S$30*$AM548^4+WeightSDS!T$30*$AM548^3+WeightSDS!U$30*$AM548^2+WeightSDS!V$30*$AM548+WeightSDS!W$30-0.010431*(1-1/$AM548),WeightSDS!M$32+WeightSDS!N$32/(1+EXP(WeightSDS!O$32+WeightSDS!P$32*$AM548))-0.010431*(1-$AM548/210))))</f>
        <v>2.9500001032655536</v>
      </c>
      <c r="AQ548" s="4">
        <f>IF(D548="M",IF($AM548&lt;162,WeightSDS!P$12*$AM548^7+WeightSDS!Q$12*$AM548^6+WeightSDS!R$12*$AM548^5+WeightSDS!S$12*$AM548^4+WeightSDS!T$12*$AM548^3+WeightSDS!U$12*$AM548^2+WeightSDS!V$12*$AM548+WeightSDS!W$12,WeightSDS!P$14*$AM548^7+WeightSDS!Q$14*$AM548^6+WeightSDS!R$14*$AM548^5+WeightSDS!S$14*$AM548^4+WeightSDS!T$14*$AM548^3+WeightSDS!U$14*$AM548^2+WeightSDS!V$14*$AM548+WeightSDS!W$14),IF($AM548&lt;156,WeightSDS!O$17*$AM548^8+WeightSDS!P$17*$AM548^7+WeightSDS!Q$17*$AM548^6+WeightSDS!R$17*$AM548^5+WeightSDS!S$17*$AM548^4+WeightSDS!T$17*$AM548^3+WeightSDS!U$17*$AM548^2+WeightSDS!V$17*$AM548+WeightSDS!W$17,IF($AM548&lt;186,WeightSDS!$U$18+(WeightSDS!$V$18-WeightSDS!$U$18)/24*($AM548-186)+WeightSDS!$W$18*(-$AM548+186)^2-0.005,WeightSDS!$U$18+(WeightSDS!$V$18-WeightSDS!$U$18)/24*($AM548-186)-0.005)))</f>
        <v>0.14604529399999999</v>
      </c>
      <c r="AT548" s="4">
        <f t="shared" si="175"/>
        <v>0.56299999999999994</v>
      </c>
      <c r="AU548" s="4">
        <f t="shared" si="176"/>
        <v>69</v>
      </c>
      <c r="AV548" s="4">
        <f t="shared" si="177"/>
        <v>0.51</v>
      </c>
    </row>
    <row r="549" spans="1:48" x14ac:dyDescent="0.15">
      <c r="A549" s="4"/>
      <c r="B549" s="21"/>
      <c r="C549" s="21"/>
      <c r="D549" s="21"/>
      <c r="E549" s="22"/>
      <c r="F549" s="22"/>
      <c r="G549" s="23"/>
      <c r="H549" s="23"/>
      <c r="I549" s="181"/>
      <c r="J549" s="8" t="str">
        <f t="shared" si="169"/>
        <v/>
      </c>
      <c r="K549" s="2" t="str">
        <f t="shared" si="178"/>
        <v/>
      </c>
      <c r="L549" s="2" t="str">
        <f t="shared" si="170"/>
        <v/>
      </c>
      <c r="M549" s="2" t="str">
        <f t="shared" si="179"/>
        <v/>
      </c>
      <c r="N549" s="2" t="str">
        <f t="shared" si="187"/>
        <v/>
      </c>
      <c r="O549" s="2" t="str">
        <f t="shared" si="180"/>
        <v/>
      </c>
      <c r="P549" s="8" t="str">
        <f t="shared" si="181"/>
        <v/>
      </c>
      <c r="Q549" s="8" t="str">
        <f t="shared" si="182"/>
        <v/>
      </c>
      <c r="R549" s="111" t="str">
        <f t="shared" si="183"/>
        <v/>
      </c>
      <c r="S549" s="44" t="str">
        <f t="shared" si="184"/>
        <v/>
      </c>
      <c r="T549" s="37" t="str">
        <f t="shared" si="185"/>
        <v/>
      </c>
      <c r="U549" s="44" t="str">
        <f t="shared" si="186"/>
        <v/>
      </c>
      <c r="V549" s="26"/>
      <c r="W549" s="26"/>
      <c r="X549" s="26"/>
      <c r="Y549" s="26"/>
      <c r="Z549" s="24"/>
      <c r="AA549" s="169">
        <f t="shared" si="171"/>
        <v>0</v>
      </c>
      <c r="AB549" s="4">
        <f t="shared" si="172"/>
        <v>0</v>
      </c>
      <c r="AC549" s="170">
        <f t="shared" si="189"/>
        <v>0</v>
      </c>
      <c r="AD549" s="58"/>
      <c r="AE549" s="58"/>
      <c r="AF549" s="58"/>
      <c r="AG549" s="59">
        <f t="shared" si="173"/>
        <v>9.0359999999999996</v>
      </c>
      <c r="AH549" s="59">
        <f t="shared" si="174"/>
        <v>-184.49199999999999</v>
      </c>
      <c r="AJ549" s="4">
        <f>IF(D549="M",IF(AM549&lt;78,BMILMS!$D$5*AM549^3+BMILMS!$E$5*AM549^2+BMILMS!$F$5*AM549+BMILMS!$G$5,IF(AM549&lt;150,BMILMS!$D$6*AM549^3+BMILMS!$E$6*AM549^2+BMILMS!$F$6*AM549+BMILMS!$G$6,BMILMS!$D$7*AM549^3+BMILMS!$E$7*AM549^2+BMILMS!$F$7*AM549+BMILMS!$G$7)),IF(AM549&lt;69,BMILMS!$D$9*AM549^3+BMILMS!$E$9*AM549^2+BMILMS!$F$9*AM549+BMILMS!$G$9,IF(AM549&lt;150,BMILMS!$D$10*AM549^3+BMILMS!$E$10*AM549^2+BMILMS!$F$10*AM549+BMILMS!$G$10,BMILMS!$D$11*AM549^3+BMILMS!$E$11*AM549^2+BMILMS!$F$11*AM549+BMILMS!$G$11)))</f>
        <v>0.79584630099999998</v>
      </c>
      <c r="AK549" s="4">
        <f>IF(D549="M",(IF(AM549&lt;2.5,BMILMS!$D$21*AM549^3+BMILMS!$E$21*AM549^2+BMILMS!$F$21*AM549+BMILMS!$G$21,IF(AM549&lt;9.5,BMILMS!$D$22*AM549^3+BMILMS!$E$22*AM549^2+BMILMS!$F$22*AM549+BMILMS!$G$22,IF(AM549&lt;26.75,BMILMS!$D$23*AM549^3+BMILMS!$E$23*AM549^2+BMILMS!$F$23*AM549+BMILMS!$G$23,IF(AM549&lt;90,BMILMS!$D$24*AM549^3+BMILMS!$E$24*AM549^2+BMILMS!$F$24*AM549+BMILMS!$G$24,BMILMS!$D$25*AM549^3+BMILMS!$E$25*AM549^2+BMILMS!$F$25*AM549+BMILMS!$G$25))))),(IF(AM549&lt;2.5,BMILMS!$D$27*AM549^3+BMILMS!$E$27*AM549^2+BMILMS!$F$27*AM549+BMILMS!$G$27,IF(AM549&lt;9.5,BMILMS!$D$28*AM549^3+BMILMS!$E$28*AM549^2+BMILMS!$F$28*AM549+BMILMS!$G$28,IF(AM549&lt;26.75,BMILMS!$D$29*AM549^3+BMILMS!$E$29*AM549^2+BMILMS!$F$29*AM549+BMILMS!$G$29,IF(AM549&lt;90,BMILMS!$D$30*AM549^3+BMILMS!$E$30*AM549^2+BMILMS!$F$30*AM549+BMILMS!$G$30,IF(AM549&lt;150,BMILMS!$D$31*AM549^3+BMILMS!$E$31*AM549^2+BMILMS!$F$31*AM549+BMILMS!$G$31,BMILMS!$D$32*AM549^3+BMILMS!$E$32*AM549^2+BMILMS!$F$32*AM549+BMILMS!$G$32)))))))</f>
        <v>12.568967990000001</v>
      </c>
      <c r="AL549" s="4">
        <f>IF(D549="M",(IF(AM549&lt;90,BMILMS!$D$14*AM549^3+BMILMS!$E$14*AM549^2+BMILMS!$F$14*AM549+BMILMS!$G$14,BMILMS!$D$15*AM549^3+BMILMS!$E$15*AM549^2+BMILMS!$F$15*AM549+BMILMS!$G$15)),(IF(AM549&lt;90,BMILMS!$D$17*AM549^3+BMILMS!$E$17*AM549^2+BMILMS!$F$17*AM549+BMILMS!$G$17,BMILMS!$D$18*AM549^3+BMILMS!$E$18*AM549^2+BMILMS!$F$18*AM549+BMILMS!$G$18)))</f>
        <v>8.8969350000000003E-2</v>
      </c>
      <c r="AM549" s="4">
        <f t="shared" si="188"/>
        <v>0</v>
      </c>
      <c r="AO549" s="56">
        <f>IF(D549="M",WeightSDS!P$5*$AM549^7+WeightSDS!Q$5*$AM549^6+WeightSDS!R$5*$AM549^5+WeightSDS!S$5*$AM549^4+WeightSDS!T$5*$AM549^3+WeightSDS!U$5*$AM549^2+WeightSDS!V$5*$AM549+WeightSDS!W$5,IF($AM549&lt;186,WeightSDS!P$8*$AM549^7+WeightSDS!Q$8*$AM549^6+WeightSDS!R$8*$AM549^5+WeightSDS!S$8*$AM549^4+WeightSDS!T$8*$AM549^3+WeightSDS!U$8*$AM549^2+WeightSDS!V$8*$AM549+WeightSDS!W$8,WeightSDS!$U$9+WeightSDS!$V$9*($AM549-WeightSDS!$W$9)))</f>
        <v>0.75407122999999998</v>
      </c>
      <c r="AP549" s="4">
        <f>IF(D549="M",IF($AM549&lt;45,WeightSDS!M$23*$AM549^10+WeightSDS!N$23*$AM549^9+WeightSDS!O$23*$AM549^8+WeightSDS!P$23*$AM549^7+WeightSDS!Q$23*$AM549^6+WeightSDS!R$23*$AM549^5+WeightSDS!S$23*$AM549^4+WeightSDS!T$23*$AM549^3+WeightSDS!U$23*$AM549^2+WeightSDS!V$23*$AM549+WeightSDS!W$23,IF($AM549&lt;153,WeightSDS!M$25*$AM549^10+WeightSDS!N$25*$AM549^9+WeightSDS!O$25*$AM549^8+WeightSDS!P$25*$AM549^7+WeightSDS!Q$25*$AM549^6+WeightSDS!R$25*$AM549^5+WeightSDS!S$25*$AM549^4+WeightSDS!T$25*$AM549^3+WeightSDS!U$25*$AM549^2+WeightSDS!V$25*$AM549+WeightSDS!W$25,WeightSDS!M$27+WeightSDS!N$27/(1+EXP(WeightSDS!O$27+WeightSDS!P$27*$AM549)))),IF($AM549&lt;43.8,WeightSDS!M$29*$AM549^10+WeightSDS!N$29*$AM549^9+WeightSDS!O$29*$AM549^8+WeightSDS!P$29*$AM549^7+WeightSDS!Q$29*$AM549^6+WeightSDS!R$29*$AM549^5+WeightSDS!S$29*$AM549^4+WeightSDS!T$29*$AM549^3+WeightSDS!U$29*$AM549^2+WeightSDS!V$29*$AM549+WeightSDS!W$29-0.010431*(1-$AM549/210),IF($AM549&lt;123,WeightSDS!M$30*$AM549^10+WeightSDS!N$30*$AM549^9+WeightSDS!O$30*$AM549^8+WeightSDS!P$30*$AM549^7+WeightSDS!Q$30*$AM549^6+WeightSDS!R$30*$AM549^5+WeightSDS!S$30*$AM549^4+WeightSDS!T$30*$AM549^3+WeightSDS!U$30*$AM549^2+WeightSDS!V$30*$AM549+WeightSDS!W$30-0.010431*(1-1/$AM549),WeightSDS!M$32+WeightSDS!N$32/(1+EXP(WeightSDS!O$32+WeightSDS!P$32*$AM549))-0.010431*(1-$AM549/210))))</f>
        <v>2.9500001032655536</v>
      </c>
      <c r="AQ549" s="4">
        <f>IF(D549="M",IF($AM549&lt;162,WeightSDS!P$12*$AM549^7+WeightSDS!Q$12*$AM549^6+WeightSDS!R$12*$AM549^5+WeightSDS!S$12*$AM549^4+WeightSDS!T$12*$AM549^3+WeightSDS!U$12*$AM549^2+WeightSDS!V$12*$AM549+WeightSDS!W$12,WeightSDS!P$14*$AM549^7+WeightSDS!Q$14*$AM549^6+WeightSDS!R$14*$AM549^5+WeightSDS!S$14*$AM549^4+WeightSDS!T$14*$AM549^3+WeightSDS!U$14*$AM549^2+WeightSDS!V$14*$AM549+WeightSDS!W$14),IF($AM549&lt;156,WeightSDS!O$17*$AM549^8+WeightSDS!P$17*$AM549^7+WeightSDS!Q$17*$AM549^6+WeightSDS!R$17*$AM549^5+WeightSDS!S$17*$AM549^4+WeightSDS!T$17*$AM549^3+WeightSDS!U$17*$AM549^2+WeightSDS!V$17*$AM549+WeightSDS!W$17,IF($AM549&lt;186,WeightSDS!$U$18+(WeightSDS!$V$18-WeightSDS!$U$18)/24*($AM549-186)+WeightSDS!$W$18*(-$AM549+186)^2-0.005,WeightSDS!$U$18+(WeightSDS!$V$18-WeightSDS!$U$18)/24*($AM549-186)-0.005)))</f>
        <v>0.14604529399999999</v>
      </c>
      <c r="AT549" s="4">
        <f t="shared" si="175"/>
        <v>0.56299999999999994</v>
      </c>
      <c r="AU549" s="4">
        <f t="shared" si="176"/>
        <v>69</v>
      </c>
      <c r="AV549" s="4">
        <f t="shared" si="177"/>
        <v>0.51</v>
      </c>
    </row>
    <row r="550" spans="1:48" x14ac:dyDescent="0.15">
      <c r="A550" s="4"/>
      <c r="B550" s="21"/>
      <c r="C550" s="21"/>
      <c r="D550" s="21"/>
      <c r="E550" s="22"/>
      <c r="F550" s="22"/>
      <c r="G550" s="23"/>
      <c r="H550" s="23"/>
      <c r="I550" s="181"/>
      <c r="J550" s="8" t="str">
        <f t="shared" si="169"/>
        <v/>
      </c>
      <c r="K550" s="2" t="str">
        <f t="shared" si="178"/>
        <v/>
      </c>
      <c r="L550" s="2" t="str">
        <f t="shared" si="170"/>
        <v/>
      </c>
      <c r="M550" s="2" t="str">
        <f t="shared" si="179"/>
        <v/>
      </c>
      <c r="N550" s="2" t="str">
        <f t="shared" si="187"/>
        <v/>
      </c>
      <c r="O550" s="2" t="str">
        <f t="shared" si="180"/>
        <v/>
      </c>
      <c r="P550" s="8" t="str">
        <f t="shared" si="181"/>
        <v/>
      </c>
      <c r="Q550" s="8" t="str">
        <f t="shared" si="182"/>
        <v/>
      </c>
      <c r="R550" s="111" t="str">
        <f t="shared" si="183"/>
        <v/>
      </c>
      <c r="S550" s="44" t="str">
        <f t="shared" si="184"/>
        <v/>
      </c>
      <c r="T550" s="37" t="str">
        <f t="shared" si="185"/>
        <v/>
      </c>
      <c r="U550" s="44" t="str">
        <f t="shared" si="186"/>
        <v/>
      </c>
      <c r="V550" s="26"/>
      <c r="W550" s="26"/>
      <c r="X550" s="26"/>
      <c r="Y550" s="26"/>
      <c r="Z550" s="24"/>
      <c r="AA550" s="169">
        <f t="shared" si="171"/>
        <v>0</v>
      </c>
      <c r="AB550" s="4">
        <f t="shared" si="172"/>
        <v>0</v>
      </c>
      <c r="AC550" s="170">
        <f t="shared" si="189"/>
        <v>0</v>
      </c>
      <c r="AD550" s="58"/>
      <c r="AE550" s="58"/>
      <c r="AF550" s="58"/>
      <c r="AG550" s="59">
        <f t="shared" si="173"/>
        <v>9.0359999999999996</v>
      </c>
      <c r="AH550" s="59">
        <f t="shared" si="174"/>
        <v>-184.49199999999999</v>
      </c>
      <c r="AJ550" s="4">
        <f>IF(D550="M",IF(AM550&lt;78,BMILMS!$D$5*AM550^3+BMILMS!$E$5*AM550^2+BMILMS!$F$5*AM550+BMILMS!$G$5,IF(AM550&lt;150,BMILMS!$D$6*AM550^3+BMILMS!$E$6*AM550^2+BMILMS!$F$6*AM550+BMILMS!$G$6,BMILMS!$D$7*AM550^3+BMILMS!$E$7*AM550^2+BMILMS!$F$7*AM550+BMILMS!$G$7)),IF(AM550&lt;69,BMILMS!$D$9*AM550^3+BMILMS!$E$9*AM550^2+BMILMS!$F$9*AM550+BMILMS!$G$9,IF(AM550&lt;150,BMILMS!$D$10*AM550^3+BMILMS!$E$10*AM550^2+BMILMS!$F$10*AM550+BMILMS!$G$10,BMILMS!$D$11*AM550^3+BMILMS!$E$11*AM550^2+BMILMS!$F$11*AM550+BMILMS!$G$11)))</f>
        <v>0.79584630099999998</v>
      </c>
      <c r="AK550" s="4">
        <f>IF(D550="M",(IF(AM550&lt;2.5,BMILMS!$D$21*AM550^3+BMILMS!$E$21*AM550^2+BMILMS!$F$21*AM550+BMILMS!$G$21,IF(AM550&lt;9.5,BMILMS!$D$22*AM550^3+BMILMS!$E$22*AM550^2+BMILMS!$F$22*AM550+BMILMS!$G$22,IF(AM550&lt;26.75,BMILMS!$D$23*AM550^3+BMILMS!$E$23*AM550^2+BMILMS!$F$23*AM550+BMILMS!$G$23,IF(AM550&lt;90,BMILMS!$D$24*AM550^3+BMILMS!$E$24*AM550^2+BMILMS!$F$24*AM550+BMILMS!$G$24,BMILMS!$D$25*AM550^3+BMILMS!$E$25*AM550^2+BMILMS!$F$25*AM550+BMILMS!$G$25))))),(IF(AM550&lt;2.5,BMILMS!$D$27*AM550^3+BMILMS!$E$27*AM550^2+BMILMS!$F$27*AM550+BMILMS!$G$27,IF(AM550&lt;9.5,BMILMS!$D$28*AM550^3+BMILMS!$E$28*AM550^2+BMILMS!$F$28*AM550+BMILMS!$G$28,IF(AM550&lt;26.75,BMILMS!$D$29*AM550^3+BMILMS!$E$29*AM550^2+BMILMS!$F$29*AM550+BMILMS!$G$29,IF(AM550&lt;90,BMILMS!$D$30*AM550^3+BMILMS!$E$30*AM550^2+BMILMS!$F$30*AM550+BMILMS!$G$30,IF(AM550&lt;150,BMILMS!$D$31*AM550^3+BMILMS!$E$31*AM550^2+BMILMS!$F$31*AM550+BMILMS!$G$31,BMILMS!$D$32*AM550^3+BMILMS!$E$32*AM550^2+BMILMS!$F$32*AM550+BMILMS!$G$32)))))))</f>
        <v>12.568967990000001</v>
      </c>
      <c r="AL550" s="4">
        <f>IF(D550="M",(IF(AM550&lt;90,BMILMS!$D$14*AM550^3+BMILMS!$E$14*AM550^2+BMILMS!$F$14*AM550+BMILMS!$G$14,BMILMS!$D$15*AM550^3+BMILMS!$E$15*AM550^2+BMILMS!$F$15*AM550+BMILMS!$G$15)),(IF(AM550&lt;90,BMILMS!$D$17*AM550^3+BMILMS!$E$17*AM550^2+BMILMS!$F$17*AM550+BMILMS!$G$17,BMILMS!$D$18*AM550^3+BMILMS!$E$18*AM550^2+BMILMS!$F$18*AM550+BMILMS!$G$18)))</f>
        <v>8.8969350000000003E-2</v>
      </c>
      <c r="AM550" s="4">
        <f t="shared" si="188"/>
        <v>0</v>
      </c>
      <c r="AO550" s="56">
        <f>IF(D550="M",WeightSDS!P$5*$AM550^7+WeightSDS!Q$5*$AM550^6+WeightSDS!R$5*$AM550^5+WeightSDS!S$5*$AM550^4+WeightSDS!T$5*$AM550^3+WeightSDS!U$5*$AM550^2+WeightSDS!V$5*$AM550+WeightSDS!W$5,IF($AM550&lt;186,WeightSDS!P$8*$AM550^7+WeightSDS!Q$8*$AM550^6+WeightSDS!R$8*$AM550^5+WeightSDS!S$8*$AM550^4+WeightSDS!T$8*$AM550^3+WeightSDS!U$8*$AM550^2+WeightSDS!V$8*$AM550+WeightSDS!W$8,WeightSDS!$U$9+WeightSDS!$V$9*($AM550-WeightSDS!$W$9)))</f>
        <v>0.75407122999999998</v>
      </c>
      <c r="AP550" s="4">
        <f>IF(D550="M",IF($AM550&lt;45,WeightSDS!M$23*$AM550^10+WeightSDS!N$23*$AM550^9+WeightSDS!O$23*$AM550^8+WeightSDS!P$23*$AM550^7+WeightSDS!Q$23*$AM550^6+WeightSDS!R$23*$AM550^5+WeightSDS!S$23*$AM550^4+WeightSDS!T$23*$AM550^3+WeightSDS!U$23*$AM550^2+WeightSDS!V$23*$AM550+WeightSDS!W$23,IF($AM550&lt;153,WeightSDS!M$25*$AM550^10+WeightSDS!N$25*$AM550^9+WeightSDS!O$25*$AM550^8+WeightSDS!P$25*$AM550^7+WeightSDS!Q$25*$AM550^6+WeightSDS!R$25*$AM550^5+WeightSDS!S$25*$AM550^4+WeightSDS!T$25*$AM550^3+WeightSDS!U$25*$AM550^2+WeightSDS!V$25*$AM550+WeightSDS!W$25,WeightSDS!M$27+WeightSDS!N$27/(1+EXP(WeightSDS!O$27+WeightSDS!P$27*$AM550)))),IF($AM550&lt;43.8,WeightSDS!M$29*$AM550^10+WeightSDS!N$29*$AM550^9+WeightSDS!O$29*$AM550^8+WeightSDS!P$29*$AM550^7+WeightSDS!Q$29*$AM550^6+WeightSDS!R$29*$AM550^5+WeightSDS!S$29*$AM550^4+WeightSDS!T$29*$AM550^3+WeightSDS!U$29*$AM550^2+WeightSDS!V$29*$AM550+WeightSDS!W$29-0.010431*(1-$AM550/210),IF($AM550&lt;123,WeightSDS!M$30*$AM550^10+WeightSDS!N$30*$AM550^9+WeightSDS!O$30*$AM550^8+WeightSDS!P$30*$AM550^7+WeightSDS!Q$30*$AM550^6+WeightSDS!R$30*$AM550^5+WeightSDS!S$30*$AM550^4+WeightSDS!T$30*$AM550^3+WeightSDS!U$30*$AM550^2+WeightSDS!V$30*$AM550+WeightSDS!W$30-0.010431*(1-1/$AM550),WeightSDS!M$32+WeightSDS!N$32/(1+EXP(WeightSDS!O$32+WeightSDS!P$32*$AM550))-0.010431*(1-$AM550/210))))</f>
        <v>2.9500001032655536</v>
      </c>
      <c r="AQ550" s="4">
        <f>IF(D550="M",IF($AM550&lt;162,WeightSDS!P$12*$AM550^7+WeightSDS!Q$12*$AM550^6+WeightSDS!R$12*$AM550^5+WeightSDS!S$12*$AM550^4+WeightSDS!T$12*$AM550^3+WeightSDS!U$12*$AM550^2+WeightSDS!V$12*$AM550+WeightSDS!W$12,WeightSDS!P$14*$AM550^7+WeightSDS!Q$14*$AM550^6+WeightSDS!R$14*$AM550^5+WeightSDS!S$14*$AM550^4+WeightSDS!T$14*$AM550^3+WeightSDS!U$14*$AM550^2+WeightSDS!V$14*$AM550+WeightSDS!W$14),IF($AM550&lt;156,WeightSDS!O$17*$AM550^8+WeightSDS!P$17*$AM550^7+WeightSDS!Q$17*$AM550^6+WeightSDS!R$17*$AM550^5+WeightSDS!S$17*$AM550^4+WeightSDS!T$17*$AM550^3+WeightSDS!U$17*$AM550^2+WeightSDS!V$17*$AM550+WeightSDS!W$17,IF($AM550&lt;186,WeightSDS!$U$18+(WeightSDS!$V$18-WeightSDS!$U$18)/24*($AM550-186)+WeightSDS!$W$18*(-$AM550+186)^2-0.005,WeightSDS!$U$18+(WeightSDS!$V$18-WeightSDS!$U$18)/24*($AM550-186)-0.005)))</f>
        <v>0.14604529399999999</v>
      </c>
      <c r="AT550" s="4">
        <f t="shared" si="175"/>
        <v>0.56299999999999994</v>
      </c>
      <c r="AU550" s="4">
        <f t="shared" si="176"/>
        <v>69</v>
      </c>
      <c r="AV550" s="4">
        <f t="shared" si="177"/>
        <v>0.51</v>
      </c>
    </row>
    <row r="551" spans="1:48" x14ac:dyDescent="0.15">
      <c r="A551" s="4"/>
      <c r="B551" s="21"/>
      <c r="C551" s="21"/>
      <c r="D551" s="21"/>
      <c r="E551" s="22"/>
      <c r="F551" s="22"/>
      <c r="G551" s="23"/>
      <c r="H551" s="23"/>
      <c r="I551" s="181"/>
      <c r="J551" s="8" t="str">
        <f t="shared" si="169"/>
        <v/>
      </c>
      <c r="K551" s="2" t="str">
        <f t="shared" si="178"/>
        <v/>
      </c>
      <c r="L551" s="2" t="str">
        <f t="shared" si="170"/>
        <v/>
      </c>
      <c r="M551" s="2" t="str">
        <f t="shared" si="179"/>
        <v/>
      </c>
      <c r="N551" s="2" t="str">
        <f t="shared" si="187"/>
        <v/>
      </c>
      <c r="O551" s="2" t="str">
        <f t="shared" si="180"/>
        <v/>
      </c>
      <c r="P551" s="8" t="str">
        <f t="shared" si="181"/>
        <v/>
      </c>
      <c r="Q551" s="8" t="str">
        <f t="shared" si="182"/>
        <v/>
      </c>
      <c r="R551" s="111" t="str">
        <f t="shared" si="183"/>
        <v/>
      </c>
      <c r="S551" s="44" t="str">
        <f t="shared" si="184"/>
        <v/>
      </c>
      <c r="T551" s="37" t="str">
        <f t="shared" si="185"/>
        <v/>
      </c>
      <c r="U551" s="44" t="str">
        <f t="shared" si="186"/>
        <v/>
      </c>
      <c r="V551" s="26"/>
      <c r="W551" s="26"/>
      <c r="X551" s="26"/>
      <c r="Y551" s="26"/>
      <c r="Z551" s="24"/>
      <c r="AA551" s="169">
        <f t="shared" si="171"/>
        <v>0</v>
      </c>
      <c r="AB551" s="4">
        <f t="shared" si="172"/>
        <v>0</v>
      </c>
      <c r="AC551" s="170">
        <f t="shared" si="189"/>
        <v>0</v>
      </c>
      <c r="AD551" s="58"/>
      <c r="AE551" s="58"/>
      <c r="AF551" s="58"/>
      <c r="AG551" s="59">
        <f t="shared" si="173"/>
        <v>9.0359999999999996</v>
      </c>
      <c r="AH551" s="59">
        <f t="shared" si="174"/>
        <v>-184.49199999999999</v>
      </c>
      <c r="AJ551" s="4">
        <f>IF(D551="M",IF(AM551&lt;78,BMILMS!$D$5*AM551^3+BMILMS!$E$5*AM551^2+BMILMS!$F$5*AM551+BMILMS!$G$5,IF(AM551&lt;150,BMILMS!$D$6*AM551^3+BMILMS!$E$6*AM551^2+BMILMS!$F$6*AM551+BMILMS!$G$6,BMILMS!$D$7*AM551^3+BMILMS!$E$7*AM551^2+BMILMS!$F$7*AM551+BMILMS!$G$7)),IF(AM551&lt;69,BMILMS!$D$9*AM551^3+BMILMS!$E$9*AM551^2+BMILMS!$F$9*AM551+BMILMS!$G$9,IF(AM551&lt;150,BMILMS!$D$10*AM551^3+BMILMS!$E$10*AM551^2+BMILMS!$F$10*AM551+BMILMS!$G$10,BMILMS!$D$11*AM551^3+BMILMS!$E$11*AM551^2+BMILMS!$F$11*AM551+BMILMS!$G$11)))</f>
        <v>0.79584630099999998</v>
      </c>
      <c r="AK551" s="4">
        <f>IF(D551="M",(IF(AM551&lt;2.5,BMILMS!$D$21*AM551^3+BMILMS!$E$21*AM551^2+BMILMS!$F$21*AM551+BMILMS!$G$21,IF(AM551&lt;9.5,BMILMS!$D$22*AM551^3+BMILMS!$E$22*AM551^2+BMILMS!$F$22*AM551+BMILMS!$G$22,IF(AM551&lt;26.75,BMILMS!$D$23*AM551^3+BMILMS!$E$23*AM551^2+BMILMS!$F$23*AM551+BMILMS!$G$23,IF(AM551&lt;90,BMILMS!$D$24*AM551^3+BMILMS!$E$24*AM551^2+BMILMS!$F$24*AM551+BMILMS!$G$24,BMILMS!$D$25*AM551^3+BMILMS!$E$25*AM551^2+BMILMS!$F$25*AM551+BMILMS!$G$25))))),(IF(AM551&lt;2.5,BMILMS!$D$27*AM551^3+BMILMS!$E$27*AM551^2+BMILMS!$F$27*AM551+BMILMS!$G$27,IF(AM551&lt;9.5,BMILMS!$D$28*AM551^3+BMILMS!$E$28*AM551^2+BMILMS!$F$28*AM551+BMILMS!$G$28,IF(AM551&lt;26.75,BMILMS!$D$29*AM551^3+BMILMS!$E$29*AM551^2+BMILMS!$F$29*AM551+BMILMS!$G$29,IF(AM551&lt;90,BMILMS!$D$30*AM551^3+BMILMS!$E$30*AM551^2+BMILMS!$F$30*AM551+BMILMS!$G$30,IF(AM551&lt;150,BMILMS!$D$31*AM551^3+BMILMS!$E$31*AM551^2+BMILMS!$F$31*AM551+BMILMS!$G$31,BMILMS!$D$32*AM551^3+BMILMS!$E$32*AM551^2+BMILMS!$F$32*AM551+BMILMS!$G$32)))))))</f>
        <v>12.568967990000001</v>
      </c>
      <c r="AL551" s="4">
        <f>IF(D551="M",(IF(AM551&lt;90,BMILMS!$D$14*AM551^3+BMILMS!$E$14*AM551^2+BMILMS!$F$14*AM551+BMILMS!$G$14,BMILMS!$D$15*AM551^3+BMILMS!$E$15*AM551^2+BMILMS!$F$15*AM551+BMILMS!$G$15)),(IF(AM551&lt;90,BMILMS!$D$17*AM551^3+BMILMS!$E$17*AM551^2+BMILMS!$F$17*AM551+BMILMS!$G$17,BMILMS!$D$18*AM551^3+BMILMS!$E$18*AM551^2+BMILMS!$F$18*AM551+BMILMS!$G$18)))</f>
        <v>8.8969350000000003E-2</v>
      </c>
      <c r="AM551" s="4">
        <f t="shared" si="188"/>
        <v>0</v>
      </c>
      <c r="AO551" s="56">
        <f>IF(D551="M",WeightSDS!P$5*$AM551^7+WeightSDS!Q$5*$AM551^6+WeightSDS!R$5*$AM551^5+WeightSDS!S$5*$AM551^4+WeightSDS!T$5*$AM551^3+WeightSDS!U$5*$AM551^2+WeightSDS!V$5*$AM551+WeightSDS!W$5,IF($AM551&lt;186,WeightSDS!P$8*$AM551^7+WeightSDS!Q$8*$AM551^6+WeightSDS!R$8*$AM551^5+WeightSDS!S$8*$AM551^4+WeightSDS!T$8*$AM551^3+WeightSDS!U$8*$AM551^2+WeightSDS!V$8*$AM551+WeightSDS!W$8,WeightSDS!$U$9+WeightSDS!$V$9*($AM551-WeightSDS!$W$9)))</f>
        <v>0.75407122999999998</v>
      </c>
      <c r="AP551" s="4">
        <f>IF(D551="M",IF($AM551&lt;45,WeightSDS!M$23*$AM551^10+WeightSDS!N$23*$AM551^9+WeightSDS!O$23*$AM551^8+WeightSDS!P$23*$AM551^7+WeightSDS!Q$23*$AM551^6+WeightSDS!R$23*$AM551^5+WeightSDS!S$23*$AM551^4+WeightSDS!T$23*$AM551^3+WeightSDS!U$23*$AM551^2+WeightSDS!V$23*$AM551+WeightSDS!W$23,IF($AM551&lt;153,WeightSDS!M$25*$AM551^10+WeightSDS!N$25*$AM551^9+WeightSDS!O$25*$AM551^8+WeightSDS!P$25*$AM551^7+WeightSDS!Q$25*$AM551^6+WeightSDS!R$25*$AM551^5+WeightSDS!S$25*$AM551^4+WeightSDS!T$25*$AM551^3+WeightSDS!U$25*$AM551^2+WeightSDS!V$25*$AM551+WeightSDS!W$25,WeightSDS!M$27+WeightSDS!N$27/(1+EXP(WeightSDS!O$27+WeightSDS!P$27*$AM551)))),IF($AM551&lt;43.8,WeightSDS!M$29*$AM551^10+WeightSDS!N$29*$AM551^9+WeightSDS!O$29*$AM551^8+WeightSDS!P$29*$AM551^7+WeightSDS!Q$29*$AM551^6+WeightSDS!R$29*$AM551^5+WeightSDS!S$29*$AM551^4+WeightSDS!T$29*$AM551^3+WeightSDS!U$29*$AM551^2+WeightSDS!V$29*$AM551+WeightSDS!W$29-0.010431*(1-$AM551/210),IF($AM551&lt;123,WeightSDS!M$30*$AM551^10+WeightSDS!N$30*$AM551^9+WeightSDS!O$30*$AM551^8+WeightSDS!P$30*$AM551^7+WeightSDS!Q$30*$AM551^6+WeightSDS!R$30*$AM551^5+WeightSDS!S$30*$AM551^4+WeightSDS!T$30*$AM551^3+WeightSDS!U$30*$AM551^2+WeightSDS!V$30*$AM551+WeightSDS!W$30-0.010431*(1-1/$AM551),WeightSDS!M$32+WeightSDS!N$32/(1+EXP(WeightSDS!O$32+WeightSDS!P$32*$AM551))-0.010431*(1-$AM551/210))))</f>
        <v>2.9500001032655536</v>
      </c>
      <c r="AQ551" s="4">
        <f>IF(D551="M",IF($AM551&lt;162,WeightSDS!P$12*$AM551^7+WeightSDS!Q$12*$AM551^6+WeightSDS!R$12*$AM551^5+WeightSDS!S$12*$AM551^4+WeightSDS!T$12*$AM551^3+WeightSDS!U$12*$AM551^2+WeightSDS!V$12*$AM551+WeightSDS!W$12,WeightSDS!P$14*$AM551^7+WeightSDS!Q$14*$AM551^6+WeightSDS!R$14*$AM551^5+WeightSDS!S$14*$AM551^4+WeightSDS!T$14*$AM551^3+WeightSDS!U$14*$AM551^2+WeightSDS!V$14*$AM551+WeightSDS!W$14),IF($AM551&lt;156,WeightSDS!O$17*$AM551^8+WeightSDS!P$17*$AM551^7+WeightSDS!Q$17*$AM551^6+WeightSDS!R$17*$AM551^5+WeightSDS!S$17*$AM551^4+WeightSDS!T$17*$AM551^3+WeightSDS!U$17*$AM551^2+WeightSDS!V$17*$AM551+WeightSDS!W$17,IF($AM551&lt;186,WeightSDS!$U$18+(WeightSDS!$V$18-WeightSDS!$U$18)/24*($AM551-186)+WeightSDS!$W$18*(-$AM551+186)^2-0.005,WeightSDS!$U$18+(WeightSDS!$V$18-WeightSDS!$U$18)/24*($AM551-186)-0.005)))</f>
        <v>0.14604529399999999</v>
      </c>
      <c r="AT551" s="4">
        <f t="shared" si="175"/>
        <v>0.56299999999999994</v>
      </c>
      <c r="AU551" s="4">
        <f t="shared" si="176"/>
        <v>69</v>
      </c>
      <c r="AV551" s="4">
        <f t="shared" si="177"/>
        <v>0.51</v>
      </c>
    </row>
    <row r="552" spans="1:48" x14ac:dyDescent="0.15">
      <c r="A552" s="4"/>
      <c r="B552" s="21"/>
      <c r="C552" s="21"/>
      <c r="D552" s="21"/>
      <c r="E552" s="22"/>
      <c r="F552" s="22"/>
      <c r="G552" s="23"/>
      <c r="H552" s="23"/>
      <c r="I552" s="181"/>
      <c r="J552" s="8" t="str">
        <f t="shared" si="169"/>
        <v/>
      </c>
      <c r="K552" s="2" t="str">
        <f t="shared" si="178"/>
        <v/>
      </c>
      <c r="L552" s="2" t="str">
        <f t="shared" si="170"/>
        <v/>
      </c>
      <c r="M552" s="2" t="str">
        <f t="shared" si="179"/>
        <v/>
      </c>
      <c r="N552" s="2" t="str">
        <f t="shared" si="187"/>
        <v/>
      </c>
      <c r="O552" s="2" t="str">
        <f t="shared" si="180"/>
        <v/>
      </c>
      <c r="P552" s="8" t="str">
        <f t="shared" si="181"/>
        <v/>
      </c>
      <c r="Q552" s="8" t="str">
        <f t="shared" si="182"/>
        <v/>
      </c>
      <c r="R552" s="111" t="str">
        <f t="shared" si="183"/>
        <v/>
      </c>
      <c r="S552" s="44" t="str">
        <f t="shared" si="184"/>
        <v/>
      </c>
      <c r="T552" s="37" t="str">
        <f t="shared" si="185"/>
        <v/>
      </c>
      <c r="U552" s="44" t="str">
        <f t="shared" si="186"/>
        <v/>
      </c>
      <c r="V552" s="26"/>
      <c r="W552" s="26"/>
      <c r="X552" s="26"/>
      <c r="Y552" s="26"/>
      <c r="Z552" s="24"/>
      <c r="AA552" s="169">
        <f t="shared" si="171"/>
        <v>0</v>
      </c>
      <c r="AB552" s="4">
        <f t="shared" si="172"/>
        <v>0</v>
      </c>
      <c r="AC552" s="170">
        <f t="shared" si="189"/>
        <v>0</v>
      </c>
      <c r="AD552" s="58"/>
      <c r="AE552" s="58"/>
      <c r="AF552" s="58"/>
      <c r="AG552" s="59">
        <f t="shared" si="173"/>
        <v>9.0359999999999996</v>
      </c>
      <c r="AH552" s="59">
        <f t="shared" si="174"/>
        <v>-184.49199999999999</v>
      </c>
      <c r="AJ552" s="4">
        <f>IF(D552="M",IF(AM552&lt;78,BMILMS!$D$5*AM552^3+BMILMS!$E$5*AM552^2+BMILMS!$F$5*AM552+BMILMS!$G$5,IF(AM552&lt;150,BMILMS!$D$6*AM552^3+BMILMS!$E$6*AM552^2+BMILMS!$F$6*AM552+BMILMS!$G$6,BMILMS!$D$7*AM552^3+BMILMS!$E$7*AM552^2+BMILMS!$F$7*AM552+BMILMS!$G$7)),IF(AM552&lt;69,BMILMS!$D$9*AM552^3+BMILMS!$E$9*AM552^2+BMILMS!$F$9*AM552+BMILMS!$G$9,IF(AM552&lt;150,BMILMS!$D$10*AM552^3+BMILMS!$E$10*AM552^2+BMILMS!$F$10*AM552+BMILMS!$G$10,BMILMS!$D$11*AM552^3+BMILMS!$E$11*AM552^2+BMILMS!$F$11*AM552+BMILMS!$G$11)))</f>
        <v>0.79584630099999998</v>
      </c>
      <c r="AK552" s="4">
        <f>IF(D552="M",(IF(AM552&lt;2.5,BMILMS!$D$21*AM552^3+BMILMS!$E$21*AM552^2+BMILMS!$F$21*AM552+BMILMS!$G$21,IF(AM552&lt;9.5,BMILMS!$D$22*AM552^3+BMILMS!$E$22*AM552^2+BMILMS!$F$22*AM552+BMILMS!$G$22,IF(AM552&lt;26.75,BMILMS!$D$23*AM552^3+BMILMS!$E$23*AM552^2+BMILMS!$F$23*AM552+BMILMS!$G$23,IF(AM552&lt;90,BMILMS!$D$24*AM552^3+BMILMS!$E$24*AM552^2+BMILMS!$F$24*AM552+BMILMS!$G$24,BMILMS!$D$25*AM552^3+BMILMS!$E$25*AM552^2+BMILMS!$F$25*AM552+BMILMS!$G$25))))),(IF(AM552&lt;2.5,BMILMS!$D$27*AM552^3+BMILMS!$E$27*AM552^2+BMILMS!$F$27*AM552+BMILMS!$G$27,IF(AM552&lt;9.5,BMILMS!$D$28*AM552^3+BMILMS!$E$28*AM552^2+BMILMS!$F$28*AM552+BMILMS!$G$28,IF(AM552&lt;26.75,BMILMS!$D$29*AM552^3+BMILMS!$E$29*AM552^2+BMILMS!$F$29*AM552+BMILMS!$G$29,IF(AM552&lt;90,BMILMS!$D$30*AM552^3+BMILMS!$E$30*AM552^2+BMILMS!$F$30*AM552+BMILMS!$G$30,IF(AM552&lt;150,BMILMS!$D$31*AM552^3+BMILMS!$E$31*AM552^2+BMILMS!$F$31*AM552+BMILMS!$G$31,BMILMS!$D$32*AM552^3+BMILMS!$E$32*AM552^2+BMILMS!$F$32*AM552+BMILMS!$G$32)))))))</f>
        <v>12.568967990000001</v>
      </c>
      <c r="AL552" s="4">
        <f>IF(D552="M",(IF(AM552&lt;90,BMILMS!$D$14*AM552^3+BMILMS!$E$14*AM552^2+BMILMS!$F$14*AM552+BMILMS!$G$14,BMILMS!$D$15*AM552^3+BMILMS!$E$15*AM552^2+BMILMS!$F$15*AM552+BMILMS!$G$15)),(IF(AM552&lt;90,BMILMS!$D$17*AM552^3+BMILMS!$E$17*AM552^2+BMILMS!$F$17*AM552+BMILMS!$G$17,BMILMS!$D$18*AM552^3+BMILMS!$E$18*AM552^2+BMILMS!$F$18*AM552+BMILMS!$G$18)))</f>
        <v>8.8969350000000003E-2</v>
      </c>
      <c r="AM552" s="4">
        <f t="shared" si="188"/>
        <v>0</v>
      </c>
      <c r="AO552" s="56">
        <f>IF(D552="M",WeightSDS!P$5*$AM552^7+WeightSDS!Q$5*$AM552^6+WeightSDS!R$5*$AM552^5+WeightSDS!S$5*$AM552^4+WeightSDS!T$5*$AM552^3+WeightSDS!U$5*$AM552^2+WeightSDS!V$5*$AM552+WeightSDS!W$5,IF($AM552&lt;186,WeightSDS!P$8*$AM552^7+WeightSDS!Q$8*$AM552^6+WeightSDS!R$8*$AM552^5+WeightSDS!S$8*$AM552^4+WeightSDS!T$8*$AM552^3+WeightSDS!U$8*$AM552^2+WeightSDS!V$8*$AM552+WeightSDS!W$8,WeightSDS!$U$9+WeightSDS!$V$9*($AM552-WeightSDS!$W$9)))</f>
        <v>0.75407122999999998</v>
      </c>
      <c r="AP552" s="4">
        <f>IF(D552="M",IF($AM552&lt;45,WeightSDS!M$23*$AM552^10+WeightSDS!N$23*$AM552^9+WeightSDS!O$23*$AM552^8+WeightSDS!P$23*$AM552^7+WeightSDS!Q$23*$AM552^6+WeightSDS!R$23*$AM552^5+WeightSDS!S$23*$AM552^4+WeightSDS!T$23*$AM552^3+WeightSDS!U$23*$AM552^2+WeightSDS!V$23*$AM552+WeightSDS!W$23,IF($AM552&lt;153,WeightSDS!M$25*$AM552^10+WeightSDS!N$25*$AM552^9+WeightSDS!O$25*$AM552^8+WeightSDS!P$25*$AM552^7+WeightSDS!Q$25*$AM552^6+WeightSDS!R$25*$AM552^5+WeightSDS!S$25*$AM552^4+WeightSDS!T$25*$AM552^3+WeightSDS!U$25*$AM552^2+WeightSDS!V$25*$AM552+WeightSDS!W$25,WeightSDS!M$27+WeightSDS!N$27/(1+EXP(WeightSDS!O$27+WeightSDS!P$27*$AM552)))),IF($AM552&lt;43.8,WeightSDS!M$29*$AM552^10+WeightSDS!N$29*$AM552^9+WeightSDS!O$29*$AM552^8+WeightSDS!P$29*$AM552^7+WeightSDS!Q$29*$AM552^6+WeightSDS!R$29*$AM552^5+WeightSDS!S$29*$AM552^4+WeightSDS!T$29*$AM552^3+WeightSDS!U$29*$AM552^2+WeightSDS!V$29*$AM552+WeightSDS!W$29-0.010431*(1-$AM552/210),IF($AM552&lt;123,WeightSDS!M$30*$AM552^10+WeightSDS!N$30*$AM552^9+WeightSDS!O$30*$AM552^8+WeightSDS!P$30*$AM552^7+WeightSDS!Q$30*$AM552^6+WeightSDS!R$30*$AM552^5+WeightSDS!S$30*$AM552^4+WeightSDS!T$30*$AM552^3+WeightSDS!U$30*$AM552^2+WeightSDS!V$30*$AM552+WeightSDS!W$30-0.010431*(1-1/$AM552),WeightSDS!M$32+WeightSDS!N$32/(1+EXP(WeightSDS!O$32+WeightSDS!P$32*$AM552))-0.010431*(1-$AM552/210))))</f>
        <v>2.9500001032655536</v>
      </c>
      <c r="AQ552" s="4">
        <f>IF(D552="M",IF($AM552&lt;162,WeightSDS!P$12*$AM552^7+WeightSDS!Q$12*$AM552^6+WeightSDS!R$12*$AM552^5+WeightSDS!S$12*$AM552^4+WeightSDS!T$12*$AM552^3+WeightSDS!U$12*$AM552^2+WeightSDS!V$12*$AM552+WeightSDS!W$12,WeightSDS!P$14*$AM552^7+WeightSDS!Q$14*$AM552^6+WeightSDS!R$14*$AM552^5+WeightSDS!S$14*$AM552^4+WeightSDS!T$14*$AM552^3+WeightSDS!U$14*$AM552^2+WeightSDS!V$14*$AM552+WeightSDS!W$14),IF($AM552&lt;156,WeightSDS!O$17*$AM552^8+WeightSDS!P$17*$AM552^7+WeightSDS!Q$17*$AM552^6+WeightSDS!R$17*$AM552^5+WeightSDS!S$17*$AM552^4+WeightSDS!T$17*$AM552^3+WeightSDS!U$17*$AM552^2+WeightSDS!V$17*$AM552+WeightSDS!W$17,IF($AM552&lt;186,WeightSDS!$U$18+(WeightSDS!$V$18-WeightSDS!$U$18)/24*($AM552-186)+WeightSDS!$W$18*(-$AM552+186)^2-0.005,WeightSDS!$U$18+(WeightSDS!$V$18-WeightSDS!$U$18)/24*($AM552-186)-0.005)))</f>
        <v>0.14604529399999999</v>
      </c>
      <c r="AT552" s="4">
        <f t="shared" si="175"/>
        <v>0.56299999999999994</v>
      </c>
      <c r="AU552" s="4">
        <f t="shared" si="176"/>
        <v>69</v>
      </c>
      <c r="AV552" s="4">
        <f t="shared" si="177"/>
        <v>0.51</v>
      </c>
    </row>
    <row r="553" spans="1:48" x14ac:dyDescent="0.15">
      <c r="A553" s="4"/>
      <c r="B553" s="21"/>
      <c r="C553" s="21"/>
      <c r="D553" s="21"/>
      <c r="E553" s="22"/>
      <c r="F553" s="22"/>
      <c r="G553" s="23"/>
      <c r="H553" s="23"/>
      <c r="I553" s="181"/>
      <c r="J553" s="8" t="str">
        <f t="shared" si="169"/>
        <v/>
      </c>
      <c r="K553" s="2" t="str">
        <f t="shared" si="178"/>
        <v/>
      </c>
      <c r="L553" s="2" t="str">
        <f t="shared" si="170"/>
        <v/>
      </c>
      <c r="M553" s="2" t="str">
        <f t="shared" si="179"/>
        <v/>
      </c>
      <c r="N553" s="2" t="str">
        <f t="shared" si="187"/>
        <v/>
      </c>
      <c r="O553" s="2" t="str">
        <f t="shared" si="180"/>
        <v/>
      </c>
      <c r="P553" s="8" t="str">
        <f t="shared" si="181"/>
        <v/>
      </c>
      <c r="Q553" s="8" t="str">
        <f t="shared" si="182"/>
        <v/>
      </c>
      <c r="R553" s="111" t="str">
        <f t="shared" si="183"/>
        <v/>
      </c>
      <c r="S553" s="44" t="str">
        <f t="shared" si="184"/>
        <v/>
      </c>
      <c r="T553" s="37" t="str">
        <f t="shared" si="185"/>
        <v/>
      </c>
      <c r="U553" s="44" t="str">
        <f t="shared" si="186"/>
        <v/>
      </c>
      <c r="V553" s="26"/>
      <c r="W553" s="26"/>
      <c r="X553" s="26"/>
      <c r="Y553" s="26"/>
      <c r="Z553" s="24"/>
      <c r="AA553" s="169">
        <f t="shared" si="171"/>
        <v>0</v>
      </c>
      <c r="AB553" s="4">
        <f t="shared" si="172"/>
        <v>0</v>
      </c>
      <c r="AC553" s="170">
        <f t="shared" si="189"/>
        <v>0</v>
      </c>
      <c r="AD553" s="58"/>
      <c r="AE553" s="58"/>
      <c r="AF553" s="58"/>
      <c r="AG553" s="59">
        <f t="shared" si="173"/>
        <v>9.0359999999999996</v>
      </c>
      <c r="AH553" s="59">
        <f t="shared" si="174"/>
        <v>-184.49199999999999</v>
      </c>
      <c r="AJ553" s="4">
        <f>IF(D553="M",IF(AM553&lt;78,BMILMS!$D$5*AM553^3+BMILMS!$E$5*AM553^2+BMILMS!$F$5*AM553+BMILMS!$G$5,IF(AM553&lt;150,BMILMS!$D$6*AM553^3+BMILMS!$E$6*AM553^2+BMILMS!$F$6*AM553+BMILMS!$G$6,BMILMS!$D$7*AM553^3+BMILMS!$E$7*AM553^2+BMILMS!$F$7*AM553+BMILMS!$G$7)),IF(AM553&lt;69,BMILMS!$D$9*AM553^3+BMILMS!$E$9*AM553^2+BMILMS!$F$9*AM553+BMILMS!$G$9,IF(AM553&lt;150,BMILMS!$D$10*AM553^3+BMILMS!$E$10*AM553^2+BMILMS!$F$10*AM553+BMILMS!$G$10,BMILMS!$D$11*AM553^3+BMILMS!$E$11*AM553^2+BMILMS!$F$11*AM553+BMILMS!$G$11)))</f>
        <v>0.79584630099999998</v>
      </c>
      <c r="AK553" s="4">
        <f>IF(D553="M",(IF(AM553&lt;2.5,BMILMS!$D$21*AM553^3+BMILMS!$E$21*AM553^2+BMILMS!$F$21*AM553+BMILMS!$G$21,IF(AM553&lt;9.5,BMILMS!$D$22*AM553^3+BMILMS!$E$22*AM553^2+BMILMS!$F$22*AM553+BMILMS!$G$22,IF(AM553&lt;26.75,BMILMS!$D$23*AM553^3+BMILMS!$E$23*AM553^2+BMILMS!$F$23*AM553+BMILMS!$G$23,IF(AM553&lt;90,BMILMS!$D$24*AM553^3+BMILMS!$E$24*AM553^2+BMILMS!$F$24*AM553+BMILMS!$G$24,BMILMS!$D$25*AM553^3+BMILMS!$E$25*AM553^2+BMILMS!$F$25*AM553+BMILMS!$G$25))))),(IF(AM553&lt;2.5,BMILMS!$D$27*AM553^3+BMILMS!$E$27*AM553^2+BMILMS!$F$27*AM553+BMILMS!$G$27,IF(AM553&lt;9.5,BMILMS!$D$28*AM553^3+BMILMS!$E$28*AM553^2+BMILMS!$F$28*AM553+BMILMS!$G$28,IF(AM553&lt;26.75,BMILMS!$D$29*AM553^3+BMILMS!$E$29*AM553^2+BMILMS!$F$29*AM553+BMILMS!$G$29,IF(AM553&lt;90,BMILMS!$D$30*AM553^3+BMILMS!$E$30*AM553^2+BMILMS!$F$30*AM553+BMILMS!$G$30,IF(AM553&lt;150,BMILMS!$D$31*AM553^3+BMILMS!$E$31*AM553^2+BMILMS!$F$31*AM553+BMILMS!$G$31,BMILMS!$D$32*AM553^3+BMILMS!$E$32*AM553^2+BMILMS!$F$32*AM553+BMILMS!$G$32)))))))</f>
        <v>12.568967990000001</v>
      </c>
      <c r="AL553" s="4">
        <f>IF(D553="M",(IF(AM553&lt;90,BMILMS!$D$14*AM553^3+BMILMS!$E$14*AM553^2+BMILMS!$F$14*AM553+BMILMS!$G$14,BMILMS!$D$15*AM553^3+BMILMS!$E$15*AM553^2+BMILMS!$F$15*AM553+BMILMS!$G$15)),(IF(AM553&lt;90,BMILMS!$D$17*AM553^3+BMILMS!$E$17*AM553^2+BMILMS!$F$17*AM553+BMILMS!$G$17,BMILMS!$D$18*AM553^3+BMILMS!$E$18*AM553^2+BMILMS!$F$18*AM553+BMILMS!$G$18)))</f>
        <v>8.8969350000000003E-2</v>
      </c>
      <c r="AM553" s="4">
        <f t="shared" si="188"/>
        <v>0</v>
      </c>
      <c r="AO553" s="56">
        <f>IF(D553="M",WeightSDS!P$5*$AM553^7+WeightSDS!Q$5*$AM553^6+WeightSDS!R$5*$AM553^5+WeightSDS!S$5*$AM553^4+WeightSDS!T$5*$AM553^3+WeightSDS!U$5*$AM553^2+WeightSDS!V$5*$AM553+WeightSDS!W$5,IF($AM553&lt;186,WeightSDS!P$8*$AM553^7+WeightSDS!Q$8*$AM553^6+WeightSDS!R$8*$AM553^5+WeightSDS!S$8*$AM553^4+WeightSDS!T$8*$AM553^3+WeightSDS!U$8*$AM553^2+WeightSDS!V$8*$AM553+WeightSDS!W$8,WeightSDS!$U$9+WeightSDS!$V$9*($AM553-WeightSDS!$W$9)))</f>
        <v>0.75407122999999998</v>
      </c>
      <c r="AP553" s="4">
        <f>IF(D553="M",IF($AM553&lt;45,WeightSDS!M$23*$AM553^10+WeightSDS!N$23*$AM553^9+WeightSDS!O$23*$AM553^8+WeightSDS!P$23*$AM553^7+WeightSDS!Q$23*$AM553^6+WeightSDS!R$23*$AM553^5+WeightSDS!S$23*$AM553^4+WeightSDS!T$23*$AM553^3+WeightSDS!U$23*$AM553^2+WeightSDS!V$23*$AM553+WeightSDS!W$23,IF($AM553&lt;153,WeightSDS!M$25*$AM553^10+WeightSDS!N$25*$AM553^9+WeightSDS!O$25*$AM553^8+WeightSDS!P$25*$AM553^7+WeightSDS!Q$25*$AM553^6+WeightSDS!R$25*$AM553^5+WeightSDS!S$25*$AM553^4+WeightSDS!T$25*$AM553^3+WeightSDS!U$25*$AM553^2+WeightSDS!V$25*$AM553+WeightSDS!W$25,WeightSDS!M$27+WeightSDS!N$27/(1+EXP(WeightSDS!O$27+WeightSDS!P$27*$AM553)))),IF($AM553&lt;43.8,WeightSDS!M$29*$AM553^10+WeightSDS!N$29*$AM553^9+WeightSDS!O$29*$AM553^8+WeightSDS!P$29*$AM553^7+WeightSDS!Q$29*$AM553^6+WeightSDS!R$29*$AM553^5+WeightSDS!S$29*$AM553^4+WeightSDS!T$29*$AM553^3+WeightSDS!U$29*$AM553^2+WeightSDS!V$29*$AM553+WeightSDS!W$29-0.010431*(1-$AM553/210),IF($AM553&lt;123,WeightSDS!M$30*$AM553^10+WeightSDS!N$30*$AM553^9+WeightSDS!O$30*$AM553^8+WeightSDS!P$30*$AM553^7+WeightSDS!Q$30*$AM553^6+WeightSDS!R$30*$AM553^5+WeightSDS!S$30*$AM553^4+WeightSDS!T$30*$AM553^3+WeightSDS!U$30*$AM553^2+WeightSDS!V$30*$AM553+WeightSDS!W$30-0.010431*(1-1/$AM553),WeightSDS!M$32+WeightSDS!N$32/(1+EXP(WeightSDS!O$32+WeightSDS!P$32*$AM553))-0.010431*(1-$AM553/210))))</f>
        <v>2.9500001032655536</v>
      </c>
      <c r="AQ553" s="4">
        <f>IF(D553="M",IF($AM553&lt;162,WeightSDS!P$12*$AM553^7+WeightSDS!Q$12*$AM553^6+WeightSDS!R$12*$AM553^5+WeightSDS!S$12*$AM553^4+WeightSDS!T$12*$AM553^3+WeightSDS!U$12*$AM553^2+WeightSDS!V$12*$AM553+WeightSDS!W$12,WeightSDS!P$14*$AM553^7+WeightSDS!Q$14*$AM553^6+WeightSDS!R$14*$AM553^5+WeightSDS!S$14*$AM553^4+WeightSDS!T$14*$AM553^3+WeightSDS!U$14*$AM553^2+WeightSDS!V$14*$AM553+WeightSDS!W$14),IF($AM553&lt;156,WeightSDS!O$17*$AM553^8+WeightSDS!P$17*$AM553^7+WeightSDS!Q$17*$AM553^6+WeightSDS!R$17*$AM553^5+WeightSDS!S$17*$AM553^4+WeightSDS!T$17*$AM553^3+WeightSDS!U$17*$AM553^2+WeightSDS!V$17*$AM553+WeightSDS!W$17,IF($AM553&lt;186,WeightSDS!$U$18+(WeightSDS!$V$18-WeightSDS!$U$18)/24*($AM553-186)+WeightSDS!$W$18*(-$AM553+186)^2-0.005,WeightSDS!$U$18+(WeightSDS!$V$18-WeightSDS!$U$18)/24*($AM553-186)-0.005)))</f>
        <v>0.14604529399999999</v>
      </c>
      <c r="AT553" s="4">
        <f t="shared" si="175"/>
        <v>0.56299999999999994</v>
      </c>
      <c r="AU553" s="4">
        <f t="shared" si="176"/>
        <v>69</v>
      </c>
      <c r="AV553" s="4">
        <f t="shared" si="177"/>
        <v>0.51</v>
      </c>
    </row>
    <row r="554" spans="1:48" x14ac:dyDescent="0.15">
      <c r="A554" s="4"/>
      <c r="B554" s="21"/>
      <c r="C554" s="21"/>
      <c r="D554" s="21"/>
      <c r="E554" s="22"/>
      <c r="F554" s="22"/>
      <c r="G554" s="23"/>
      <c r="H554" s="23"/>
      <c r="I554" s="181"/>
      <c r="J554" s="8" t="str">
        <f t="shared" si="169"/>
        <v/>
      </c>
      <c r="K554" s="2" t="str">
        <f t="shared" si="178"/>
        <v/>
      </c>
      <c r="L554" s="2" t="str">
        <f t="shared" si="170"/>
        <v/>
      </c>
      <c r="M554" s="2" t="str">
        <f t="shared" si="179"/>
        <v/>
      </c>
      <c r="N554" s="2" t="str">
        <f t="shared" si="187"/>
        <v/>
      </c>
      <c r="O554" s="2" t="str">
        <f t="shared" si="180"/>
        <v/>
      </c>
      <c r="P554" s="8" t="str">
        <f t="shared" si="181"/>
        <v/>
      </c>
      <c r="Q554" s="8" t="str">
        <f t="shared" si="182"/>
        <v/>
      </c>
      <c r="R554" s="111" t="str">
        <f t="shared" si="183"/>
        <v/>
      </c>
      <c r="S554" s="44" t="str">
        <f t="shared" si="184"/>
        <v/>
      </c>
      <c r="T554" s="37" t="str">
        <f t="shared" si="185"/>
        <v/>
      </c>
      <c r="U554" s="44" t="str">
        <f t="shared" si="186"/>
        <v/>
      </c>
      <c r="V554" s="26"/>
      <c r="W554" s="26"/>
      <c r="X554" s="26"/>
      <c r="Y554" s="26"/>
      <c r="Z554" s="24"/>
      <c r="AA554" s="169">
        <f t="shared" si="171"/>
        <v>0</v>
      </c>
      <c r="AB554" s="4">
        <f t="shared" si="172"/>
        <v>0</v>
      </c>
      <c r="AC554" s="170">
        <f t="shared" si="189"/>
        <v>0</v>
      </c>
      <c r="AD554" s="58"/>
      <c r="AE554" s="58"/>
      <c r="AF554" s="58"/>
      <c r="AG554" s="59">
        <f t="shared" si="173"/>
        <v>9.0359999999999996</v>
      </c>
      <c r="AH554" s="59">
        <f t="shared" si="174"/>
        <v>-184.49199999999999</v>
      </c>
      <c r="AJ554" s="4">
        <f>IF(D554="M",IF(AM554&lt;78,BMILMS!$D$5*AM554^3+BMILMS!$E$5*AM554^2+BMILMS!$F$5*AM554+BMILMS!$G$5,IF(AM554&lt;150,BMILMS!$D$6*AM554^3+BMILMS!$E$6*AM554^2+BMILMS!$F$6*AM554+BMILMS!$G$6,BMILMS!$D$7*AM554^3+BMILMS!$E$7*AM554^2+BMILMS!$F$7*AM554+BMILMS!$G$7)),IF(AM554&lt;69,BMILMS!$D$9*AM554^3+BMILMS!$E$9*AM554^2+BMILMS!$F$9*AM554+BMILMS!$G$9,IF(AM554&lt;150,BMILMS!$D$10*AM554^3+BMILMS!$E$10*AM554^2+BMILMS!$F$10*AM554+BMILMS!$G$10,BMILMS!$D$11*AM554^3+BMILMS!$E$11*AM554^2+BMILMS!$F$11*AM554+BMILMS!$G$11)))</f>
        <v>0.79584630099999998</v>
      </c>
      <c r="AK554" s="4">
        <f>IF(D554="M",(IF(AM554&lt;2.5,BMILMS!$D$21*AM554^3+BMILMS!$E$21*AM554^2+BMILMS!$F$21*AM554+BMILMS!$G$21,IF(AM554&lt;9.5,BMILMS!$D$22*AM554^3+BMILMS!$E$22*AM554^2+BMILMS!$F$22*AM554+BMILMS!$G$22,IF(AM554&lt;26.75,BMILMS!$D$23*AM554^3+BMILMS!$E$23*AM554^2+BMILMS!$F$23*AM554+BMILMS!$G$23,IF(AM554&lt;90,BMILMS!$D$24*AM554^3+BMILMS!$E$24*AM554^2+BMILMS!$F$24*AM554+BMILMS!$G$24,BMILMS!$D$25*AM554^3+BMILMS!$E$25*AM554^2+BMILMS!$F$25*AM554+BMILMS!$G$25))))),(IF(AM554&lt;2.5,BMILMS!$D$27*AM554^3+BMILMS!$E$27*AM554^2+BMILMS!$F$27*AM554+BMILMS!$G$27,IF(AM554&lt;9.5,BMILMS!$D$28*AM554^3+BMILMS!$E$28*AM554^2+BMILMS!$F$28*AM554+BMILMS!$G$28,IF(AM554&lt;26.75,BMILMS!$D$29*AM554^3+BMILMS!$E$29*AM554^2+BMILMS!$F$29*AM554+BMILMS!$G$29,IF(AM554&lt;90,BMILMS!$D$30*AM554^3+BMILMS!$E$30*AM554^2+BMILMS!$F$30*AM554+BMILMS!$G$30,IF(AM554&lt;150,BMILMS!$D$31*AM554^3+BMILMS!$E$31*AM554^2+BMILMS!$F$31*AM554+BMILMS!$G$31,BMILMS!$D$32*AM554^3+BMILMS!$E$32*AM554^2+BMILMS!$F$32*AM554+BMILMS!$G$32)))))))</f>
        <v>12.568967990000001</v>
      </c>
      <c r="AL554" s="4">
        <f>IF(D554="M",(IF(AM554&lt;90,BMILMS!$D$14*AM554^3+BMILMS!$E$14*AM554^2+BMILMS!$F$14*AM554+BMILMS!$G$14,BMILMS!$D$15*AM554^3+BMILMS!$E$15*AM554^2+BMILMS!$F$15*AM554+BMILMS!$G$15)),(IF(AM554&lt;90,BMILMS!$D$17*AM554^3+BMILMS!$E$17*AM554^2+BMILMS!$F$17*AM554+BMILMS!$G$17,BMILMS!$D$18*AM554^3+BMILMS!$E$18*AM554^2+BMILMS!$F$18*AM554+BMILMS!$G$18)))</f>
        <v>8.8969350000000003E-2</v>
      </c>
      <c r="AM554" s="4">
        <f t="shared" si="188"/>
        <v>0</v>
      </c>
      <c r="AO554" s="56">
        <f>IF(D554="M",WeightSDS!P$5*$AM554^7+WeightSDS!Q$5*$AM554^6+WeightSDS!R$5*$AM554^5+WeightSDS!S$5*$AM554^4+WeightSDS!T$5*$AM554^3+WeightSDS!U$5*$AM554^2+WeightSDS!V$5*$AM554+WeightSDS!W$5,IF($AM554&lt;186,WeightSDS!P$8*$AM554^7+WeightSDS!Q$8*$AM554^6+WeightSDS!R$8*$AM554^5+WeightSDS!S$8*$AM554^4+WeightSDS!T$8*$AM554^3+WeightSDS!U$8*$AM554^2+WeightSDS!V$8*$AM554+WeightSDS!W$8,WeightSDS!$U$9+WeightSDS!$V$9*($AM554-WeightSDS!$W$9)))</f>
        <v>0.75407122999999998</v>
      </c>
      <c r="AP554" s="4">
        <f>IF(D554="M",IF($AM554&lt;45,WeightSDS!M$23*$AM554^10+WeightSDS!N$23*$AM554^9+WeightSDS!O$23*$AM554^8+WeightSDS!P$23*$AM554^7+WeightSDS!Q$23*$AM554^6+WeightSDS!R$23*$AM554^5+WeightSDS!S$23*$AM554^4+WeightSDS!T$23*$AM554^3+WeightSDS!U$23*$AM554^2+WeightSDS!V$23*$AM554+WeightSDS!W$23,IF($AM554&lt;153,WeightSDS!M$25*$AM554^10+WeightSDS!N$25*$AM554^9+WeightSDS!O$25*$AM554^8+WeightSDS!P$25*$AM554^7+WeightSDS!Q$25*$AM554^6+WeightSDS!R$25*$AM554^5+WeightSDS!S$25*$AM554^4+WeightSDS!T$25*$AM554^3+WeightSDS!U$25*$AM554^2+WeightSDS!V$25*$AM554+WeightSDS!W$25,WeightSDS!M$27+WeightSDS!N$27/(1+EXP(WeightSDS!O$27+WeightSDS!P$27*$AM554)))),IF($AM554&lt;43.8,WeightSDS!M$29*$AM554^10+WeightSDS!N$29*$AM554^9+WeightSDS!O$29*$AM554^8+WeightSDS!P$29*$AM554^7+WeightSDS!Q$29*$AM554^6+WeightSDS!R$29*$AM554^5+WeightSDS!S$29*$AM554^4+WeightSDS!T$29*$AM554^3+WeightSDS!U$29*$AM554^2+WeightSDS!V$29*$AM554+WeightSDS!W$29-0.010431*(1-$AM554/210),IF($AM554&lt;123,WeightSDS!M$30*$AM554^10+WeightSDS!N$30*$AM554^9+WeightSDS!O$30*$AM554^8+WeightSDS!P$30*$AM554^7+WeightSDS!Q$30*$AM554^6+WeightSDS!R$30*$AM554^5+WeightSDS!S$30*$AM554^4+WeightSDS!T$30*$AM554^3+WeightSDS!U$30*$AM554^2+WeightSDS!V$30*$AM554+WeightSDS!W$30-0.010431*(1-1/$AM554),WeightSDS!M$32+WeightSDS!N$32/(1+EXP(WeightSDS!O$32+WeightSDS!P$32*$AM554))-0.010431*(1-$AM554/210))))</f>
        <v>2.9500001032655536</v>
      </c>
      <c r="AQ554" s="4">
        <f>IF(D554="M",IF($AM554&lt;162,WeightSDS!P$12*$AM554^7+WeightSDS!Q$12*$AM554^6+WeightSDS!R$12*$AM554^5+WeightSDS!S$12*$AM554^4+WeightSDS!T$12*$AM554^3+WeightSDS!U$12*$AM554^2+WeightSDS!V$12*$AM554+WeightSDS!W$12,WeightSDS!P$14*$AM554^7+WeightSDS!Q$14*$AM554^6+WeightSDS!R$14*$AM554^5+WeightSDS!S$14*$AM554^4+WeightSDS!T$14*$AM554^3+WeightSDS!U$14*$AM554^2+WeightSDS!V$14*$AM554+WeightSDS!W$14),IF($AM554&lt;156,WeightSDS!O$17*$AM554^8+WeightSDS!P$17*$AM554^7+WeightSDS!Q$17*$AM554^6+WeightSDS!R$17*$AM554^5+WeightSDS!S$17*$AM554^4+WeightSDS!T$17*$AM554^3+WeightSDS!U$17*$AM554^2+WeightSDS!V$17*$AM554+WeightSDS!W$17,IF($AM554&lt;186,WeightSDS!$U$18+(WeightSDS!$V$18-WeightSDS!$U$18)/24*($AM554-186)+WeightSDS!$W$18*(-$AM554+186)^2-0.005,WeightSDS!$U$18+(WeightSDS!$V$18-WeightSDS!$U$18)/24*($AM554-186)-0.005)))</f>
        <v>0.14604529399999999</v>
      </c>
      <c r="AT554" s="4">
        <f t="shared" si="175"/>
        <v>0.56299999999999994</v>
      </c>
      <c r="AU554" s="4">
        <f t="shared" si="176"/>
        <v>69</v>
      </c>
      <c r="AV554" s="4">
        <f t="shared" si="177"/>
        <v>0.51</v>
      </c>
    </row>
    <row r="555" spans="1:48" x14ac:dyDescent="0.15">
      <c r="A555" s="4"/>
      <c r="B555" s="21"/>
      <c r="C555" s="21"/>
      <c r="D555" s="21"/>
      <c r="E555" s="22"/>
      <c r="F555" s="22"/>
      <c r="G555" s="23"/>
      <c r="H555" s="23"/>
      <c r="I555" s="181"/>
      <c r="J555" s="8" t="str">
        <f t="shared" si="169"/>
        <v/>
      </c>
      <c r="K555" s="2" t="str">
        <f t="shared" si="178"/>
        <v/>
      </c>
      <c r="L555" s="2" t="str">
        <f t="shared" si="170"/>
        <v/>
      </c>
      <c r="M555" s="2" t="str">
        <f t="shared" si="179"/>
        <v/>
      </c>
      <c r="N555" s="2" t="str">
        <f t="shared" si="187"/>
        <v/>
      </c>
      <c r="O555" s="2" t="str">
        <f t="shared" si="180"/>
        <v/>
      </c>
      <c r="P555" s="8" t="str">
        <f t="shared" si="181"/>
        <v/>
      </c>
      <c r="Q555" s="8" t="str">
        <f t="shared" si="182"/>
        <v/>
      </c>
      <c r="R555" s="111" t="str">
        <f t="shared" si="183"/>
        <v/>
      </c>
      <c r="S555" s="44" t="str">
        <f t="shared" si="184"/>
        <v/>
      </c>
      <c r="T555" s="37" t="str">
        <f t="shared" si="185"/>
        <v/>
      </c>
      <c r="U555" s="44" t="str">
        <f t="shared" si="186"/>
        <v/>
      </c>
      <c r="V555" s="26"/>
      <c r="W555" s="26"/>
      <c r="X555" s="26"/>
      <c r="Y555" s="26"/>
      <c r="Z555" s="24"/>
      <c r="AA555" s="169">
        <f t="shared" si="171"/>
        <v>0</v>
      </c>
      <c r="AB555" s="4">
        <f t="shared" si="172"/>
        <v>0</v>
      </c>
      <c r="AC555" s="170">
        <f t="shared" si="189"/>
        <v>0</v>
      </c>
      <c r="AD555" s="58"/>
      <c r="AE555" s="58"/>
      <c r="AF555" s="58"/>
      <c r="AG555" s="59">
        <f t="shared" si="173"/>
        <v>9.0359999999999996</v>
      </c>
      <c r="AH555" s="59">
        <f t="shared" si="174"/>
        <v>-184.49199999999999</v>
      </c>
      <c r="AJ555" s="4">
        <f>IF(D555="M",IF(AM555&lt;78,BMILMS!$D$5*AM555^3+BMILMS!$E$5*AM555^2+BMILMS!$F$5*AM555+BMILMS!$G$5,IF(AM555&lt;150,BMILMS!$D$6*AM555^3+BMILMS!$E$6*AM555^2+BMILMS!$F$6*AM555+BMILMS!$G$6,BMILMS!$D$7*AM555^3+BMILMS!$E$7*AM555^2+BMILMS!$F$7*AM555+BMILMS!$G$7)),IF(AM555&lt;69,BMILMS!$D$9*AM555^3+BMILMS!$E$9*AM555^2+BMILMS!$F$9*AM555+BMILMS!$G$9,IF(AM555&lt;150,BMILMS!$D$10*AM555^3+BMILMS!$E$10*AM555^2+BMILMS!$F$10*AM555+BMILMS!$G$10,BMILMS!$D$11*AM555^3+BMILMS!$E$11*AM555^2+BMILMS!$F$11*AM555+BMILMS!$G$11)))</f>
        <v>0.79584630099999998</v>
      </c>
      <c r="AK555" s="4">
        <f>IF(D555="M",(IF(AM555&lt;2.5,BMILMS!$D$21*AM555^3+BMILMS!$E$21*AM555^2+BMILMS!$F$21*AM555+BMILMS!$G$21,IF(AM555&lt;9.5,BMILMS!$D$22*AM555^3+BMILMS!$E$22*AM555^2+BMILMS!$F$22*AM555+BMILMS!$G$22,IF(AM555&lt;26.75,BMILMS!$D$23*AM555^3+BMILMS!$E$23*AM555^2+BMILMS!$F$23*AM555+BMILMS!$G$23,IF(AM555&lt;90,BMILMS!$D$24*AM555^3+BMILMS!$E$24*AM555^2+BMILMS!$F$24*AM555+BMILMS!$G$24,BMILMS!$D$25*AM555^3+BMILMS!$E$25*AM555^2+BMILMS!$F$25*AM555+BMILMS!$G$25))))),(IF(AM555&lt;2.5,BMILMS!$D$27*AM555^3+BMILMS!$E$27*AM555^2+BMILMS!$F$27*AM555+BMILMS!$G$27,IF(AM555&lt;9.5,BMILMS!$D$28*AM555^3+BMILMS!$E$28*AM555^2+BMILMS!$F$28*AM555+BMILMS!$G$28,IF(AM555&lt;26.75,BMILMS!$D$29*AM555^3+BMILMS!$E$29*AM555^2+BMILMS!$F$29*AM555+BMILMS!$G$29,IF(AM555&lt;90,BMILMS!$D$30*AM555^3+BMILMS!$E$30*AM555^2+BMILMS!$F$30*AM555+BMILMS!$G$30,IF(AM555&lt;150,BMILMS!$D$31*AM555^3+BMILMS!$E$31*AM555^2+BMILMS!$F$31*AM555+BMILMS!$G$31,BMILMS!$D$32*AM555^3+BMILMS!$E$32*AM555^2+BMILMS!$F$32*AM555+BMILMS!$G$32)))))))</f>
        <v>12.568967990000001</v>
      </c>
      <c r="AL555" s="4">
        <f>IF(D555="M",(IF(AM555&lt;90,BMILMS!$D$14*AM555^3+BMILMS!$E$14*AM555^2+BMILMS!$F$14*AM555+BMILMS!$G$14,BMILMS!$D$15*AM555^3+BMILMS!$E$15*AM555^2+BMILMS!$F$15*AM555+BMILMS!$G$15)),(IF(AM555&lt;90,BMILMS!$D$17*AM555^3+BMILMS!$E$17*AM555^2+BMILMS!$F$17*AM555+BMILMS!$G$17,BMILMS!$D$18*AM555^3+BMILMS!$E$18*AM555^2+BMILMS!$F$18*AM555+BMILMS!$G$18)))</f>
        <v>8.8969350000000003E-2</v>
      </c>
      <c r="AM555" s="4">
        <f t="shared" si="188"/>
        <v>0</v>
      </c>
      <c r="AO555" s="56">
        <f>IF(D555="M",WeightSDS!P$5*$AM555^7+WeightSDS!Q$5*$AM555^6+WeightSDS!R$5*$AM555^5+WeightSDS!S$5*$AM555^4+WeightSDS!T$5*$AM555^3+WeightSDS!U$5*$AM555^2+WeightSDS!V$5*$AM555+WeightSDS!W$5,IF($AM555&lt;186,WeightSDS!P$8*$AM555^7+WeightSDS!Q$8*$AM555^6+WeightSDS!R$8*$AM555^5+WeightSDS!S$8*$AM555^4+WeightSDS!T$8*$AM555^3+WeightSDS!U$8*$AM555^2+WeightSDS!V$8*$AM555+WeightSDS!W$8,WeightSDS!$U$9+WeightSDS!$V$9*($AM555-WeightSDS!$W$9)))</f>
        <v>0.75407122999999998</v>
      </c>
      <c r="AP555" s="4">
        <f>IF(D555="M",IF($AM555&lt;45,WeightSDS!M$23*$AM555^10+WeightSDS!N$23*$AM555^9+WeightSDS!O$23*$AM555^8+WeightSDS!P$23*$AM555^7+WeightSDS!Q$23*$AM555^6+WeightSDS!R$23*$AM555^5+WeightSDS!S$23*$AM555^4+WeightSDS!T$23*$AM555^3+WeightSDS!U$23*$AM555^2+WeightSDS!V$23*$AM555+WeightSDS!W$23,IF($AM555&lt;153,WeightSDS!M$25*$AM555^10+WeightSDS!N$25*$AM555^9+WeightSDS!O$25*$AM555^8+WeightSDS!P$25*$AM555^7+WeightSDS!Q$25*$AM555^6+WeightSDS!R$25*$AM555^5+WeightSDS!S$25*$AM555^4+WeightSDS!T$25*$AM555^3+WeightSDS!U$25*$AM555^2+WeightSDS!V$25*$AM555+WeightSDS!W$25,WeightSDS!M$27+WeightSDS!N$27/(1+EXP(WeightSDS!O$27+WeightSDS!P$27*$AM555)))),IF($AM555&lt;43.8,WeightSDS!M$29*$AM555^10+WeightSDS!N$29*$AM555^9+WeightSDS!O$29*$AM555^8+WeightSDS!P$29*$AM555^7+WeightSDS!Q$29*$AM555^6+WeightSDS!R$29*$AM555^5+WeightSDS!S$29*$AM555^4+WeightSDS!T$29*$AM555^3+WeightSDS!U$29*$AM555^2+WeightSDS!V$29*$AM555+WeightSDS!W$29-0.010431*(1-$AM555/210),IF($AM555&lt;123,WeightSDS!M$30*$AM555^10+WeightSDS!N$30*$AM555^9+WeightSDS!O$30*$AM555^8+WeightSDS!P$30*$AM555^7+WeightSDS!Q$30*$AM555^6+WeightSDS!R$30*$AM555^5+WeightSDS!S$30*$AM555^4+WeightSDS!T$30*$AM555^3+WeightSDS!U$30*$AM555^2+WeightSDS!V$30*$AM555+WeightSDS!W$30-0.010431*(1-1/$AM555),WeightSDS!M$32+WeightSDS!N$32/(1+EXP(WeightSDS!O$32+WeightSDS!P$32*$AM555))-0.010431*(1-$AM555/210))))</f>
        <v>2.9500001032655536</v>
      </c>
      <c r="AQ555" s="4">
        <f>IF(D555="M",IF($AM555&lt;162,WeightSDS!P$12*$AM555^7+WeightSDS!Q$12*$AM555^6+WeightSDS!R$12*$AM555^5+WeightSDS!S$12*$AM555^4+WeightSDS!T$12*$AM555^3+WeightSDS!U$12*$AM555^2+WeightSDS!V$12*$AM555+WeightSDS!W$12,WeightSDS!P$14*$AM555^7+WeightSDS!Q$14*$AM555^6+WeightSDS!R$14*$AM555^5+WeightSDS!S$14*$AM555^4+WeightSDS!T$14*$AM555^3+WeightSDS!U$14*$AM555^2+WeightSDS!V$14*$AM555+WeightSDS!W$14),IF($AM555&lt;156,WeightSDS!O$17*$AM555^8+WeightSDS!P$17*$AM555^7+WeightSDS!Q$17*$AM555^6+WeightSDS!R$17*$AM555^5+WeightSDS!S$17*$AM555^4+WeightSDS!T$17*$AM555^3+WeightSDS!U$17*$AM555^2+WeightSDS!V$17*$AM555+WeightSDS!W$17,IF($AM555&lt;186,WeightSDS!$U$18+(WeightSDS!$V$18-WeightSDS!$U$18)/24*($AM555-186)+WeightSDS!$W$18*(-$AM555+186)^2-0.005,WeightSDS!$U$18+(WeightSDS!$V$18-WeightSDS!$U$18)/24*($AM555-186)-0.005)))</f>
        <v>0.14604529399999999</v>
      </c>
      <c r="AT555" s="4">
        <f t="shared" si="175"/>
        <v>0.56299999999999994</v>
      </c>
      <c r="AU555" s="4">
        <f t="shared" si="176"/>
        <v>69</v>
      </c>
      <c r="AV555" s="4">
        <f t="shared" si="177"/>
        <v>0.51</v>
      </c>
    </row>
    <row r="556" spans="1:48" x14ac:dyDescent="0.15">
      <c r="A556" s="4"/>
      <c r="B556" s="21"/>
      <c r="C556" s="21"/>
      <c r="D556" s="21"/>
      <c r="E556" s="22"/>
      <c r="F556" s="22"/>
      <c r="G556" s="23"/>
      <c r="H556" s="23"/>
      <c r="I556" s="181"/>
      <c r="J556" s="8" t="str">
        <f t="shared" si="169"/>
        <v/>
      </c>
      <c r="K556" s="2" t="str">
        <f t="shared" si="178"/>
        <v/>
      </c>
      <c r="L556" s="2" t="str">
        <f t="shared" si="170"/>
        <v/>
      </c>
      <c r="M556" s="2" t="str">
        <f t="shared" si="179"/>
        <v/>
      </c>
      <c r="N556" s="2" t="str">
        <f t="shared" si="187"/>
        <v/>
      </c>
      <c r="O556" s="2" t="str">
        <f t="shared" si="180"/>
        <v/>
      </c>
      <c r="P556" s="8" t="str">
        <f t="shared" si="181"/>
        <v/>
      </c>
      <c r="Q556" s="8" t="str">
        <f t="shared" si="182"/>
        <v/>
      </c>
      <c r="R556" s="111" t="str">
        <f t="shared" si="183"/>
        <v/>
      </c>
      <c r="S556" s="44" t="str">
        <f t="shared" si="184"/>
        <v/>
      </c>
      <c r="T556" s="37" t="str">
        <f t="shared" si="185"/>
        <v/>
      </c>
      <c r="U556" s="44" t="str">
        <f t="shared" si="186"/>
        <v/>
      </c>
      <c r="V556" s="26"/>
      <c r="W556" s="26"/>
      <c r="X556" s="26"/>
      <c r="Y556" s="26"/>
      <c r="Z556" s="24"/>
      <c r="AA556" s="169">
        <f t="shared" si="171"/>
        <v>0</v>
      </c>
      <c r="AB556" s="4">
        <f t="shared" si="172"/>
        <v>0</v>
      </c>
      <c r="AC556" s="170">
        <f t="shared" si="189"/>
        <v>0</v>
      </c>
      <c r="AD556" s="58"/>
      <c r="AE556" s="58"/>
      <c r="AF556" s="58"/>
      <c r="AG556" s="59">
        <f t="shared" si="173"/>
        <v>9.0359999999999996</v>
      </c>
      <c r="AH556" s="59">
        <f t="shared" si="174"/>
        <v>-184.49199999999999</v>
      </c>
      <c r="AJ556" s="4">
        <f>IF(D556="M",IF(AM556&lt;78,BMILMS!$D$5*AM556^3+BMILMS!$E$5*AM556^2+BMILMS!$F$5*AM556+BMILMS!$G$5,IF(AM556&lt;150,BMILMS!$D$6*AM556^3+BMILMS!$E$6*AM556^2+BMILMS!$F$6*AM556+BMILMS!$G$6,BMILMS!$D$7*AM556^3+BMILMS!$E$7*AM556^2+BMILMS!$F$7*AM556+BMILMS!$G$7)),IF(AM556&lt;69,BMILMS!$D$9*AM556^3+BMILMS!$E$9*AM556^2+BMILMS!$F$9*AM556+BMILMS!$G$9,IF(AM556&lt;150,BMILMS!$D$10*AM556^3+BMILMS!$E$10*AM556^2+BMILMS!$F$10*AM556+BMILMS!$G$10,BMILMS!$D$11*AM556^3+BMILMS!$E$11*AM556^2+BMILMS!$F$11*AM556+BMILMS!$G$11)))</f>
        <v>0.79584630099999998</v>
      </c>
      <c r="AK556" s="4">
        <f>IF(D556="M",(IF(AM556&lt;2.5,BMILMS!$D$21*AM556^3+BMILMS!$E$21*AM556^2+BMILMS!$F$21*AM556+BMILMS!$G$21,IF(AM556&lt;9.5,BMILMS!$D$22*AM556^3+BMILMS!$E$22*AM556^2+BMILMS!$F$22*AM556+BMILMS!$G$22,IF(AM556&lt;26.75,BMILMS!$D$23*AM556^3+BMILMS!$E$23*AM556^2+BMILMS!$F$23*AM556+BMILMS!$G$23,IF(AM556&lt;90,BMILMS!$D$24*AM556^3+BMILMS!$E$24*AM556^2+BMILMS!$F$24*AM556+BMILMS!$G$24,BMILMS!$D$25*AM556^3+BMILMS!$E$25*AM556^2+BMILMS!$F$25*AM556+BMILMS!$G$25))))),(IF(AM556&lt;2.5,BMILMS!$D$27*AM556^3+BMILMS!$E$27*AM556^2+BMILMS!$F$27*AM556+BMILMS!$G$27,IF(AM556&lt;9.5,BMILMS!$D$28*AM556^3+BMILMS!$E$28*AM556^2+BMILMS!$F$28*AM556+BMILMS!$G$28,IF(AM556&lt;26.75,BMILMS!$D$29*AM556^3+BMILMS!$E$29*AM556^2+BMILMS!$F$29*AM556+BMILMS!$G$29,IF(AM556&lt;90,BMILMS!$D$30*AM556^3+BMILMS!$E$30*AM556^2+BMILMS!$F$30*AM556+BMILMS!$G$30,IF(AM556&lt;150,BMILMS!$D$31*AM556^3+BMILMS!$E$31*AM556^2+BMILMS!$F$31*AM556+BMILMS!$G$31,BMILMS!$D$32*AM556^3+BMILMS!$E$32*AM556^2+BMILMS!$F$32*AM556+BMILMS!$G$32)))))))</f>
        <v>12.568967990000001</v>
      </c>
      <c r="AL556" s="4">
        <f>IF(D556="M",(IF(AM556&lt;90,BMILMS!$D$14*AM556^3+BMILMS!$E$14*AM556^2+BMILMS!$F$14*AM556+BMILMS!$G$14,BMILMS!$D$15*AM556^3+BMILMS!$E$15*AM556^2+BMILMS!$F$15*AM556+BMILMS!$G$15)),(IF(AM556&lt;90,BMILMS!$D$17*AM556^3+BMILMS!$E$17*AM556^2+BMILMS!$F$17*AM556+BMILMS!$G$17,BMILMS!$D$18*AM556^3+BMILMS!$E$18*AM556^2+BMILMS!$F$18*AM556+BMILMS!$G$18)))</f>
        <v>8.8969350000000003E-2</v>
      </c>
      <c r="AM556" s="4">
        <f t="shared" si="188"/>
        <v>0</v>
      </c>
      <c r="AO556" s="56">
        <f>IF(D556="M",WeightSDS!P$5*$AM556^7+WeightSDS!Q$5*$AM556^6+WeightSDS!R$5*$AM556^5+WeightSDS!S$5*$AM556^4+WeightSDS!T$5*$AM556^3+WeightSDS!U$5*$AM556^2+WeightSDS!V$5*$AM556+WeightSDS!W$5,IF($AM556&lt;186,WeightSDS!P$8*$AM556^7+WeightSDS!Q$8*$AM556^6+WeightSDS!R$8*$AM556^5+WeightSDS!S$8*$AM556^4+WeightSDS!T$8*$AM556^3+WeightSDS!U$8*$AM556^2+WeightSDS!V$8*$AM556+WeightSDS!W$8,WeightSDS!$U$9+WeightSDS!$V$9*($AM556-WeightSDS!$W$9)))</f>
        <v>0.75407122999999998</v>
      </c>
      <c r="AP556" s="4">
        <f>IF(D556="M",IF($AM556&lt;45,WeightSDS!M$23*$AM556^10+WeightSDS!N$23*$AM556^9+WeightSDS!O$23*$AM556^8+WeightSDS!P$23*$AM556^7+WeightSDS!Q$23*$AM556^6+WeightSDS!R$23*$AM556^5+WeightSDS!S$23*$AM556^4+WeightSDS!T$23*$AM556^3+WeightSDS!U$23*$AM556^2+WeightSDS!V$23*$AM556+WeightSDS!W$23,IF($AM556&lt;153,WeightSDS!M$25*$AM556^10+WeightSDS!N$25*$AM556^9+WeightSDS!O$25*$AM556^8+WeightSDS!P$25*$AM556^7+WeightSDS!Q$25*$AM556^6+WeightSDS!R$25*$AM556^5+WeightSDS!S$25*$AM556^4+WeightSDS!T$25*$AM556^3+WeightSDS!U$25*$AM556^2+WeightSDS!V$25*$AM556+WeightSDS!W$25,WeightSDS!M$27+WeightSDS!N$27/(1+EXP(WeightSDS!O$27+WeightSDS!P$27*$AM556)))),IF($AM556&lt;43.8,WeightSDS!M$29*$AM556^10+WeightSDS!N$29*$AM556^9+WeightSDS!O$29*$AM556^8+WeightSDS!P$29*$AM556^7+WeightSDS!Q$29*$AM556^6+WeightSDS!R$29*$AM556^5+WeightSDS!S$29*$AM556^4+WeightSDS!T$29*$AM556^3+WeightSDS!U$29*$AM556^2+WeightSDS!V$29*$AM556+WeightSDS!W$29-0.010431*(1-$AM556/210),IF($AM556&lt;123,WeightSDS!M$30*$AM556^10+WeightSDS!N$30*$AM556^9+WeightSDS!O$30*$AM556^8+WeightSDS!P$30*$AM556^7+WeightSDS!Q$30*$AM556^6+WeightSDS!R$30*$AM556^5+WeightSDS!S$30*$AM556^4+WeightSDS!T$30*$AM556^3+WeightSDS!U$30*$AM556^2+WeightSDS!V$30*$AM556+WeightSDS!W$30-0.010431*(1-1/$AM556),WeightSDS!M$32+WeightSDS!N$32/(1+EXP(WeightSDS!O$32+WeightSDS!P$32*$AM556))-0.010431*(1-$AM556/210))))</f>
        <v>2.9500001032655536</v>
      </c>
      <c r="AQ556" s="4">
        <f>IF(D556="M",IF($AM556&lt;162,WeightSDS!P$12*$AM556^7+WeightSDS!Q$12*$AM556^6+WeightSDS!R$12*$AM556^5+WeightSDS!S$12*$AM556^4+WeightSDS!T$12*$AM556^3+WeightSDS!U$12*$AM556^2+WeightSDS!V$12*$AM556+WeightSDS!W$12,WeightSDS!P$14*$AM556^7+WeightSDS!Q$14*$AM556^6+WeightSDS!R$14*$AM556^5+WeightSDS!S$14*$AM556^4+WeightSDS!T$14*$AM556^3+WeightSDS!U$14*$AM556^2+WeightSDS!V$14*$AM556+WeightSDS!W$14),IF($AM556&lt;156,WeightSDS!O$17*$AM556^8+WeightSDS!P$17*$AM556^7+WeightSDS!Q$17*$AM556^6+WeightSDS!R$17*$AM556^5+WeightSDS!S$17*$AM556^4+WeightSDS!T$17*$AM556^3+WeightSDS!U$17*$AM556^2+WeightSDS!V$17*$AM556+WeightSDS!W$17,IF($AM556&lt;186,WeightSDS!$U$18+(WeightSDS!$V$18-WeightSDS!$U$18)/24*($AM556-186)+WeightSDS!$W$18*(-$AM556+186)^2-0.005,WeightSDS!$U$18+(WeightSDS!$V$18-WeightSDS!$U$18)/24*($AM556-186)-0.005)))</f>
        <v>0.14604529399999999</v>
      </c>
      <c r="AT556" s="4">
        <f t="shared" si="175"/>
        <v>0.56299999999999994</v>
      </c>
      <c r="AU556" s="4">
        <f t="shared" si="176"/>
        <v>69</v>
      </c>
      <c r="AV556" s="4">
        <f t="shared" si="177"/>
        <v>0.51</v>
      </c>
    </row>
    <row r="557" spans="1:48" x14ac:dyDescent="0.15">
      <c r="A557" s="4"/>
      <c r="B557" s="21"/>
      <c r="C557" s="21"/>
      <c r="D557" s="21"/>
      <c r="E557" s="22"/>
      <c r="F557" s="22"/>
      <c r="G557" s="23"/>
      <c r="H557" s="23"/>
      <c r="I557" s="181"/>
      <c r="J557" s="8" t="str">
        <f t="shared" si="169"/>
        <v/>
      </c>
      <c r="K557" s="2" t="str">
        <f t="shared" si="178"/>
        <v/>
      </c>
      <c r="L557" s="2" t="str">
        <f t="shared" si="170"/>
        <v/>
      </c>
      <c r="M557" s="2" t="str">
        <f t="shared" si="179"/>
        <v/>
      </c>
      <c r="N557" s="2" t="str">
        <f t="shared" si="187"/>
        <v/>
      </c>
      <c r="O557" s="2" t="str">
        <f t="shared" si="180"/>
        <v/>
      </c>
      <c r="P557" s="8" t="str">
        <f t="shared" si="181"/>
        <v/>
      </c>
      <c r="Q557" s="8" t="str">
        <f t="shared" si="182"/>
        <v/>
      </c>
      <c r="R557" s="111" t="str">
        <f t="shared" si="183"/>
        <v/>
      </c>
      <c r="S557" s="44" t="str">
        <f t="shared" si="184"/>
        <v/>
      </c>
      <c r="T557" s="37" t="str">
        <f t="shared" si="185"/>
        <v/>
      </c>
      <c r="U557" s="44" t="str">
        <f t="shared" si="186"/>
        <v/>
      </c>
      <c r="V557" s="26"/>
      <c r="W557" s="26"/>
      <c r="X557" s="26"/>
      <c r="Y557" s="26"/>
      <c r="Z557" s="24"/>
      <c r="AA557" s="169">
        <f t="shared" si="171"/>
        <v>0</v>
      </c>
      <c r="AB557" s="4">
        <f t="shared" si="172"/>
        <v>0</v>
      </c>
      <c r="AC557" s="170">
        <f t="shared" si="189"/>
        <v>0</v>
      </c>
      <c r="AD557" s="58"/>
      <c r="AE557" s="58"/>
      <c r="AF557" s="58"/>
      <c r="AG557" s="59">
        <f t="shared" si="173"/>
        <v>9.0359999999999996</v>
      </c>
      <c r="AH557" s="59">
        <f t="shared" si="174"/>
        <v>-184.49199999999999</v>
      </c>
      <c r="AJ557" s="4">
        <f>IF(D557="M",IF(AM557&lt;78,BMILMS!$D$5*AM557^3+BMILMS!$E$5*AM557^2+BMILMS!$F$5*AM557+BMILMS!$G$5,IF(AM557&lt;150,BMILMS!$D$6*AM557^3+BMILMS!$E$6*AM557^2+BMILMS!$F$6*AM557+BMILMS!$G$6,BMILMS!$D$7*AM557^3+BMILMS!$E$7*AM557^2+BMILMS!$F$7*AM557+BMILMS!$G$7)),IF(AM557&lt;69,BMILMS!$D$9*AM557^3+BMILMS!$E$9*AM557^2+BMILMS!$F$9*AM557+BMILMS!$G$9,IF(AM557&lt;150,BMILMS!$D$10*AM557^3+BMILMS!$E$10*AM557^2+BMILMS!$F$10*AM557+BMILMS!$G$10,BMILMS!$D$11*AM557^3+BMILMS!$E$11*AM557^2+BMILMS!$F$11*AM557+BMILMS!$G$11)))</f>
        <v>0.79584630099999998</v>
      </c>
      <c r="AK557" s="4">
        <f>IF(D557="M",(IF(AM557&lt;2.5,BMILMS!$D$21*AM557^3+BMILMS!$E$21*AM557^2+BMILMS!$F$21*AM557+BMILMS!$G$21,IF(AM557&lt;9.5,BMILMS!$D$22*AM557^3+BMILMS!$E$22*AM557^2+BMILMS!$F$22*AM557+BMILMS!$G$22,IF(AM557&lt;26.75,BMILMS!$D$23*AM557^3+BMILMS!$E$23*AM557^2+BMILMS!$F$23*AM557+BMILMS!$G$23,IF(AM557&lt;90,BMILMS!$D$24*AM557^3+BMILMS!$E$24*AM557^2+BMILMS!$F$24*AM557+BMILMS!$G$24,BMILMS!$D$25*AM557^3+BMILMS!$E$25*AM557^2+BMILMS!$F$25*AM557+BMILMS!$G$25))))),(IF(AM557&lt;2.5,BMILMS!$D$27*AM557^3+BMILMS!$E$27*AM557^2+BMILMS!$F$27*AM557+BMILMS!$G$27,IF(AM557&lt;9.5,BMILMS!$D$28*AM557^3+BMILMS!$E$28*AM557^2+BMILMS!$F$28*AM557+BMILMS!$G$28,IF(AM557&lt;26.75,BMILMS!$D$29*AM557^3+BMILMS!$E$29*AM557^2+BMILMS!$F$29*AM557+BMILMS!$G$29,IF(AM557&lt;90,BMILMS!$D$30*AM557^3+BMILMS!$E$30*AM557^2+BMILMS!$F$30*AM557+BMILMS!$G$30,IF(AM557&lt;150,BMILMS!$D$31*AM557^3+BMILMS!$E$31*AM557^2+BMILMS!$F$31*AM557+BMILMS!$G$31,BMILMS!$D$32*AM557^3+BMILMS!$E$32*AM557^2+BMILMS!$F$32*AM557+BMILMS!$G$32)))))))</f>
        <v>12.568967990000001</v>
      </c>
      <c r="AL557" s="4">
        <f>IF(D557="M",(IF(AM557&lt;90,BMILMS!$D$14*AM557^3+BMILMS!$E$14*AM557^2+BMILMS!$F$14*AM557+BMILMS!$G$14,BMILMS!$D$15*AM557^3+BMILMS!$E$15*AM557^2+BMILMS!$F$15*AM557+BMILMS!$G$15)),(IF(AM557&lt;90,BMILMS!$D$17*AM557^3+BMILMS!$E$17*AM557^2+BMILMS!$F$17*AM557+BMILMS!$G$17,BMILMS!$D$18*AM557^3+BMILMS!$E$18*AM557^2+BMILMS!$F$18*AM557+BMILMS!$G$18)))</f>
        <v>8.8969350000000003E-2</v>
      </c>
      <c r="AM557" s="4">
        <f t="shared" si="188"/>
        <v>0</v>
      </c>
      <c r="AO557" s="56">
        <f>IF(D557="M",WeightSDS!P$5*$AM557^7+WeightSDS!Q$5*$AM557^6+WeightSDS!R$5*$AM557^5+WeightSDS!S$5*$AM557^4+WeightSDS!T$5*$AM557^3+WeightSDS!U$5*$AM557^2+WeightSDS!V$5*$AM557+WeightSDS!W$5,IF($AM557&lt;186,WeightSDS!P$8*$AM557^7+WeightSDS!Q$8*$AM557^6+WeightSDS!R$8*$AM557^5+WeightSDS!S$8*$AM557^4+WeightSDS!T$8*$AM557^3+WeightSDS!U$8*$AM557^2+WeightSDS!V$8*$AM557+WeightSDS!W$8,WeightSDS!$U$9+WeightSDS!$V$9*($AM557-WeightSDS!$W$9)))</f>
        <v>0.75407122999999998</v>
      </c>
      <c r="AP557" s="4">
        <f>IF(D557="M",IF($AM557&lt;45,WeightSDS!M$23*$AM557^10+WeightSDS!N$23*$AM557^9+WeightSDS!O$23*$AM557^8+WeightSDS!P$23*$AM557^7+WeightSDS!Q$23*$AM557^6+WeightSDS!R$23*$AM557^5+WeightSDS!S$23*$AM557^4+WeightSDS!T$23*$AM557^3+WeightSDS!U$23*$AM557^2+WeightSDS!V$23*$AM557+WeightSDS!W$23,IF($AM557&lt;153,WeightSDS!M$25*$AM557^10+WeightSDS!N$25*$AM557^9+WeightSDS!O$25*$AM557^8+WeightSDS!P$25*$AM557^7+WeightSDS!Q$25*$AM557^6+WeightSDS!R$25*$AM557^5+WeightSDS!S$25*$AM557^4+WeightSDS!T$25*$AM557^3+WeightSDS!U$25*$AM557^2+WeightSDS!V$25*$AM557+WeightSDS!W$25,WeightSDS!M$27+WeightSDS!N$27/(1+EXP(WeightSDS!O$27+WeightSDS!P$27*$AM557)))),IF($AM557&lt;43.8,WeightSDS!M$29*$AM557^10+WeightSDS!N$29*$AM557^9+WeightSDS!O$29*$AM557^8+WeightSDS!P$29*$AM557^7+WeightSDS!Q$29*$AM557^6+WeightSDS!R$29*$AM557^5+WeightSDS!S$29*$AM557^4+WeightSDS!T$29*$AM557^3+WeightSDS!U$29*$AM557^2+WeightSDS!V$29*$AM557+WeightSDS!W$29-0.010431*(1-$AM557/210),IF($AM557&lt;123,WeightSDS!M$30*$AM557^10+WeightSDS!N$30*$AM557^9+WeightSDS!O$30*$AM557^8+WeightSDS!P$30*$AM557^7+WeightSDS!Q$30*$AM557^6+WeightSDS!R$30*$AM557^5+WeightSDS!S$30*$AM557^4+WeightSDS!T$30*$AM557^3+WeightSDS!U$30*$AM557^2+WeightSDS!V$30*$AM557+WeightSDS!W$30-0.010431*(1-1/$AM557),WeightSDS!M$32+WeightSDS!N$32/(1+EXP(WeightSDS!O$32+WeightSDS!P$32*$AM557))-0.010431*(1-$AM557/210))))</f>
        <v>2.9500001032655536</v>
      </c>
      <c r="AQ557" s="4">
        <f>IF(D557="M",IF($AM557&lt;162,WeightSDS!P$12*$AM557^7+WeightSDS!Q$12*$AM557^6+WeightSDS!R$12*$AM557^5+WeightSDS!S$12*$AM557^4+WeightSDS!T$12*$AM557^3+WeightSDS!U$12*$AM557^2+WeightSDS!V$12*$AM557+WeightSDS!W$12,WeightSDS!P$14*$AM557^7+WeightSDS!Q$14*$AM557^6+WeightSDS!R$14*$AM557^5+WeightSDS!S$14*$AM557^4+WeightSDS!T$14*$AM557^3+WeightSDS!U$14*$AM557^2+WeightSDS!V$14*$AM557+WeightSDS!W$14),IF($AM557&lt;156,WeightSDS!O$17*$AM557^8+WeightSDS!P$17*$AM557^7+WeightSDS!Q$17*$AM557^6+WeightSDS!R$17*$AM557^5+WeightSDS!S$17*$AM557^4+WeightSDS!T$17*$AM557^3+WeightSDS!U$17*$AM557^2+WeightSDS!V$17*$AM557+WeightSDS!W$17,IF($AM557&lt;186,WeightSDS!$U$18+(WeightSDS!$V$18-WeightSDS!$U$18)/24*($AM557-186)+WeightSDS!$W$18*(-$AM557+186)^2-0.005,WeightSDS!$U$18+(WeightSDS!$V$18-WeightSDS!$U$18)/24*($AM557-186)-0.005)))</f>
        <v>0.14604529399999999</v>
      </c>
      <c r="AT557" s="4">
        <f t="shared" si="175"/>
        <v>0.56299999999999994</v>
      </c>
      <c r="AU557" s="4">
        <f t="shared" si="176"/>
        <v>69</v>
      </c>
      <c r="AV557" s="4">
        <f t="shared" si="177"/>
        <v>0.51</v>
      </c>
    </row>
    <row r="558" spans="1:48" x14ac:dyDescent="0.15">
      <c r="A558" s="4"/>
      <c r="B558" s="21"/>
      <c r="C558" s="21"/>
      <c r="D558" s="21"/>
      <c r="E558" s="22"/>
      <c r="F558" s="22"/>
      <c r="G558" s="23"/>
      <c r="H558" s="23"/>
      <c r="I558" s="181"/>
      <c r="J558" s="8" t="str">
        <f t="shared" si="169"/>
        <v/>
      </c>
      <c r="K558" s="2" t="str">
        <f t="shared" si="178"/>
        <v/>
      </c>
      <c r="L558" s="2" t="str">
        <f t="shared" si="170"/>
        <v/>
      </c>
      <c r="M558" s="2" t="str">
        <f t="shared" si="179"/>
        <v/>
      </c>
      <c r="N558" s="2" t="str">
        <f t="shared" si="187"/>
        <v/>
      </c>
      <c r="O558" s="2" t="str">
        <f t="shared" si="180"/>
        <v/>
      </c>
      <c r="P558" s="8" t="str">
        <f t="shared" si="181"/>
        <v/>
      </c>
      <c r="Q558" s="8" t="str">
        <f t="shared" si="182"/>
        <v/>
      </c>
      <c r="R558" s="111" t="str">
        <f t="shared" si="183"/>
        <v/>
      </c>
      <c r="S558" s="44" t="str">
        <f t="shared" si="184"/>
        <v/>
      </c>
      <c r="T558" s="37" t="str">
        <f t="shared" si="185"/>
        <v/>
      </c>
      <c r="U558" s="44" t="str">
        <f t="shared" si="186"/>
        <v/>
      </c>
      <c r="V558" s="26"/>
      <c r="W558" s="26"/>
      <c r="X558" s="26"/>
      <c r="Y558" s="26"/>
      <c r="Z558" s="24"/>
      <c r="AA558" s="169">
        <f t="shared" si="171"/>
        <v>0</v>
      </c>
      <c r="AB558" s="4">
        <f t="shared" si="172"/>
        <v>0</v>
      </c>
      <c r="AC558" s="170">
        <f t="shared" si="189"/>
        <v>0</v>
      </c>
      <c r="AD558" s="58"/>
      <c r="AE558" s="58"/>
      <c r="AF558" s="58"/>
      <c r="AG558" s="59">
        <f t="shared" si="173"/>
        <v>9.0359999999999996</v>
      </c>
      <c r="AH558" s="59">
        <f t="shared" si="174"/>
        <v>-184.49199999999999</v>
      </c>
      <c r="AJ558" s="4">
        <f>IF(D558="M",IF(AM558&lt;78,BMILMS!$D$5*AM558^3+BMILMS!$E$5*AM558^2+BMILMS!$F$5*AM558+BMILMS!$G$5,IF(AM558&lt;150,BMILMS!$D$6*AM558^3+BMILMS!$E$6*AM558^2+BMILMS!$F$6*AM558+BMILMS!$G$6,BMILMS!$D$7*AM558^3+BMILMS!$E$7*AM558^2+BMILMS!$F$7*AM558+BMILMS!$G$7)),IF(AM558&lt;69,BMILMS!$D$9*AM558^3+BMILMS!$E$9*AM558^2+BMILMS!$F$9*AM558+BMILMS!$G$9,IF(AM558&lt;150,BMILMS!$D$10*AM558^3+BMILMS!$E$10*AM558^2+BMILMS!$F$10*AM558+BMILMS!$G$10,BMILMS!$D$11*AM558^3+BMILMS!$E$11*AM558^2+BMILMS!$F$11*AM558+BMILMS!$G$11)))</f>
        <v>0.79584630099999998</v>
      </c>
      <c r="AK558" s="4">
        <f>IF(D558="M",(IF(AM558&lt;2.5,BMILMS!$D$21*AM558^3+BMILMS!$E$21*AM558^2+BMILMS!$F$21*AM558+BMILMS!$G$21,IF(AM558&lt;9.5,BMILMS!$D$22*AM558^3+BMILMS!$E$22*AM558^2+BMILMS!$F$22*AM558+BMILMS!$G$22,IF(AM558&lt;26.75,BMILMS!$D$23*AM558^3+BMILMS!$E$23*AM558^2+BMILMS!$F$23*AM558+BMILMS!$G$23,IF(AM558&lt;90,BMILMS!$D$24*AM558^3+BMILMS!$E$24*AM558^2+BMILMS!$F$24*AM558+BMILMS!$G$24,BMILMS!$D$25*AM558^3+BMILMS!$E$25*AM558^2+BMILMS!$F$25*AM558+BMILMS!$G$25))))),(IF(AM558&lt;2.5,BMILMS!$D$27*AM558^3+BMILMS!$E$27*AM558^2+BMILMS!$F$27*AM558+BMILMS!$G$27,IF(AM558&lt;9.5,BMILMS!$D$28*AM558^3+BMILMS!$E$28*AM558^2+BMILMS!$F$28*AM558+BMILMS!$G$28,IF(AM558&lt;26.75,BMILMS!$D$29*AM558^3+BMILMS!$E$29*AM558^2+BMILMS!$F$29*AM558+BMILMS!$G$29,IF(AM558&lt;90,BMILMS!$D$30*AM558^3+BMILMS!$E$30*AM558^2+BMILMS!$F$30*AM558+BMILMS!$G$30,IF(AM558&lt;150,BMILMS!$D$31*AM558^3+BMILMS!$E$31*AM558^2+BMILMS!$F$31*AM558+BMILMS!$G$31,BMILMS!$D$32*AM558^3+BMILMS!$E$32*AM558^2+BMILMS!$F$32*AM558+BMILMS!$G$32)))))))</f>
        <v>12.568967990000001</v>
      </c>
      <c r="AL558" s="4">
        <f>IF(D558="M",(IF(AM558&lt;90,BMILMS!$D$14*AM558^3+BMILMS!$E$14*AM558^2+BMILMS!$F$14*AM558+BMILMS!$G$14,BMILMS!$D$15*AM558^3+BMILMS!$E$15*AM558^2+BMILMS!$F$15*AM558+BMILMS!$G$15)),(IF(AM558&lt;90,BMILMS!$D$17*AM558^3+BMILMS!$E$17*AM558^2+BMILMS!$F$17*AM558+BMILMS!$G$17,BMILMS!$D$18*AM558^3+BMILMS!$E$18*AM558^2+BMILMS!$F$18*AM558+BMILMS!$G$18)))</f>
        <v>8.8969350000000003E-2</v>
      </c>
      <c r="AM558" s="4">
        <f t="shared" si="188"/>
        <v>0</v>
      </c>
      <c r="AO558" s="56">
        <f>IF(D558="M",WeightSDS!P$5*$AM558^7+WeightSDS!Q$5*$AM558^6+WeightSDS!R$5*$AM558^5+WeightSDS!S$5*$AM558^4+WeightSDS!T$5*$AM558^3+WeightSDS!U$5*$AM558^2+WeightSDS!V$5*$AM558+WeightSDS!W$5,IF($AM558&lt;186,WeightSDS!P$8*$AM558^7+WeightSDS!Q$8*$AM558^6+WeightSDS!R$8*$AM558^5+WeightSDS!S$8*$AM558^4+WeightSDS!T$8*$AM558^3+WeightSDS!U$8*$AM558^2+WeightSDS!V$8*$AM558+WeightSDS!W$8,WeightSDS!$U$9+WeightSDS!$V$9*($AM558-WeightSDS!$W$9)))</f>
        <v>0.75407122999999998</v>
      </c>
      <c r="AP558" s="4">
        <f>IF(D558="M",IF($AM558&lt;45,WeightSDS!M$23*$AM558^10+WeightSDS!N$23*$AM558^9+WeightSDS!O$23*$AM558^8+WeightSDS!P$23*$AM558^7+WeightSDS!Q$23*$AM558^6+WeightSDS!R$23*$AM558^5+WeightSDS!S$23*$AM558^4+WeightSDS!T$23*$AM558^3+WeightSDS!U$23*$AM558^2+WeightSDS!V$23*$AM558+WeightSDS!W$23,IF($AM558&lt;153,WeightSDS!M$25*$AM558^10+WeightSDS!N$25*$AM558^9+WeightSDS!O$25*$AM558^8+WeightSDS!P$25*$AM558^7+WeightSDS!Q$25*$AM558^6+WeightSDS!R$25*$AM558^5+WeightSDS!S$25*$AM558^4+WeightSDS!T$25*$AM558^3+WeightSDS!U$25*$AM558^2+WeightSDS!V$25*$AM558+WeightSDS!W$25,WeightSDS!M$27+WeightSDS!N$27/(1+EXP(WeightSDS!O$27+WeightSDS!P$27*$AM558)))),IF($AM558&lt;43.8,WeightSDS!M$29*$AM558^10+WeightSDS!N$29*$AM558^9+WeightSDS!O$29*$AM558^8+WeightSDS!P$29*$AM558^7+WeightSDS!Q$29*$AM558^6+WeightSDS!R$29*$AM558^5+WeightSDS!S$29*$AM558^4+WeightSDS!T$29*$AM558^3+WeightSDS!U$29*$AM558^2+WeightSDS!V$29*$AM558+WeightSDS!W$29-0.010431*(1-$AM558/210),IF($AM558&lt;123,WeightSDS!M$30*$AM558^10+WeightSDS!N$30*$AM558^9+WeightSDS!O$30*$AM558^8+WeightSDS!P$30*$AM558^7+WeightSDS!Q$30*$AM558^6+WeightSDS!R$30*$AM558^5+WeightSDS!S$30*$AM558^4+WeightSDS!T$30*$AM558^3+WeightSDS!U$30*$AM558^2+WeightSDS!V$30*$AM558+WeightSDS!W$30-0.010431*(1-1/$AM558),WeightSDS!M$32+WeightSDS!N$32/(1+EXP(WeightSDS!O$32+WeightSDS!P$32*$AM558))-0.010431*(1-$AM558/210))))</f>
        <v>2.9500001032655536</v>
      </c>
      <c r="AQ558" s="4">
        <f>IF(D558="M",IF($AM558&lt;162,WeightSDS!P$12*$AM558^7+WeightSDS!Q$12*$AM558^6+WeightSDS!R$12*$AM558^5+WeightSDS!S$12*$AM558^4+WeightSDS!T$12*$AM558^3+WeightSDS!U$12*$AM558^2+WeightSDS!V$12*$AM558+WeightSDS!W$12,WeightSDS!P$14*$AM558^7+WeightSDS!Q$14*$AM558^6+WeightSDS!R$14*$AM558^5+WeightSDS!S$14*$AM558^4+WeightSDS!T$14*$AM558^3+WeightSDS!U$14*$AM558^2+WeightSDS!V$14*$AM558+WeightSDS!W$14),IF($AM558&lt;156,WeightSDS!O$17*$AM558^8+WeightSDS!P$17*$AM558^7+WeightSDS!Q$17*$AM558^6+WeightSDS!R$17*$AM558^5+WeightSDS!S$17*$AM558^4+WeightSDS!T$17*$AM558^3+WeightSDS!U$17*$AM558^2+WeightSDS!V$17*$AM558+WeightSDS!W$17,IF($AM558&lt;186,WeightSDS!$U$18+(WeightSDS!$V$18-WeightSDS!$U$18)/24*($AM558-186)+WeightSDS!$W$18*(-$AM558+186)^2-0.005,WeightSDS!$U$18+(WeightSDS!$V$18-WeightSDS!$U$18)/24*($AM558-186)-0.005)))</f>
        <v>0.14604529399999999</v>
      </c>
      <c r="AT558" s="4">
        <f t="shared" si="175"/>
        <v>0.56299999999999994</v>
      </c>
      <c r="AU558" s="4">
        <f t="shared" si="176"/>
        <v>69</v>
      </c>
      <c r="AV558" s="4">
        <f t="shared" si="177"/>
        <v>0.51</v>
      </c>
    </row>
    <row r="559" spans="1:48" x14ac:dyDescent="0.15">
      <c r="A559" s="4"/>
      <c r="B559" s="21"/>
      <c r="C559" s="21"/>
      <c r="D559" s="21"/>
      <c r="E559" s="22"/>
      <c r="F559" s="22"/>
      <c r="G559" s="23"/>
      <c r="H559" s="23"/>
      <c r="I559" s="181"/>
      <c r="J559" s="8" t="str">
        <f t="shared" si="169"/>
        <v/>
      </c>
      <c r="K559" s="2" t="str">
        <f t="shared" si="178"/>
        <v/>
      </c>
      <c r="L559" s="2" t="str">
        <f t="shared" si="170"/>
        <v/>
      </c>
      <c r="M559" s="2" t="str">
        <f t="shared" si="179"/>
        <v/>
      </c>
      <c r="N559" s="2" t="str">
        <f t="shared" si="187"/>
        <v/>
      </c>
      <c r="O559" s="2" t="str">
        <f t="shared" si="180"/>
        <v/>
      </c>
      <c r="P559" s="8" t="str">
        <f t="shared" si="181"/>
        <v/>
      </c>
      <c r="Q559" s="8" t="str">
        <f t="shared" si="182"/>
        <v/>
      </c>
      <c r="R559" s="111" t="str">
        <f t="shared" si="183"/>
        <v/>
      </c>
      <c r="S559" s="44" t="str">
        <f t="shared" si="184"/>
        <v/>
      </c>
      <c r="T559" s="37" t="str">
        <f t="shared" si="185"/>
        <v/>
      </c>
      <c r="U559" s="44" t="str">
        <f t="shared" si="186"/>
        <v/>
      </c>
      <c r="V559" s="26"/>
      <c r="W559" s="26"/>
      <c r="X559" s="26"/>
      <c r="Y559" s="26"/>
      <c r="Z559" s="24"/>
      <c r="AA559" s="169">
        <f t="shared" si="171"/>
        <v>0</v>
      </c>
      <c r="AB559" s="4">
        <f t="shared" si="172"/>
        <v>0</v>
      </c>
      <c r="AC559" s="170">
        <f t="shared" si="189"/>
        <v>0</v>
      </c>
      <c r="AD559" s="58"/>
      <c r="AE559" s="58"/>
      <c r="AF559" s="58"/>
      <c r="AG559" s="59">
        <f t="shared" si="173"/>
        <v>9.0359999999999996</v>
      </c>
      <c r="AH559" s="59">
        <f t="shared" si="174"/>
        <v>-184.49199999999999</v>
      </c>
      <c r="AJ559" s="4">
        <f>IF(D559="M",IF(AM559&lt;78,BMILMS!$D$5*AM559^3+BMILMS!$E$5*AM559^2+BMILMS!$F$5*AM559+BMILMS!$G$5,IF(AM559&lt;150,BMILMS!$D$6*AM559^3+BMILMS!$E$6*AM559^2+BMILMS!$F$6*AM559+BMILMS!$G$6,BMILMS!$D$7*AM559^3+BMILMS!$E$7*AM559^2+BMILMS!$F$7*AM559+BMILMS!$G$7)),IF(AM559&lt;69,BMILMS!$D$9*AM559^3+BMILMS!$E$9*AM559^2+BMILMS!$F$9*AM559+BMILMS!$G$9,IF(AM559&lt;150,BMILMS!$D$10*AM559^3+BMILMS!$E$10*AM559^2+BMILMS!$F$10*AM559+BMILMS!$G$10,BMILMS!$D$11*AM559^3+BMILMS!$E$11*AM559^2+BMILMS!$F$11*AM559+BMILMS!$G$11)))</f>
        <v>0.79584630099999998</v>
      </c>
      <c r="AK559" s="4">
        <f>IF(D559="M",(IF(AM559&lt;2.5,BMILMS!$D$21*AM559^3+BMILMS!$E$21*AM559^2+BMILMS!$F$21*AM559+BMILMS!$G$21,IF(AM559&lt;9.5,BMILMS!$D$22*AM559^3+BMILMS!$E$22*AM559^2+BMILMS!$F$22*AM559+BMILMS!$G$22,IF(AM559&lt;26.75,BMILMS!$D$23*AM559^3+BMILMS!$E$23*AM559^2+BMILMS!$F$23*AM559+BMILMS!$G$23,IF(AM559&lt;90,BMILMS!$D$24*AM559^3+BMILMS!$E$24*AM559^2+BMILMS!$F$24*AM559+BMILMS!$G$24,BMILMS!$D$25*AM559^3+BMILMS!$E$25*AM559^2+BMILMS!$F$25*AM559+BMILMS!$G$25))))),(IF(AM559&lt;2.5,BMILMS!$D$27*AM559^3+BMILMS!$E$27*AM559^2+BMILMS!$F$27*AM559+BMILMS!$G$27,IF(AM559&lt;9.5,BMILMS!$D$28*AM559^3+BMILMS!$E$28*AM559^2+BMILMS!$F$28*AM559+BMILMS!$G$28,IF(AM559&lt;26.75,BMILMS!$D$29*AM559^3+BMILMS!$E$29*AM559^2+BMILMS!$F$29*AM559+BMILMS!$G$29,IF(AM559&lt;90,BMILMS!$D$30*AM559^3+BMILMS!$E$30*AM559^2+BMILMS!$F$30*AM559+BMILMS!$G$30,IF(AM559&lt;150,BMILMS!$D$31*AM559^3+BMILMS!$E$31*AM559^2+BMILMS!$F$31*AM559+BMILMS!$G$31,BMILMS!$D$32*AM559^3+BMILMS!$E$32*AM559^2+BMILMS!$F$32*AM559+BMILMS!$G$32)))))))</f>
        <v>12.568967990000001</v>
      </c>
      <c r="AL559" s="4">
        <f>IF(D559="M",(IF(AM559&lt;90,BMILMS!$D$14*AM559^3+BMILMS!$E$14*AM559^2+BMILMS!$F$14*AM559+BMILMS!$G$14,BMILMS!$D$15*AM559^3+BMILMS!$E$15*AM559^2+BMILMS!$F$15*AM559+BMILMS!$G$15)),(IF(AM559&lt;90,BMILMS!$D$17*AM559^3+BMILMS!$E$17*AM559^2+BMILMS!$F$17*AM559+BMILMS!$G$17,BMILMS!$D$18*AM559^3+BMILMS!$E$18*AM559^2+BMILMS!$F$18*AM559+BMILMS!$G$18)))</f>
        <v>8.8969350000000003E-2</v>
      </c>
      <c r="AM559" s="4">
        <f t="shared" si="188"/>
        <v>0</v>
      </c>
      <c r="AO559" s="56">
        <f>IF(D559="M",WeightSDS!P$5*$AM559^7+WeightSDS!Q$5*$AM559^6+WeightSDS!R$5*$AM559^5+WeightSDS!S$5*$AM559^4+WeightSDS!T$5*$AM559^3+WeightSDS!U$5*$AM559^2+WeightSDS!V$5*$AM559+WeightSDS!W$5,IF($AM559&lt;186,WeightSDS!P$8*$AM559^7+WeightSDS!Q$8*$AM559^6+WeightSDS!R$8*$AM559^5+WeightSDS!S$8*$AM559^4+WeightSDS!T$8*$AM559^3+WeightSDS!U$8*$AM559^2+WeightSDS!V$8*$AM559+WeightSDS!W$8,WeightSDS!$U$9+WeightSDS!$V$9*($AM559-WeightSDS!$W$9)))</f>
        <v>0.75407122999999998</v>
      </c>
      <c r="AP559" s="4">
        <f>IF(D559="M",IF($AM559&lt;45,WeightSDS!M$23*$AM559^10+WeightSDS!N$23*$AM559^9+WeightSDS!O$23*$AM559^8+WeightSDS!P$23*$AM559^7+WeightSDS!Q$23*$AM559^6+WeightSDS!R$23*$AM559^5+WeightSDS!S$23*$AM559^4+WeightSDS!T$23*$AM559^3+WeightSDS!U$23*$AM559^2+WeightSDS!V$23*$AM559+WeightSDS!W$23,IF($AM559&lt;153,WeightSDS!M$25*$AM559^10+WeightSDS!N$25*$AM559^9+WeightSDS!O$25*$AM559^8+WeightSDS!P$25*$AM559^7+WeightSDS!Q$25*$AM559^6+WeightSDS!R$25*$AM559^5+WeightSDS!S$25*$AM559^4+WeightSDS!T$25*$AM559^3+WeightSDS!U$25*$AM559^2+WeightSDS!V$25*$AM559+WeightSDS!W$25,WeightSDS!M$27+WeightSDS!N$27/(1+EXP(WeightSDS!O$27+WeightSDS!P$27*$AM559)))),IF($AM559&lt;43.8,WeightSDS!M$29*$AM559^10+WeightSDS!N$29*$AM559^9+WeightSDS!O$29*$AM559^8+WeightSDS!P$29*$AM559^7+WeightSDS!Q$29*$AM559^6+WeightSDS!R$29*$AM559^5+WeightSDS!S$29*$AM559^4+WeightSDS!T$29*$AM559^3+WeightSDS!U$29*$AM559^2+WeightSDS!V$29*$AM559+WeightSDS!W$29-0.010431*(1-$AM559/210),IF($AM559&lt;123,WeightSDS!M$30*$AM559^10+WeightSDS!N$30*$AM559^9+WeightSDS!O$30*$AM559^8+WeightSDS!P$30*$AM559^7+WeightSDS!Q$30*$AM559^6+WeightSDS!R$30*$AM559^5+WeightSDS!S$30*$AM559^4+WeightSDS!T$30*$AM559^3+WeightSDS!U$30*$AM559^2+WeightSDS!V$30*$AM559+WeightSDS!W$30-0.010431*(1-1/$AM559),WeightSDS!M$32+WeightSDS!N$32/(1+EXP(WeightSDS!O$32+WeightSDS!P$32*$AM559))-0.010431*(1-$AM559/210))))</f>
        <v>2.9500001032655536</v>
      </c>
      <c r="AQ559" s="4">
        <f>IF(D559="M",IF($AM559&lt;162,WeightSDS!P$12*$AM559^7+WeightSDS!Q$12*$AM559^6+WeightSDS!R$12*$AM559^5+WeightSDS!S$12*$AM559^4+WeightSDS!T$12*$AM559^3+WeightSDS!U$12*$AM559^2+WeightSDS!V$12*$AM559+WeightSDS!W$12,WeightSDS!P$14*$AM559^7+WeightSDS!Q$14*$AM559^6+WeightSDS!R$14*$AM559^5+WeightSDS!S$14*$AM559^4+WeightSDS!T$14*$AM559^3+WeightSDS!U$14*$AM559^2+WeightSDS!V$14*$AM559+WeightSDS!W$14),IF($AM559&lt;156,WeightSDS!O$17*$AM559^8+WeightSDS!P$17*$AM559^7+WeightSDS!Q$17*$AM559^6+WeightSDS!R$17*$AM559^5+WeightSDS!S$17*$AM559^4+WeightSDS!T$17*$AM559^3+WeightSDS!U$17*$AM559^2+WeightSDS!V$17*$AM559+WeightSDS!W$17,IF($AM559&lt;186,WeightSDS!$U$18+(WeightSDS!$V$18-WeightSDS!$U$18)/24*($AM559-186)+WeightSDS!$W$18*(-$AM559+186)^2-0.005,WeightSDS!$U$18+(WeightSDS!$V$18-WeightSDS!$U$18)/24*($AM559-186)-0.005)))</f>
        <v>0.14604529399999999</v>
      </c>
      <c r="AT559" s="4">
        <f t="shared" si="175"/>
        <v>0.56299999999999994</v>
      </c>
      <c r="AU559" s="4">
        <f t="shared" si="176"/>
        <v>69</v>
      </c>
      <c r="AV559" s="4">
        <f t="shared" si="177"/>
        <v>0.51</v>
      </c>
    </row>
    <row r="560" spans="1:48" x14ac:dyDescent="0.15">
      <c r="A560" s="4"/>
      <c r="B560" s="21"/>
      <c r="C560" s="21"/>
      <c r="D560" s="21"/>
      <c r="E560" s="22"/>
      <c r="F560" s="22"/>
      <c r="G560" s="23"/>
      <c r="H560" s="23"/>
      <c r="I560" s="181"/>
      <c r="J560" s="8" t="str">
        <f t="shared" si="169"/>
        <v/>
      </c>
      <c r="K560" s="2" t="str">
        <f t="shared" si="178"/>
        <v/>
      </c>
      <c r="L560" s="2" t="str">
        <f t="shared" si="170"/>
        <v/>
      </c>
      <c r="M560" s="2" t="str">
        <f t="shared" si="179"/>
        <v/>
      </c>
      <c r="N560" s="2" t="str">
        <f t="shared" si="187"/>
        <v/>
      </c>
      <c r="O560" s="2" t="str">
        <f t="shared" si="180"/>
        <v/>
      </c>
      <c r="P560" s="8" t="str">
        <f t="shared" si="181"/>
        <v/>
      </c>
      <c r="Q560" s="8" t="str">
        <f t="shared" si="182"/>
        <v/>
      </c>
      <c r="R560" s="111" t="str">
        <f t="shared" si="183"/>
        <v/>
      </c>
      <c r="S560" s="44" t="str">
        <f t="shared" si="184"/>
        <v/>
      </c>
      <c r="T560" s="37" t="str">
        <f t="shared" si="185"/>
        <v/>
      </c>
      <c r="U560" s="44" t="str">
        <f t="shared" si="186"/>
        <v/>
      </c>
      <c r="V560" s="26"/>
      <c r="W560" s="26"/>
      <c r="X560" s="26"/>
      <c r="Y560" s="26"/>
      <c r="Z560" s="24"/>
      <c r="AA560" s="169">
        <f t="shared" si="171"/>
        <v>0</v>
      </c>
      <c r="AB560" s="4">
        <f t="shared" si="172"/>
        <v>0</v>
      </c>
      <c r="AC560" s="170">
        <f t="shared" si="189"/>
        <v>0</v>
      </c>
      <c r="AD560" s="58"/>
      <c r="AE560" s="58"/>
      <c r="AF560" s="58"/>
      <c r="AG560" s="59">
        <f t="shared" si="173"/>
        <v>9.0359999999999996</v>
      </c>
      <c r="AH560" s="59">
        <f t="shared" si="174"/>
        <v>-184.49199999999999</v>
      </c>
      <c r="AJ560" s="4">
        <f>IF(D560="M",IF(AM560&lt;78,BMILMS!$D$5*AM560^3+BMILMS!$E$5*AM560^2+BMILMS!$F$5*AM560+BMILMS!$G$5,IF(AM560&lt;150,BMILMS!$D$6*AM560^3+BMILMS!$E$6*AM560^2+BMILMS!$F$6*AM560+BMILMS!$G$6,BMILMS!$D$7*AM560^3+BMILMS!$E$7*AM560^2+BMILMS!$F$7*AM560+BMILMS!$G$7)),IF(AM560&lt;69,BMILMS!$D$9*AM560^3+BMILMS!$E$9*AM560^2+BMILMS!$F$9*AM560+BMILMS!$G$9,IF(AM560&lt;150,BMILMS!$D$10*AM560^3+BMILMS!$E$10*AM560^2+BMILMS!$F$10*AM560+BMILMS!$G$10,BMILMS!$D$11*AM560^3+BMILMS!$E$11*AM560^2+BMILMS!$F$11*AM560+BMILMS!$G$11)))</f>
        <v>0.79584630099999998</v>
      </c>
      <c r="AK560" s="4">
        <f>IF(D560="M",(IF(AM560&lt;2.5,BMILMS!$D$21*AM560^3+BMILMS!$E$21*AM560^2+BMILMS!$F$21*AM560+BMILMS!$G$21,IF(AM560&lt;9.5,BMILMS!$D$22*AM560^3+BMILMS!$E$22*AM560^2+BMILMS!$F$22*AM560+BMILMS!$G$22,IF(AM560&lt;26.75,BMILMS!$D$23*AM560^3+BMILMS!$E$23*AM560^2+BMILMS!$F$23*AM560+BMILMS!$G$23,IF(AM560&lt;90,BMILMS!$D$24*AM560^3+BMILMS!$E$24*AM560^2+BMILMS!$F$24*AM560+BMILMS!$G$24,BMILMS!$D$25*AM560^3+BMILMS!$E$25*AM560^2+BMILMS!$F$25*AM560+BMILMS!$G$25))))),(IF(AM560&lt;2.5,BMILMS!$D$27*AM560^3+BMILMS!$E$27*AM560^2+BMILMS!$F$27*AM560+BMILMS!$G$27,IF(AM560&lt;9.5,BMILMS!$D$28*AM560^3+BMILMS!$E$28*AM560^2+BMILMS!$F$28*AM560+BMILMS!$G$28,IF(AM560&lt;26.75,BMILMS!$D$29*AM560^3+BMILMS!$E$29*AM560^2+BMILMS!$F$29*AM560+BMILMS!$G$29,IF(AM560&lt;90,BMILMS!$D$30*AM560^3+BMILMS!$E$30*AM560^2+BMILMS!$F$30*AM560+BMILMS!$G$30,IF(AM560&lt;150,BMILMS!$D$31*AM560^3+BMILMS!$E$31*AM560^2+BMILMS!$F$31*AM560+BMILMS!$G$31,BMILMS!$D$32*AM560^3+BMILMS!$E$32*AM560^2+BMILMS!$F$32*AM560+BMILMS!$G$32)))))))</f>
        <v>12.568967990000001</v>
      </c>
      <c r="AL560" s="4">
        <f>IF(D560="M",(IF(AM560&lt;90,BMILMS!$D$14*AM560^3+BMILMS!$E$14*AM560^2+BMILMS!$F$14*AM560+BMILMS!$G$14,BMILMS!$D$15*AM560^3+BMILMS!$E$15*AM560^2+BMILMS!$F$15*AM560+BMILMS!$G$15)),(IF(AM560&lt;90,BMILMS!$D$17*AM560^3+BMILMS!$E$17*AM560^2+BMILMS!$F$17*AM560+BMILMS!$G$17,BMILMS!$D$18*AM560^3+BMILMS!$E$18*AM560^2+BMILMS!$F$18*AM560+BMILMS!$G$18)))</f>
        <v>8.8969350000000003E-2</v>
      </c>
      <c r="AM560" s="4">
        <f t="shared" si="188"/>
        <v>0</v>
      </c>
      <c r="AO560" s="56">
        <f>IF(D560="M",WeightSDS!P$5*$AM560^7+WeightSDS!Q$5*$AM560^6+WeightSDS!R$5*$AM560^5+WeightSDS!S$5*$AM560^4+WeightSDS!T$5*$AM560^3+WeightSDS!U$5*$AM560^2+WeightSDS!V$5*$AM560+WeightSDS!W$5,IF($AM560&lt;186,WeightSDS!P$8*$AM560^7+WeightSDS!Q$8*$AM560^6+WeightSDS!R$8*$AM560^5+WeightSDS!S$8*$AM560^4+WeightSDS!T$8*$AM560^3+WeightSDS!U$8*$AM560^2+WeightSDS!V$8*$AM560+WeightSDS!W$8,WeightSDS!$U$9+WeightSDS!$V$9*($AM560-WeightSDS!$W$9)))</f>
        <v>0.75407122999999998</v>
      </c>
      <c r="AP560" s="4">
        <f>IF(D560="M",IF($AM560&lt;45,WeightSDS!M$23*$AM560^10+WeightSDS!N$23*$AM560^9+WeightSDS!O$23*$AM560^8+WeightSDS!P$23*$AM560^7+WeightSDS!Q$23*$AM560^6+WeightSDS!R$23*$AM560^5+WeightSDS!S$23*$AM560^4+WeightSDS!T$23*$AM560^3+WeightSDS!U$23*$AM560^2+WeightSDS!V$23*$AM560+WeightSDS!W$23,IF($AM560&lt;153,WeightSDS!M$25*$AM560^10+WeightSDS!N$25*$AM560^9+WeightSDS!O$25*$AM560^8+WeightSDS!P$25*$AM560^7+WeightSDS!Q$25*$AM560^6+WeightSDS!R$25*$AM560^5+WeightSDS!S$25*$AM560^4+WeightSDS!T$25*$AM560^3+WeightSDS!U$25*$AM560^2+WeightSDS!V$25*$AM560+WeightSDS!W$25,WeightSDS!M$27+WeightSDS!N$27/(1+EXP(WeightSDS!O$27+WeightSDS!P$27*$AM560)))),IF($AM560&lt;43.8,WeightSDS!M$29*$AM560^10+WeightSDS!N$29*$AM560^9+WeightSDS!O$29*$AM560^8+WeightSDS!P$29*$AM560^7+WeightSDS!Q$29*$AM560^6+WeightSDS!R$29*$AM560^5+WeightSDS!S$29*$AM560^4+WeightSDS!T$29*$AM560^3+WeightSDS!U$29*$AM560^2+WeightSDS!V$29*$AM560+WeightSDS!W$29-0.010431*(1-$AM560/210),IF($AM560&lt;123,WeightSDS!M$30*$AM560^10+WeightSDS!N$30*$AM560^9+WeightSDS!O$30*$AM560^8+WeightSDS!P$30*$AM560^7+WeightSDS!Q$30*$AM560^6+WeightSDS!R$30*$AM560^5+WeightSDS!S$30*$AM560^4+WeightSDS!T$30*$AM560^3+WeightSDS!U$30*$AM560^2+WeightSDS!V$30*$AM560+WeightSDS!W$30-0.010431*(1-1/$AM560),WeightSDS!M$32+WeightSDS!N$32/(1+EXP(WeightSDS!O$32+WeightSDS!P$32*$AM560))-0.010431*(1-$AM560/210))))</f>
        <v>2.9500001032655536</v>
      </c>
      <c r="AQ560" s="4">
        <f>IF(D560="M",IF($AM560&lt;162,WeightSDS!P$12*$AM560^7+WeightSDS!Q$12*$AM560^6+WeightSDS!R$12*$AM560^5+WeightSDS!S$12*$AM560^4+WeightSDS!T$12*$AM560^3+WeightSDS!U$12*$AM560^2+WeightSDS!V$12*$AM560+WeightSDS!W$12,WeightSDS!P$14*$AM560^7+WeightSDS!Q$14*$AM560^6+WeightSDS!R$14*$AM560^5+WeightSDS!S$14*$AM560^4+WeightSDS!T$14*$AM560^3+WeightSDS!U$14*$AM560^2+WeightSDS!V$14*$AM560+WeightSDS!W$14),IF($AM560&lt;156,WeightSDS!O$17*$AM560^8+WeightSDS!P$17*$AM560^7+WeightSDS!Q$17*$AM560^6+WeightSDS!R$17*$AM560^5+WeightSDS!S$17*$AM560^4+WeightSDS!T$17*$AM560^3+WeightSDS!U$17*$AM560^2+WeightSDS!V$17*$AM560+WeightSDS!W$17,IF($AM560&lt;186,WeightSDS!$U$18+(WeightSDS!$V$18-WeightSDS!$U$18)/24*($AM560-186)+WeightSDS!$W$18*(-$AM560+186)^2-0.005,WeightSDS!$U$18+(WeightSDS!$V$18-WeightSDS!$U$18)/24*($AM560-186)-0.005)))</f>
        <v>0.14604529399999999</v>
      </c>
      <c r="AT560" s="4">
        <f t="shared" si="175"/>
        <v>0.56299999999999994</v>
      </c>
      <c r="AU560" s="4">
        <f t="shared" si="176"/>
        <v>69</v>
      </c>
      <c r="AV560" s="4">
        <f t="shared" si="177"/>
        <v>0.51</v>
      </c>
    </row>
    <row r="561" spans="1:48" x14ac:dyDescent="0.15">
      <c r="A561" s="4"/>
      <c r="B561" s="21"/>
      <c r="C561" s="21"/>
      <c r="D561" s="21"/>
      <c r="E561" s="22"/>
      <c r="F561" s="22"/>
      <c r="G561" s="23"/>
      <c r="H561" s="23"/>
      <c r="I561" s="181"/>
      <c r="J561" s="8" t="str">
        <f t="shared" si="169"/>
        <v/>
      </c>
      <c r="K561" s="2" t="str">
        <f t="shared" si="178"/>
        <v/>
      </c>
      <c r="L561" s="2" t="str">
        <f t="shared" si="170"/>
        <v/>
      </c>
      <c r="M561" s="2" t="str">
        <f t="shared" si="179"/>
        <v/>
      </c>
      <c r="N561" s="2" t="str">
        <f t="shared" si="187"/>
        <v/>
      </c>
      <c r="O561" s="2" t="str">
        <f t="shared" si="180"/>
        <v/>
      </c>
      <c r="P561" s="8" t="str">
        <f t="shared" si="181"/>
        <v/>
      </c>
      <c r="Q561" s="8" t="str">
        <f t="shared" si="182"/>
        <v/>
      </c>
      <c r="R561" s="111" t="str">
        <f t="shared" si="183"/>
        <v/>
      </c>
      <c r="S561" s="44" t="str">
        <f t="shared" si="184"/>
        <v/>
      </c>
      <c r="T561" s="37" t="str">
        <f t="shared" si="185"/>
        <v/>
      </c>
      <c r="U561" s="44" t="str">
        <f t="shared" si="186"/>
        <v/>
      </c>
      <c r="V561" s="26"/>
      <c r="W561" s="26"/>
      <c r="X561" s="26"/>
      <c r="Y561" s="26"/>
      <c r="Z561" s="24"/>
      <c r="AA561" s="169">
        <f t="shared" si="171"/>
        <v>0</v>
      </c>
      <c r="AB561" s="4">
        <f t="shared" si="172"/>
        <v>0</v>
      </c>
      <c r="AC561" s="170">
        <f t="shared" si="189"/>
        <v>0</v>
      </c>
      <c r="AD561" s="58"/>
      <c r="AE561" s="58"/>
      <c r="AF561" s="58"/>
      <c r="AG561" s="59">
        <f t="shared" si="173"/>
        <v>9.0359999999999996</v>
      </c>
      <c r="AH561" s="59">
        <f t="shared" si="174"/>
        <v>-184.49199999999999</v>
      </c>
      <c r="AJ561" s="4">
        <f>IF(D561="M",IF(AM561&lt;78,BMILMS!$D$5*AM561^3+BMILMS!$E$5*AM561^2+BMILMS!$F$5*AM561+BMILMS!$G$5,IF(AM561&lt;150,BMILMS!$D$6*AM561^3+BMILMS!$E$6*AM561^2+BMILMS!$F$6*AM561+BMILMS!$G$6,BMILMS!$D$7*AM561^3+BMILMS!$E$7*AM561^2+BMILMS!$F$7*AM561+BMILMS!$G$7)),IF(AM561&lt;69,BMILMS!$D$9*AM561^3+BMILMS!$E$9*AM561^2+BMILMS!$F$9*AM561+BMILMS!$G$9,IF(AM561&lt;150,BMILMS!$D$10*AM561^3+BMILMS!$E$10*AM561^2+BMILMS!$F$10*AM561+BMILMS!$G$10,BMILMS!$D$11*AM561^3+BMILMS!$E$11*AM561^2+BMILMS!$F$11*AM561+BMILMS!$G$11)))</f>
        <v>0.79584630099999998</v>
      </c>
      <c r="AK561" s="4">
        <f>IF(D561="M",(IF(AM561&lt;2.5,BMILMS!$D$21*AM561^3+BMILMS!$E$21*AM561^2+BMILMS!$F$21*AM561+BMILMS!$G$21,IF(AM561&lt;9.5,BMILMS!$D$22*AM561^3+BMILMS!$E$22*AM561^2+BMILMS!$F$22*AM561+BMILMS!$G$22,IF(AM561&lt;26.75,BMILMS!$D$23*AM561^3+BMILMS!$E$23*AM561^2+BMILMS!$F$23*AM561+BMILMS!$G$23,IF(AM561&lt;90,BMILMS!$D$24*AM561^3+BMILMS!$E$24*AM561^2+BMILMS!$F$24*AM561+BMILMS!$G$24,BMILMS!$D$25*AM561^3+BMILMS!$E$25*AM561^2+BMILMS!$F$25*AM561+BMILMS!$G$25))))),(IF(AM561&lt;2.5,BMILMS!$D$27*AM561^3+BMILMS!$E$27*AM561^2+BMILMS!$F$27*AM561+BMILMS!$G$27,IF(AM561&lt;9.5,BMILMS!$D$28*AM561^3+BMILMS!$E$28*AM561^2+BMILMS!$F$28*AM561+BMILMS!$G$28,IF(AM561&lt;26.75,BMILMS!$D$29*AM561^3+BMILMS!$E$29*AM561^2+BMILMS!$F$29*AM561+BMILMS!$G$29,IF(AM561&lt;90,BMILMS!$D$30*AM561^3+BMILMS!$E$30*AM561^2+BMILMS!$F$30*AM561+BMILMS!$G$30,IF(AM561&lt;150,BMILMS!$D$31*AM561^3+BMILMS!$E$31*AM561^2+BMILMS!$F$31*AM561+BMILMS!$G$31,BMILMS!$D$32*AM561^3+BMILMS!$E$32*AM561^2+BMILMS!$F$32*AM561+BMILMS!$G$32)))))))</f>
        <v>12.568967990000001</v>
      </c>
      <c r="AL561" s="4">
        <f>IF(D561="M",(IF(AM561&lt;90,BMILMS!$D$14*AM561^3+BMILMS!$E$14*AM561^2+BMILMS!$F$14*AM561+BMILMS!$G$14,BMILMS!$D$15*AM561^3+BMILMS!$E$15*AM561^2+BMILMS!$F$15*AM561+BMILMS!$G$15)),(IF(AM561&lt;90,BMILMS!$D$17*AM561^3+BMILMS!$E$17*AM561^2+BMILMS!$F$17*AM561+BMILMS!$G$17,BMILMS!$D$18*AM561^3+BMILMS!$E$18*AM561^2+BMILMS!$F$18*AM561+BMILMS!$G$18)))</f>
        <v>8.8969350000000003E-2</v>
      </c>
      <c r="AM561" s="4">
        <f t="shared" si="188"/>
        <v>0</v>
      </c>
      <c r="AO561" s="56">
        <f>IF(D561="M",WeightSDS!P$5*$AM561^7+WeightSDS!Q$5*$AM561^6+WeightSDS!R$5*$AM561^5+WeightSDS!S$5*$AM561^4+WeightSDS!T$5*$AM561^3+WeightSDS!U$5*$AM561^2+WeightSDS!V$5*$AM561+WeightSDS!W$5,IF($AM561&lt;186,WeightSDS!P$8*$AM561^7+WeightSDS!Q$8*$AM561^6+WeightSDS!R$8*$AM561^5+WeightSDS!S$8*$AM561^4+WeightSDS!T$8*$AM561^3+WeightSDS!U$8*$AM561^2+WeightSDS!V$8*$AM561+WeightSDS!W$8,WeightSDS!$U$9+WeightSDS!$V$9*($AM561-WeightSDS!$W$9)))</f>
        <v>0.75407122999999998</v>
      </c>
      <c r="AP561" s="4">
        <f>IF(D561="M",IF($AM561&lt;45,WeightSDS!M$23*$AM561^10+WeightSDS!N$23*$AM561^9+WeightSDS!O$23*$AM561^8+WeightSDS!P$23*$AM561^7+WeightSDS!Q$23*$AM561^6+WeightSDS!R$23*$AM561^5+WeightSDS!S$23*$AM561^4+WeightSDS!T$23*$AM561^3+WeightSDS!U$23*$AM561^2+WeightSDS!V$23*$AM561+WeightSDS!W$23,IF($AM561&lt;153,WeightSDS!M$25*$AM561^10+WeightSDS!N$25*$AM561^9+WeightSDS!O$25*$AM561^8+WeightSDS!P$25*$AM561^7+WeightSDS!Q$25*$AM561^6+WeightSDS!R$25*$AM561^5+WeightSDS!S$25*$AM561^4+WeightSDS!T$25*$AM561^3+WeightSDS!U$25*$AM561^2+WeightSDS!V$25*$AM561+WeightSDS!W$25,WeightSDS!M$27+WeightSDS!N$27/(1+EXP(WeightSDS!O$27+WeightSDS!P$27*$AM561)))),IF($AM561&lt;43.8,WeightSDS!M$29*$AM561^10+WeightSDS!N$29*$AM561^9+WeightSDS!O$29*$AM561^8+WeightSDS!P$29*$AM561^7+WeightSDS!Q$29*$AM561^6+WeightSDS!R$29*$AM561^5+WeightSDS!S$29*$AM561^4+WeightSDS!T$29*$AM561^3+WeightSDS!U$29*$AM561^2+WeightSDS!V$29*$AM561+WeightSDS!W$29-0.010431*(1-$AM561/210),IF($AM561&lt;123,WeightSDS!M$30*$AM561^10+WeightSDS!N$30*$AM561^9+WeightSDS!O$30*$AM561^8+WeightSDS!P$30*$AM561^7+WeightSDS!Q$30*$AM561^6+WeightSDS!R$30*$AM561^5+WeightSDS!S$30*$AM561^4+WeightSDS!T$30*$AM561^3+WeightSDS!U$30*$AM561^2+WeightSDS!V$30*$AM561+WeightSDS!W$30-0.010431*(1-1/$AM561),WeightSDS!M$32+WeightSDS!N$32/(1+EXP(WeightSDS!O$32+WeightSDS!P$32*$AM561))-0.010431*(1-$AM561/210))))</f>
        <v>2.9500001032655536</v>
      </c>
      <c r="AQ561" s="4">
        <f>IF(D561="M",IF($AM561&lt;162,WeightSDS!P$12*$AM561^7+WeightSDS!Q$12*$AM561^6+WeightSDS!R$12*$AM561^5+WeightSDS!S$12*$AM561^4+WeightSDS!T$12*$AM561^3+WeightSDS!U$12*$AM561^2+WeightSDS!V$12*$AM561+WeightSDS!W$12,WeightSDS!P$14*$AM561^7+WeightSDS!Q$14*$AM561^6+WeightSDS!R$14*$AM561^5+WeightSDS!S$14*$AM561^4+WeightSDS!T$14*$AM561^3+WeightSDS!U$14*$AM561^2+WeightSDS!V$14*$AM561+WeightSDS!W$14),IF($AM561&lt;156,WeightSDS!O$17*$AM561^8+WeightSDS!P$17*$AM561^7+WeightSDS!Q$17*$AM561^6+WeightSDS!R$17*$AM561^5+WeightSDS!S$17*$AM561^4+WeightSDS!T$17*$AM561^3+WeightSDS!U$17*$AM561^2+WeightSDS!V$17*$AM561+WeightSDS!W$17,IF($AM561&lt;186,WeightSDS!$U$18+(WeightSDS!$V$18-WeightSDS!$U$18)/24*($AM561-186)+WeightSDS!$W$18*(-$AM561+186)^2-0.005,WeightSDS!$U$18+(WeightSDS!$V$18-WeightSDS!$U$18)/24*($AM561-186)-0.005)))</f>
        <v>0.14604529399999999</v>
      </c>
      <c r="AT561" s="4">
        <f t="shared" si="175"/>
        <v>0.56299999999999994</v>
      </c>
      <c r="AU561" s="4">
        <f t="shared" si="176"/>
        <v>69</v>
      </c>
      <c r="AV561" s="4">
        <f t="shared" si="177"/>
        <v>0.51</v>
      </c>
    </row>
    <row r="562" spans="1:48" x14ac:dyDescent="0.15">
      <c r="A562" s="4"/>
      <c r="B562" s="21"/>
      <c r="C562" s="21"/>
      <c r="D562" s="21"/>
      <c r="E562" s="22"/>
      <c r="F562" s="22"/>
      <c r="G562" s="23"/>
      <c r="H562" s="23"/>
      <c r="I562" s="181"/>
      <c r="J562" s="8" t="str">
        <f t="shared" si="169"/>
        <v/>
      </c>
      <c r="K562" s="2" t="str">
        <f t="shared" si="178"/>
        <v/>
      </c>
      <c r="L562" s="2" t="str">
        <f t="shared" si="170"/>
        <v/>
      </c>
      <c r="M562" s="2" t="str">
        <f t="shared" si="179"/>
        <v/>
      </c>
      <c r="N562" s="2" t="str">
        <f t="shared" si="187"/>
        <v/>
      </c>
      <c r="O562" s="2" t="str">
        <f t="shared" si="180"/>
        <v/>
      </c>
      <c r="P562" s="8" t="str">
        <f t="shared" si="181"/>
        <v/>
      </c>
      <c r="Q562" s="8" t="str">
        <f t="shared" si="182"/>
        <v/>
      </c>
      <c r="R562" s="111" t="str">
        <f t="shared" si="183"/>
        <v/>
      </c>
      <c r="S562" s="44" t="str">
        <f t="shared" si="184"/>
        <v/>
      </c>
      <c r="T562" s="37" t="str">
        <f t="shared" si="185"/>
        <v/>
      </c>
      <c r="U562" s="44" t="str">
        <f t="shared" si="186"/>
        <v/>
      </c>
      <c r="V562" s="26"/>
      <c r="W562" s="26"/>
      <c r="X562" s="26"/>
      <c r="Y562" s="26"/>
      <c r="Z562" s="24"/>
      <c r="AA562" s="169">
        <f t="shared" si="171"/>
        <v>0</v>
      </c>
      <c r="AB562" s="4">
        <f t="shared" si="172"/>
        <v>0</v>
      </c>
      <c r="AC562" s="170">
        <f t="shared" si="189"/>
        <v>0</v>
      </c>
      <c r="AD562" s="58"/>
      <c r="AE562" s="58"/>
      <c r="AF562" s="58"/>
      <c r="AG562" s="59">
        <f t="shared" si="173"/>
        <v>9.0359999999999996</v>
      </c>
      <c r="AH562" s="59">
        <f t="shared" si="174"/>
        <v>-184.49199999999999</v>
      </c>
      <c r="AJ562" s="4">
        <f>IF(D562="M",IF(AM562&lt;78,BMILMS!$D$5*AM562^3+BMILMS!$E$5*AM562^2+BMILMS!$F$5*AM562+BMILMS!$G$5,IF(AM562&lt;150,BMILMS!$D$6*AM562^3+BMILMS!$E$6*AM562^2+BMILMS!$F$6*AM562+BMILMS!$G$6,BMILMS!$D$7*AM562^3+BMILMS!$E$7*AM562^2+BMILMS!$F$7*AM562+BMILMS!$G$7)),IF(AM562&lt;69,BMILMS!$D$9*AM562^3+BMILMS!$E$9*AM562^2+BMILMS!$F$9*AM562+BMILMS!$G$9,IF(AM562&lt;150,BMILMS!$D$10*AM562^3+BMILMS!$E$10*AM562^2+BMILMS!$F$10*AM562+BMILMS!$G$10,BMILMS!$D$11*AM562^3+BMILMS!$E$11*AM562^2+BMILMS!$F$11*AM562+BMILMS!$G$11)))</f>
        <v>0.79584630099999998</v>
      </c>
      <c r="AK562" s="4">
        <f>IF(D562="M",(IF(AM562&lt;2.5,BMILMS!$D$21*AM562^3+BMILMS!$E$21*AM562^2+BMILMS!$F$21*AM562+BMILMS!$G$21,IF(AM562&lt;9.5,BMILMS!$D$22*AM562^3+BMILMS!$E$22*AM562^2+BMILMS!$F$22*AM562+BMILMS!$G$22,IF(AM562&lt;26.75,BMILMS!$D$23*AM562^3+BMILMS!$E$23*AM562^2+BMILMS!$F$23*AM562+BMILMS!$G$23,IF(AM562&lt;90,BMILMS!$D$24*AM562^3+BMILMS!$E$24*AM562^2+BMILMS!$F$24*AM562+BMILMS!$G$24,BMILMS!$D$25*AM562^3+BMILMS!$E$25*AM562^2+BMILMS!$F$25*AM562+BMILMS!$G$25))))),(IF(AM562&lt;2.5,BMILMS!$D$27*AM562^3+BMILMS!$E$27*AM562^2+BMILMS!$F$27*AM562+BMILMS!$G$27,IF(AM562&lt;9.5,BMILMS!$D$28*AM562^3+BMILMS!$E$28*AM562^2+BMILMS!$F$28*AM562+BMILMS!$G$28,IF(AM562&lt;26.75,BMILMS!$D$29*AM562^3+BMILMS!$E$29*AM562^2+BMILMS!$F$29*AM562+BMILMS!$G$29,IF(AM562&lt;90,BMILMS!$D$30*AM562^3+BMILMS!$E$30*AM562^2+BMILMS!$F$30*AM562+BMILMS!$G$30,IF(AM562&lt;150,BMILMS!$D$31*AM562^3+BMILMS!$E$31*AM562^2+BMILMS!$F$31*AM562+BMILMS!$G$31,BMILMS!$D$32*AM562^3+BMILMS!$E$32*AM562^2+BMILMS!$F$32*AM562+BMILMS!$G$32)))))))</f>
        <v>12.568967990000001</v>
      </c>
      <c r="AL562" s="4">
        <f>IF(D562="M",(IF(AM562&lt;90,BMILMS!$D$14*AM562^3+BMILMS!$E$14*AM562^2+BMILMS!$F$14*AM562+BMILMS!$G$14,BMILMS!$D$15*AM562^3+BMILMS!$E$15*AM562^2+BMILMS!$F$15*AM562+BMILMS!$G$15)),(IF(AM562&lt;90,BMILMS!$D$17*AM562^3+BMILMS!$E$17*AM562^2+BMILMS!$F$17*AM562+BMILMS!$G$17,BMILMS!$D$18*AM562^3+BMILMS!$E$18*AM562^2+BMILMS!$F$18*AM562+BMILMS!$G$18)))</f>
        <v>8.8969350000000003E-2</v>
      </c>
      <c r="AM562" s="4">
        <f t="shared" si="188"/>
        <v>0</v>
      </c>
      <c r="AO562" s="56">
        <f>IF(D562="M",WeightSDS!P$5*$AM562^7+WeightSDS!Q$5*$AM562^6+WeightSDS!R$5*$AM562^5+WeightSDS!S$5*$AM562^4+WeightSDS!T$5*$AM562^3+WeightSDS!U$5*$AM562^2+WeightSDS!V$5*$AM562+WeightSDS!W$5,IF($AM562&lt;186,WeightSDS!P$8*$AM562^7+WeightSDS!Q$8*$AM562^6+WeightSDS!R$8*$AM562^5+WeightSDS!S$8*$AM562^4+WeightSDS!T$8*$AM562^3+WeightSDS!U$8*$AM562^2+WeightSDS!V$8*$AM562+WeightSDS!W$8,WeightSDS!$U$9+WeightSDS!$V$9*($AM562-WeightSDS!$W$9)))</f>
        <v>0.75407122999999998</v>
      </c>
      <c r="AP562" s="4">
        <f>IF(D562="M",IF($AM562&lt;45,WeightSDS!M$23*$AM562^10+WeightSDS!N$23*$AM562^9+WeightSDS!O$23*$AM562^8+WeightSDS!P$23*$AM562^7+WeightSDS!Q$23*$AM562^6+WeightSDS!R$23*$AM562^5+WeightSDS!S$23*$AM562^4+WeightSDS!T$23*$AM562^3+WeightSDS!U$23*$AM562^2+WeightSDS!V$23*$AM562+WeightSDS!W$23,IF($AM562&lt;153,WeightSDS!M$25*$AM562^10+WeightSDS!N$25*$AM562^9+WeightSDS!O$25*$AM562^8+WeightSDS!P$25*$AM562^7+WeightSDS!Q$25*$AM562^6+WeightSDS!R$25*$AM562^5+WeightSDS!S$25*$AM562^4+WeightSDS!T$25*$AM562^3+WeightSDS!U$25*$AM562^2+WeightSDS!V$25*$AM562+WeightSDS!W$25,WeightSDS!M$27+WeightSDS!N$27/(1+EXP(WeightSDS!O$27+WeightSDS!P$27*$AM562)))),IF($AM562&lt;43.8,WeightSDS!M$29*$AM562^10+WeightSDS!N$29*$AM562^9+WeightSDS!O$29*$AM562^8+WeightSDS!P$29*$AM562^7+WeightSDS!Q$29*$AM562^6+WeightSDS!R$29*$AM562^5+WeightSDS!S$29*$AM562^4+WeightSDS!T$29*$AM562^3+WeightSDS!U$29*$AM562^2+WeightSDS!V$29*$AM562+WeightSDS!W$29-0.010431*(1-$AM562/210),IF($AM562&lt;123,WeightSDS!M$30*$AM562^10+WeightSDS!N$30*$AM562^9+WeightSDS!O$30*$AM562^8+WeightSDS!P$30*$AM562^7+WeightSDS!Q$30*$AM562^6+WeightSDS!R$30*$AM562^5+WeightSDS!S$30*$AM562^4+WeightSDS!T$30*$AM562^3+WeightSDS!U$30*$AM562^2+WeightSDS!V$30*$AM562+WeightSDS!W$30-0.010431*(1-1/$AM562),WeightSDS!M$32+WeightSDS!N$32/(1+EXP(WeightSDS!O$32+WeightSDS!P$32*$AM562))-0.010431*(1-$AM562/210))))</f>
        <v>2.9500001032655536</v>
      </c>
      <c r="AQ562" s="4">
        <f>IF(D562="M",IF($AM562&lt;162,WeightSDS!P$12*$AM562^7+WeightSDS!Q$12*$AM562^6+WeightSDS!R$12*$AM562^5+WeightSDS!S$12*$AM562^4+WeightSDS!T$12*$AM562^3+WeightSDS!U$12*$AM562^2+WeightSDS!V$12*$AM562+WeightSDS!W$12,WeightSDS!P$14*$AM562^7+WeightSDS!Q$14*$AM562^6+WeightSDS!R$14*$AM562^5+WeightSDS!S$14*$AM562^4+WeightSDS!T$14*$AM562^3+WeightSDS!U$14*$AM562^2+WeightSDS!V$14*$AM562+WeightSDS!W$14),IF($AM562&lt;156,WeightSDS!O$17*$AM562^8+WeightSDS!P$17*$AM562^7+WeightSDS!Q$17*$AM562^6+WeightSDS!R$17*$AM562^5+WeightSDS!S$17*$AM562^4+WeightSDS!T$17*$AM562^3+WeightSDS!U$17*$AM562^2+WeightSDS!V$17*$AM562+WeightSDS!W$17,IF($AM562&lt;186,WeightSDS!$U$18+(WeightSDS!$V$18-WeightSDS!$U$18)/24*($AM562-186)+WeightSDS!$W$18*(-$AM562+186)^2-0.005,WeightSDS!$U$18+(WeightSDS!$V$18-WeightSDS!$U$18)/24*($AM562-186)-0.005)))</f>
        <v>0.14604529399999999</v>
      </c>
      <c r="AT562" s="4">
        <f t="shared" si="175"/>
        <v>0.56299999999999994</v>
      </c>
      <c r="AU562" s="4">
        <f t="shared" si="176"/>
        <v>69</v>
      </c>
      <c r="AV562" s="4">
        <f t="shared" si="177"/>
        <v>0.51</v>
      </c>
    </row>
    <row r="563" spans="1:48" x14ac:dyDescent="0.15">
      <c r="A563" s="4"/>
      <c r="B563" s="21"/>
      <c r="C563" s="21"/>
      <c r="D563" s="21"/>
      <c r="E563" s="22"/>
      <c r="F563" s="22"/>
      <c r="G563" s="23"/>
      <c r="H563" s="23"/>
      <c r="I563" s="181"/>
      <c r="J563" s="8" t="str">
        <f t="shared" si="169"/>
        <v/>
      </c>
      <c r="K563" s="2" t="str">
        <f t="shared" si="178"/>
        <v/>
      </c>
      <c r="L563" s="2" t="str">
        <f t="shared" si="170"/>
        <v/>
      </c>
      <c r="M563" s="2" t="str">
        <f t="shared" si="179"/>
        <v/>
      </c>
      <c r="N563" s="2" t="str">
        <f t="shared" si="187"/>
        <v/>
      </c>
      <c r="O563" s="2" t="str">
        <f t="shared" si="180"/>
        <v/>
      </c>
      <c r="P563" s="8" t="str">
        <f t="shared" si="181"/>
        <v/>
      </c>
      <c r="Q563" s="8" t="str">
        <f t="shared" si="182"/>
        <v/>
      </c>
      <c r="R563" s="111" t="str">
        <f t="shared" si="183"/>
        <v/>
      </c>
      <c r="S563" s="44" t="str">
        <f t="shared" si="184"/>
        <v/>
      </c>
      <c r="T563" s="37" t="str">
        <f t="shared" si="185"/>
        <v/>
      </c>
      <c r="U563" s="44" t="str">
        <f t="shared" si="186"/>
        <v/>
      </c>
      <c r="V563" s="26"/>
      <c r="W563" s="26"/>
      <c r="X563" s="26"/>
      <c r="Y563" s="26"/>
      <c r="Z563" s="24"/>
      <c r="AA563" s="169">
        <f t="shared" si="171"/>
        <v>0</v>
      </c>
      <c r="AB563" s="4">
        <f t="shared" si="172"/>
        <v>0</v>
      </c>
      <c r="AC563" s="170">
        <f t="shared" si="189"/>
        <v>0</v>
      </c>
      <c r="AD563" s="58"/>
      <c r="AE563" s="58"/>
      <c r="AF563" s="58"/>
      <c r="AG563" s="59">
        <f t="shared" si="173"/>
        <v>9.0359999999999996</v>
      </c>
      <c r="AH563" s="59">
        <f t="shared" si="174"/>
        <v>-184.49199999999999</v>
      </c>
      <c r="AJ563" s="4">
        <f>IF(D563="M",IF(AM563&lt;78,BMILMS!$D$5*AM563^3+BMILMS!$E$5*AM563^2+BMILMS!$F$5*AM563+BMILMS!$G$5,IF(AM563&lt;150,BMILMS!$D$6*AM563^3+BMILMS!$E$6*AM563^2+BMILMS!$F$6*AM563+BMILMS!$G$6,BMILMS!$D$7*AM563^3+BMILMS!$E$7*AM563^2+BMILMS!$F$7*AM563+BMILMS!$G$7)),IF(AM563&lt;69,BMILMS!$D$9*AM563^3+BMILMS!$E$9*AM563^2+BMILMS!$F$9*AM563+BMILMS!$G$9,IF(AM563&lt;150,BMILMS!$D$10*AM563^3+BMILMS!$E$10*AM563^2+BMILMS!$F$10*AM563+BMILMS!$G$10,BMILMS!$D$11*AM563^3+BMILMS!$E$11*AM563^2+BMILMS!$F$11*AM563+BMILMS!$G$11)))</f>
        <v>0.79584630099999998</v>
      </c>
      <c r="AK563" s="4">
        <f>IF(D563="M",(IF(AM563&lt;2.5,BMILMS!$D$21*AM563^3+BMILMS!$E$21*AM563^2+BMILMS!$F$21*AM563+BMILMS!$G$21,IF(AM563&lt;9.5,BMILMS!$D$22*AM563^3+BMILMS!$E$22*AM563^2+BMILMS!$F$22*AM563+BMILMS!$G$22,IF(AM563&lt;26.75,BMILMS!$D$23*AM563^3+BMILMS!$E$23*AM563^2+BMILMS!$F$23*AM563+BMILMS!$G$23,IF(AM563&lt;90,BMILMS!$D$24*AM563^3+BMILMS!$E$24*AM563^2+BMILMS!$F$24*AM563+BMILMS!$G$24,BMILMS!$D$25*AM563^3+BMILMS!$E$25*AM563^2+BMILMS!$F$25*AM563+BMILMS!$G$25))))),(IF(AM563&lt;2.5,BMILMS!$D$27*AM563^3+BMILMS!$E$27*AM563^2+BMILMS!$F$27*AM563+BMILMS!$G$27,IF(AM563&lt;9.5,BMILMS!$D$28*AM563^3+BMILMS!$E$28*AM563^2+BMILMS!$F$28*AM563+BMILMS!$G$28,IF(AM563&lt;26.75,BMILMS!$D$29*AM563^3+BMILMS!$E$29*AM563^2+BMILMS!$F$29*AM563+BMILMS!$G$29,IF(AM563&lt;90,BMILMS!$D$30*AM563^3+BMILMS!$E$30*AM563^2+BMILMS!$F$30*AM563+BMILMS!$G$30,IF(AM563&lt;150,BMILMS!$D$31*AM563^3+BMILMS!$E$31*AM563^2+BMILMS!$F$31*AM563+BMILMS!$G$31,BMILMS!$D$32*AM563^3+BMILMS!$E$32*AM563^2+BMILMS!$F$32*AM563+BMILMS!$G$32)))))))</f>
        <v>12.568967990000001</v>
      </c>
      <c r="AL563" s="4">
        <f>IF(D563="M",(IF(AM563&lt;90,BMILMS!$D$14*AM563^3+BMILMS!$E$14*AM563^2+BMILMS!$F$14*AM563+BMILMS!$G$14,BMILMS!$D$15*AM563^3+BMILMS!$E$15*AM563^2+BMILMS!$F$15*AM563+BMILMS!$G$15)),(IF(AM563&lt;90,BMILMS!$D$17*AM563^3+BMILMS!$E$17*AM563^2+BMILMS!$F$17*AM563+BMILMS!$G$17,BMILMS!$D$18*AM563^3+BMILMS!$E$18*AM563^2+BMILMS!$F$18*AM563+BMILMS!$G$18)))</f>
        <v>8.8969350000000003E-2</v>
      </c>
      <c r="AM563" s="4">
        <f t="shared" si="188"/>
        <v>0</v>
      </c>
      <c r="AO563" s="56">
        <f>IF(D563="M",WeightSDS!P$5*$AM563^7+WeightSDS!Q$5*$AM563^6+WeightSDS!R$5*$AM563^5+WeightSDS!S$5*$AM563^4+WeightSDS!T$5*$AM563^3+WeightSDS!U$5*$AM563^2+WeightSDS!V$5*$AM563+WeightSDS!W$5,IF($AM563&lt;186,WeightSDS!P$8*$AM563^7+WeightSDS!Q$8*$AM563^6+WeightSDS!R$8*$AM563^5+WeightSDS!S$8*$AM563^4+WeightSDS!T$8*$AM563^3+WeightSDS!U$8*$AM563^2+WeightSDS!V$8*$AM563+WeightSDS!W$8,WeightSDS!$U$9+WeightSDS!$V$9*($AM563-WeightSDS!$W$9)))</f>
        <v>0.75407122999999998</v>
      </c>
      <c r="AP563" s="4">
        <f>IF(D563="M",IF($AM563&lt;45,WeightSDS!M$23*$AM563^10+WeightSDS!N$23*$AM563^9+WeightSDS!O$23*$AM563^8+WeightSDS!P$23*$AM563^7+WeightSDS!Q$23*$AM563^6+WeightSDS!R$23*$AM563^5+WeightSDS!S$23*$AM563^4+WeightSDS!T$23*$AM563^3+WeightSDS!U$23*$AM563^2+WeightSDS!V$23*$AM563+WeightSDS!W$23,IF($AM563&lt;153,WeightSDS!M$25*$AM563^10+WeightSDS!N$25*$AM563^9+WeightSDS!O$25*$AM563^8+WeightSDS!P$25*$AM563^7+WeightSDS!Q$25*$AM563^6+WeightSDS!R$25*$AM563^5+WeightSDS!S$25*$AM563^4+WeightSDS!T$25*$AM563^3+WeightSDS!U$25*$AM563^2+WeightSDS!V$25*$AM563+WeightSDS!W$25,WeightSDS!M$27+WeightSDS!N$27/(1+EXP(WeightSDS!O$27+WeightSDS!P$27*$AM563)))),IF($AM563&lt;43.8,WeightSDS!M$29*$AM563^10+WeightSDS!N$29*$AM563^9+WeightSDS!O$29*$AM563^8+WeightSDS!P$29*$AM563^7+WeightSDS!Q$29*$AM563^6+WeightSDS!R$29*$AM563^5+WeightSDS!S$29*$AM563^4+WeightSDS!T$29*$AM563^3+WeightSDS!U$29*$AM563^2+WeightSDS!V$29*$AM563+WeightSDS!W$29-0.010431*(1-$AM563/210),IF($AM563&lt;123,WeightSDS!M$30*$AM563^10+WeightSDS!N$30*$AM563^9+WeightSDS!O$30*$AM563^8+WeightSDS!P$30*$AM563^7+WeightSDS!Q$30*$AM563^6+WeightSDS!R$30*$AM563^5+WeightSDS!S$30*$AM563^4+WeightSDS!T$30*$AM563^3+WeightSDS!U$30*$AM563^2+WeightSDS!V$30*$AM563+WeightSDS!W$30-0.010431*(1-1/$AM563),WeightSDS!M$32+WeightSDS!N$32/(1+EXP(WeightSDS!O$32+WeightSDS!P$32*$AM563))-0.010431*(1-$AM563/210))))</f>
        <v>2.9500001032655536</v>
      </c>
      <c r="AQ563" s="4">
        <f>IF(D563="M",IF($AM563&lt;162,WeightSDS!P$12*$AM563^7+WeightSDS!Q$12*$AM563^6+WeightSDS!R$12*$AM563^5+WeightSDS!S$12*$AM563^4+WeightSDS!T$12*$AM563^3+WeightSDS!U$12*$AM563^2+WeightSDS!V$12*$AM563+WeightSDS!W$12,WeightSDS!P$14*$AM563^7+WeightSDS!Q$14*$AM563^6+WeightSDS!R$14*$AM563^5+WeightSDS!S$14*$AM563^4+WeightSDS!T$14*$AM563^3+WeightSDS!U$14*$AM563^2+WeightSDS!V$14*$AM563+WeightSDS!W$14),IF($AM563&lt;156,WeightSDS!O$17*$AM563^8+WeightSDS!P$17*$AM563^7+WeightSDS!Q$17*$AM563^6+WeightSDS!R$17*$AM563^5+WeightSDS!S$17*$AM563^4+WeightSDS!T$17*$AM563^3+WeightSDS!U$17*$AM563^2+WeightSDS!V$17*$AM563+WeightSDS!W$17,IF($AM563&lt;186,WeightSDS!$U$18+(WeightSDS!$V$18-WeightSDS!$U$18)/24*($AM563-186)+WeightSDS!$W$18*(-$AM563+186)^2-0.005,WeightSDS!$U$18+(WeightSDS!$V$18-WeightSDS!$U$18)/24*($AM563-186)-0.005)))</f>
        <v>0.14604529399999999</v>
      </c>
      <c r="AT563" s="4">
        <f t="shared" si="175"/>
        <v>0.56299999999999994</v>
      </c>
      <c r="AU563" s="4">
        <f t="shared" si="176"/>
        <v>69</v>
      </c>
      <c r="AV563" s="4">
        <f t="shared" si="177"/>
        <v>0.51</v>
      </c>
    </row>
    <row r="564" spans="1:48" x14ac:dyDescent="0.15">
      <c r="A564" s="4"/>
      <c r="B564" s="21"/>
      <c r="C564" s="21"/>
      <c r="D564" s="21"/>
      <c r="E564" s="22"/>
      <c r="F564" s="22"/>
      <c r="G564" s="23"/>
      <c r="H564" s="23"/>
      <c r="I564" s="181"/>
      <c r="J564" s="8" t="str">
        <f t="shared" si="169"/>
        <v/>
      </c>
      <c r="K564" s="2" t="str">
        <f t="shared" si="178"/>
        <v/>
      </c>
      <c r="L564" s="2" t="str">
        <f t="shared" si="170"/>
        <v/>
      </c>
      <c r="M564" s="2" t="str">
        <f t="shared" si="179"/>
        <v/>
      </c>
      <c r="N564" s="2" t="str">
        <f t="shared" si="187"/>
        <v/>
      </c>
      <c r="O564" s="2" t="str">
        <f t="shared" si="180"/>
        <v/>
      </c>
      <c r="P564" s="8" t="str">
        <f t="shared" si="181"/>
        <v/>
      </c>
      <c r="Q564" s="8" t="str">
        <f t="shared" si="182"/>
        <v/>
      </c>
      <c r="R564" s="111" t="str">
        <f t="shared" si="183"/>
        <v/>
      </c>
      <c r="S564" s="44" t="str">
        <f t="shared" si="184"/>
        <v/>
      </c>
      <c r="T564" s="37" t="str">
        <f t="shared" si="185"/>
        <v/>
      </c>
      <c r="U564" s="44" t="str">
        <f t="shared" si="186"/>
        <v/>
      </c>
      <c r="V564" s="26"/>
      <c r="W564" s="26"/>
      <c r="X564" s="26"/>
      <c r="Y564" s="26"/>
      <c r="Z564" s="24"/>
      <c r="AA564" s="169">
        <f t="shared" si="171"/>
        <v>0</v>
      </c>
      <c r="AB564" s="4">
        <f t="shared" si="172"/>
        <v>0</v>
      </c>
      <c r="AC564" s="170">
        <f t="shared" si="189"/>
        <v>0</v>
      </c>
      <c r="AD564" s="58"/>
      <c r="AE564" s="58"/>
      <c r="AF564" s="58"/>
      <c r="AG564" s="59">
        <f t="shared" si="173"/>
        <v>9.0359999999999996</v>
      </c>
      <c r="AH564" s="59">
        <f t="shared" si="174"/>
        <v>-184.49199999999999</v>
      </c>
      <c r="AJ564" s="4">
        <f>IF(D564="M",IF(AM564&lt;78,BMILMS!$D$5*AM564^3+BMILMS!$E$5*AM564^2+BMILMS!$F$5*AM564+BMILMS!$G$5,IF(AM564&lt;150,BMILMS!$D$6*AM564^3+BMILMS!$E$6*AM564^2+BMILMS!$F$6*AM564+BMILMS!$G$6,BMILMS!$D$7*AM564^3+BMILMS!$E$7*AM564^2+BMILMS!$F$7*AM564+BMILMS!$G$7)),IF(AM564&lt;69,BMILMS!$D$9*AM564^3+BMILMS!$E$9*AM564^2+BMILMS!$F$9*AM564+BMILMS!$G$9,IF(AM564&lt;150,BMILMS!$D$10*AM564^3+BMILMS!$E$10*AM564^2+BMILMS!$F$10*AM564+BMILMS!$G$10,BMILMS!$D$11*AM564^3+BMILMS!$E$11*AM564^2+BMILMS!$F$11*AM564+BMILMS!$G$11)))</f>
        <v>0.79584630099999998</v>
      </c>
      <c r="AK564" s="4">
        <f>IF(D564="M",(IF(AM564&lt;2.5,BMILMS!$D$21*AM564^3+BMILMS!$E$21*AM564^2+BMILMS!$F$21*AM564+BMILMS!$G$21,IF(AM564&lt;9.5,BMILMS!$D$22*AM564^3+BMILMS!$E$22*AM564^2+BMILMS!$F$22*AM564+BMILMS!$G$22,IF(AM564&lt;26.75,BMILMS!$D$23*AM564^3+BMILMS!$E$23*AM564^2+BMILMS!$F$23*AM564+BMILMS!$G$23,IF(AM564&lt;90,BMILMS!$D$24*AM564^3+BMILMS!$E$24*AM564^2+BMILMS!$F$24*AM564+BMILMS!$G$24,BMILMS!$D$25*AM564^3+BMILMS!$E$25*AM564^2+BMILMS!$F$25*AM564+BMILMS!$G$25))))),(IF(AM564&lt;2.5,BMILMS!$D$27*AM564^3+BMILMS!$E$27*AM564^2+BMILMS!$F$27*AM564+BMILMS!$G$27,IF(AM564&lt;9.5,BMILMS!$D$28*AM564^3+BMILMS!$E$28*AM564^2+BMILMS!$F$28*AM564+BMILMS!$G$28,IF(AM564&lt;26.75,BMILMS!$D$29*AM564^3+BMILMS!$E$29*AM564^2+BMILMS!$F$29*AM564+BMILMS!$G$29,IF(AM564&lt;90,BMILMS!$D$30*AM564^3+BMILMS!$E$30*AM564^2+BMILMS!$F$30*AM564+BMILMS!$G$30,IF(AM564&lt;150,BMILMS!$D$31*AM564^3+BMILMS!$E$31*AM564^2+BMILMS!$F$31*AM564+BMILMS!$G$31,BMILMS!$D$32*AM564^3+BMILMS!$E$32*AM564^2+BMILMS!$F$32*AM564+BMILMS!$G$32)))))))</f>
        <v>12.568967990000001</v>
      </c>
      <c r="AL564" s="4">
        <f>IF(D564="M",(IF(AM564&lt;90,BMILMS!$D$14*AM564^3+BMILMS!$E$14*AM564^2+BMILMS!$F$14*AM564+BMILMS!$G$14,BMILMS!$D$15*AM564^3+BMILMS!$E$15*AM564^2+BMILMS!$F$15*AM564+BMILMS!$G$15)),(IF(AM564&lt;90,BMILMS!$D$17*AM564^3+BMILMS!$E$17*AM564^2+BMILMS!$F$17*AM564+BMILMS!$G$17,BMILMS!$D$18*AM564^3+BMILMS!$E$18*AM564^2+BMILMS!$F$18*AM564+BMILMS!$G$18)))</f>
        <v>8.8969350000000003E-2</v>
      </c>
      <c r="AM564" s="4">
        <f t="shared" si="188"/>
        <v>0</v>
      </c>
      <c r="AO564" s="56">
        <f>IF(D564="M",WeightSDS!P$5*$AM564^7+WeightSDS!Q$5*$AM564^6+WeightSDS!R$5*$AM564^5+WeightSDS!S$5*$AM564^4+WeightSDS!T$5*$AM564^3+WeightSDS!U$5*$AM564^2+WeightSDS!V$5*$AM564+WeightSDS!W$5,IF($AM564&lt;186,WeightSDS!P$8*$AM564^7+WeightSDS!Q$8*$AM564^6+WeightSDS!R$8*$AM564^5+WeightSDS!S$8*$AM564^4+WeightSDS!T$8*$AM564^3+WeightSDS!U$8*$AM564^2+WeightSDS!V$8*$AM564+WeightSDS!W$8,WeightSDS!$U$9+WeightSDS!$V$9*($AM564-WeightSDS!$W$9)))</f>
        <v>0.75407122999999998</v>
      </c>
      <c r="AP564" s="4">
        <f>IF(D564="M",IF($AM564&lt;45,WeightSDS!M$23*$AM564^10+WeightSDS!N$23*$AM564^9+WeightSDS!O$23*$AM564^8+WeightSDS!P$23*$AM564^7+WeightSDS!Q$23*$AM564^6+WeightSDS!R$23*$AM564^5+WeightSDS!S$23*$AM564^4+WeightSDS!T$23*$AM564^3+WeightSDS!U$23*$AM564^2+WeightSDS!V$23*$AM564+WeightSDS!W$23,IF($AM564&lt;153,WeightSDS!M$25*$AM564^10+WeightSDS!N$25*$AM564^9+WeightSDS!O$25*$AM564^8+WeightSDS!P$25*$AM564^7+WeightSDS!Q$25*$AM564^6+WeightSDS!R$25*$AM564^5+WeightSDS!S$25*$AM564^4+WeightSDS!T$25*$AM564^3+WeightSDS!U$25*$AM564^2+WeightSDS!V$25*$AM564+WeightSDS!W$25,WeightSDS!M$27+WeightSDS!N$27/(1+EXP(WeightSDS!O$27+WeightSDS!P$27*$AM564)))),IF($AM564&lt;43.8,WeightSDS!M$29*$AM564^10+WeightSDS!N$29*$AM564^9+WeightSDS!O$29*$AM564^8+WeightSDS!P$29*$AM564^7+WeightSDS!Q$29*$AM564^6+WeightSDS!R$29*$AM564^5+WeightSDS!S$29*$AM564^4+WeightSDS!T$29*$AM564^3+WeightSDS!U$29*$AM564^2+WeightSDS!V$29*$AM564+WeightSDS!W$29-0.010431*(1-$AM564/210),IF($AM564&lt;123,WeightSDS!M$30*$AM564^10+WeightSDS!N$30*$AM564^9+WeightSDS!O$30*$AM564^8+WeightSDS!P$30*$AM564^7+WeightSDS!Q$30*$AM564^6+WeightSDS!R$30*$AM564^5+WeightSDS!S$30*$AM564^4+WeightSDS!T$30*$AM564^3+WeightSDS!U$30*$AM564^2+WeightSDS!V$30*$AM564+WeightSDS!W$30-0.010431*(1-1/$AM564),WeightSDS!M$32+WeightSDS!N$32/(1+EXP(WeightSDS!O$32+WeightSDS!P$32*$AM564))-0.010431*(1-$AM564/210))))</f>
        <v>2.9500001032655536</v>
      </c>
      <c r="AQ564" s="4">
        <f>IF(D564="M",IF($AM564&lt;162,WeightSDS!P$12*$AM564^7+WeightSDS!Q$12*$AM564^6+WeightSDS!R$12*$AM564^5+WeightSDS!S$12*$AM564^4+WeightSDS!T$12*$AM564^3+WeightSDS!U$12*$AM564^2+WeightSDS!V$12*$AM564+WeightSDS!W$12,WeightSDS!P$14*$AM564^7+WeightSDS!Q$14*$AM564^6+WeightSDS!R$14*$AM564^5+WeightSDS!S$14*$AM564^4+WeightSDS!T$14*$AM564^3+WeightSDS!U$14*$AM564^2+WeightSDS!V$14*$AM564+WeightSDS!W$14),IF($AM564&lt;156,WeightSDS!O$17*$AM564^8+WeightSDS!P$17*$AM564^7+WeightSDS!Q$17*$AM564^6+WeightSDS!R$17*$AM564^5+WeightSDS!S$17*$AM564^4+WeightSDS!T$17*$AM564^3+WeightSDS!U$17*$AM564^2+WeightSDS!V$17*$AM564+WeightSDS!W$17,IF($AM564&lt;186,WeightSDS!$U$18+(WeightSDS!$V$18-WeightSDS!$U$18)/24*($AM564-186)+WeightSDS!$W$18*(-$AM564+186)^2-0.005,WeightSDS!$U$18+(WeightSDS!$V$18-WeightSDS!$U$18)/24*($AM564-186)-0.005)))</f>
        <v>0.14604529399999999</v>
      </c>
      <c r="AT564" s="4">
        <f t="shared" si="175"/>
        <v>0.56299999999999994</v>
      </c>
      <c r="AU564" s="4">
        <f t="shared" si="176"/>
        <v>69</v>
      </c>
      <c r="AV564" s="4">
        <f t="shared" si="177"/>
        <v>0.51</v>
      </c>
    </row>
    <row r="565" spans="1:48" x14ac:dyDescent="0.15">
      <c r="A565" s="4"/>
      <c r="B565" s="21"/>
      <c r="C565" s="21"/>
      <c r="D565" s="21"/>
      <c r="E565" s="22"/>
      <c r="F565" s="22"/>
      <c r="G565" s="23"/>
      <c r="H565" s="23"/>
      <c r="I565" s="181"/>
      <c r="J565" s="8" t="str">
        <f t="shared" si="169"/>
        <v/>
      </c>
      <c r="K565" s="2" t="str">
        <f t="shared" si="178"/>
        <v/>
      </c>
      <c r="L565" s="2" t="str">
        <f t="shared" si="170"/>
        <v/>
      </c>
      <c r="M565" s="2" t="str">
        <f t="shared" si="179"/>
        <v/>
      </c>
      <c r="N565" s="2" t="str">
        <f t="shared" si="187"/>
        <v/>
      </c>
      <c r="O565" s="2" t="str">
        <f t="shared" si="180"/>
        <v/>
      </c>
      <c r="P565" s="8" t="str">
        <f t="shared" si="181"/>
        <v/>
      </c>
      <c r="Q565" s="8" t="str">
        <f t="shared" si="182"/>
        <v/>
      </c>
      <c r="R565" s="111" t="str">
        <f t="shared" si="183"/>
        <v/>
      </c>
      <c r="S565" s="44" t="str">
        <f t="shared" si="184"/>
        <v/>
      </c>
      <c r="T565" s="37" t="str">
        <f t="shared" si="185"/>
        <v/>
      </c>
      <c r="U565" s="44" t="str">
        <f t="shared" si="186"/>
        <v/>
      </c>
      <c r="V565" s="26"/>
      <c r="W565" s="26"/>
      <c r="X565" s="26"/>
      <c r="Y565" s="26"/>
      <c r="Z565" s="24"/>
      <c r="AA565" s="169">
        <f t="shared" si="171"/>
        <v>0</v>
      </c>
      <c r="AB565" s="4">
        <f t="shared" si="172"/>
        <v>0</v>
      </c>
      <c r="AC565" s="170">
        <f t="shared" si="189"/>
        <v>0</v>
      </c>
      <c r="AD565" s="58"/>
      <c r="AE565" s="58"/>
      <c r="AF565" s="58"/>
      <c r="AG565" s="59">
        <f t="shared" si="173"/>
        <v>9.0359999999999996</v>
      </c>
      <c r="AH565" s="59">
        <f t="shared" si="174"/>
        <v>-184.49199999999999</v>
      </c>
      <c r="AJ565" s="4">
        <f>IF(D565="M",IF(AM565&lt;78,BMILMS!$D$5*AM565^3+BMILMS!$E$5*AM565^2+BMILMS!$F$5*AM565+BMILMS!$G$5,IF(AM565&lt;150,BMILMS!$D$6*AM565^3+BMILMS!$E$6*AM565^2+BMILMS!$F$6*AM565+BMILMS!$G$6,BMILMS!$D$7*AM565^3+BMILMS!$E$7*AM565^2+BMILMS!$F$7*AM565+BMILMS!$G$7)),IF(AM565&lt;69,BMILMS!$D$9*AM565^3+BMILMS!$E$9*AM565^2+BMILMS!$F$9*AM565+BMILMS!$G$9,IF(AM565&lt;150,BMILMS!$D$10*AM565^3+BMILMS!$E$10*AM565^2+BMILMS!$F$10*AM565+BMILMS!$G$10,BMILMS!$D$11*AM565^3+BMILMS!$E$11*AM565^2+BMILMS!$F$11*AM565+BMILMS!$G$11)))</f>
        <v>0.79584630099999998</v>
      </c>
      <c r="AK565" s="4">
        <f>IF(D565="M",(IF(AM565&lt;2.5,BMILMS!$D$21*AM565^3+BMILMS!$E$21*AM565^2+BMILMS!$F$21*AM565+BMILMS!$G$21,IF(AM565&lt;9.5,BMILMS!$D$22*AM565^3+BMILMS!$E$22*AM565^2+BMILMS!$F$22*AM565+BMILMS!$G$22,IF(AM565&lt;26.75,BMILMS!$D$23*AM565^3+BMILMS!$E$23*AM565^2+BMILMS!$F$23*AM565+BMILMS!$G$23,IF(AM565&lt;90,BMILMS!$D$24*AM565^3+BMILMS!$E$24*AM565^2+BMILMS!$F$24*AM565+BMILMS!$G$24,BMILMS!$D$25*AM565^3+BMILMS!$E$25*AM565^2+BMILMS!$F$25*AM565+BMILMS!$G$25))))),(IF(AM565&lt;2.5,BMILMS!$D$27*AM565^3+BMILMS!$E$27*AM565^2+BMILMS!$F$27*AM565+BMILMS!$G$27,IF(AM565&lt;9.5,BMILMS!$D$28*AM565^3+BMILMS!$E$28*AM565^2+BMILMS!$F$28*AM565+BMILMS!$G$28,IF(AM565&lt;26.75,BMILMS!$D$29*AM565^3+BMILMS!$E$29*AM565^2+BMILMS!$F$29*AM565+BMILMS!$G$29,IF(AM565&lt;90,BMILMS!$D$30*AM565^3+BMILMS!$E$30*AM565^2+BMILMS!$F$30*AM565+BMILMS!$G$30,IF(AM565&lt;150,BMILMS!$D$31*AM565^3+BMILMS!$E$31*AM565^2+BMILMS!$F$31*AM565+BMILMS!$G$31,BMILMS!$D$32*AM565^3+BMILMS!$E$32*AM565^2+BMILMS!$F$32*AM565+BMILMS!$G$32)))))))</f>
        <v>12.568967990000001</v>
      </c>
      <c r="AL565" s="4">
        <f>IF(D565="M",(IF(AM565&lt;90,BMILMS!$D$14*AM565^3+BMILMS!$E$14*AM565^2+BMILMS!$F$14*AM565+BMILMS!$G$14,BMILMS!$D$15*AM565^3+BMILMS!$E$15*AM565^2+BMILMS!$F$15*AM565+BMILMS!$G$15)),(IF(AM565&lt;90,BMILMS!$D$17*AM565^3+BMILMS!$E$17*AM565^2+BMILMS!$F$17*AM565+BMILMS!$G$17,BMILMS!$D$18*AM565^3+BMILMS!$E$18*AM565^2+BMILMS!$F$18*AM565+BMILMS!$G$18)))</f>
        <v>8.8969350000000003E-2</v>
      </c>
      <c r="AM565" s="4">
        <f t="shared" si="188"/>
        <v>0</v>
      </c>
      <c r="AO565" s="56">
        <f>IF(D565="M",WeightSDS!P$5*$AM565^7+WeightSDS!Q$5*$AM565^6+WeightSDS!R$5*$AM565^5+WeightSDS!S$5*$AM565^4+WeightSDS!T$5*$AM565^3+WeightSDS!U$5*$AM565^2+WeightSDS!V$5*$AM565+WeightSDS!W$5,IF($AM565&lt;186,WeightSDS!P$8*$AM565^7+WeightSDS!Q$8*$AM565^6+WeightSDS!R$8*$AM565^5+WeightSDS!S$8*$AM565^4+WeightSDS!T$8*$AM565^3+WeightSDS!U$8*$AM565^2+WeightSDS!V$8*$AM565+WeightSDS!W$8,WeightSDS!$U$9+WeightSDS!$V$9*($AM565-WeightSDS!$W$9)))</f>
        <v>0.75407122999999998</v>
      </c>
      <c r="AP565" s="4">
        <f>IF(D565="M",IF($AM565&lt;45,WeightSDS!M$23*$AM565^10+WeightSDS!N$23*$AM565^9+WeightSDS!O$23*$AM565^8+WeightSDS!P$23*$AM565^7+WeightSDS!Q$23*$AM565^6+WeightSDS!R$23*$AM565^5+WeightSDS!S$23*$AM565^4+WeightSDS!T$23*$AM565^3+WeightSDS!U$23*$AM565^2+WeightSDS!V$23*$AM565+WeightSDS!W$23,IF($AM565&lt;153,WeightSDS!M$25*$AM565^10+WeightSDS!N$25*$AM565^9+WeightSDS!O$25*$AM565^8+WeightSDS!P$25*$AM565^7+WeightSDS!Q$25*$AM565^6+WeightSDS!R$25*$AM565^5+WeightSDS!S$25*$AM565^4+WeightSDS!T$25*$AM565^3+WeightSDS!U$25*$AM565^2+WeightSDS!V$25*$AM565+WeightSDS!W$25,WeightSDS!M$27+WeightSDS!N$27/(1+EXP(WeightSDS!O$27+WeightSDS!P$27*$AM565)))),IF($AM565&lt;43.8,WeightSDS!M$29*$AM565^10+WeightSDS!N$29*$AM565^9+WeightSDS!O$29*$AM565^8+WeightSDS!P$29*$AM565^7+WeightSDS!Q$29*$AM565^6+WeightSDS!R$29*$AM565^5+WeightSDS!S$29*$AM565^4+WeightSDS!T$29*$AM565^3+WeightSDS!U$29*$AM565^2+WeightSDS!V$29*$AM565+WeightSDS!W$29-0.010431*(1-$AM565/210),IF($AM565&lt;123,WeightSDS!M$30*$AM565^10+WeightSDS!N$30*$AM565^9+WeightSDS!O$30*$AM565^8+WeightSDS!P$30*$AM565^7+WeightSDS!Q$30*$AM565^6+WeightSDS!R$30*$AM565^5+WeightSDS!S$30*$AM565^4+WeightSDS!T$30*$AM565^3+WeightSDS!U$30*$AM565^2+WeightSDS!V$30*$AM565+WeightSDS!W$30-0.010431*(1-1/$AM565),WeightSDS!M$32+WeightSDS!N$32/(1+EXP(WeightSDS!O$32+WeightSDS!P$32*$AM565))-0.010431*(1-$AM565/210))))</f>
        <v>2.9500001032655536</v>
      </c>
      <c r="AQ565" s="4">
        <f>IF(D565="M",IF($AM565&lt;162,WeightSDS!P$12*$AM565^7+WeightSDS!Q$12*$AM565^6+WeightSDS!R$12*$AM565^5+WeightSDS!S$12*$AM565^4+WeightSDS!T$12*$AM565^3+WeightSDS!U$12*$AM565^2+WeightSDS!V$12*$AM565+WeightSDS!W$12,WeightSDS!P$14*$AM565^7+WeightSDS!Q$14*$AM565^6+WeightSDS!R$14*$AM565^5+WeightSDS!S$14*$AM565^4+WeightSDS!T$14*$AM565^3+WeightSDS!U$14*$AM565^2+WeightSDS!V$14*$AM565+WeightSDS!W$14),IF($AM565&lt;156,WeightSDS!O$17*$AM565^8+WeightSDS!P$17*$AM565^7+WeightSDS!Q$17*$AM565^6+WeightSDS!R$17*$AM565^5+WeightSDS!S$17*$AM565^4+WeightSDS!T$17*$AM565^3+WeightSDS!U$17*$AM565^2+WeightSDS!V$17*$AM565+WeightSDS!W$17,IF($AM565&lt;186,WeightSDS!$U$18+(WeightSDS!$V$18-WeightSDS!$U$18)/24*($AM565-186)+WeightSDS!$W$18*(-$AM565+186)^2-0.005,WeightSDS!$U$18+(WeightSDS!$V$18-WeightSDS!$U$18)/24*($AM565-186)-0.005)))</f>
        <v>0.14604529399999999</v>
      </c>
      <c r="AT565" s="4">
        <f t="shared" si="175"/>
        <v>0.56299999999999994</v>
      </c>
      <c r="AU565" s="4">
        <f t="shared" si="176"/>
        <v>69</v>
      </c>
      <c r="AV565" s="4">
        <f t="shared" si="177"/>
        <v>0.51</v>
      </c>
    </row>
    <row r="566" spans="1:48" x14ac:dyDescent="0.15">
      <c r="A566" s="4"/>
      <c r="B566" s="21"/>
      <c r="C566" s="21"/>
      <c r="D566" s="21"/>
      <c r="E566" s="22"/>
      <c r="F566" s="22"/>
      <c r="G566" s="23"/>
      <c r="H566" s="23"/>
      <c r="I566" s="181"/>
      <c r="J566" s="8" t="str">
        <f t="shared" si="169"/>
        <v/>
      </c>
      <c r="K566" s="2" t="str">
        <f t="shared" si="178"/>
        <v/>
      </c>
      <c r="L566" s="2" t="str">
        <f t="shared" si="170"/>
        <v/>
      </c>
      <c r="M566" s="2" t="str">
        <f t="shared" si="179"/>
        <v/>
      </c>
      <c r="N566" s="2" t="str">
        <f t="shared" si="187"/>
        <v/>
      </c>
      <c r="O566" s="2" t="str">
        <f t="shared" si="180"/>
        <v/>
      </c>
      <c r="P566" s="8" t="str">
        <f t="shared" si="181"/>
        <v/>
      </c>
      <c r="Q566" s="8" t="str">
        <f t="shared" si="182"/>
        <v/>
      </c>
      <c r="R566" s="111" t="str">
        <f t="shared" si="183"/>
        <v/>
      </c>
      <c r="S566" s="44" t="str">
        <f t="shared" si="184"/>
        <v/>
      </c>
      <c r="T566" s="37" t="str">
        <f t="shared" si="185"/>
        <v/>
      </c>
      <c r="U566" s="44" t="str">
        <f t="shared" si="186"/>
        <v/>
      </c>
      <c r="V566" s="26"/>
      <c r="W566" s="26"/>
      <c r="X566" s="26"/>
      <c r="Y566" s="26"/>
      <c r="Z566" s="24"/>
      <c r="AA566" s="169">
        <f t="shared" si="171"/>
        <v>0</v>
      </c>
      <c r="AB566" s="4">
        <f t="shared" si="172"/>
        <v>0</v>
      </c>
      <c r="AC566" s="170">
        <f t="shared" si="189"/>
        <v>0</v>
      </c>
      <c r="AD566" s="58"/>
      <c r="AE566" s="58"/>
      <c r="AF566" s="58"/>
      <c r="AG566" s="59">
        <f t="shared" si="173"/>
        <v>9.0359999999999996</v>
      </c>
      <c r="AH566" s="59">
        <f t="shared" si="174"/>
        <v>-184.49199999999999</v>
      </c>
      <c r="AJ566" s="4">
        <f>IF(D566="M",IF(AM566&lt;78,BMILMS!$D$5*AM566^3+BMILMS!$E$5*AM566^2+BMILMS!$F$5*AM566+BMILMS!$G$5,IF(AM566&lt;150,BMILMS!$D$6*AM566^3+BMILMS!$E$6*AM566^2+BMILMS!$F$6*AM566+BMILMS!$G$6,BMILMS!$D$7*AM566^3+BMILMS!$E$7*AM566^2+BMILMS!$F$7*AM566+BMILMS!$G$7)),IF(AM566&lt;69,BMILMS!$D$9*AM566^3+BMILMS!$E$9*AM566^2+BMILMS!$F$9*AM566+BMILMS!$G$9,IF(AM566&lt;150,BMILMS!$D$10*AM566^3+BMILMS!$E$10*AM566^2+BMILMS!$F$10*AM566+BMILMS!$G$10,BMILMS!$D$11*AM566^3+BMILMS!$E$11*AM566^2+BMILMS!$F$11*AM566+BMILMS!$G$11)))</f>
        <v>0.79584630099999998</v>
      </c>
      <c r="AK566" s="4">
        <f>IF(D566="M",(IF(AM566&lt;2.5,BMILMS!$D$21*AM566^3+BMILMS!$E$21*AM566^2+BMILMS!$F$21*AM566+BMILMS!$G$21,IF(AM566&lt;9.5,BMILMS!$D$22*AM566^3+BMILMS!$E$22*AM566^2+BMILMS!$F$22*AM566+BMILMS!$G$22,IF(AM566&lt;26.75,BMILMS!$D$23*AM566^3+BMILMS!$E$23*AM566^2+BMILMS!$F$23*AM566+BMILMS!$G$23,IF(AM566&lt;90,BMILMS!$D$24*AM566^3+BMILMS!$E$24*AM566^2+BMILMS!$F$24*AM566+BMILMS!$G$24,BMILMS!$D$25*AM566^3+BMILMS!$E$25*AM566^2+BMILMS!$F$25*AM566+BMILMS!$G$25))))),(IF(AM566&lt;2.5,BMILMS!$D$27*AM566^3+BMILMS!$E$27*AM566^2+BMILMS!$F$27*AM566+BMILMS!$G$27,IF(AM566&lt;9.5,BMILMS!$D$28*AM566^3+BMILMS!$E$28*AM566^2+BMILMS!$F$28*AM566+BMILMS!$G$28,IF(AM566&lt;26.75,BMILMS!$D$29*AM566^3+BMILMS!$E$29*AM566^2+BMILMS!$F$29*AM566+BMILMS!$G$29,IF(AM566&lt;90,BMILMS!$D$30*AM566^3+BMILMS!$E$30*AM566^2+BMILMS!$F$30*AM566+BMILMS!$G$30,IF(AM566&lt;150,BMILMS!$D$31*AM566^3+BMILMS!$E$31*AM566^2+BMILMS!$F$31*AM566+BMILMS!$G$31,BMILMS!$D$32*AM566^3+BMILMS!$E$32*AM566^2+BMILMS!$F$32*AM566+BMILMS!$G$32)))))))</f>
        <v>12.568967990000001</v>
      </c>
      <c r="AL566" s="4">
        <f>IF(D566="M",(IF(AM566&lt;90,BMILMS!$D$14*AM566^3+BMILMS!$E$14*AM566^2+BMILMS!$F$14*AM566+BMILMS!$G$14,BMILMS!$D$15*AM566^3+BMILMS!$E$15*AM566^2+BMILMS!$F$15*AM566+BMILMS!$G$15)),(IF(AM566&lt;90,BMILMS!$D$17*AM566^3+BMILMS!$E$17*AM566^2+BMILMS!$F$17*AM566+BMILMS!$G$17,BMILMS!$D$18*AM566^3+BMILMS!$E$18*AM566^2+BMILMS!$F$18*AM566+BMILMS!$G$18)))</f>
        <v>8.8969350000000003E-2</v>
      </c>
      <c r="AM566" s="4">
        <f t="shared" si="188"/>
        <v>0</v>
      </c>
      <c r="AO566" s="56">
        <f>IF(D566="M",WeightSDS!P$5*$AM566^7+WeightSDS!Q$5*$AM566^6+WeightSDS!R$5*$AM566^5+WeightSDS!S$5*$AM566^4+WeightSDS!T$5*$AM566^3+WeightSDS!U$5*$AM566^2+WeightSDS!V$5*$AM566+WeightSDS!W$5,IF($AM566&lt;186,WeightSDS!P$8*$AM566^7+WeightSDS!Q$8*$AM566^6+WeightSDS!R$8*$AM566^5+WeightSDS!S$8*$AM566^4+WeightSDS!T$8*$AM566^3+WeightSDS!U$8*$AM566^2+WeightSDS!V$8*$AM566+WeightSDS!W$8,WeightSDS!$U$9+WeightSDS!$V$9*($AM566-WeightSDS!$W$9)))</f>
        <v>0.75407122999999998</v>
      </c>
      <c r="AP566" s="4">
        <f>IF(D566="M",IF($AM566&lt;45,WeightSDS!M$23*$AM566^10+WeightSDS!N$23*$AM566^9+WeightSDS!O$23*$AM566^8+WeightSDS!P$23*$AM566^7+WeightSDS!Q$23*$AM566^6+WeightSDS!R$23*$AM566^5+WeightSDS!S$23*$AM566^4+WeightSDS!T$23*$AM566^3+WeightSDS!U$23*$AM566^2+WeightSDS!V$23*$AM566+WeightSDS!W$23,IF($AM566&lt;153,WeightSDS!M$25*$AM566^10+WeightSDS!N$25*$AM566^9+WeightSDS!O$25*$AM566^8+WeightSDS!P$25*$AM566^7+WeightSDS!Q$25*$AM566^6+WeightSDS!R$25*$AM566^5+WeightSDS!S$25*$AM566^4+WeightSDS!T$25*$AM566^3+WeightSDS!U$25*$AM566^2+WeightSDS!V$25*$AM566+WeightSDS!W$25,WeightSDS!M$27+WeightSDS!N$27/(1+EXP(WeightSDS!O$27+WeightSDS!P$27*$AM566)))),IF($AM566&lt;43.8,WeightSDS!M$29*$AM566^10+WeightSDS!N$29*$AM566^9+WeightSDS!O$29*$AM566^8+WeightSDS!P$29*$AM566^7+WeightSDS!Q$29*$AM566^6+WeightSDS!R$29*$AM566^5+WeightSDS!S$29*$AM566^4+WeightSDS!T$29*$AM566^3+WeightSDS!U$29*$AM566^2+WeightSDS!V$29*$AM566+WeightSDS!W$29-0.010431*(1-$AM566/210),IF($AM566&lt;123,WeightSDS!M$30*$AM566^10+WeightSDS!N$30*$AM566^9+WeightSDS!O$30*$AM566^8+WeightSDS!P$30*$AM566^7+WeightSDS!Q$30*$AM566^6+WeightSDS!R$30*$AM566^5+WeightSDS!S$30*$AM566^4+WeightSDS!T$30*$AM566^3+WeightSDS!U$30*$AM566^2+WeightSDS!V$30*$AM566+WeightSDS!W$30-0.010431*(1-1/$AM566),WeightSDS!M$32+WeightSDS!N$32/(1+EXP(WeightSDS!O$32+WeightSDS!P$32*$AM566))-0.010431*(1-$AM566/210))))</f>
        <v>2.9500001032655536</v>
      </c>
      <c r="AQ566" s="4">
        <f>IF(D566="M",IF($AM566&lt;162,WeightSDS!P$12*$AM566^7+WeightSDS!Q$12*$AM566^6+WeightSDS!R$12*$AM566^5+WeightSDS!S$12*$AM566^4+WeightSDS!T$12*$AM566^3+WeightSDS!U$12*$AM566^2+WeightSDS!V$12*$AM566+WeightSDS!W$12,WeightSDS!P$14*$AM566^7+WeightSDS!Q$14*$AM566^6+WeightSDS!R$14*$AM566^5+WeightSDS!S$14*$AM566^4+WeightSDS!T$14*$AM566^3+WeightSDS!U$14*$AM566^2+WeightSDS!V$14*$AM566+WeightSDS!W$14),IF($AM566&lt;156,WeightSDS!O$17*$AM566^8+WeightSDS!P$17*$AM566^7+WeightSDS!Q$17*$AM566^6+WeightSDS!R$17*$AM566^5+WeightSDS!S$17*$AM566^4+WeightSDS!T$17*$AM566^3+WeightSDS!U$17*$AM566^2+WeightSDS!V$17*$AM566+WeightSDS!W$17,IF($AM566&lt;186,WeightSDS!$U$18+(WeightSDS!$V$18-WeightSDS!$U$18)/24*($AM566-186)+WeightSDS!$W$18*(-$AM566+186)^2-0.005,WeightSDS!$U$18+(WeightSDS!$V$18-WeightSDS!$U$18)/24*($AM566-186)-0.005)))</f>
        <v>0.14604529399999999</v>
      </c>
      <c r="AT566" s="4">
        <f t="shared" si="175"/>
        <v>0.56299999999999994</v>
      </c>
      <c r="AU566" s="4">
        <f t="shared" si="176"/>
        <v>69</v>
      </c>
      <c r="AV566" s="4">
        <f t="shared" si="177"/>
        <v>0.51</v>
      </c>
    </row>
    <row r="567" spans="1:48" x14ac:dyDescent="0.15">
      <c r="A567" s="4"/>
      <c r="B567" s="21"/>
      <c r="C567" s="21"/>
      <c r="D567" s="21"/>
      <c r="E567" s="22"/>
      <c r="F567" s="22"/>
      <c r="G567" s="23"/>
      <c r="H567" s="23"/>
      <c r="I567" s="181"/>
      <c r="J567" s="8" t="str">
        <f t="shared" si="169"/>
        <v/>
      </c>
      <c r="K567" s="2" t="str">
        <f t="shared" si="178"/>
        <v/>
      </c>
      <c r="L567" s="2" t="str">
        <f t="shared" si="170"/>
        <v/>
      </c>
      <c r="M567" s="2" t="str">
        <f t="shared" si="179"/>
        <v/>
      </c>
      <c r="N567" s="2" t="str">
        <f t="shared" si="187"/>
        <v/>
      </c>
      <c r="O567" s="2" t="str">
        <f t="shared" si="180"/>
        <v/>
      </c>
      <c r="P567" s="8" t="str">
        <f t="shared" si="181"/>
        <v/>
      </c>
      <c r="Q567" s="8" t="str">
        <f t="shared" si="182"/>
        <v/>
      </c>
      <c r="R567" s="111" t="str">
        <f t="shared" si="183"/>
        <v/>
      </c>
      <c r="S567" s="44" t="str">
        <f t="shared" si="184"/>
        <v/>
      </c>
      <c r="T567" s="37" t="str">
        <f t="shared" si="185"/>
        <v/>
      </c>
      <c r="U567" s="44" t="str">
        <f t="shared" si="186"/>
        <v/>
      </c>
      <c r="V567" s="26"/>
      <c r="W567" s="26"/>
      <c r="X567" s="26"/>
      <c r="Y567" s="26"/>
      <c r="Z567" s="24"/>
      <c r="AA567" s="169">
        <f t="shared" si="171"/>
        <v>0</v>
      </c>
      <c r="AB567" s="4">
        <f t="shared" si="172"/>
        <v>0</v>
      </c>
      <c r="AC567" s="170">
        <f t="shared" si="189"/>
        <v>0</v>
      </c>
      <c r="AD567" s="58"/>
      <c r="AE567" s="58"/>
      <c r="AF567" s="58"/>
      <c r="AG567" s="59">
        <f t="shared" si="173"/>
        <v>9.0359999999999996</v>
      </c>
      <c r="AH567" s="59">
        <f t="shared" si="174"/>
        <v>-184.49199999999999</v>
      </c>
      <c r="AJ567" s="4">
        <f>IF(D567="M",IF(AM567&lt;78,BMILMS!$D$5*AM567^3+BMILMS!$E$5*AM567^2+BMILMS!$F$5*AM567+BMILMS!$G$5,IF(AM567&lt;150,BMILMS!$D$6*AM567^3+BMILMS!$E$6*AM567^2+BMILMS!$F$6*AM567+BMILMS!$G$6,BMILMS!$D$7*AM567^3+BMILMS!$E$7*AM567^2+BMILMS!$F$7*AM567+BMILMS!$G$7)),IF(AM567&lt;69,BMILMS!$D$9*AM567^3+BMILMS!$E$9*AM567^2+BMILMS!$F$9*AM567+BMILMS!$G$9,IF(AM567&lt;150,BMILMS!$D$10*AM567^3+BMILMS!$E$10*AM567^2+BMILMS!$F$10*AM567+BMILMS!$G$10,BMILMS!$D$11*AM567^3+BMILMS!$E$11*AM567^2+BMILMS!$F$11*AM567+BMILMS!$G$11)))</f>
        <v>0.79584630099999998</v>
      </c>
      <c r="AK567" s="4">
        <f>IF(D567="M",(IF(AM567&lt;2.5,BMILMS!$D$21*AM567^3+BMILMS!$E$21*AM567^2+BMILMS!$F$21*AM567+BMILMS!$G$21,IF(AM567&lt;9.5,BMILMS!$D$22*AM567^3+BMILMS!$E$22*AM567^2+BMILMS!$F$22*AM567+BMILMS!$G$22,IF(AM567&lt;26.75,BMILMS!$D$23*AM567^3+BMILMS!$E$23*AM567^2+BMILMS!$F$23*AM567+BMILMS!$G$23,IF(AM567&lt;90,BMILMS!$D$24*AM567^3+BMILMS!$E$24*AM567^2+BMILMS!$F$24*AM567+BMILMS!$G$24,BMILMS!$D$25*AM567^3+BMILMS!$E$25*AM567^2+BMILMS!$F$25*AM567+BMILMS!$G$25))))),(IF(AM567&lt;2.5,BMILMS!$D$27*AM567^3+BMILMS!$E$27*AM567^2+BMILMS!$F$27*AM567+BMILMS!$G$27,IF(AM567&lt;9.5,BMILMS!$D$28*AM567^3+BMILMS!$E$28*AM567^2+BMILMS!$F$28*AM567+BMILMS!$G$28,IF(AM567&lt;26.75,BMILMS!$D$29*AM567^3+BMILMS!$E$29*AM567^2+BMILMS!$F$29*AM567+BMILMS!$G$29,IF(AM567&lt;90,BMILMS!$D$30*AM567^3+BMILMS!$E$30*AM567^2+BMILMS!$F$30*AM567+BMILMS!$G$30,IF(AM567&lt;150,BMILMS!$D$31*AM567^3+BMILMS!$E$31*AM567^2+BMILMS!$F$31*AM567+BMILMS!$G$31,BMILMS!$D$32*AM567^3+BMILMS!$E$32*AM567^2+BMILMS!$F$32*AM567+BMILMS!$G$32)))))))</f>
        <v>12.568967990000001</v>
      </c>
      <c r="AL567" s="4">
        <f>IF(D567="M",(IF(AM567&lt;90,BMILMS!$D$14*AM567^3+BMILMS!$E$14*AM567^2+BMILMS!$F$14*AM567+BMILMS!$G$14,BMILMS!$D$15*AM567^3+BMILMS!$E$15*AM567^2+BMILMS!$F$15*AM567+BMILMS!$G$15)),(IF(AM567&lt;90,BMILMS!$D$17*AM567^3+BMILMS!$E$17*AM567^2+BMILMS!$F$17*AM567+BMILMS!$G$17,BMILMS!$D$18*AM567^3+BMILMS!$E$18*AM567^2+BMILMS!$F$18*AM567+BMILMS!$G$18)))</f>
        <v>8.8969350000000003E-2</v>
      </c>
      <c r="AM567" s="4">
        <f t="shared" si="188"/>
        <v>0</v>
      </c>
      <c r="AO567" s="56">
        <f>IF(D567="M",WeightSDS!P$5*$AM567^7+WeightSDS!Q$5*$AM567^6+WeightSDS!R$5*$AM567^5+WeightSDS!S$5*$AM567^4+WeightSDS!T$5*$AM567^3+WeightSDS!U$5*$AM567^2+WeightSDS!V$5*$AM567+WeightSDS!W$5,IF($AM567&lt;186,WeightSDS!P$8*$AM567^7+WeightSDS!Q$8*$AM567^6+WeightSDS!R$8*$AM567^5+WeightSDS!S$8*$AM567^4+WeightSDS!T$8*$AM567^3+WeightSDS!U$8*$AM567^2+WeightSDS!V$8*$AM567+WeightSDS!W$8,WeightSDS!$U$9+WeightSDS!$V$9*($AM567-WeightSDS!$W$9)))</f>
        <v>0.75407122999999998</v>
      </c>
      <c r="AP567" s="4">
        <f>IF(D567="M",IF($AM567&lt;45,WeightSDS!M$23*$AM567^10+WeightSDS!N$23*$AM567^9+WeightSDS!O$23*$AM567^8+WeightSDS!P$23*$AM567^7+WeightSDS!Q$23*$AM567^6+WeightSDS!R$23*$AM567^5+WeightSDS!S$23*$AM567^4+WeightSDS!T$23*$AM567^3+WeightSDS!U$23*$AM567^2+WeightSDS!V$23*$AM567+WeightSDS!W$23,IF($AM567&lt;153,WeightSDS!M$25*$AM567^10+WeightSDS!N$25*$AM567^9+WeightSDS!O$25*$AM567^8+WeightSDS!P$25*$AM567^7+WeightSDS!Q$25*$AM567^6+WeightSDS!R$25*$AM567^5+WeightSDS!S$25*$AM567^4+WeightSDS!T$25*$AM567^3+WeightSDS!U$25*$AM567^2+WeightSDS!V$25*$AM567+WeightSDS!W$25,WeightSDS!M$27+WeightSDS!N$27/(1+EXP(WeightSDS!O$27+WeightSDS!P$27*$AM567)))),IF($AM567&lt;43.8,WeightSDS!M$29*$AM567^10+WeightSDS!N$29*$AM567^9+WeightSDS!O$29*$AM567^8+WeightSDS!P$29*$AM567^7+WeightSDS!Q$29*$AM567^6+WeightSDS!R$29*$AM567^5+WeightSDS!S$29*$AM567^4+WeightSDS!T$29*$AM567^3+WeightSDS!U$29*$AM567^2+WeightSDS!V$29*$AM567+WeightSDS!W$29-0.010431*(1-$AM567/210),IF($AM567&lt;123,WeightSDS!M$30*$AM567^10+WeightSDS!N$30*$AM567^9+WeightSDS!O$30*$AM567^8+WeightSDS!P$30*$AM567^7+WeightSDS!Q$30*$AM567^6+WeightSDS!R$30*$AM567^5+WeightSDS!S$30*$AM567^4+WeightSDS!T$30*$AM567^3+WeightSDS!U$30*$AM567^2+WeightSDS!V$30*$AM567+WeightSDS!W$30-0.010431*(1-1/$AM567),WeightSDS!M$32+WeightSDS!N$32/(1+EXP(WeightSDS!O$32+WeightSDS!P$32*$AM567))-0.010431*(1-$AM567/210))))</f>
        <v>2.9500001032655536</v>
      </c>
      <c r="AQ567" s="4">
        <f>IF(D567="M",IF($AM567&lt;162,WeightSDS!P$12*$AM567^7+WeightSDS!Q$12*$AM567^6+WeightSDS!R$12*$AM567^5+WeightSDS!S$12*$AM567^4+WeightSDS!T$12*$AM567^3+WeightSDS!U$12*$AM567^2+WeightSDS!V$12*$AM567+WeightSDS!W$12,WeightSDS!P$14*$AM567^7+WeightSDS!Q$14*$AM567^6+WeightSDS!R$14*$AM567^5+WeightSDS!S$14*$AM567^4+WeightSDS!T$14*$AM567^3+WeightSDS!U$14*$AM567^2+WeightSDS!V$14*$AM567+WeightSDS!W$14),IF($AM567&lt;156,WeightSDS!O$17*$AM567^8+WeightSDS!P$17*$AM567^7+WeightSDS!Q$17*$AM567^6+WeightSDS!R$17*$AM567^5+WeightSDS!S$17*$AM567^4+WeightSDS!T$17*$AM567^3+WeightSDS!U$17*$AM567^2+WeightSDS!V$17*$AM567+WeightSDS!W$17,IF($AM567&lt;186,WeightSDS!$U$18+(WeightSDS!$V$18-WeightSDS!$U$18)/24*($AM567-186)+WeightSDS!$W$18*(-$AM567+186)^2-0.005,WeightSDS!$U$18+(WeightSDS!$V$18-WeightSDS!$U$18)/24*($AM567-186)-0.005)))</f>
        <v>0.14604529399999999</v>
      </c>
      <c r="AT567" s="4">
        <f t="shared" si="175"/>
        <v>0.56299999999999994</v>
      </c>
      <c r="AU567" s="4">
        <f t="shared" si="176"/>
        <v>69</v>
      </c>
      <c r="AV567" s="4">
        <f t="shared" si="177"/>
        <v>0.51</v>
      </c>
    </row>
    <row r="568" spans="1:48" x14ac:dyDescent="0.15">
      <c r="A568" s="4"/>
      <c r="B568" s="21"/>
      <c r="C568" s="21"/>
      <c r="D568" s="21"/>
      <c r="E568" s="22"/>
      <c r="F568" s="22"/>
      <c r="G568" s="23"/>
      <c r="H568" s="23"/>
      <c r="I568" s="181"/>
      <c r="J568" s="8" t="str">
        <f t="shared" si="169"/>
        <v/>
      </c>
      <c r="K568" s="2" t="str">
        <f t="shared" si="178"/>
        <v/>
      </c>
      <c r="L568" s="2" t="str">
        <f t="shared" si="170"/>
        <v/>
      </c>
      <c r="M568" s="2" t="str">
        <f t="shared" si="179"/>
        <v/>
      </c>
      <c r="N568" s="2" t="str">
        <f t="shared" si="187"/>
        <v/>
      </c>
      <c r="O568" s="2" t="str">
        <f t="shared" si="180"/>
        <v/>
      </c>
      <c r="P568" s="8" t="str">
        <f t="shared" si="181"/>
        <v/>
      </c>
      <c r="Q568" s="8" t="str">
        <f t="shared" si="182"/>
        <v/>
      </c>
      <c r="R568" s="111" t="str">
        <f t="shared" si="183"/>
        <v/>
      </c>
      <c r="S568" s="44" t="str">
        <f t="shared" si="184"/>
        <v/>
      </c>
      <c r="T568" s="37" t="str">
        <f t="shared" si="185"/>
        <v/>
      </c>
      <c r="U568" s="44" t="str">
        <f t="shared" si="186"/>
        <v/>
      </c>
      <c r="V568" s="26"/>
      <c r="W568" s="26"/>
      <c r="X568" s="26"/>
      <c r="Y568" s="26"/>
      <c r="Z568" s="24"/>
      <c r="AA568" s="169">
        <f t="shared" si="171"/>
        <v>0</v>
      </c>
      <c r="AB568" s="4">
        <f t="shared" si="172"/>
        <v>0</v>
      </c>
      <c r="AC568" s="170">
        <f t="shared" si="189"/>
        <v>0</v>
      </c>
      <c r="AD568" s="58"/>
      <c r="AE568" s="58"/>
      <c r="AF568" s="58"/>
      <c r="AG568" s="59">
        <f t="shared" si="173"/>
        <v>9.0359999999999996</v>
      </c>
      <c r="AH568" s="59">
        <f t="shared" si="174"/>
        <v>-184.49199999999999</v>
      </c>
      <c r="AJ568" s="4">
        <f>IF(D568="M",IF(AM568&lt;78,BMILMS!$D$5*AM568^3+BMILMS!$E$5*AM568^2+BMILMS!$F$5*AM568+BMILMS!$G$5,IF(AM568&lt;150,BMILMS!$D$6*AM568^3+BMILMS!$E$6*AM568^2+BMILMS!$F$6*AM568+BMILMS!$G$6,BMILMS!$D$7*AM568^3+BMILMS!$E$7*AM568^2+BMILMS!$F$7*AM568+BMILMS!$G$7)),IF(AM568&lt;69,BMILMS!$D$9*AM568^3+BMILMS!$E$9*AM568^2+BMILMS!$F$9*AM568+BMILMS!$G$9,IF(AM568&lt;150,BMILMS!$D$10*AM568^3+BMILMS!$E$10*AM568^2+BMILMS!$F$10*AM568+BMILMS!$G$10,BMILMS!$D$11*AM568^3+BMILMS!$E$11*AM568^2+BMILMS!$F$11*AM568+BMILMS!$G$11)))</f>
        <v>0.79584630099999998</v>
      </c>
      <c r="AK568" s="4">
        <f>IF(D568="M",(IF(AM568&lt;2.5,BMILMS!$D$21*AM568^3+BMILMS!$E$21*AM568^2+BMILMS!$F$21*AM568+BMILMS!$G$21,IF(AM568&lt;9.5,BMILMS!$D$22*AM568^3+BMILMS!$E$22*AM568^2+BMILMS!$F$22*AM568+BMILMS!$G$22,IF(AM568&lt;26.75,BMILMS!$D$23*AM568^3+BMILMS!$E$23*AM568^2+BMILMS!$F$23*AM568+BMILMS!$G$23,IF(AM568&lt;90,BMILMS!$D$24*AM568^3+BMILMS!$E$24*AM568^2+BMILMS!$F$24*AM568+BMILMS!$G$24,BMILMS!$D$25*AM568^3+BMILMS!$E$25*AM568^2+BMILMS!$F$25*AM568+BMILMS!$G$25))))),(IF(AM568&lt;2.5,BMILMS!$D$27*AM568^3+BMILMS!$E$27*AM568^2+BMILMS!$F$27*AM568+BMILMS!$G$27,IF(AM568&lt;9.5,BMILMS!$D$28*AM568^3+BMILMS!$E$28*AM568^2+BMILMS!$F$28*AM568+BMILMS!$G$28,IF(AM568&lt;26.75,BMILMS!$D$29*AM568^3+BMILMS!$E$29*AM568^2+BMILMS!$F$29*AM568+BMILMS!$G$29,IF(AM568&lt;90,BMILMS!$D$30*AM568^3+BMILMS!$E$30*AM568^2+BMILMS!$F$30*AM568+BMILMS!$G$30,IF(AM568&lt;150,BMILMS!$D$31*AM568^3+BMILMS!$E$31*AM568^2+BMILMS!$F$31*AM568+BMILMS!$G$31,BMILMS!$D$32*AM568^3+BMILMS!$E$32*AM568^2+BMILMS!$F$32*AM568+BMILMS!$G$32)))))))</f>
        <v>12.568967990000001</v>
      </c>
      <c r="AL568" s="4">
        <f>IF(D568="M",(IF(AM568&lt;90,BMILMS!$D$14*AM568^3+BMILMS!$E$14*AM568^2+BMILMS!$F$14*AM568+BMILMS!$G$14,BMILMS!$D$15*AM568^3+BMILMS!$E$15*AM568^2+BMILMS!$F$15*AM568+BMILMS!$G$15)),(IF(AM568&lt;90,BMILMS!$D$17*AM568^3+BMILMS!$E$17*AM568^2+BMILMS!$F$17*AM568+BMILMS!$G$17,BMILMS!$D$18*AM568^3+BMILMS!$E$18*AM568^2+BMILMS!$F$18*AM568+BMILMS!$G$18)))</f>
        <v>8.8969350000000003E-2</v>
      </c>
      <c r="AM568" s="4">
        <f t="shared" si="188"/>
        <v>0</v>
      </c>
      <c r="AO568" s="56">
        <f>IF(D568="M",WeightSDS!P$5*$AM568^7+WeightSDS!Q$5*$AM568^6+WeightSDS!R$5*$AM568^5+WeightSDS!S$5*$AM568^4+WeightSDS!T$5*$AM568^3+WeightSDS!U$5*$AM568^2+WeightSDS!V$5*$AM568+WeightSDS!W$5,IF($AM568&lt;186,WeightSDS!P$8*$AM568^7+WeightSDS!Q$8*$AM568^6+WeightSDS!R$8*$AM568^5+WeightSDS!S$8*$AM568^4+WeightSDS!T$8*$AM568^3+WeightSDS!U$8*$AM568^2+WeightSDS!V$8*$AM568+WeightSDS!W$8,WeightSDS!$U$9+WeightSDS!$V$9*($AM568-WeightSDS!$W$9)))</f>
        <v>0.75407122999999998</v>
      </c>
      <c r="AP568" s="4">
        <f>IF(D568="M",IF($AM568&lt;45,WeightSDS!M$23*$AM568^10+WeightSDS!N$23*$AM568^9+WeightSDS!O$23*$AM568^8+WeightSDS!P$23*$AM568^7+WeightSDS!Q$23*$AM568^6+WeightSDS!R$23*$AM568^5+WeightSDS!S$23*$AM568^4+WeightSDS!T$23*$AM568^3+WeightSDS!U$23*$AM568^2+WeightSDS!V$23*$AM568+WeightSDS!W$23,IF($AM568&lt;153,WeightSDS!M$25*$AM568^10+WeightSDS!N$25*$AM568^9+WeightSDS!O$25*$AM568^8+WeightSDS!P$25*$AM568^7+WeightSDS!Q$25*$AM568^6+WeightSDS!R$25*$AM568^5+WeightSDS!S$25*$AM568^4+WeightSDS!T$25*$AM568^3+WeightSDS!U$25*$AM568^2+WeightSDS!V$25*$AM568+WeightSDS!W$25,WeightSDS!M$27+WeightSDS!N$27/(1+EXP(WeightSDS!O$27+WeightSDS!P$27*$AM568)))),IF($AM568&lt;43.8,WeightSDS!M$29*$AM568^10+WeightSDS!N$29*$AM568^9+WeightSDS!O$29*$AM568^8+WeightSDS!P$29*$AM568^7+WeightSDS!Q$29*$AM568^6+WeightSDS!R$29*$AM568^5+WeightSDS!S$29*$AM568^4+WeightSDS!T$29*$AM568^3+WeightSDS!U$29*$AM568^2+WeightSDS!V$29*$AM568+WeightSDS!W$29-0.010431*(1-$AM568/210),IF($AM568&lt;123,WeightSDS!M$30*$AM568^10+WeightSDS!N$30*$AM568^9+WeightSDS!O$30*$AM568^8+WeightSDS!P$30*$AM568^7+WeightSDS!Q$30*$AM568^6+WeightSDS!R$30*$AM568^5+WeightSDS!S$30*$AM568^4+WeightSDS!T$30*$AM568^3+WeightSDS!U$30*$AM568^2+WeightSDS!V$30*$AM568+WeightSDS!W$30-0.010431*(1-1/$AM568),WeightSDS!M$32+WeightSDS!N$32/(1+EXP(WeightSDS!O$32+WeightSDS!P$32*$AM568))-0.010431*(1-$AM568/210))))</f>
        <v>2.9500001032655536</v>
      </c>
      <c r="AQ568" s="4">
        <f>IF(D568="M",IF($AM568&lt;162,WeightSDS!P$12*$AM568^7+WeightSDS!Q$12*$AM568^6+WeightSDS!R$12*$AM568^5+WeightSDS!S$12*$AM568^4+WeightSDS!T$12*$AM568^3+WeightSDS!U$12*$AM568^2+WeightSDS!V$12*$AM568+WeightSDS!W$12,WeightSDS!P$14*$AM568^7+WeightSDS!Q$14*$AM568^6+WeightSDS!R$14*$AM568^5+WeightSDS!S$14*$AM568^4+WeightSDS!T$14*$AM568^3+WeightSDS!U$14*$AM568^2+WeightSDS!V$14*$AM568+WeightSDS!W$14),IF($AM568&lt;156,WeightSDS!O$17*$AM568^8+WeightSDS!P$17*$AM568^7+WeightSDS!Q$17*$AM568^6+WeightSDS!R$17*$AM568^5+WeightSDS!S$17*$AM568^4+WeightSDS!T$17*$AM568^3+WeightSDS!U$17*$AM568^2+WeightSDS!V$17*$AM568+WeightSDS!W$17,IF($AM568&lt;186,WeightSDS!$U$18+(WeightSDS!$V$18-WeightSDS!$U$18)/24*($AM568-186)+WeightSDS!$W$18*(-$AM568+186)^2-0.005,WeightSDS!$U$18+(WeightSDS!$V$18-WeightSDS!$U$18)/24*($AM568-186)-0.005)))</f>
        <v>0.14604529399999999</v>
      </c>
      <c r="AT568" s="4">
        <f t="shared" si="175"/>
        <v>0.56299999999999994</v>
      </c>
      <c r="AU568" s="4">
        <f t="shared" si="176"/>
        <v>69</v>
      </c>
      <c r="AV568" s="4">
        <f t="shared" si="177"/>
        <v>0.51</v>
      </c>
    </row>
    <row r="569" spans="1:48" x14ac:dyDescent="0.15">
      <c r="A569" s="4"/>
      <c r="B569" s="21"/>
      <c r="C569" s="21"/>
      <c r="D569" s="21"/>
      <c r="E569" s="22"/>
      <c r="F569" s="22"/>
      <c r="G569" s="23"/>
      <c r="H569" s="23"/>
      <c r="I569" s="181"/>
      <c r="J569" s="8" t="str">
        <f t="shared" si="169"/>
        <v/>
      </c>
      <c r="K569" s="2" t="str">
        <f t="shared" si="178"/>
        <v/>
      </c>
      <c r="L569" s="2" t="str">
        <f t="shared" si="170"/>
        <v/>
      </c>
      <c r="M569" s="2" t="str">
        <f t="shared" si="179"/>
        <v/>
      </c>
      <c r="N569" s="2" t="str">
        <f t="shared" si="187"/>
        <v/>
      </c>
      <c r="O569" s="2" t="str">
        <f t="shared" si="180"/>
        <v/>
      </c>
      <c r="P569" s="8" t="str">
        <f t="shared" si="181"/>
        <v/>
      </c>
      <c r="Q569" s="8" t="str">
        <f t="shared" si="182"/>
        <v/>
      </c>
      <c r="R569" s="111" t="str">
        <f t="shared" si="183"/>
        <v/>
      </c>
      <c r="S569" s="44" t="str">
        <f t="shared" si="184"/>
        <v/>
      </c>
      <c r="T569" s="37" t="str">
        <f t="shared" si="185"/>
        <v/>
      </c>
      <c r="U569" s="44" t="str">
        <f t="shared" si="186"/>
        <v/>
      </c>
      <c r="V569" s="26"/>
      <c r="W569" s="26"/>
      <c r="X569" s="26"/>
      <c r="Y569" s="26"/>
      <c r="Z569" s="24"/>
      <c r="AA569" s="169">
        <f t="shared" si="171"/>
        <v>0</v>
      </c>
      <c r="AB569" s="4">
        <f t="shared" si="172"/>
        <v>0</v>
      </c>
      <c r="AC569" s="170">
        <f t="shared" si="189"/>
        <v>0</v>
      </c>
      <c r="AD569" s="58"/>
      <c r="AE569" s="58"/>
      <c r="AF569" s="58"/>
      <c r="AG569" s="59">
        <f t="shared" si="173"/>
        <v>9.0359999999999996</v>
      </c>
      <c r="AH569" s="59">
        <f t="shared" si="174"/>
        <v>-184.49199999999999</v>
      </c>
      <c r="AJ569" s="4">
        <f>IF(D569="M",IF(AM569&lt;78,BMILMS!$D$5*AM569^3+BMILMS!$E$5*AM569^2+BMILMS!$F$5*AM569+BMILMS!$G$5,IF(AM569&lt;150,BMILMS!$D$6*AM569^3+BMILMS!$E$6*AM569^2+BMILMS!$F$6*AM569+BMILMS!$G$6,BMILMS!$D$7*AM569^3+BMILMS!$E$7*AM569^2+BMILMS!$F$7*AM569+BMILMS!$G$7)),IF(AM569&lt;69,BMILMS!$D$9*AM569^3+BMILMS!$E$9*AM569^2+BMILMS!$F$9*AM569+BMILMS!$G$9,IF(AM569&lt;150,BMILMS!$D$10*AM569^3+BMILMS!$E$10*AM569^2+BMILMS!$F$10*AM569+BMILMS!$G$10,BMILMS!$D$11*AM569^3+BMILMS!$E$11*AM569^2+BMILMS!$F$11*AM569+BMILMS!$G$11)))</f>
        <v>0.79584630099999998</v>
      </c>
      <c r="AK569" s="4">
        <f>IF(D569="M",(IF(AM569&lt;2.5,BMILMS!$D$21*AM569^3+BMILMS!$E$21*AM569^2+BMILMS!$F$21*AM569+BMILMS!$G$21,IF(AM569&lt;9.5,BMILMS!$D$22*AM569^3+BMILMS!$E$22*AM569^2+BMILMS!$F$22*AM569+BMILMS!$G$22,IF(AM569&lt;26.75,BMILMS!$D$23*AM569^3+BMILMS!$E$23*AM569^2+BMILMS!$F$23*AM569+BMILMS!$G$23,IF(AM569&lt;90,BMILMS!$D$24*AM569^3+BMILMS!$E$24*AM569^2+BMILMS!$F$24*AM569+BMILMS!$G$24,BMILMS!$D$25*AM569^3+BMILMS!$E$25*AM569^2+BMILMS!$F$25*AM569+BMILMS!$G$25))))),(IF(AM569&lt;2.5,BMILMS!$D$27*AM569^3+BMILMS!$E$27*AM569^2+BMILMS!$F$27*AM569+BMILMS!$G$27,IF(AM569&lt;9.5,BMILMS!$D$28*AM569^3+BMILMS!$E$28*AM569^2+BMILMS!$F$28*AM569+BMILMS!$G$28,IF(AM569&lt;26.75,BMILMS!$D$29*AM569^3+BMILMS!$E$29*AM569^2+BMILMS!$F$29*AM569+BMILMS!$G$29,IF(AM569&lt;90,BMILMS!$D$30*AM569^3+BMILMS!$E$30*AM569^2+BMILMS!$F$30*AM569+BMILMS!$G$30,IF(AM569&lt;150,BMILMS!$D$31*AM569^3+BMILMS!$E$31*AM569^2+BMILMS!$F$31*AM569+BMILMS!$G$31,BMILMS!$D$32*AM569^3+BMILMS!$E$32*AM569^2+BMILMS!$F$32*AM569+BMILMS!$G$32)))))))</f>
        <v>12.568967990000001</v>
      </c>
      <c r="AL569" s="4">
        <f>IF(D569="M",(IF(AM569&lt;90,BMILMS!$D$14*AM569^3+BMILMS!$E$14*AM569^2+BMILMS!$F$14*AM569+BMILMS!$G$14,BMILMS!$D$15*AM569^3+BMILMS!$E$15*AM569^2+BMILMS!$F$15*AM569+BMILMS!$G$15)),(IF(AM569&lt;90,BMILMS!$D$17*AM569^3+BMILMS!$E$17*AM569^2+BMILMS!$F$17*AM569+BMILMS!$G$17,BMILMS!$D$18*AM569^3+BMILMS!$E$18*AM569^2+BMILMS!$F$18*AM569+BMILMS!$G$18)))</f>
        <v>8.8969350000000003E-2</v>
      </c>
      <c r="AM569" s="4">
        <f t="shared" si="188"/>
        <v>0</v>
      </c>
      <c r="AO569" s="56">
        <f>IF(D569="M",WeightSDS!P$5*$AM569^7+WeightSDS!Q$5*$AM569^6+WeightSDS!R$5*$AM569^5+WeightSDS!S$5*$AM569^4+WeightSDS!T$5*$AM569^3+WeightSDS!U$5*$AM569^2+WeightSDS!V$5*$AM569+WeightSDS!W$5,IF($AM569&lt;186,WeightSDS!P$8*$AM569^7+WeightSDS!Q$8*$AM569^6+WeightSDS!R$8*$AM569^5+WeightSDS!S$8*$AM569^4+WeightSDS!T$8*$AM569^3+WeightSDS!U$8*$AM569^2+WeightSDS!V$8*$AM569+WeightSDS!W$8,WeightSDS!$U$9+WeightSDS!$V$9*($AM569-WeightSDS!$W$9)))</f>
        <v>0.75407122999999998</v>
      </c>
      <c r="AP569" s="4">
        <f>IF(D569="M",IF($AM569&lt;45,WeightSDS!M$23*$AM569^10+WeightSDS!N$23*$AM569^9+WeightSDS!O$23*$AM569^8+WeightSDS!P$23*$AM569^7+WeightSDS!Q$23*$AM569^6+WeightSDS!R$23*$AM569^5+WeightSDS!S$23*$AM569^4+WeightSDS!T$23*$AM569^3+WeightSDS!U$23*$AM569^2+WeightSDS!V$23*$AM569+WeightSDS!W$23,IF($AM569&lt;153,WeightSDS!M$25*$AM569^10+WeightSDS!N$25*$AM569^9+WeightSDS!O$25*$AM569^8+WeightSDS!P$25*$AM569^7+WeightSDS!Q$25*$AM569^6+WeightSDS!R$25*$AM569^5+WeightSDS!S$25*$AM569^4+WeightSDS!T$25*$AM569^3+WeightSDS!U$25*$AM569^2+WeightSDS!V$25*$AM569+WeightSDS!W$25,WeightSDS!M$27+WeightSDS!N$27/(1+EXP(WeightSDS!O$27+WeightSDS!P$27*$AM569)))),IF($AM569&lt;43.8,WeightSDS!M$29*$AM569^10+WeightSDS!N$29*$AM569^9+WeightSDS!O$29*$AM569^8+WeightSDS!P$29*$AM569^7+WeightSDS!Q$29*$AM569^6+WeightSDS!R$29*$AM569^5+WeightSDS!S$29*$AM569^4+WeightSDS!T$29*$AM569^3+WeightSDS!U$29*$AM569^2+WeightSDS!V$29*$AM569+WeightSDS!W$29-0.010431*(1-$AM569/210),IF($AM569&lt;123,WeightSDS!M$30*$AM569^10+WeightSDS!N$30*$AM569^9+WeightSDS!O$30*$AM569^8+WeightSDS!P$30*$AM569^7+WeightSDS!Q$30*$AM569^6+WeightSDS!R$30*$AM569^5+WeightSDS!S$30*$AM569^4+WeightSDS!T$30*$AM569^3+WeightSDS!U$30*$AM569^2+WeightSDS!V$30*$AM569+WeightSDS!W$30-0.010431*(1-1/$AM569),WeightSDS!M$32+WeightSDS!N$32/(1+EXP(WeightSDS!O$32+WeightSDS!P$32*$AM569))-0.010431*(1-$AM569/210))))</f>
        <v>2.9500001032655536</v>
      </c>
      <c r="AQ569" s="4">
        <f>IF(D569="M",IF($AM569&lt;162,WeightSDS!P$12*$AM569^7+WeightSDS!Q$12*$AM569^6+WeightSDS!R$12*$AM569^5+WeightSDS!S$12*$AM569^4+WeightSDS!T$12*$AM569^3+WeightSDS!U$12*$AM569^2+WeightSDS!V$12*$AM569+WeightSDS!W$12,WeightSDS!P$14*$AM569^7+WeightSDS!Q$14*$AM569^6+WeightSDS!R$14*$AM569^5+WeightSDS!S$14*$AM569^4+WeightSDS!T$14*$AM569^3+WeightSDS!U$14*$AM569^2+WeightSDS!V$14*$AM569+WeightSDS!W$14),IF($AM569&lt;156,WeightSDS!O$17*$AM569^8+WeightSDS!P$17*$AM569^7+WeightSDS!Q$17*$AM569^6+WeightSDS!R$17*$AM569^5+WeightSDS!S$17*$AM569^4+WeightSDS!T$17*$AM569^3+WeightSDS!U$17*$AM569^2+WeightSDS!V$17*$AM569+WeightSDS!W$17,IF($AM569&lt;186,WeightSDS!$U$18+(WeightSDS!$V$18-WeightSDS!$U$18)/24*($AM569-186)+WeightSDS!$W$18*(-$AM569+186)^2-0.005,WeightSDS!$U$18+(WeightSDS!$V$18-WeightSDS!$U$18)/24*($AM569-186)-0.005)))</f>
        <v>0.14604529399999999</v>
      </c>
      <c r="AT569" s="4">
        <f t="shared" si="175"/>
        <v>0.56299999999999994</v>
      </c>
      <c r="AU569" s="4">
        <f t="shared" si="176"/>
        <v>69</v>
      </c>
      <c r="AV569" s="4">
        <f t="shared" si="177"/>
        <v>0.51</v>
      </c>
    </row>
    <row r="570" spans="1:48" x14ac:dyDescent="0.15">
      <c r="A570" s="4"/>
      <c r="B570" s="21"/>
      <c r="C570" s="21"/>
      <c r="D570" s="21"/>
      <c r="E570" s="22"/>
      <c r="F570" s="22"/>
      <c r="G570" s="23"/>
      <c r="H570" s="23"/>
      <c r="I570" s="181"/>
      <c r="J570" s="8" t="str">
        <f t="shared" si="169"/>
        <v/>
      </c>
      <c r="K570" s="2" t="str">
        <f t="shared" si="178"/>
        <v/>
      </c>
      <c r="L570" s="2" t="str">
        <f t="shared" si="170"/>
        <v/>
      </c>
      <c r="M570" s="2" t="str">
        <f t="shared" si="179"/>
        <v/>
      </c>
      <c r="N570" s="2" t="str">
        <f t="shared" si="187"/>
        <v/>
      </c>
      <c r="O570" s="2" t="str">
        <f t="shared" si="180"/>
        <v/>
      </c>
      <c r="P570" s="8" t="str">
        <f t="shared" si="181"/>
        <v/>
      </c>
      <c r="Q570" s="8" t="str">
        <f t="shared" si="182"/>
        <v/>
      </c>
      <c r="R570" s="111" t="str">
        <f t="shared" si="183"/>
        <v/>
      </c>
      <c r="S570" s="44" t="str">
        <f t="shared" si="184"/>
        <v/>
      </c>
      <c r="T570" s="37" t="str">
        <f t="shared" si="185"/>
        <v/>
      </c>
      <c r="U570" s="44" t="str">
        <f t="shared" si="186"/>
        <v/>
      </c>
      <c r="V570" s="26"/>
      <c r="W570" s="26"/>
      <c r="X570" s="26"/>
      <c r="Y570" s="26"/>
      <c r="Z570" s="24"/>
      <c r="AA570" s="169">
        <f t="shared" si="171"/>
        <v>0</v>
      </c>
      <c r="AB570" s="4">
        <f t="shared" si="172"/>
        <v>0</v>
      </c>
      <c r="AC570" s="170">
        <f t="shared" si="189"/>
        <v>0</v>
      </c>
      <c r="AD570" s="58"/>
      <c r="AE570" s="58"/>
      <c r="AF570" s="58"/>
      <c r="AG570" s="59">
        <f t="shared" si="173"/>
        <v>9.0359999999999996</v>
      </c>
      <c r="AH570" s="59">
        <f t="shared" si="174"/>
        <v>-184.49199999999999</v>
      </c>
      <c r="AJ570" s="4">
        <f>IF(D570="M",IF(AM570&lt;78,BMILMS!$D$5*AM570^3+BMILMS!$E$5*AM570^2+BMILMS!$F$5*AM570+BMILMS!$G$5,IF(AM570&lt;150,BMILMS!$D$6*AM570^3+BMILMS!$E$6*AM570^2+BMILMS!$F$6*AM570+BMILMS!$G$6,BMILMS!$D$7*AM570^3+BMILMS!$E$7*AM570^2+BMILMS!$F$7*AM570+BMILMS!$G$7)),IF(AM570&lt;69,BMILMS!$D$9*AM570^3+BMILMS!$E$9*AM570^2+BMILMS!$F$9*AM570+BMILMS!$G$9,IF(AM570&lt;150,BMILMS!$D$10*AM570^3+BMILMS!$E$10*AM570^2+BMILMS!$F$10*AM570+BMILMS!$G$10,BMILMS!$D$11*AM570^3+BMILMS!$E$11*AM570^2+BMILMS!$F$11*AM570+BMILMS!$G$11)))</f>
        <v>0.79584630099999998</v>
      </c>
      <c r="AK570" s="4">
        <f>IF(D570="M",(IF(AM570&lt;2.5,BMILMS!$D$21*AM570^3+BMILMS!$E$21*AM570^2+BMILMS!$F$21*AM570+BMILMS!$G$21,IF(AM570&lt;9.5,BMILMS!$D$22*AM570^3+BMILMS!$E$22*AM570^2+BMILMS!$F$22*AM570+BMILMS!$G$22,IF(AM570&lt;26.75,BMILMS!$D$23*AM570^3+BMILMS!$E$23*AM570^2+BMILMS!$F$23*AM570+BMILMS!$G$23,IF(AM570&lt;90,BMILMS!$D$24*AM570^3+BMILMS!$E$24*AM570^2+BMILMS!$F$24*AM570+BMILMS!$G$24,BMILMS!$D$25*AM570^3+BMILMS!$E$25*AM570^2+BMILMS!$F$25*AM570+BMILMS!$G$25))))),(IF(AM570&lt;2.5,BMILMS!$D$27*AM570^3+BMILMS!$E$27*AM570^2+BMILMS!$F$27*AM570+BMILMS!$G$27,IF(AM570&lt;9.5,BMILMS!$D$28*AM570^3+BMILMS!$E$28*AM570^2+BMILMS!$F$28*AM570+BMILMS!$G$28,IF(AM570&lt;26.75,BMILMS!$D$29*AM570^3+BMILMS!$E$29*AM570^2+BMILMS!$F$29*AM570+BMILMS!$G$29,IF(AM570&lt;90,BMILMS!$D$30*AM570^3+BMILMS!$E$30*AM570^2+BMILMS!$F$30*AM570+BMILMS!$G$30,IF(AM570&lt;150,BMILMS!$D$31*AM570^3+BMILMS!$E$31*AM570^2+BMILMS!$F$31*AM570+BMILMS!$G$31,BMILMS!$D$32*AM570^3+BMILMS!$E$32*AM570^2+BMILMS!$F$32*AM570+BMILMS!$G$32)))))))</f>
        <v>12.568967990000001</v>
      </c>
      <c r="AL570" s="4">
        <f>IF(D570="M",(IF(AM570&lt;90,BMILMS!$D$14*AM570^3+BMILMS!$E$14*AM570^2+BMILMS!$F$14*AM570+BMILMS!$G$14,BMILMS!$D$15*AM570^3+BMILMS!$E$15*AM570^2+BMILMS!$F$15*AM570+BMILMS!$G$15)),(IF(AM570&lt;90,BMILMS!$D$17*AM570^3+BMILMS!$E$17*AM570^2+BMILMS!$F$17*AM570+BMILMS!$G$17,BMILMS!$D$18*AM570^3+BMILMS!$E$18*AM570^2+BMILMS!$F$18*AM570+BMILMS!$G$18)))</f>
        <v>8.8969350000000003E-2</v>
      </c>
      <c r="AM570" s="4">
        <f t="shared" si="188"/>
        <v>0</v>
      </c>
      <c r="AO570" s="56">
        <f>IF(D570="M",WeightSDS!P$5*$AM570^7+WeightSDS!Q$5*$AM570^6+WeightSDS!R$5*$AM570^5+WeightSDS!S$5*$AM570^4+WeightSDS!T$5*$AM570^3+WeightSDS!U$5*$AM570^2+WeightSDS!V$5*$AM570+WeightSDS!W$5,IF($AM570&lt;186,WeightSDS!P$8*$AM570^7+WeightSDS!Q$8*$AM570^6+WeightSDS!R$8*$AM570^5+WeightSDS!S$8*$AM570^4+WeightSDS!T$8*$AM570^3+WeightSDS!U$8*$AM570^2+WeightSDS!V$8*$AM570+WeightSDS!W$8,WeightSDS!$U$9+WeightSDS!$V$9*($AM570-WeightSDS!$W$9)))</f>
        <v>0.75407122999999998</v>
      </c>
      <c r="AP570" s="4">
        <f>IF(D570="M",IF($AM570&lt;45,WeightSDS!M$23*$AM570^10+WeightSDS!N$23*$AM570^9+WeightSDS!O$23*$AM570^8+WeightSDS!P$23*$AM570^7+WeightSDS!Q$23*$AM570^6+WeightSDS!R$23*$AM570^5+WeightSDS!S$23*$AM570^4+WeightSDS!T$23*$AM570^3+WeightSDS!U$23*$AM570^2+WeightSDS!V$23*$AM570+WeightSDS!W$23,IF($AM570&lt;153,WeightSDS!M$25*$AM570^10+WeightSDS!N$25*$AM570^9+WeightSDS!O$25*$AM570^8+WeightSDS!P$25*$AM570^7+WeightSDS!Q$25*$AM570^6+WeightSDS!R$25*$AM570^5+WeightSDS!S$25*$AM570^4+WeightSDS!T$25*$AM570^3+WeightSDS!U$25*$AM570^2+WeightSDS!V$25*$AM570+WeightSDS!W$25,WeightSDS!M$27+WeightSDS!N$27/(1+EXP(WeightSDS!O$27+WeightSDS!P$27*$AM570)))),IF($AM570&lt;43.8,WeightSDS!M$29*$AM570^10+WeightSDS!N$29*$AM570^9+WeightSDS!O$29*$AM570^8+WeightSDS!P$29*$AM570^7+WeightSDS!Q$29*$AM570^6+WeightSDS!R$29*$AM570^5+WeightSDS!S$29*$AM570^4+WeightSDS!T$29*$AM570^3+WeightSDS!U$29*$AM570^2+WeightSDS!V$29*$AM570+WeightSDS!W$29-0.010431*(1-$AM570/210),IF($AM570&lt;123,WeightSDS!M$30*$AM570^10+WeightSDS!N$30*$AM570^9+WeightSDS!O$30*$AM570^8+WeightSDS!P$30*$AM570^7+WeightSDS!Q$30*$AM570^6+WeightSDS!R$30*$AM570^5+WeightSDS!S$30*$AM570^4+WeightSDS!T$30*$AM570^3+WeightSDS!U$30*$AM570^2+WeightSDS!V$30*$AM570+WeightSDS!W$30-0.010431*(1-1/$AM570),WeightSDS!M$32+WeightSDS!N$32/(1+EXP(WeightSDS!O$32+WeightSDS!P$32*$AM570))-0.010431*(1-$AM570/210))))</f>
        <v>2.9500001032655536</v>
      </c>
      <c r="AQ570" s="4">
        <f>IF(D570="M",IF($AM570&lt;162,WeightSDS!P$12*$AM570^7+WeightSDS!Q$12*$AM570^6+WeightSDS!R$12*$AM570^5+WeightSDS!S$12*$AM570^4+WeightSDS!T$12*$AM570^3+WeightSDS!U$12*$AM570^2+WeightSDS!V$12*$AM570+WeightSDS!W$12,WeightSDS!P$14*$AM570^7+WeightSDS!Q$14*$AM570^6+WeightSDS!R$14*$AM570^5+WeightSDS!S$14*$AM570^4+WeightSDS!T$14*$AM570^3+WeightSDS!U$14*$AM570^2+WeightSDS!V$14*$AM570+WeightSDS!W$14),IF($AM570&lt;156,WeightSDS!O$17*$AM570^8+WeightSDS!P$17*$AM570^7+WeightSDS!Q$17*$AM570^6+WeightSDS!R$17*$AM570^5+WeightSDS!S$17*$AM570^4+WeightSDS!T$17*$AM570^3+WeightSDS!U$17*$AM570^2+WeightSDS!V$17*$AM570+WeightSDS!W$17,IF($AM570&lt;186,WeightSDS!$U$18+(WeightSDS!$V$18-WeightSDS!$U$18)/24*($AM570-186)+WeightSDS!$W$18*(-$AM570+186)^2-0.005,WeightSDS!$U$18+(WeightSDS!$V$18-WeightSDS!$U$18)/24*($AM570-186)-0.005)))</f>
        <v>0.14604529399999999</v>
      </c>
      <c r="AT570" s="4">
        <f t="shared" si="175"/>
        <v>0.56299999999999994</v>
      </c>
      <c r="AU570" s="4">
        <f t="shared" si="176"/>
        <v>69</v>
      </c>
      <c r="AV570" s="4">
        <f t="shared" si="177"/>
        <v>0.51</v>
      </c>
    </row>
    <row r="571" spans="1:48" x14ac:dyDescent="0.15">
      <c r="A571" s="4"/>
      <c r="B571" s="21"/>
      <c r="C571" s="21"/>
      <c r="D571" s="21"/>
      <c r="E571" s="22"/>
      <c r="F571" s="22"/>
      <c r="G571" s="23"/>
      <c r="H571" s="23"/>
      <c r="I571" s="181"/>
      <c r="J571" s="8" t="str">
        <f t="shared" si="169"/>
        <v/>
      </c>
      <c r="K571" s="2" t="str">
        <f t="shared" si="178"/>
        <v/>
      </c>
      <c r="L571" s="2" t="str">
        <f t="shared" si="170"/>
        <v/>
      </c>
      <c r="M571" s="2" t="str">
        <f t="shared" si="179"/>
        <v/>
      </c>
      <c r="N571" s="2" t="str">
        <f t="shared" si="187"/>
        <v/>
      </c>
      <c r="O571" s="2" t="str">
        <f t="shared" si="180"/>
        <v/>
      </c>
      <c r="P571" s="8" t="str">
        <f t="shared" si="181"/>
        <v/>
      </c>
      <c r="Q571" s="8" t="str">
        <f t="shared" si="182"/>
        <v/>
      </c>
      <c r="R571" s="111" t="str">
        <f t="shared" si="183"/>
        <v/>
      </c>
      <c r="S571" s="44" t="str">
        <f t="shared" si="184"/>
        <v/>
      </c>
      <c r="T571" s="37" t="str">
        <f t="shared" si="185"/>
        <v/>
      </c>
      <c r="U571" s="44" t="str">
        <f t="shared" si="186"/>
        <v/>
      </c>
      <c r="V571" s="26"/>
      <c r="W571" s="26"/>
      <c r="X571" s="26"/>
      <c r="Y571" s="26"/>
      <c r="Z571" s="24"/>
      <c r="AA571" s="169">
        <f t="shared" si="171"/>
        <v>0</v>
      </c>
      <c r="AB571" s="4">
        <f t="shared" si="172"/>
        <v>0</v>
      </c>
      <c r="AC571" s="170">
        <f t="shared" si="189"/>
        <v>0</v>
      </c>
      <c r="AD571" s="58"/>
      <c r="AE571" s="58"/>
      <c r="AF571" s="58"/>
      <c r="AG571" s="59">
        <f t="shared" si="173"/>
        <v>9.0359999999999996</v>
      </c>
      <c r="AH571" s="59">
        <f t="shared" si="174"/>
        <v>-184.49199999999999</v>
      </c>
      <c r="AJ571" s="4">
        <f>IF(D571="M",IF(AM571&lt;78,BMILMS!$D$5*AM571^3+BMILMS!$E$5*AM571^2+BMILMS!$F$5*AM571+BMILMS!$G$5,IF(AM571&lt;150,BMILMS!$D$6*AM571^3+BMILMS!$E$6*AM571^2+BMILMS!$F$6*AM571+BMILMS!$G$6,BMILMS!$D$7*AM571^3+BMILMS!$E$7*AM571^2+BMILMS!$F$7*AM571+BMILMS!$G$7)),IF(AM571&lt;69,BMILMS!$D$9*AM571^3+BMILMS!$E$9*AM571^2+BMILMS!$F$9*AM571+BMILMS!$G$9,IF(AM571&lt;150,BMILMS!$D$10*AM571^3+BMILMS!$E$10*AM571^2+BMILMS!$F$10*AM571+BMILMS!$G$10,BMILMS!$D$11*AM571^3+BMILMS!$E$11*AM571^2+BMILMS!$F$11*AM571+BMILMS!$G$11)))</f>
        <v>0.79584630099999998</v>
      </c>
      <c r="AK571" s="4">
        <f>IF(D571="M",(IF(AM571&lt;2.5,BMILMS!$D$21*AM571^3+BMILMS!$E$21*AM571^2+BMILMS!$F$21*AM571+BMILMS!$G$21,IF(AM571&lt;9.5,BMILMS!$D$22*AM571^3+BMILMS!$E$22*AM571^2+BMILMS!$F$22*AM571+BMILMS!$G$22,IF(AM571&lt;26.75,BMILMS!$D$23*AM571^3+BMILMS!$E$23*AM571^2+BMILMS!$F$23*AM571+BMILMS!$G$23,IF(AM571&lt;90,BMILMS!$D$24*AM571^3+BMILMS!$E$24*AM571^2+BMILMS!$F$24*AM571+BMILMS!$G$24,BMILMS!$D$25*AM571^3+BMILMS!$E$25*AM571^2+BMILMS!$F$25*AM571+BMILMS!$G$25))))),(IF(AM571&lt;2.5,BMILMS!$D$27*AM571^3+BMILMS!$E$27*AM571^2+BMILMS!$F$27*AM571+BMILMS!$G$27,IF(AM571&lt;9.5,BMILMS!$D$28*AM571^3+BMILMS!$E$28*AM571^2+BMILMS!$F$28*AM571+BMILMS!$G$28,IF(AM571&lt;26.75,BMILMS!$D$29*AM571^3+BMILMS!$E$29*AM571^2+BMILMS!$F$29*AM571+BMILMS!$G$29,IF(AM571&lt;90,BMILMS!$D$30*AM571^3+BMILMS!$E$30*AM571^2+BMILMS!$F$30*AM571+BMILMS!$G$30,IF(AM571&lt;150,BMILMS!$D$31*AM571^3+BMILMS!$E$31*AM571^2+BMILMS!$F$31*AM571+BMILMS!$G$31,BMILMS!$D$32*AM571^3+BMILMS!$E$32*AM571^2+BMILMS!$F$32*AM571+BMILMS!$G$32)))))))</f>
        <v>12.568967990000001</v>
      </c>
      <c r="AL571" s="4">
        <f>IF(D571="M",(IF(AM571&lt;90,BMILMS!$D$14*AM571^3+BMILMS!$E$14*AM571^2+BMILMS!$F$14*AM571+BMILMS!$G$14,BMILMS!$D$15*AM571^3+BMILMS!$E$15*AM571^2+BMILMS!$F$15*AM571+BMILMS!$G$15)),(IF(AM571&lt;90,BMILMS!$D$17*AM571^3+BMILMS!$E$17*AM571^2+BMILMS!$F$17*AM571+BMILMS!$G$17,BMILMS!$D$18*AM571^3+BMILMS!$E$18*AM571^2+BMILMS!$F$18*AM571+BMILMS!$G$18)))</f>
        <v>8.8969350000000003E-2</v>
      </c>
      <c r="AM571" s="4">
        <f t="shared" si="188"/>
        <v>0</v>
      </c>
      <c r="AO571" s="56">
        <f>IF(D571="M",WeightSDS!P$5*$AM571^7+WeightSDS!Q$5*$AM571^6+WeightSDS!R$5*$AM571^5+WeightSDS!S$5*$AM571^4+WeightSDS!T$5*$AM571^3+WeightSDS!U$5*$AM571^2+WeightSDS!V$5*$AM571+WeightSDS!W$5,IF($AM571&lt;186,WeightSDS!P$8*$AM571^7+WeightSDS!Q$8*$AM571^6+WeightSDS!R$8*$AM571^5+WeightSDS!S$8*$AM571^4+WeightSDS!T$8*$AM571^3+WeightSDS!U$8*$AM571^2+WeightSDS!V$8*$AM571+WeightSDS!W$8,WeightSDS!$U$9+WeightSDS!$V$9*($AM571-WeightSDS!$W$9)))</f>
        <v>0.75407122999999998</v>
      </c>
      <c r="AP571" s="4">
        <f>IF(D571="M",IF($AM571&lt;45,WeightSDS!M$23*$AM571^10+WeightSDS!N$23*$AM571^9+WeightSDS!O$23*$AM571^8+WeightSDS!P$23*$AM571^7+WeightSDS!Q$23*$AM571^6+WeightSDS!R$23*$AM571^5+WeightSDS!S$23*$AM571^4+WeightSDS!T$23*$AM571^3+WeightSDS!U$23*$AM571^2+WeightSDS!V$23*$AM571+WeightSDS!W$23,IF($AM571&lt;153,WeightSDS!M$25*$AM571^10+WeightSDS!N$25*$AM571^9+WeightSDS!O$25*$AM571^8+WeightSDS!P$25*$AM571^7+WeightSDS!Q$25*$AM571^6+WeightSDS!R$25*$AM571^5+WeightSDS!S$25*$AM571^4+WeightSDS!T$25*$AM571^3+WeightSDS!U$25*$AM571^2+WeightSDS!V$25*$AM571+WeightSDS!W$25,WeightSDS!M$27+WeightSDS!N$27/(1+EXP(WeightSDS!O$27+WeightSDS!P$27*$AM571)))),IF($AM571&lt;43.8,WeightSDS!M$29*$AM571^10+WeightSDS!N$29*$AM571^9+WeightSDS!O$29*$AM571^8+WeightSDS!P$29*$AM571^7+WeightSDS!Q$29*$AM571^6+WeightSDS!R$29*$AM571^5+WeightSDS!S$29*$AM571^4+WeightSDS!T$29*$AM571^3+WeightSDS!U$29*$AM571^2+WeightSDS!V$29*$AM571+WeightSDS!W$29-0.010431*(1-$AM571/210),IF($AM571&lt;123,WeightSDS!M$30*$AM571^10+WeightSDS!N$30*$AM571^9+WeightSDS!O$30*$AM571^8+WeightSDS!P$30*$AM571^7+WeightSDS!Q$30*$AM571^6+WeightSDS!R$30*$AM571^5+WeightSDS!S$30*$AM571^4+WeightSDS!T$30*$AM571^3+WeightSDS!U$30*$AM571^2+WeightSDS!V$30*$AM571+WeightSDS!W$30-0.010431*(1-1/$AM571),WeightSDS!M$32+WeightSDS!N$32/(1+EXP(WeightSDS!O$32+WeightSDS!P$32*$AM571))-0.010431*(1-$AM571/210))))</f>
        <v>2.9500001032655536</v>
      </c>
      <c r="AQ571" s="4">
        <f>IF(D571="M",IF($AM571&lt;162,WeightSDS!P$12*$AM571^7+WeightSDS!Q$12*$AM571^6+WeightSDS!R$12*$AM571^5+WeightSDS!S$12*$AM571^4+WeightSDS!T$12*$AM571^3+WeightSDS!U$12*$AM571^2+WeightSDS!V$12*$AM571+WeightSDS!W$12,WeightSDS!P$14*$AM571^7+WeightSDS!Q$14*$AM571^6+WeightSDS!R$14*$AM571^5+WeightSDS!S$14*$AM571^4+WeightSDS!T$14*$AM571^3+WeightSDS!U$14*$AM571^2+WeightSDS!V$14*$AM571+WeightSDS!W$14),IF($AM571&lt;156,WeightSDS!O$17*$AM571^8+WeightSDS!P$17*$AM571^7+WeightSDS!Q$17*$AM571^6+WeightSDS!R$17*$AM571^5+WeightSDS!S$17*$AM571^4+WeightSDS!T$17*$AM571^3+WeightSDS!U$17*$AM571^2+WeightSDS!V$17*$AM571+WeightSDS!W$17,IF($AM571&lt;186,WeightSDS!$U$18+(WeightSDS!$V$18-WeightSDS!$U$18)/24*($AM571-186)+WeightSDS!$W$18*(-$AM571+186)^2-0.005,WeightSDS!$U$18+(WeightSDS!$V$18-WeightSDS!$U$18)/24*($AM571-186)-0.005)))</f>
        <v>0.14604529399999999</v>
      </c>
      <c r="AT571" s="4">
        <f t="shared" si="175"/>
        <v>0.56299999999999994</v>
      </c>
      <c r="AU571" s="4">
        <f t="shared" si="176"/>
        <v>69</v>
      </c>
      <c r="AV571" s="4">
        <f t="shared" si="177"/>
        <v>0.51</v>
      </c>
    </row>
    <row r="572" spans="1:48" x14ac:dyDescent="0.15">
      <c r="A572" s="4"/>
      <c r="B572" s="21"/>
      <c r="C572" s="21"/>
      <c r="D572" s="21"/>
      <c r="E572" s="22"/>
      <c r="F572" s="22"/>
      <c r="G572" s="23"/>
      <c r="H572" s="23"/>
      <c r="I572" s="181"/>
      <c r="J572" s="8" t="str">
        <f t="shared" si="169"/>
        <v/>
      </c>
      <c r="K572" s="2" t="str">
        <f t="shared" si="178"/>
        <v/>
      </c>
      <c r="L572" s="2" t="str">
        <f t="shared" si="170"/>
        <v/>
      </c>
      <c r="M572" s="2" t="str">
        <f t="shared" si="179"/>
        <v/>
      </c>
      <c r="N572" s="2" t="str">
        <f t="shared" si="187"/>
        <v/>
      </c>
      <c r="O572" s="2" t="str">
        <f t="shared" si="180"/>
        <v/>
      </c>
      <c r="P572" s="8" t="str">
        <f t="shared" si="181"/>
        <v/>
      </c>
      <c r="Q572" s="8" t="str">
        <f t="shared" si="182"/>
        <v/>
      </c>
      <c r="R572" s="111" t="str">
        <f t="shared" si="183"/>
        <v/>
      </c>
      <c r="S572" s="44" t="str">
        <f t="shared" si="184"/>
        <v/>
      </c>
      <c r="T572" s="37" t="str">
        <f t="shared" si="185"/>
        <v/>
      </c>
      <c r="U572" s="44" t="str">
        <f t="shared" si="186"/>
        <v/>
      </c>
      <c r="V572" s="26"/>
      <c r="W572" s="26"/>
      <c r="X572" s="26"/>
      <c r="Y572" s="26"/>
      <c r="Z572" s="24"/>
      <c r="AA572" s="169">
        <f t="shared" si="171"/>
        <v>0</v>
      </c>
      <c r="AB572" s="4">
        <f t="shared" si="172"/>
        <v>0</v>
      </c>
      <c r="AC572" s="170">
        <f t="shared" si="189"/>
        <v>0</v>
      </c>
      <c r="AD572" s="58"/>
      <c r="AE572" s="58"/>
      <c r="AF572" s="58"/>
      <c r="AG572" s="59">
        <f t="shared" si="173"/>
        <v>9.0359999999999996</v>
      </c>
      <c r="AH572" s="59">
        <f t="shared" si="174"/>
        <v>-184.49199999999999</v>
      </c>
      <c r="AJ572" s="4">
        <f>IF(D572="M",IF(AM572&lt;78,BMILMS!$D$5*AM572^3+BMILMS!$E$5*AM572^2+BMILMS!$F$5*AM572+BMILMS!$G$5,IF(AM572&lt;150,BMILMS!$D$6*AM572^3+BMILMS!$E$6*AM572^2+BMILMS!$F$6*AM572+BMILMS!$G$6,BMILMS!$D$7*AM572^3+BMILMS!$E$7*AM572^2+BMILMS!$F$7*AM572+BMILMS!$G$7)),IF(AM572&lt;69,BMILMS!$D$9*AM572^3+BMILMS!$E$9*AM572^2+BMILMS!$F$9*AM572+BMILMS!$G$9,IF(AM572&lt;150,BMILMS!$D$10*AM572^3+BMILMS!$E$10*AM572^2+BMILMS!$F$10*AM572+BMILMS!$G$10,BMILMS!$D$11*AM572^3+BMILMS!$E$11*AM572^2+BMILMS!$F$11*AM572+BMILMS!$G$11)))</f>
        <v>0.79584630099999998</v>
      </c>
      <c r="AK572" s="4">
        <f>IF(D572="M",(IF(AM572&lt;2.5,BMILMS!$D$21*AM572^3+BMILMS!$E$21*AM572^2+BMILMS!$F$21*AM572+BMILMS!$G$21,IF(AM572&lt;9.5,BMILMS!$D$22*AM572^3+BMILMS!$E$22*AM572^2+BMILMS!$F$22*AM572+BMILMS!$G$22,IF(AM572&lt;26.75,BMILMS!$D$23*AM572^3+BMILMS!$E$23*AM572^2+BMILMS!$F$23*AM572+BMILMS!$G$23,IF(AM572&lt;90,BMILMS!$D$24*AM572^3+BMILMS!$E$24*AM572^2+BMILMS!$F$24*AM572+BMILMS!$G$24,BMILMS!$D$25*AM572^3+BMILMS!$E$25*AM572^2+BMILMS!$F$25*AM572+BMILMS!$G$25))))),(IF(AM572&lt;2.5,BMILMS!$D$27*AM572^3+BMILMS!$E$27*AM572^2+BMILMS!$F$27*AM572+BMILMS!$G$27,IF(AM572&lt;9.5,BMILMS!$D$28*AM572^3+BMILMS!$E$28*AM572^2+BMILMS!$F$28*AM572+BMILMS!$G$28,IF(AM572&lt;26.75,BMILMS!$D$29*AM572^3+BMILMS!$E$29*AM572^2+BMILMS!$F$29*AM572+BMILMS!$G$29,IF(AM572&lt;90,BMILMS!$D$30*AM572^3+BMILMS!$E$30*AM572^2+BMILMS!$F$30*AM572+BMILMS!$G$30,IF(AM572&lt;150,BMILMS!$D$31*AM572^3+BMILMS!$E$31*AM572^2+BMILMS!$F$31*AM572+BMILMS!$G$31,BMILMS!$D$32*AM572^3+BMILMS!$E$32*AM572^2+BMILMS!$F$32*AM572+BMILMS!$G$32)))))))</f>
        <v>12.568967990000001</v>
      </c>
      <c r="AL572" s="4">
        <f>IF(D572="M",(IF(AM572&lt;90,BMILMS!$D$14*AM572^3+BMILMS!$E$14*AM572^2+BMILMS!$F$14*AM572+BMILMS!$G$14,BMILMS!$D$15*AM572^3+BMILMS!$E$15*AM572^2+BMILMS!$F$15*AM572+BMILMS!$G$15)),(IF(AM572&lt;90,BMILMS!$D$17*AM572^3+BMILMS!$E$17*AM572^2+BMILMS!$F$17*AM572+BMILMS!$G$17,BMILMS!$D$18*AM572^3+BMILMS!$E$18*AM572^2+BMILMS!$F$18*AM572+BMILMS!$G$18)))</f>
        <v>8.8969350000000003E-2</v>
      </c>
      <c r="AM572" s="4">
        <f t="shared" si="188"/>
        <v>0</v>
      </c>
      <c r="AO572" s="56">
        <f>IF(D572="M",WeightSDS!P$5*$AM572^7+WeightSDS!Q$5*$AM572^6+WeightSDS!R$5*$AM572^5+WeightSDS!S$5*$AM572^4+WeightSDS!T$5*$AM572^3+WeightSDS!U$5*$AM572^2+WeightSDS!V$5*$AM572+WeightSDS!W$5,IF($AM572&lt;186,WeightSDS!P$8*$AM572^7+WeightSDS!Q$8*$AM572^6+WeightSDS!R$8*$AM572^5+WeightSDS!S$8*$AM572^4+WeightSDS!T$8*$AM572^3+WeightSDS!U$8*$AM572^2+WeightSDS!V$8*$AM572+WeightSDS!W$8,WeightSDS!$U$9+WeightSDS!$V$9*($AM572-WeightSDS!$W$9)))</f>
        <v>0.75407122999999998</v>
      </c>
      <c r="AP572" s="4">
        <f>IF(D572="M",IF($AM572&lt;45,WeightSDS!M$23*$AM572^10+WeightSDS!N$23*$AM572^9+WeightSDS!O$23*$AM572^8+WeightSDS!P$23*$AM572^7+WeightSDS!Q$23*$AM572^6+WeightSDS!R$23*$AM572^5+WeightSDS!S$23*$AM572^4+WeightSDS!T$23*$AM572^3+WeightSDS!U$23*$AM572^2+WeightSDS!V$23*$AM572+WeightSDS!W$23,IF($AM572&lt;153,WeightSDS!M$25*$AM572^10+WeightSDS!N$25*$AM572^9+WeightSDS!O$25*$AM572^8+WeightSDS!P$25*$AM572^7+WeightSDS!Q$25*$AM572^6+WeightSDS!R$25*$AM572^5+WeightSDS!S$25*$AM572^4+WeightSDS!T$25*$AM572^3+WeightSDS!U$25*$AM572^2+WeightSDS!V$25*$AM572+WeightSDS!W$25,WeightSDS!M$27+WeightSDS!N$27/(1+EXP(WeightSDS!O$27+WeightSDS!P$27*$AM572)))),IF($AM572&lt;43.8,WeightSDS!M$29*$AM572^10+WeightSDS!N$29*$AM572^9+WeightSDS!O$29*$AM572^8+WeightSDS!P$29*$AM572^7+WeightSDS!Q$29*$AM572^6+WeightSDS!R$29*$AM572^5+WeightSDS!S$29*$AM572^4+WeightSDS!T$29*$AM572^3+WeightSDS!U$29*$AM572^2+WeightSDS!V$29*$AM572+WeightSDS!W$29-0.010431*(1-$AM572/210),IF($AM572&lt;123,WeightSDS!M$30*$AM572^10+WeightSDS!N$30*$AM572^9+WeightSDS!O$30*$AM572^8+WeightSDS!P$30*$AM572^7+WeightSDS!Q$30*$AM572^6+WeightSDS!R$30*$AM572^5+WeightSDS!S$30*$AM572^4+WeightSDS!T$30*$AM572^3+WeightSDS!U$30*$AM572^2+WeightSDS!V$30*$AM572+WeightSDS!W$30-0.010431*(1-1/$AM572),WeightSDS!M$32+WeightSDS!N$32/(1+EXP(WeightSDS!O$32+WeightSDS!P$32*$AM572))-0.010431*(1-$AM572/210))))</f>
        <v>2.9500001032655536</v>
      </c>
      <c r="AQ572" s="4">
        <f>IF(D572="M",IF($AM572&lt;162,WeightSDS!P$12*$AM572^7+WeightSDS!Q$12*$AM572^6+WeightSDS!R$12*$AM572^5+WeightSDS!S$12*$AM572^4+WeightSDS!T$12*$AM572^3+WeightSDS!U$12*$AM572^2+WeightSDS!V$12*$AM572+WeightSDS!W$12,WeightSDS!P$14*$AM572^7+WeightSDS!Q$14*$AM572^6+WeightSDS!R$14*$AM572^5+WeightSDS!S$14*$AM572^4+WeightSDS!T$14*$AM572^3+WeightSDS!U$14*$AM572^2+WeightSDS!V$14*$AM572+WeightSDS!W$14),IF($AM572&lt;156,WeightSDS!O$17*$AM572^8+WeightSDS!P$17*$AM572^7+WeightSDS!Q$17*$AM572^6+WeightSDS!R$17*$AM572^5+WeightSDS!S$17*$AM572^4+WeightSDS!T$17*$AM572^3+WeightSDS!U$17*$AM572^2+WeightSDS!V$17*$AM572+WeightSDS!W$17,IF($AM572&lt;186,WeightSDS!$U$18+(WeightSDS!$V$18-WeightSDS!$U$18)/24*($AM572-186)+WeightSDS!$W$18*(-$AM572+186)^2-0.005,WeightSDS!$U$18+(WeightSDS!$V$18-WeightSDS!$U$18)/24*($AM572-186)-0.005)))</f>
        <v>0.14604529399999999</v>
      </c>
      <c r="AT572" s="4">
        <f t="shared" si="175"/>
        <v>0.56299999999999994</v>
      </c>
      <c r="AU572" s="4">
        <f t="shared" si="176"/>
        <v>69</v>
      </c>
      <c r="AV572" s="4">
        <f t="shared" si="177"/>
        <v>0.51</v>
      </c>
    </row>
    <row r="573" spans="1:48" x14ac:dyDescent="0.15">
      <c r="A573" s="4"/>
      <c r="B573" s="21"/>
      <c r="C573" s="21"/>
      <c r="D573" s="21"/>
      <c r="E573" s="22"/>
      <c r="F573" s="22"/>
      <c r="G573" s="23"/>
      <c r="H573" s="23"/>
      <c r="I573" s="181"/>
      <c r="J573" s="8" t="str">
        <f t="shared" si="169"/>
        <v/>
      </c>
      <c r="K573" s="2" t="str">
        <f t="shared" si="178"/>
        <v/>
      </c>
      <c r="L573" s="2" t="str">
        <f t="shared" si="170"/>
        <v/>
      </c>
      <c r="M573" s="2" t="str">
        <f t="shared" si="179"/>
        <v/>
      </c>
      <c r="N573" s="2" t="str">
        <f t="shared" si="187"/>
        <v/>
      </c>
      <c r="O573" s="2" t="str">
        <f t="shared" si="180"/>
        <v/>
      </c>
      <c r="P573" s="8" t="str">
        <f t="shared" si="181"/>
        <v/>
      </c>
      <c r="Q573" s="8" t="str">
        <f t="shared" si="182"/>
        <v/>
      </c>
      <c r="R573" s="111" t="str">
        <f t="shared" si="183"/>
        <v/>
      </c>
      <c r="S573" s="44" t="str">
        <f t="shared" si="184"/>
        <v/>
      </c>
      <c r="T573" s="37" t="str">
        <f t="shared" si="185"/>
        <v/>
      </c>
      <c r="U573" s="44" t="str">
        <f t="shared" si="186"/>
        <v/>
      </c>
      <c r="V573" s="26"/>
      <c r="W573" s="26"/>
      <c r="X573" s="26"/>
      <c r="Y573" s="26"/>
      <c r="Z573" s="24"/>
      <c r="AA573" s="169">
        <f t="shared" si="171"/>
        <v>0</v>
      </c>
      <c r="AB573" s="4">
        <f t="shared" si="172"/>
        <v>0</v>
      </c>
      <c r="AC573" s="170">
        <f t="shared" si="189"/>
        <v>0</v>
      </c>
      <c r="AD573" s="58"/>
      <c r="AE573" s="58"/>
      <c r="AF573" s="58"/>
      <c r="AG573" s="59">
        <f t="shared" si="173"/>
        <v>9.0359999999999996</v>
      </c>
      <c r="AH573" s="59">
        <f t="shared" si="174"/>
        <v>-184.49199999999999</v>
      </c>
      <c r="AJ573" s="4">
        <f>IF(D573="M",IF(AM573&lt;78,BMILMS!$D$5*AM573^3+BMILMS!$E$5*AM573^2+BMILMS!$F$5*AM573+BMILMS!$G$5,IF(AM573&lt;150,BMILMS!$D$6*AM573^3+BMILMS!$E$6*AM573^2+BMILMS!$F$6*AM573+BMILMS!$G$6,BMILMS!$D$7*AM573^3+BMILMS!$E$7*AM573^2+BMILMS!$F$7*AM573+BMILMS!$G$7)),IF(AM573&lt;69,BMILMS!$D$9*AM573^3+BMILMS!$E$9*AM573^2+BMILMS!$F$9*AM573+BMILMS!$G$9,IF(AM573&lt;150,BMILMS!$D$10*AM573^3+BMILMS!$E$10*AM573^2+BMILMS!$F$10*AM573+BMILMS!$G$10,BMILMS!$D$11*AM573^3+BMILMS!$E$11*AM573^2+BMILMS!$F$11*AM573+BMILMS!$G$11)))</f>
        <v>0.79584630099999998</v>
      </c>
      <c r="AK573" s="4">
        <f>IF(D573="M",(IF(AM573&lt;2.5,BMILMS!$D$21*AM573^3+BMILMS!$E$21*AM573^2+BMILMS!$F$21*AM573+BMILMS!$G$21,IF(AM573&lt;9.5,BMILMS!$D$22*AM573^3+BMILMS!$E$22*AM573^2+BMILMS!$F$22*AM573+BMILMS!$G$22,IF(AM573&lt;26.75,BMILMS!$D$23*AM573^3+BMILMS!$E$23*AM573^2+BMILMS!$F$23*AM573+BMILMS!$G$23,IF(AM573&lt;90,BMILMS!$D$24*AM573^3+BMILMS!$E$24*AM573^2+BMILMS!$F$24*AM573+BMILMS!$G$24,BMILMS!$D$25*AM573^3+BMILMS!$E$25*AM573^2+BMILMS!$F$25*AM573+BMILMS!$G$25))))),(IF(AM573&lt;2.5,BMILMS!$D$27*AM573^3+BMILMS!$E$27*AM573^2+BMILMS!$F$27*AM573+BMILMS!$G$27,IF(AM573&lt;9.5,BMILMS!$D$28*AM573^3+BMILMS!$E$28*AM573^2+BMILMS!$F$28*AM573+BMILMS!$G$28,IF(AM573&lt;26.75,BMILMS!$D$29*AM573^3+BMILMS!$E$29*AM573^2+BMILMS!$F$29*AM573+BMILMS!$G$29,IF(AM573&lt;90,BMILMS!$D$30*AM573^3+BMILMS!$E$30*AM573^2+BMILMS!$F$30*AM573+BMILMS!$G$30,IF(AM573&lt;150,BMILMS!$D$31*AM573^3+BMILMS!$E$31*AM573^2+BMILMS!$F$31*AM573+BMILMS!$G$31,BMILMS!$D$32*AM573^3+BMILMS!$E$32*AM573^2+BMILMS!$F$32*AM573+BMILMS!$G$32)))))))</f>
        <v>12.568967990000001</v>
      </c>
      <c r="AL573" s="4">
        <f>IF(D573="M",(IF(AM573&lt;90,BMILMS!$D$14*AM573^3+BMILMS!$E$14*AM573^2+BMILMS!$F$14*AM573+BMILMS!$G$14,BMILMS!$D$15*AM573^3+BMILMS!$E$15*AM573^2+BMILMS!$F$15*AM573+BMILMS!$G$15)),(IF(AM573&lt;90,BMILMS!$D$17*AM573^3+BMILMS!$E$17*AM573^2+BMILMS!$F$17*AM573+BMILMS!$G$17,BMILMS!$D$18*AM573^3+BMILMS!$E$18*AM573^2+BMILMS!$F$18*AM573+BMILMS!$G$18)))</f>
        <v>8.8969350000000003E-2</v>
      </c>
      <c r="AM573" s="4">
        <f t="shared" si="188"/>
        <v>0</v>
      </c>
      <c r="AO573" s="56">
        <f>IF(D573="M",WeightSDS!P$5*$AM573^7+WeightSDS!Q$5*$AM573^6+WeightSDS!R$5*$AM573^5+WeightSDS!S$5*$AM573^4+WeightSDS!T$5*$AM573^3+WeightSDS!U$5*$AM573^2+WeightSDS!V$5*$AM573+WeightSDS!W$5,IF($AM573&lt;186,WeightSDS!P$8*$AM573^7+WeightSDS!Q$8*$AM573^6+WeightSDS!R$8*$AM573^5+WeightSDS!S$8*$AM573^4+WeightSDS!T$8*$AM573^3+WeightSDS!U$8*$AM573^2+WeightSDS!V$8*$AM573+WeightSDS!W$8,WeightSDS!$U$9+WeightSDS!$V$9*($AM573-WeightSDS!$W$9)))</f>
        <v>0.75407122999999998</v>
      </c>
      <c r="AP573" s="4">
        <f>IF(D573="M",IF($AM573&lt;45,WeightSDS!M$23*$AM573^10+WeightSDS!N$23*$AM573^9+WeightSDS!O$23*$AM573^8+WeightSDS!P$23*$AM573^7+WeightSDS!Q$23*$AM573^6+WeightSDS!R$23*$AM573^5+WeightSDS!S$23*$AM573^4+WeightSDS!T$23*$AM573^3+WeightSDS!U$23*$AM573^2+WeightSDS!V$23*$AM573+WeightSDS!W$23,IF($AM573&lt;153,WeightSDS!M$25*$AM573^10+WeightSDS!N$25*$AM573^9+WeightSDS!O$25*$AM573^8+WeightSDS!P$25*$AM573^7+WeightSDS!Q$25*$AM573^6+WeightSDS!R$25*$AM573^5+WeightSDS!S$25*$AM573^4+WeightSDS!T$25*$AM573^3+WeightSDS!U$25*$AM573^2+WeightSDS!V$25*$AM573+WeightSDS!W$25,WeightSDS!M$27+WeightSDS!N$27/(1+EXP(WeightSDS!O$27+WeightSDS!P$27*$AM573)))),IF($AM573&lt;43.8,WeightSDS!M$29*$AM573^10+WeightSDS!N$29*$AM573^9+WeightSDS!O$29*$AM573^8+WeightSDS!P$29*$AM573^7+WeightSDS!Q$29*$AM573^6+WeightSDS!R$29*$AM573^5+WeightSDS!S$29*$AM573^4+WeightSDS!T$29*$AM573^3+WeightSDS!U$29*$AM573^2+WeightSDS!V$29*$AM573+WeightSDS!W$29-0.010431*(1-$AM573/210),IF($AM573&lt;123,WeightSDS!M$30*$AM573^10+WeightSDS!N$30*$AM573^9+WeightSDS!O$30*$AM573^8+WeightSDS!P$30*$AM573^7+WeightSDS!Q$30*$AM573^6+WeightSDS!R$30*$AM573^5+WeightSDS!S$30*$AM573^4+WeightSDS!T$30*$AM573^3+WeightSDS!U$30*$AM573^2+WeightSDS!V$30*$AM573+WeightSDS!W$30-0.010431*(1-1/$AM573),WeightSDS!M$32+WeightSDS!N$32/(1+EXP(WeightSDS!O$32+WeightSDS!P$32*$AM573))-0.010431*(1-$AM573/210))))</f>
        <v>2.9500001032655536</v>
      </c>
      <c r="AQ573" s="4">
        <f>IF(D573="M",IF($AM573&lt;162,WeightSDS!P$12*$AM573^7+WeightSDS!Q$12*$AM573^6+WeightSDS!R$12*$AM573^5+WeightSDS!S$12*$AM573^4+WeightSDS!T$12*$AM573^3+WeightSDS!U$12*$AM573^2+WeightSDS!V$12*$AM573+WeightSDS!W$12,WeightSDS!P$14*$AM573^7+WeightSDS!Q$14*$AM573^6+WeightSDS!R$14*$AM573^5+WeightSDS!S$14*$AM573^4+WeightSDS!T$14*$AM573^3+WeightSDS!U$14*$AM573^2+WeightSDS!V$14*$AM573+WeightSDS!W$14),IF($AM573&lt;156,WeightSDS!O$17*$AM573^8+WeightSDS!P$17*$AM573^7+WeightSDS!Q$17*$AM573^6+WeightSDS!R$17*$AM573^5+WeightSDS!S$17*$AM573^4+WeightSDS!T$17*$AM573^3+WeightSDS!U$17*$AM573^2+WeightSDS!V$17*$AM573+WeightSDS!W$17,IF($AM573&lt;186,WeightSDS!$U$18+(WeightSDS!$V$18-WeightSDS!$U$18)/24*($AM573-186)+WeightSDS!$W$18*(-$AM573+186)^2-0.005,WeightSDS!$U$18+(WeightSDS!$V$18-WeightSDS!$U$18)/24*($AM573-186)-0.005)))</f>
        <v>0.14604529399999999</v>
      </c>
      <c r="AT573" s="4">
        <f t="shared" si="175"/>
        <v>0.56299999999999994</v>
      </c>
      <c r="AU573" s="4">
        <f t="shared" si="176"/>
        <v>69</v>
      </c>
      <c r="AV573" s="4">
        <f t="shared" si="177"/>
        <v>0.51</v>
      </c>
    </row>
    <row r="574" spans="1:48" x14ac:dyDescent="0.15">
      <c r="A574" s="4"/>
      <c r="B574" s="21"/>
      <c r="C574" s="21"/>
      <c r="D574" s="21"/>
      <c r="E574" s="22"/>
      <c r="F574" s="22"/>
      <c r="G574" s="23"/>
      <c r="H574" s="23"/>
      <c r="I574" s="181"/>
      <c r="J574" s="8" t="str">
        <f t="shared" si="169"/>
        <v/>
      </c>
      <c r="K574" s="2" t="str">
        <f t="shared" si="178"/>
        <v/>
      </c>
      <c r="L574" s="2" t="str">
        <f t="shared" si="170"/>
        <v/>
      </c>
      <c r="M574" s="2" t="str">
        <f t="shared" si="179"/>
        <v/>
      </c>
      <c r="N574" s="2" t="str">
        <f t="shared" si="187"/>
        <v/>
      </c>
      <c r="O574" s="2" t="str">
        <f t="shared" si="180"/>
        <v/>
      </c>
      <c r="P574" s="8" t="str">
        <f t="shared" si="181"/>
        <v/>
      </c>
      <c r="Q574" s="8" t="str">
        <f t="shared" si="182"/>
        <v/>
      </c>
      <c r="R574" s="111" t="str">
        <f t="shared" si="183"/>
        <v/>
      </c>
      <c r="S574" s="44" t="str">
        <f t="shared" si="184"/>
        <v/>
      </c>
      <c r="T574" s="37" t="str">
        <f t="shared" si="185"/>
        <v/>
      </c>
      <c r="U574" s="44" t="str">
        <f t="shared" si="186"/>
        <v/>
      </c>
      <c r="V574" s="26"/>
      <c r="W574" s="26"/>
      <c r="X574" s="26"/>
      <c r="Y574" s="26"/>
      <c r="Z574" s="24"/>
      <c r="AA574" s="169">
        <f t="shared" si="171"/>
        <v>0</v>
      </c>
      <c r="AB574" s="4">
        <f t="shared" si="172"/>
        <v>0</v>
      </c>
      <c r="AC574" s="170">
        <f t="shared" si="189"/>
        <v>0</v>
      </c>
      <c r="AD574" s="58"/>
      <c r="AE574" s="58"/>
      <c r="AF574" s="58"/>
      <c r="AG574" s="59">
        <f t="shared" si="173"/>
        <v>9.0359999999999996</v>
      </c>
      <c r="AH574" s="59">
        <f t="shared" si="174"/>
        <v>-184.49199999999999</v>
      </c>
      <c r="AJ574" s="4">
        <f>IF(D574="M",IF(AM574&lt;78,BMILMS!$D$5*AM574^3+BMILMS!$E$5*AM574^2+BMILMS!$F$5*AM574+BMILMS!$G$5,IF(AM574&lt;150,BMILMS!$D$6*AM574^3+BMILMS!$E$6*AM574^2+BMILMS!$F$6*AM574+BMILMS!$G$6,BMILMS!$D$7*AM574^3+BMILMS!$E$7*AM574^2+BMILMS!$F$7*AM574+BMILMS!$G$7)),IF(AM574&lt;69,BMILMS!$D$9*AM574^3+BMILMS!$E$9*AM574^2+BMILMS!$F$9*AM574+BMILMS!$G$9,IF(AM574&lt;150,BMILMS!$D$10*AM574^3+BMILMS!$E$10*AM574^2+BMILMS!$F$10*AM574+BMILMS!$G$10,BMILMS!$D$11*AM574^3+BMILMS!$E$11*AM574^2+BMILMS!$F$11*AM574+BMILMS!$G$11)))</f>
        <v>0.79584630099999998</v>
      </c>
      <c r="AK574" s="4">
        <f>IF(D574="M",(IF(AM574&lt;2.5,BMILMS!$D$21*AM574^3+BMILMS!$E$21*AM574^2+BMILMS!$F$21*AM574+BMILMS!$G$21,IF(AM574&lt;9.5,BMILMS!$D$22*AM574^3+BMILMS!$E$22*AM574^2+BMILMS!$F$22*AM574+BMILMS!$G$22,IF(AM574&lt;26.75,BMILMS!$D$23*AM574^3+BMILMS!$E$23*AM574^2+BMILMS!$F$23*AM574+BMILMS!$G$23,IF(AM574&lt;90,BMILMS!$D$24*AM574^3+BMILMS!$E$24*AM574^2+BMILMS!$F$24*AM574+BMILMS!$G$24,BMILMS!$D$25*AM574^3+BMILMS!$E$25*AM574^2+BMILMS!$F$25*AM574+BMILMS!$G$25))))),(IF(AM574&lt;2.5,BMILMS!$D$27*AM574^3+BMILMS!$E$27*AM574^2+BMILMS!$F$27*AM574+BMILMS!$G$27,IF(AM574&lt;9.5,BMILMS!$D$28*AM574^3+BMILMS!$E$28*AM574^2+BMILMS!$F$28*AM574+BMILMS!$G$28,IF(AM574&lt;26.75,BMILMS!$D$29*AM574^3+BMILMS!$E$29*AM574^2+BMILMS!$F$29*AM574+BMILMS!$G$29,IF(AM574&lt;90,BMILMS!$D$30*AM574^3+BMILMS!$E$30*AM574^2+BMILMS!$F$30*AM574+BMILMS!$G$30,IF(AM574&lt;150,BMILMS!$D$31*AM574^3+BMILMS!$E$31*AM574^2+BMILMS!$F$31*AM574+BMILMS!$G$31,BMILMS!$D$32*AM574^3+BMILMS!$E$32*AM574^2+BMILMS!$F$32*AM574+BMILMS!$G$32)))))))</f>
        <v>12.568967990000001</v>
      </c>
      <c r="AL574" s="4">
        <f>IF(D574="M",(IF(AM574&lt;90,BMILMS!$D$14*AM574^3+BMILMS!$E$14*AM574^2+BMILMS!$F$14*AM574+BMILMS!$G$14,BMILMS!$D$15*AM574^3+BMILMS!$E$15*AM574^2+BMILMS!$F$15*AM574+BMILMS!$G$15)),(IF(AM574&lt;90,BMILMS!$D$17*AM574^3+BMILMS!$E$17*AM574^2+BMILMS!$F$17*AM574+BMILMS!$G$17,BMILMS!$D$18*AM574^3+BMILMS!$E$18*AM574^2+BMILMS!$F$18*AM574+BMILMS!$G$18)))</f>
        <v>8.8969350000000003E-2</v>
      </c>
      <c r="AM574" s="4">
        <f t="shared" si="188"/>
        <v>0</v>
      </c>
      <c r="AO574" s="56">
        <f>IF(D574="M",WeightSDS!P$5*$AM574^7+WeightSDS!Q$5*$AM574^6+WeightSDS!R$5*$AM574^5+WeightSDS!S$5*$AM574^4+WeightSDS!T$5*$AM574^3+WeightSDS!U$5*$AM574^2+WeightSDS!V$5*$AM574+WeightSDS!W$5,IF($AM574&lt;186,WeightSDS!P$8*$AM574^7+WeightSDS!Q$8*$AM574^6+WeightSDS!R$8*$AM574^5+WeightSDS!S$8*$AM574^4+WeightSDS!T$8*$AM574^3+WeightSDS!U$8*$AM574^2+WeightSDS!V$8*$AM574+WeightSDS!W$8,WeightSDS!$U$9+WeightSDS!$V$9*($AM574-WeightSDS!$W$9)))</f>
        <v>0.75407122999999998</v>
      </c>
      <c r="AP574" s="4">
        <f>IF(D574="M",IF($AM574&lt;45,WeightSDS!M$23*$AM574^10+WeightSDS!N$23*$AM574^9+WeightSDS!O$23*$AM574^8+WeightSDS!P$23*$AM574^7+WeightSDS!Q$23*$AM574^6+WeightSDS!R$23*$AM574^5+WeightSDS!S$23*$AM574^4+WeightSDS!T$23*$AM574^3+WeightSDS!U$23*$AM574^2+WeightSDS!V$23*$AM574+WeightSDS!W$23,IF($AM574&lt;153,WeightSDS!M$25*$AM574^10+WeightSDS!N$25*$AM574^9+WeightSDS!O$25*$AM574^8+WeightSDS!P$25*$AM574^7+WeightSDS!Q$25*$AM574^6+WeightSDS!R$25*$AM574^5+WeightSDS!S$25*$AM574^4+WeightSDS!T$25*$AM574^3+WeightSDS!U$25*$AM574^2+WeightSDS!V$25*$AM574+WeightSDS!W$25,WeightSDS!M$27+WeightSDS!N$27/(1+EXP(WeightSDS!O$27+WeightSDS!P$27*$AM574)))),IF($AM574&lt;43.8,WeightSDS!M$29*$AM574^10+WeightSDS!N$29*$AM574^9+WeightSDS!O$29*$AM574^8+WeightSDS!P$29*$AM574^7+WeightSDS!Q$29*$AM574^6+WeightSDS!R$29*$AM574^5+WeightSDS!S$29*$AM574^4+WeightSDS!T$29*$AM574^3+WeightSDS!U$29*$AM574^2+WeightSDS!V$29*$AM574+WeightSDS!W$29-0.010431*(1-$AM574/210),IF($AM574&lt;123,WeightSDS!M$30*$AM574^10+WeightSDS!N$30*$AM574^9+WeightSDS!O$30*$AM574^8+WeightSDS!P$30*$AM574^7+WeightSDS!Q$30*$AM574^6+WeightSDS!R$30*$AM574^5+WeightSDS!S$30*$AM574^4+WeightSDS!T$30*$AM574^3+WeightSDS!U$30*$AM574^2+WeightSDS!V$30*$AM574+WeightSDS!W$30-0.010431*(1-1/$AM574),WeightSDS!M$32+WeightSDS!N$32/(1+EXP(WeightSDS!O$32+WeightSDS!P$32*$AM574))-0.010431*(1-$AM574/210))))</f>
        <v>2.9500001032655536</v>
      </c>
      <c r="AQ574" s="4">
        <f>IF(D574="M",IF($AM574&lt;162,WeightSDS!P$12*$AM574^7+WeightSDS!Q$12*$AM574^6+WeightSDS!R$12*$AM574^5+WeightSDS!S$12*$AM574^4+WeightSDS!T$12*$AM574^3+WeightSDS!U$12*$AM574^2+WeightSDS!V$12*$AM574+WeightSDS!W$12,WeightSDS!P$14*$AM574^7+WeightSDS!Q$14*$AM574^6+WeightSDS!R$14*$AM574^5+WeightSDS!S$14*$AM574^4+WeightSDS!T$14*$AM574^3+WeightSDS!U$14*$AM574^2+WeightSDS!V$14*$AM574+WeightSDS!W$14),IF($AM574&lt;156,WeightSDS!O$17*$AM574^8+WeightSDS!P$17*$AM574^7+WeightSDS!Q$17*$AM574^6+WeightSDS!R$17*$AM574^5+WeightSDS!S$17*$AM574^4+WeightSDS!T$17*$AM574^3+WeightSDS!U$17*$AM574^2+WeightSDS!V$17*$AM574+WeightSDS!W$17,IF($AM574&lt;186,WeightSDS!$U$18+(WeightSDS!$V$18-WeightSDS!$U$18)/24*($AM574-186)+WeightSDS!$W$18*(-$AM574+186)^2-0.005,WeightSDS!$U$18+(WeightSDS!$V$18-WeightSDS!$U$18)/24*($AM574-186)-0.005)))</f>
        <v>0.14604529399999999</v>
      </c>
      <c r="AT574" s="4">
        <f t="shared" si="175"/>
        <v>0.56299999999999994</v>
      </c>
      <c r="AU574" s="4">
        <f t="shared" si="176"/>
        <v>69</v>
      </c>
      <c r="AV574" s="4">
        <f t="shared" si="177"/>
        <v>0.51</v>
      </c>
    </row>
    <row r="575" spans="1:48" x14ac:dyDescent="0.15">
      <c r="A575" s="4"/>
      <c r="B575" s="21"/>
      <c r="C575" s="21"/>
      <c r="D575" s="21"/>
      <c r="E575" s="22"/>
      <c r="F575" s="22"/>
      <c r="G575" s="23"/>
      <c r="H575" s="23"/>
      <c r="I575" s="181"/>
      <c r="J575" s="8" t="str">
        <f t="shared" si="169"/>
        <v/>
      </c>
      <c r="K575" s="2" t="str">
        <f t="shared" si="178"/>
        <v/>
      </c>
      <c r="L575" s="2" t="str">
        <f t="shared" si="170"/>
        <v/>
      </c>
      <c r="M575" s="2" t="str">
        <f t="shared" si="179"/>
        <v/>
      </c>
      <c r="N575" s="2" t="str">
        <f t="shared" si="187"/>
        <v/>
      </c>
      <c r="O575" s="2" t="str">
        <f t="shared" si="180"/>
        <v/>
      </c>
      <c r="P575" s="8" t="str">
        <f t="shared" si="181"/>
        <v/>
      </c>
      <c r="Q575" s="8" t="str">
        <f t="shared" si="182"/>
        <v/>
      </c>
      <c r="R575" s="111" t="str">
        <f t="shared" si="183"/>
        <v/>
      </c>
      <c r="S575" s="44" t="str">
        <f t="shared" si="184"/>
        <v/>
      </c>
      <c r="T575" s="37" t="str">
        <f t="shared" si="185"/>
        <v/>
      </c>
      <c r="U575" s="44" t="str">
        <f t="shared" si="186"/>
        <v/>
      </c>
      <c r="V575" s="26"/>
      <c r="W575" s="26"/>
      <c r="X575" s="26"/>
      <c r="Y575" s="26"/>
      <c r="Z575" s="24"/>
      <c r="AA575" s="169">
        <f t="shared" si="171"/>
        <v>0</v>
      </c>
      <c r="AB575" s="4">
        <f t="shared" si="172"/>
        <v>0</v>
      </c>
      <c r="AC575" s="170">
        <f t="shared" si="189"/>
        <v>0</v>
      </c>
      <c r="AD575" s="58"/>
      <c r="AE575" s="58"/>
      <c r="AF575" s="58"/>
      <c r="AG575" s="59">
        <f t="shared" si="173"/>
        <v>9.0359999999999996</v>
      </c>
      <c r="AH575" s="59">
        <f t="shared" si="174"/>
        <v>-184.49199999999999</v>
      </c>
      <c r="AJ575" s="4">
        <f>IF(D575="M",IF(AM575&lt;78,BMILMS!$D$5*AM575^3+BMILMS!$E$5*AM575^2+BMILMS!$F$5*AM575+BMILMS!$G$5,IF(AM575&lt;150,BMILMS!$D$6*AM575^3+BMILMS!$E$6*AM575^2+BMILMS!$F$6*AM575+BMILMS!$G$6,BMILMS!$D$7*AM575^3+BMILMS!$E$7*AM575^2+BMILMS!$F$7*AM575+BMILMS!$G$7)),IF(AM575&lt;69,BMILMS!$D$9*AM575^3+BMILMS!$E$9*AM575^2+BMILMS!$F$9*AM575+BMILMS!$G$9,IF(AM575&lt;150,BMILMS!$D$10*AM575^3+BMILMS!$E$10*AM575^2+BMILMS!$F$10*AM575+BMILMS!$G$10,BMILMS!$D$11*AM575^3+BMILMS!$E$11*AM575^2+BMILMS!$F$11*AM575+BMILMS!$G$11)))</f>
        <v>0.79584630099999998</v>
      </c>
      <c r="AK575" s="4">
        <f>IF(D575="M",(IF(AM575&lt;2.5,BMILMS!$D$21*AM575^3+BMILMS!$E$21*AM575^2+BMILMS!$F$21*AM575+BMILMS!$G$21,IF(AM575&lt;9.5,BMILMS!$D$22*AM575^3+BMILMS!$E$22*AM575^2+BMILMS!$F$22*AM575+BMILMS!$G$22,IF(AM575&lt;26.75,BMILMS!$D$23*AM575^3+BMILMS!$E$23*AM575^2+BMILMS!$F$23*AM575+BMILMS!$G$23,IF(AM575&lt;90,BMILMS!$D$24*AM575^3+BMILMS!$E$24*AM575^2+BMILMS!$F$24*AM575+BMILMS!$G$24,BMILMS!$D$25*AM575^3+BMILMS!$E$25*AM575^2+BMILMS!$F$25*AM575+BMILMS!$G$25))))),(IF(AM575&lt;2.5,BMILMS!$D$27*AM575^3+BMILMS!$E$27*AM575^2+BMILMS!$F$27*AM575+BMILMS!$G$27,IF(AM575&lt;9.5,BMILMS!$D$28*AM575^3+BMILMS!$E$28*AM575^2+BMILMS!$F$28*AM575+BMILMS!$G$28,IF(AM575&lt;26.75,BMILMS!$D$29*AM575^3+BMILMS!$E$29*AM575^2+BMILMS!$F$29*AM575+BMILMS!$G$29,IF(AM575&lt;90,BMILMS!$D$30*AM575^3+BMILMS!$E$30*AM575^2+BMILMS!$F$30*AM575+BMILMS!$G$30,IF(AM575&lt;150,BMILMS!$D$31*AM575^3+BMILMS!$E$31*AM575^2+BMILMS!$F$31*AM575+BMILMS!$G$31,BMILMS!$D$32*AM575^3+BMILMS!$E$32*AM575^2+BMILMS!$F$32*AM575+BMILMS!$G$32)))))))</f>
        <v>12.568967990000001</v>
      </c>
      <c r="AL575" s="4">
        <f>IF(D575="M",(IF(AM575&lt;90,BMILMS!$D$14*AM575^3+BMILMS!$E$14*AM575^2+BMILMS!$F$14*AM575+BMILMS!$G$14,BMILMS!$D$15*AM575^3+BMILMS!$E$15*AM575^2+BMILMS!$F$15*AM575+BMILMS!$G$15)),(IF(AM575&lt;90,BMILMS!$D$17*AM575^3+BMILMS!$E$17*AM575^2+BMILMS!$F$17*AM575+BMILMS!$G$17,BMILMS!$D$18*AM575^3+BMILMS!$E$18*AM575^2+BMILMS!$F$18*AM575+BMILMS!$G$18)))</f>
        <v>8.8969350000000003E-2</v>
      </c>
      <c r="AM575" s="4">
        <f t="shared" si="188"/>
        <v>0</v>
      </c>
      <c r="AO575" s="56">
        <f>IF(D575="M",WeightSDS!P$5*$AM575^7+WeightSDS!Q$5*$AM575^6+WeightSDS!R$5*$AM575^5+WeightSDS!S$5*$AM575^4+WeightSDS!T$5*$AM575^3+WeightSDS!U$5*$AM575^2+WeightSDS!V$5*$AM575+WeightSDS!W$5,IF($AM575&lt;186,WeightSDS!P$8*$AM575^7+WeightSDS!Q$8*$AM575^6+WeightSDS!R$8*$AM575^5+WeightSDS!S$8*$AM575^4+WeightSDS!T$8*$AM575^3+WeightSDS!U$8*$AM575^2+WeightSDS!V$8*$AM575+WeightSDS!W$8,WeightSDS!$U$9+WeightSDS!$V$9*($AM575-WeightSDS!$W$9)))</f>
        <v>0.75407122999999998</v>
      </c>
      <c r="AP575" s="4">
        <f>IF(D575="M",IF($AM575&lt;45,WeightSDS!M$23*$AM575^10+WeightSDS!N$23*$AM575^9+WeightSDS!O$23*$AM575^8+WeightSDS!P$23*$AM575^7+WeightSDS!Q$23*$AM575^6+WeightSDS!R$23*$AM575^5+WeightSDS!S$23*$AM575^4+WeightSDS!T$23*$AM575^3+WeightSDS!U$23*$AM575^2+WeightSDS!V$23*$AM575+WeightSDS!W$23,IF($AM575&lt;153,WeightSDS!M$25*$AM575^10+WeightSDS!N$25*$AM575^9+WeightSDS!O$25*$AM575^8+WeightSDS!P$25*$AM575^7+WeightSDS!Q$25*$AM575^6+WeightSDS!R$25*$AM575^5+WeightSDS!S$25*$AM575^4+WeightSDS!T$25*$AM575^3+WeightSDS!U$25*$AM575^2+WeightSDS!V$25*$AM575+WeightSDS!W$25,WeightSDS!M$27+WeightSDS!N$27/(1+EXP(WeightSDS!O$27+WeightSDS!P$27*$AM575)))),IF($AM575&lt;43.8,WeightSDS!M$29*$AM575^10+WeightSDS!N$29*$AM575^9+WeightSDS!O$29*$AM575^8+WeightSDS!P$29*$AM575^7+WeightSDS!Q$29*$AM575^6+WeightSDS!R$29*$AM575^5+WeightSDS!S$29*$AM575^4+WeightSDS!T$29*$AM575^3+WeightSDS!U$29*$AM575^2+WeightSDS!V$29*$AM575+WeightSDS!W$29-0.010431*(1-$AM575/210),IF($AM575&lt;123,WeightSDS!M$30*$AM575^10+WeightSDS!N$30*$AM575^9+WeightSDS!O$30*$AM575^8+WeightSDS!P$30*$AM575^7+WeightSDS!Q$30*$AM575^6+WeightSDS!R$30*$AM575^5+WeightSDS!S$30*$AM575^4+WeightSDS!T$30*$AM575^3+WeightSDS!U$30*$AM575^2+WeightSDS!V$30*$AM575+WeightSDS!W$30-0.010431*(1-1/$AM575),WeightSDS!M$32+WeightSDS!N$32/(1+EXP(WeightSDS!O$32+WeightSDS!P$32*$AM575))-0.010431*(1-$AM575/210))))</f>
        <v>2.9500001032655536</v>
      </c>
      <c r="AQ575" s="4">
        <f>IF(D575="M",IF($AM575&lt;162,WeightSDS!P$12*$AM575^7+WeightSDS!Q$12*$AM575^6+WeightSDS!R$12*$AM575^5+WeightSDS!S$12*$AM575^4+WeightSDS!T$12*$AM575^3+WeightSDS!U$12*$AM575^2+WeightSDS!V$12*$AM575+WeightSDS!W$12,WeightSDS!P$14*$AM575^7+WeightSDS!Q$14*$AM575^6+WeightSDS!R$14*$AM575^5+WeightSDS!S$14*$AM575^4+WeightSDS!T$14*$AM575^3+WeightSDS!U$14*$AM575^2+WeightSDS!V$14*$AM575+WeightSDS!W$14),IF($AM575&lt;156,WeightSDS!O$17*$AM575^8+WeightSDS!P$17*$AM575^7+WeightSDS!Q$17*$AM575^6+WeightSDS!R$17*$AM575^5+WeightSDS!S$17*$AM575^4+WeightSDS!T$17*$AM575^3+WeightSDS!U$17*$AM575^2+WeightSDS!V$17*$AM575+WeightSDS!W$17,IF($AM575&lt;186,WeightSDS!$U$18+(WeightSDS!$V$18-WeightSDS!$U$18)/24*($AM575-186)+WeightSDS!$W$18*(-$AM575+186)^2-0.005,WeightSDS!$U$18+(WeightSDS!$V$18-WeightSDS!$U$18)/24*($AM575-186)-0.005)))</f>
        <v>0.14604529399999999</v>
      </c>
      <c r="AT575" s="4">
        <f t="shared" si="175"/>
        <v>0.56299999999999994</v>
      </c>
      <c r="AU575" s="4">
        <f t="shared" si="176"/>
        <v>69</v>
      </c>
      <c r="AV575" s="4">
        <f t="shared" si="177"/>
        <v>0.51</v>
      </c>
    </row>
    <row r="576" spans="1:48" x14ac:dyDescent="0.15">
      <c r="A576" s="4"/>
      <c r="B576" s="21"/>
      <c r="C576" s="21"/>
      <c r="D576" s="21"/>
      <c r="E576" s="22"/>
      <c r="F576" s="22"/>
      <c r="G576" s="23"/>
      <c r="H576" s="23"/>
      <c r="I576" s="181"/>
      <c r="J576" s="8" t="str">
        <f t="shared" si="169"/>
        <v/>
      </c>
      <c r="K576" s="2" t="str">
        <f t="shared" si="178"/>
        <v/>
      </c>
      <c r="L576" s="2" t="str">
        <f t="shared" si="170"/>
        <v/>
      </c>
      <c r="M576" s="2" t="str">
        <f t="shared" si="179"/>
        <v/>
      </c>
      <c r="N576" s="2" t="str">
        <f t="shared" si="187"/>
        <v/>
      </c>
      <c r="O576" s="2" t="str">
        <f t="shared" si="180"/>
        <v/>
      </c>
      <c r="P576" s="8" t="str">
        <f t="shared" si="181"/>
        <v/>
      </c>
      <c r="Q576" s="8" t="str">
        <f t="shared" si="182"/>
        <v/>
      </c>
      <c r="R576" s="111" t="str">
        <f t="shared" si="183"/>
        <v/>
      </c>
      <c r="S576" s="44" t="str">
        <f t="shared" si="184"/>
        <v/>
      </c>
      <c r="T576" s="37" t="str">
        <f t="shared" si="185"/>
        <v/>
      </c>
      <c r="U576" s="44" t="str">
        <f t="shared" si="186"/>
        <v/>
      </c>
      <c r="V576" s="26"/>
      <c r="W576" s="26"/>
      <c r="X576" s="26"/>
      <c r="Y576" s="26"/>
      <c r="Z576" s="24"/>
      <c r="AA576" s="169">
        <f t="shared" si="171"/>
        <v>0</v>
      </c>
      <c r="AB576" s="4">
        <f t="shared" si="172"/>
        <v>0</v>
      </c>
      <c r="AC576" s="170">
        <f t="shared" si="189"/>
        <v>0</v>
      </c>
      <c r="AD576" s="58"/>
      <c r="AE576" s="58"/>
      <c r="AF576" s="58"/>
      <c r="AG576" s="59">
        <f t="shared" si="173"/>
        <v>9.0359999999999996</v>
      </c>
      <c r="AH576" s="59">
        <f t="shared" si="174"/>
        <v>-184.49199999999999</v>
      </c>
      <c r="AJ576" s="4">
        <f>IF(D576="M",IF(AM576&lt;78,BMILMS!$D$5*AM576^3+BMILMS!$E$5*AM576^2+BMILMS!$F$5*AM576+BMILMS!$G$5,IF(AM576&lt;150,BMILMS!$D$6*AM576^3+BMILMS!$E$6*AM576^2+BMILMS!$F$6*AM576+BMILMS!$G$6,BMILMS!$D$7*AM576^3+BMILMS!$E$7*AM576^2+BMILMS!$F$7*AM576+BMILMS!$G$7)),IF(AM576&lt;69,BMILMS!$D$9*AM576^3+BMILMS!$E$9*AM576^2+BMILMS!$F$9*AM576+BMILMS!$G$9,IF(AM576&lt;150,BMILMS!$D$10*AM576^3+BMILMS!$E$10*AM576^2+BMILMS!$F$10*AM576+BMILMS!$G$10,BMILMS!$D$11*AM576^3+BMILMS!$E$11*AM576^2+BMILMS!$F$11*AM576+BMILMS!$G$11)))</f>
        <v>0.79584630099999998</v>
      </c>
      <c r="AK576" s="4">
        <f>IF(D576="M",(IF(AM576&lt;2.5,BMILMS!$D$21*AM576^3+BMILMS!$E$21*AM576^2+BMILMS!$F$21*AM576+BMILMS!$G$21,IF(AM576&lt;9.5,BMILMS!$D$22*AM576^3+BMILMS!$E$22*AM576^2+BMILMS!$F$22*AM576+BMILMS!$G$22,IF(AM576&lt;26.75,BMILMS!$D$23*AM576^3+BMILMS!$E$23*AM576^2+BMILMS!$F$23*AM576+BMILMS!$G$23,IF(AM576&lt;90,BMILMS!$D$24*AM576^3+BMILMS!$E$24*AM576^2+BMILMS!$F$24*AM576+BMILMS!$G$24,BMILMS!$D$25*AM576^3+BMILMS!$E$25*AM576^2+BMILMS!$F$25*AM576+BMILMS!$G$25))))),(IF(AM576&lt;2.5,BMILMS!$D$27*AM576^3+BMILMS!$E$27*AM576^2+BMILMS!$F$27*AM576+BMILMS!$G$27,IF(AM576&lt;9.5,BMILMS!$D$28*AM576^3+BMILMS!$E$28*AM576^2+BMILMS!$F$28*AM576+BMILMS!$G$28,IF(AM576&lt;26.75,BMILMS!$D$29*AM576^3+BMILMS!$E$29*AM576^2+BMILMS!$F$29*AM576+BMILMS!$G$29,IF(AM576&lt;90,BMILMS!$D$30*AM576^3+BMILMS!$E$30*AM576^2+BMILMS!$F$30*AM576+BMILMS!$G$30,IF(AM576&lt;150,BMILMS!$D$31*AM576^3+BMILMS!$E$31*AM576^2+BMILMS!$F$31*AM576+BMILMS!$G$31,BMILMS!$D$32*AM576^3+BMILMS!$E$32*AM576^2+BMILMS!$F$32*AM576+BMILMS!$G$32)))))))</f>
        <v>12.568967990000001</v>
      </c>
      <c r="AL576" s="4">
        <f>IF(D576="M",(IF(AM576&lt;90,BMILMS!$D$14*AM576^3+BMILMS!$E$14*AM576^2+BMILMS!$F$14*AM576+BMILMS!$G$14,BMILMS!$D$15*AM576^3+BMILMS!$E$15*AM576^2+BMILMS!$F$15*AM576+BMILMS!$G$15)),(IF(AM576&lt;90,BMILMS!$D$17*AM576^3+BMILMS!$E$17*AM576^2+BMILMS!$F$17*AM576+BMILMS!$G$17,BMILMS!$D$18*AM576^3+BMILMS!$E$18*AM576^2+BMILMS!$F$18*AM576+BMILMS!$G$18)))</f>
        <v>8.8969350000000003E-2</v>
      </c>
      <c r="AM576" s="4">
        <f t="shared" si="188"/>
        <v>0</v>
      </c>
      <c r="AO576" s="56">
        <f>IF(D576="M",WeightSDS!P$5*$AM576^7+WeightSDS!Q$5*$AM576^6+WeightSDS!R$5*$AM576^5+WeightSDS!S$5*$AM576^4+WeightSDS!T$5*$AM576^3+WeightSDS!U$5*$AM576^2+WeightSDS!V$5*$AM576+WeightSDS!W$5,IF($AM576&lt;186,WeightSDS!P$8*$AM576^7+WeightSDS!Q$8*$AM576^6+WeightSDS!R$8*$AM576^5+WeightSDS!S$8*$AM576^4+WeightSDS!T$8*$AM576^3+WeightSDS!U$8*$AM576^2+WeightSDS!V$8*$AM576+WeightSDS!W$8,WeightSDS!$U$9+WeightSDS!$V$9*($AM576-WeightSDS!$W$9)))</f>
        <v>0.75407122999999998</v>
      </c>
      <c r="AP576" s="4">
        <f>IF(D576="M",IF($AM576&lt;45,WeightSDS!M$23*$AM576^10+WeightSDS!N$23*$AM576^9+WeightSDS!O$23*$AM576^8+WeightSDS!P$23*$AM576^7+WeightSDS!Q$23*$AM576^6+WeightSDS!R$23*$AM576^5+WeightSDS!S$23*$AM576^4+WeightSDS!T$23*$AM576^3+WeightSDS!U$23*$AM576^2+WeightSDS!V$23*$AM576+WeightSDS!W$23,IF($AM576&lt;153,WeightSDS!M$25*$AM576^10+WeightSDS!N$25*$AM576^9+WeightSDS!O$25*$AM576^8+WeightSDS!P$25*$AM576^7+WeightSDS!Q$25*$AM576^6+WeightSDS!R$25*$AM576^5+WeightSDS!S$25*$AM576^4+WeightSDS!T$25*$AM576^3+WeightSDS!U$25*$AM576^2+WeightSDS!V$25*$AM576+WeightSDS!W$25,WeightSDS!M$27+WeightSDS!N$27/(1+EXP(WeightSDS!O$27+WeightSDS!P$27*$AM576)))),IF($AM576&lt;43.8,WeightSDS!M$29*$AM576^10+WeightSDS!N$29*$AM576^9+WeightSDS!O$29*$AM576^8+WeightSDS!P$29*$AM576^7+WeightSDS!Q$29*$AM576^6+WeightSDS!R$29*$AM576^5+WeightSDS!S$29*$AM576^4+WeightSDS!T$29*$AM576^3+WeightSDS!U$29*$AM576^2+WeightSDS!V$29*$AM576+WeightSDS!W$29-0.010431*(1-$AM576/210),IF($AM576&lt;123,WeightSDS!M$30*$AM576^10+WeightSDS!N$30*$AM576^9+WeightSDS!O$30*$AM576^8+WeightSDS!P$30*$AM576^7+WeightSDS!Q$30*$AM576^6+WeightSDS!R$30*$AM576^5+WeightSDS!S$30*$AM576^4+WeightSDS!T$30*$AM576^3+WeightSDS!U$30*$AM576^2+WeightSDS!V$30*$AM576+WeightSDS!W$30-0.010431*(1-1/$AM576),WeightSDS!M$32+WeightSDS!N$32/(1+EXP(WeightSDS!O$32+WeightSDS!P$32*$AM576))-0.010431*(1-$AM576/210))))</f>
        <v>2.9500001032655536</v>
      </c>
      <c r="AQ576" s="4">
        <f>IF(D576="M",IF($AM576&lt;162,WeightSDS!P$12*$AM576^7+WeightSDS!Q$12*$AM576^6+WeightSDS!R$12*$AM576^5+WeightSDS!S$12*$AM576^4+WeightSDS!T$12*$AM576^3+WeightSDS!U$12*$AM576^2+WeightSDS!V$12*$AM576+WeightSDS!W$12,WeightSDS!P$14*$AM576^7+WeightSDS!Q$14*$AM576^6+WeightSDS!R$14*$AM576^5+WeightSDS!S$14*$AM576^4+WeightSDS!T$14*$AM576^3+WeightSDS!U$14*$AM576^2+WeightSDS!V$14*$AM576+WeightSDS!W$14),IF($AM576&lt;156,WeightSDS!O$17*$AM576^8+WeightSDS!P$17*$AM576^7+WeightSDS!Q$17*$AM576^6+WeightSDS!R$17*$AM576^5+WeightSDS!S$17*$AM576^4+WeightSDS!T$17*$AM576^3+WeightSDS!U$17*$AM576^2+WeightSDS!V$17*$AM576+WeightSDS!W$17,IF($AM576&lt;186,WeightSDS!$U$18+(WeightSDS!$V$18-WeightSDS!$U$18)/24*($AM576-186)+WeightSDS!$W$18*(-$AM576+186)^2-0.005,WeightSDS!$U$18+(WeightSDS!$V$18-WeightSDS!$U$18)/24*($AM576-186)-0.005)))</f>
        <v>0.14604529399999999</v>
      </c>
      <c r="AT576" s="4">
        <f t="shared" si="175"/>
        <v>0.56299999999999994</v>
      </c>
      <c r="AU576" s="4">
        <f t="shared" si="176"/>
        <v>69</v>
      </c>
      <c r="AV576" s="4">
        <f t="shared" si="177"/>
        <v>0.51</v>
      </c>
    </row>
    <row r="577" spans="1:48" x14ac:dyDescent="0.15">
      <c r="A577" s="4"/>
      <c r="B577" s="21"/>
      <c r="C577" s="21"/>
      <c r="D577" s="21"/>
      <c r="E577" s="22"/>
      <c r="F577" s="22"/>
      <c r="G577" s="23"/>
      <c r="H577" s="23"/>
      <c r="I577" s="181"/>
      <c r="J577" s="8" t="str">
        <f t="shared" si="169"/>
        <v/>
      </c>
      <c r="K577" s="2" t="str">
        <f t="shared" si="178"/>
        <v/>
      </c>
      <c r="L577" s="2" t="str">
        <f t="shared" si="170"/>
        <v/>
      </c>
      <c r="M577" s="2" t="str">
        <f t="shared" si="179"/>
        <v/>
      </c>
      <c r="N577" s="2" t="str">
        <f t="shared" si="187"/>
        <v/>
      </c>
      <c r="O577" s="2" t="str">
        <f t="shared" si="180"/>
        <v/>
      </c>
      <c r="P577" s="8" t="str">
        <f t="shared" si="181"/>
        <v/>
      </c>
      <c r="Q577" s="8" t="str">
        <f t="shared" si="182"/>
        <v/>
      </c>
      <c r="R577" s="111" t="str">
        <f t="shared" si="183"/>
        <v/>
      </c>
      <c r="S577" s="44" t="str">
        <f t="shared" si="184"/>
        <v/>
      </c>
      <c r="T577" s="37" t="str">
        <f t="shared" si="185"/>
        <v/>
      </c>
      <c r="U577" s="44" t="str">
        <f t="shared" si="186"/>
        <v/>
      </c>
      <c r="V577" s="26"/>
      <c r="W577" s="26"/>
      <c r="X577" s="26"/>
      <c r="Y577" s="26"/>
      <c r="Z577" s="24"/>
      <c r="AA577" s="169">
        <f t="shared" si="171"/>
        <v>0</v>
      </c>
      <c r="AB577" s="4">
        <f t="shared" si="172"/>
        <v>0</v>
      </c>
      <c r="AC577" s="170">
        <f t="shared" si="189"/>
        <v>0</v>
      </c>
      <c r="AD577" s="58"/>
      <c r="AE577" s="58"/>
      <c r="AF577" s="58"/>
      <c r="AG577" s="59">
        <f t="shared" si="173"/>
        <v>9.0359999999999996</v>
      </c>
      <c r="AH577" s="59">
        <f t="shared" si="174"/>
        <v>-184.49199999999999</v>
      </c>
      <c r="AJ577" s="4">
        <f>IF(D577="M",IF(AM577&lt;78,BMILMS!$D$5*AM577^3+BMILMS!$E$5*AM577^2+BMILMS!$F$5*AM577+BMILMS!$G$5,IF(AM577&lt;150,BMILMS!$D$6*AM577^3+BMILMS!$E$6*AM577^2+BMILMS!$F$6*AM577+BMILMS!$G$6,BMILMS!$D$7*AM577^3+BMILMS!$E$7*AM577^2+BMILMS!$F$7*AM577+BMILMS!$G$7)),IF(AM577&lt;69,BMILMS!$D$9*AM577^3+BMILMS!$E$9*AM577^2+BMILMS!$F$9*AM577+BMILMS!$G$9,IF(AM577&lt;150,BMILMS!$D$10*AM577^3+BMILMS!$E$10*AM577^2+BMILMS!$F$10*AM577+BMILMS!$G$10,BMILMS!$D$11*AM577^3+BMILMS!$E$11*AM577^2+BMILMS!$F$11*AM577+BMILMS!$G$11)))</f>
        <v>0.79584630099999998</v>
      </c>
      <c r="AK577" s="4">
        <f>IF(D577="M",(IF(AM577&lt;2.5,BMILMS!$D$21*AM577^3+BMILMS!$E$21*AM577^2+BMILMS!$F$21*AM577+BMILMS!$G$21,IF(AM577&lt;9.5,BMILMS!$D$22*AM577^3+BMILMS!$E$22*AM577^2+BMILMS!$F$22*AM577+BMILMS!$G$22,IF(AM577&lt;26.75,BMILMS!$D$23*AM577^3+BMILMS!$E$23*AM577^2+BMILMS!$F$23*AM577+BMILMS!$G$23,IF(AM577&lt;90,BMILMS!$D$24*AM577^3+BMILMS!$E$24*AM577^2+BMILMS!$F$24*AM577+BMILMS!$G$24,BMILMS!$D$25*AM577^3+BMILMS!$E$25*AM577^2+BMILMS!$F$25*AM577+BMILMS!$G$25))))),(IF(AM577&lt;2.5,BMILMS!$D$27*AM577^3+BMILMS!$E$27*AM577^2+BMILMS!$F$27*AM577+BMILMS!$G$27,IF(AM577&lt;9.5,BMILMS!$D$28*AM577^3+BMILMS!$E$28*AM577^2+BMILMS!$F$28*AM577+BMILMS!$G$28,IF(AM577&lt;26.75,BMILMS!$D$29*AM577^3+BMILMS!$E$29*AM577^2+BMILMS!$F$29*AM577+BMILMS!$G$29,IF(AM577&lt;90,BMILMS!$D$30*AM577^3+BMILMS!$E$30*AM577^2+BMILMS!$F$30*AM577+BMILMS!$G$30,IF(AM577&lt;150,BMILMS!$D$31*AM577^3+BMILMS!$E$31*AM577^2+BMILMS!$F$31*AM577+BMILMS!$G$31,BMILMS!$D$32*AM577^3+BMILMS!$E$32*AM577^2+BMILMS!$F$32*AM577+BMILMS!$G$32)))))))</f>
        <v>12.568967990000001</v>
      </c>
      <c r="AL577" s="4">
        <f>IF(D577="M",(IF(AM577&lt;90,BMILMS!$D$14*AM577^3+BMILMS!$E$14*AM577^2+BMILMS!$F$14*AM577+BMILMS!$G$14,BMILMS!$D$15*AM577^3+BMILMS!$E$15*AM577^2+BMILMS!$F$15*AM577+BMILMS!$G$15)),(IF(AM577&lt;90,BMILMS!$D$17*AM577^3+BMILMS!$E$17*AM577^2+BMILMS!$F$17*AM577+BMILMS!$G$17,BMILMS!$D$18*AM577^3+BMILMS!$E$18*AM577^2+BMILMS!$F$18*AM577+BMILMS!$G$18)))</f>
        <v>8.8969350000000003E-2</v>
      </c>
      <c r="AM577" s="4">
        <f t="shared" si="188"/>
        <v>0</v>
      </c>
      <c r="AO577" s="56">
        <f>IF(D577="M",WeightSDS!P$5*$AM577^7+WeightSDS!Q$5*$AM577^6+WeightSDS!R$5*$AM577^5+WeightSDS!S$5*$AM577^4+WeightSDS!T$5*$AM577^3+WeightSDS!U$5*$AM577^2+WeightSDS!V$5*$AM577+WeightSDS!W$5,IF($AM577&lt;186,WeightSDS!P$8*$AM577^7+WeightSDS!Q$8*$AM577^6+WeightSDS!R$8*$AM577^5+WeightSDS!S$8*$AM577^4+WeightSDS!T$8*$AM577^3+WeightSDS!U$8*$AM577^2+WeightSDS!V$8*$AM577+WeightSDS!W$8,WeightSDS!$U$9+WeightSDS!$V$9*($AM577-WeightSDS!$W$9)))</f>
        <v>0.75407122999999998</v>
      </c>
      <c r="AP577" s="4">
        <f>IF(D577="M",IF($AM577&lt;45,WeightSDS!M$23*$AM577^10+WeightSDS!N$23*$AM577^9+WeightSDS!O$23*$AM577^8+WeightSDS!P$23*$AM577^7+WeightSDS!Q$23*$AM577^6+WeightSDS!R$23*$AM577^5+WeightSDS!S$23*$AM577^4+WeightSDS!T$23*$AM577^3+WeightSDS!U$23*$AM577^2+WeightSDS!V$23*$AM577+WeightSDS!W$23,IF($AM577&lt;153,WeightSDS!M$25*$AM577^10+WeightSDS!N$25*$AM577^9+WeightSDS!O$25*$AM577^8+WeightSDS!P$25*$AM577^7+WeightSDS!Q$25*$AM577^6+WeightSDS!R$25*$AM577^5+WeightSDS!S$25*$AM577^4+WeightSDS!T$25*$AM577^3+WeightSDS!U$25*$AM577^2+WeightSDS!V$25*$AM577+WeightSDS!W$25,WeightSDS!M$27+WeightSDS!N$27/(1+EXP(WeightSDS!O$27+WeightSDS!P$27*$AM577)))),IF($AM577&lt;43.8,WeightSDS!M$29*$AM577^10+WeightSDS!N$29*$AM577^9+WeightSDS!O$29*$AM577^8+WeightSDS!P$29*$AM577^7+WeightSDS!Q$29*$AM577^6+WeightSDS!R$29*$AM577^5+WeightSDS!S$29*$AM577^4+WeightSDS!T$29*$AM577^3+WeightSDS!U$29*$AM577^2+WeightSDS!V$29*$AM577+WeightSDS!W$29-0.010431*(1-$AM577/210),IF($AM577&lt;123,WeightSDS!M$30*$AM577^10+WeightSDS!N$30*$AM577^9+WeightSDS!O$30*$AM577^8+WeightSDS!P$30*$AM577^7+WeightSDS!Q$30*$AM577^6+WeightSDS!R$30*$AM577^5+WeightSDS!S$30*$AM577^4+WeightSDS!T$30*$AM577^3+WeightSDS!U$30*$AM577^2+WeightSDS!V$30*$AM577+WeightSDS!W$30-0.010431*(1-1/$AM577),WeightSDS!M$32+WeightSDS!N$32/(1+EXP(WeightSDS!O$32+WeightSDS!P$32*$AM577))-0.010431*(1-$AM577/210))))</f>
        <v>2.9500001032655536</v>
      </c>
      <c r="AQ577" s="4">
        <f>IF(D577="M",IF($AM577&lt;162,WeightSDS!P$12*$AM577^7+WeightSDS!Q$12*$AM577^6+WeightSDS!R$12*$AM577^5+WeightSDS!S$12*$AM577^4+WeightSDS!T$12*$AM577^3+WeightSDS!U$12*$AM577^2+WeightSDS!V$12*$AM577+WeightSDS!W$12,WeightSDS!P$14*$AM577^7+WeightSDS!Q$14*$AM577^6+WeightSDS!R$14*$AM577^5+WeightSDS!S$14*$AM577^4+WeightSDS!T$14*$AM577^3+WeightSDS!U$14*$AM577^2+WeightSDS!V$14*$AM577+WeightSDS!W$14),IF($AM577&lt;156,WeightSDS!O$17*$AM577^8+WeightSDS!P$17*$AM577^7+WeightSDS!Q$17*$AM577^6+WeightSDS!R$17*$AM577^5+WeightSDS!S$17*$AM577^4+WeightSDS!T$17*$AM577^3+WeightSDS!U$17*$AM577^2+WeightSDS!V$17*$AM577+WeightSDS!W$17,IF($AM577&lt;186,WeightSDS!$U$18+(WeightSDS!$V$18-WeightSDS!$U$18)/24*($AM577-186)+WeightSDS!$W$18*(-$AM577+186)^2-0.005,WeightSDS!$U$18+(WeightSDS!$V$18-WeightSDS!$U$18)/24*($AM577-186)-0.005)))</f>
        <v>0.14604529399999999</v>
      </c>
      <c r="AT577" s="4">
        <f t="shared" si="175"/>
        <v>0.56299999999999994</v>
      </c>
      <c r="AU577" s="4">
        <f t="shared" si="176"/>
        <v>69</v>
      </c>
      <c r="AV577" s="4">
        <f t="shared" si="177"/>
        <v>0.51</v>
      </c>
    </row>
    <row r="578" spans="1:48" x14ac:dyDescent="0.15">
      <c r="A578" s="4"/>
      <c r="B578" s="21"/>
      <c r="C578" s="21"/>
      <c r="D578" s="21"/>
      <c r="E578" s="22"/>
      <c r="F578" s="22"/>
      <c r="G578" s="23"/>
      <c r="H578" s="23"/>
      <c r="I578" s="181"/>
      <c r="J578" s="8" t="str">
        <f t="shared" si="169"/>
        <v/>
      </c>
      <c r="K578" s="2" t="str">
        <f t="shared" si="178"/>
        <v/>
      </c>
      <c r="L578" s="2" t="str">
        <f t="shared" si="170"/>
        <v/>
      </c>
      <c r="M578" s="2" t="str">
        <f t="shared" si="179"/>
        <v/>
      </c>
      <c r="N578" s="2" t="str">
        <f t="shared" si="187"/>
        <v/>
      </c>
      <c r="O578" s="2" t="str">
        <f t="shared" si="180"/>
        <v/>
      </c>
      <c r="P578" s="8" t="str">
        <f t="shared" si="181"/>
        <v/>
      </c>
      <c r="Q578" s="8" t="str">
        <f t="shared" si="182"/>
        <v/>
      </c>
      <c r="R578" s="111" t="str">
        <f t="shared" si="183"/>
        <v/>
      </c>
      <c r="S578" s="44" t="str">
        <f t="shared" si="184"/>
        <v/>
      </c>
      <c r="T578" s="37" t="str">
        <f t="shared" si="185"/>
        <v/>
      </c>
      <c r="U578" s="44" t="str">
        <f t="shared" si="186"/>
        <v/>
      </c>
      <c r="V578" s="26"/>
      <c r="W578" s="26"/>
      <c r="X578" s="26"/>
      <c r="Y578" s="26"/>
      <c r="Z578" s="24"/>
      <c r="AA578" s="169">
        <f t="shared" si="171"/>
        <v>0</v>
      </c>
      <c r="AB578" s="4">
        <f t="shared" si="172"/>
        <v>0</v>
      </c>
      <c r="AC578" s="170">
        <f t="shared" si="189"/>
        <v>0</v>
      </c>
      <c r="AD578" s="58"/>
      <c r="AE578" s="58"/>
      <c r="AF578" s="58"/>
      <c r="AG578" s="59">
        <f t="shared" si="173"/>
        <v>9.0359999999999996</v>
      </c>
      <c r="AH578" s="59">
        <f t="shared" si="174"/>
        <v>-184.49199999999999</v>
      </c>
      <c r="AJ578" s="4">
        <f>IF(D578="M",IF(AM578&lt;78,BMILMS!$D$5*AM578^3+BMILMS!$E$5*AM578^2+BMILMS!$F$5*AM578+BMILMS!$G$5,IF(AM578&lt;150,BMILMS!$D$6*AM578^3+BMILMS!$E$6*AM578^2+BMILMS!$F$6*AM578+BMILMS!$G$6,BMILMS!$D$7*AM578^3+BMILMS!$E$7*AM578^2+BMILMS!$F$7*AM578+BMILMS!$G$7)),IF(AM578&lt;69,BMILMS!$D$9*AM578^3+BMILMS!$E$9*AM578^2+BMILMS!$F$9*AM578+BMILMS!$G$9,IF(AM578&lt;150,BMILMS!$D$10*AM578^3+BMILMS!$E$10*AM578^2+BMILMS!$F$10*AM578+BMILMS!$G$10,BMILMS!$D$11*AM578^3+BMILMS!$E$11*AM578^2+BMILMS!$F$11*AM578+BMILMS!$G$11)))</f>
        <v>0.79584630099999998</v>
      </c>
      <c r="AK578" s="4">
        <f>IF(D578="M",(IF(AM578&lt;2.5,BMILMS!$D$21*AM578^3+BMILMS!$E$21*AM578^2+BMILMS!$F$21*AM578+BMILMS!$G$21,IF(AM578&lt;9.5,BMILMS!$D$22*AM578^3+BMILMS!$E$22*AM578^2+BMILMS!$F$22*AM578+BMILMS!$G$22,IF(AM578&lt;26.75,BMILMS!$D$23*AM578^3+BMILMS!$E$23*AM578^2+BMILMS!$F$23*AM578+BMILMS!$G$23,IF(AM578&lt;90,BMILMS!$D$24*AM578^3+BMILMS!$E$24*AM578^2+BMILMS!$F$24*AM578+BMILMS!$G$24,BMILMS!$D$25*AM578^3+BMILMS!$E$25*AM578^2+BMILMS!$F$25*AM578+BMILMS!$G$25))))),(IF(AM578&lt;2.5,BMILMS!$D$27*AM578^3+BMILMS!$E$27*AM578^2+BMILMS!$F$27*AM578+BMILMS!$G$27,IF(AM578&lt;9.5,BMILMS!$D$28*AM578^3+BMILMS!$E$28*AM578^2+BMILMS!$F$28*AM578+BMILMS!$G$28,IF(AM578&lt;26.75,BMILMS!$D$29*AM578^3+BMILMS!$E$29*AM578^2+BMILMS!$F$29*AM578+BMILMS!$G$29,IF(AM578&lt;90,BMILMS!$D$30*AM578^3+BMILMS!$E$30*AM578^2+BMILMS!$F$30*AM578+BMILMS!$G$30,IF(AM578&lt;150,BMILMS!$D$31*AM578^3+BMILMS!$E$31*AM578^2+BMILMS!$F$31*AM578+BMILMS!$G$31,BMILMS!$D$32*AM578^3+BMILMS!$E$32*AM578^2+BMILMS!$F$32*AM578+BMILMS!$G$32)))))))</f>
        <v>12.568967990000001</v>
      </c>
      <c r="AL578" s="4">
        <f>IF(D578="M",(IF(AM578&lt;90,BMILMS!$D$14*AM578^3+BMILMS!$E$14*AM578^2+BMILMS!$F$14*AM578+BMILMS!$G$14,BMILMS!$D$15*AM578^3+BMILMS!$E$15*AM578^2+BMILMS!$F$15*AM578+BMILMS!$G$15)),(IF(AM578&lt;90,BMILMS!$D$17*AM578^3+BMILMS!$E$17*AM578^2+BMILMS!$F$17*AM578+BMILMS!$G$17,BMILMS!$D$18*AM578^3+BMILMS!$E$18*AM578^2+BMILMS!$F$18*AM578+BMILMS!$G$18)))</f>
        <v>8.8969350000000003E-2</v>
      </c>
      <c r="AM578" s="4">
        <f t="shared" si="188"/>
        <v>0</v>
      </c>
      <c r="AO578" s="56">
        <f>IF(D578="M",WeightSDS!P$5*$AM578^7+WeightSDS!Q$5*$AM578^6+WeightSDS!R$5*$AM578^5+WeightSDS!S$5*$AM578^4+WeightSDS!T$5*$AM578^3+WeightSDS!U$5*$AM578^2+WeightSDS!V$5*$AM578+WeightSDS!W$5,IF($AM578&lt;186,WeightSDS!P$8*$AM578^7+WeightSDS!Q$8*$AM578^6+WeightSDS!R$8*$AM578^5+WeightSDS!S$8*$AM578^4+WeightSDS!T$8*$AM578^3+WeightSDS!U$8*$AM578^2+WeightSDS!V$8*$AM578+WeightSDS!W$8,WeightSDS!$U$9+WeightSDS!$V$9*($AM578-WeightSDS!$W$9)))</f>
        <v>0.75407122999999998</v>
      </c>
      <c r="AP578" s="4">
        <f>IF(D578="M",IF($AM578&lt;45,WeightSDS!M$23*$AM578^10+WeightSDS!N$23*$AM578^9+WeightSDS!O$23*$AM578^8+WeightSDS!P$23*$AM578^7+WeightSDS!Q$23*$AM578^6+WeightSDS!R$23*$AM578^5+WeightSDS!S$23*$AM578^4+WeightSDS!T$23*$AM578^3+WeightSDS!U$23*$AM578^2+WeightSDS!V$23*$AM578+WeightSDS!W$23,IF($AM578&lt;153,WeightSDS!M$25*$AM578^10+WeightSDS!N$25*$AM578^9+WeightSDS!O$25*$AM578^8+WeightSDS!P$25*$AM578^7+WeightSDS!Q$25*$AM578^6+WeightSDS!R$25*$AM578^5+WeightSDS!S$25*$AM578^4+WeightSDS!T$25*$AM578^3+WeightSDS!U$25*$AM578^2+WeightSDS!V$25*$AM578+WeightSDS!W$25,WeightSDS!M$27+WeightSDS!N$27/(1+EXP(WeightSDS!O$27+WeightSDS!P$27*$AM578)))),IF($AM578&lt;43.8,WeightSDS!M$29*$AM578^10+WeightSDS!N$29*$AM578^9+WeightSDS!O$29*$AM578^8+WeightSDS!P$29*$AM578^7+WeightSDS!Q$29*$AM578^6+WeightSDS!R$29*$AM578^5+WeightSDS!S$29*$AM578^4+WeightSDS!T$29*$AM578^3+WeightSDS!U$29*$AM578^2+WeightSDS!V$29*$AM578+WeightSDS!W$29-0.010431*(1-$AM578/210),IF($AM578&lt;123,WeightSDS!M$30*$AM578^10+WeightSDS!N$30*$AM578^9+WeightSDS!O$30*$AM578^8+WeightSDS!P$30*$AM578^7+WeightSDS!Q$30*$AM578^6+WeightSDS!R$30*$AM578^5+WeightSDS!S$30*$AM578^4+WeightSDS!T$30*$AM578^3+WeightSDS!U$30*$AM578^2+WeightSDS!V$30*$AM578+WeightSDS!W$30-0.010431*(1-1/$AM578),WeightSDS!M$32+WeightSDS!N$32/(1+EXP(WeightSDS!O$32+WeightSDS!P$32*$AM578))-0.010431*(1-$AM578/210))))</f>
        <v>2.9500001032655536</v>
      </c>
      <c r="AQ578" s="4">
        <f>IF(D578="M",IF($AM578&lt;162,WeightSDS!P$12*$AM578^7+WeightSDS!Q$12*$AM578^6+WeightSDS!R$12*$AM578^5+WeightSDS!S$12*$AM578^4+WeightSDS!T$12*$AM578^3+WeightSDS!U$12*$AM578^2+WeightSDS!V$12*$AM578+WeightSDS!W$12,WeightSDS!P$14*$AM578^7+WeightSDS!Q$14*$AM578^6+WeightSDS!R$14*$AM578^5+WeightSDS!S$14*$AM578^4+WeightSDS!T$14*$AM578^3+WeightSDS!U$14*$AM578^2+WeightSDS!V$14*$AM578+WeightSDS!W$14),IF($AM578&lt;156,WeightSDS!O$17*$AM578^8+WeightSDS!P$17*$AM578^7+WeightSDS!Q$17*$AM578^6+WeightSDS!R$17*$AM578^5+WeightSDS!S$17*$AM578^4+WeightSDS!T$17*$AM578^3+WeightSDS!U$17*$AM578^2+WeightSDS!V$17*$AM578+WeightSDS!W$17,IF($AM578&lt;186,WeightSDS!$U$18+(WeightSDS!$V$18-WeightSDS!$U$18)/24*($AM578-186)+WeightSDS!$W$18*(-$AM578+186)^2-0.005,WeightSDS!$U$18+(WeightSDS!$V$18-WeightSDS!$U$18)/24*($AM578-186)-0.005)))</f>
        <v>0.14604529399999999</v>
      </c>
      <c r="AT578" s="4">
        <f t="shared" si="175"/>
        <v>0.56299999999999994</v>
      </c>
      <c r="AU578" s="4">
        <f t="shared" si="176"/>
        <v>69</v>
      </c>
      <c r="AV578" s="4">
        <f t="shared" si="177"/>
        <v>0.51</v>
      </c>
    </row>
    <row r="579" spans="1:48" x14ac:dyDescent="0.15">
      <c r="A579" s="4"/>
      <c r="B579" s="21"/>
      <c r="C579" s="21"/>
      <c r="D579" s="21"/>
      <c r="E579" s="22"/>
      <c r="F579" s="22"/>
      <c r="G579" s="23"/>
      <c r="H579" s="23"/>
      <c r="I579" s="181"/>
      <c r="J579" s="8" t="str">
        <f t="shared" ref="J579:J642" si="190">IF(COUNTA(D579,E579,F579,G579)=4,IF(AA579+AB579/12&gt;17.583,"       *",(G579-(INDEX(IF(D579="F",Hfemalemean,Hmalemean),AB579+1,AA579+1)))/(INDEX(IF(D579="F",Hfemalesd,Hmalesd),AB579+1,AA579+1))),"")</f>
        <v/>
      </c>
      <c r="K579" s="2" t="str">
        <f t="shared" si="178"/>
        <v/>
      </c>
      <c r="L579" s="2" t="str">
        <f t="shared" ref="L579:L642" si="191">IF(COUNTA(D579,E579,F579,G579,H579)&lt;5,"",IF(T579&lt;6,"       *",IF(AA579+AB579/12&gt;=17.583,"       *",(H579-G579*INDEX(IF(D579="F",muratafemale,muratamale),AA579-4,1)-INDEX(IF(D579="F",muratafemale,muratamale),AA579-4,2))/(G579*INDEX(IF(D579="F",muratafemale,muratamale),AA579-4,1)+INDEX(IF(D579="F",muratafemale,muratamale),AA579-4,2))*100)))</f>
        <v/>
      </c>
      <c r="M579" s="2" t="str">
        <f t="shared" si="179"/>
        <v/>
      </c>
      <c r="N579" s="2" t="str">
        <f t="shared" si="187"/>
        <v/>
      </c>
      <c r="O579" s="2" t="str">
        <f t="shared" si="180"/>
        <v/>
      </c>
      <c r="P579" s="8" t="str">
        <f t="shared" si="181"/>
        <v/>
      </c>
      <c r="Q579" s="8" t="str">
        <f t="shared" si="182"/>
        <v/>
      </c>
      <c r="R579" s="111" t="str">
        <f t="shared" si="183"/>
        <v/>
      </c>
      <c r="S579" s="44" t="str">
        <f t="shared" si="184"/>
        <v/>
      </c>
      <c r="T579" s="37" t="str">
        <f t="shared" si="185"/>
        <v/>
      </c>
      <c r="U579" s="44" t="str">
        <f t="shared" si="186"/>
        <v/>
      </c>
      <c r="V579" s="26"/>
      <c r="W579" s="26"/>
      <c r="X579" s="26"/>
      <c r="Y579" s="26"/>
      <c r="Z579" s="24"/>
      <c r="AA579" s="169">
        <f t="shared" ref="AA579:AA642" si="192">DATEDIF(E579,F579,"Y")</f>
        <v>0</v>
      </c>
      <c r="AB579" s="4">
        <f t="shared" ref="AB579:AB642" si="193">DATEDIF(E579,F579,"YM")</f>
        <v>0</v>
      </c>
      <c r="AC579" s="170">
        <f t="shared" si="189"/>
        <v>0</v>
      </c>
      <c r="AD579" s="58"/>
      <c r="AE579" s="58"/>
      <c r="AF579" s="58"/>
      <c r="AG579" s="59">
        <f t="shared" ref="AG579:AG642" si="194">IF(D579="M",2.06*10^-3*G579^2-0.1166*G579+6.5273,2.49*10^-3*G579^2-0.1858*G579+9.036)</f>
        <v>9.0359999999999996</v>
      </c>
      <c r="AH579" s="59">
        <f t="shared" ref="AH579:AH642" si="195">((G579/100)^3*INDEX(itoOI,IF(D579="M",0,3)+IF(G579&lt;140,1,IF(G579&lt;=149,2,3)),1)+(G579/100)^2*INDEX(itoOI,IF(D579="M",0,3)+IF(G579&lt;140,1,IF(G579&lt;=149,2,3)),2)+(G579/100)*INDEX(itoOI,IF(D579="M",0,3)+IF(G579&lt;140,1,IF(G579&lt;=149,2,3)),3)+INDEX(itoOI,IF(D579="M",0,3)+IF(G579&lt;140,1,IF(G579&lt;=149,2,3)),4))</f>
        <v>-184.49199999999999</v>
      </c>
      <c r="AJ579" s="4">
        <f>IF(D579="M",IF(AM579&lt;78,BMILMS!$D$5*AM579^3+BMILMS!$E$5*AM579^2+BMILMS!$F$5*AM579+BMILMS!$G$5,IF(AM579&lt;150,BMILMS!$D$6*AM579^3+BMILMS!$E$6*AM579^2+BMILMS!$F$6*AM579+BMILMS!$G$6,BMILMS!$D$7*AM579^3+BMILMS!$E$7*AM579^2+BMILMS!$F$7*AM579+BMILMS!$G$7)),IF(AM579&lt;69,BMILMS!$D$9*AM579^3+BMILMS!$E$9*AM579^2+BMILMS!$F$9*AM579+BMILMS!$G$9,IF(AM579&lt;150,BMILMS!$D$10*AM579^3+BMILMS!$E$10*AM579^2+BMILMS!$F$10*AM579+BMILMS!$G$10,BMILMS!$D$11*AM579^3+BMILMS!$E$11*AM579^2+BMILMS!$F$11*AM579+BMILMS!$G$11)))</f>
        <v>0.79584630099999998</v>
      </c>
      <c r="AK579" s="4">
        <f>IF(D579="M",(IF(AM579&lt;2.5,BMILMS!$D$21*AM579^3+BMILMS!$E$21*AM579^2+BMILMS!$F$21*AM579+BMILMS!$G$21,IF(AM579&lt;9.5,BMILMS!$D$22*AM579^3+BMILMS!$E$22*AM579^2+BMILMS!$F$22*AM579+BMILMS!$G$22,IF(AM579&lt;26.75,BMILMS!$D$23*AM579^3+BMILMS!$E$23*AM579^2+BMILMS!$F$23*AM579+BMILMS!$G$23,IF(AM579&lt;90,BMILMS!$D$24*AM579^3+BMILMS!$E$24*AM579^2+BMILMS!$F$24*AM579+BMILMS!$G$24,BMILMS!$D$25*AM579^3+BMILMS!$E$25*AM579^2+BMILMS!$F$25*AM579+BMILMS!$G$25))))),(IF(AM579&lt;2.5,BMILMS!$D$27*AM579^3+BMILMS!$E$27*AM579^2+BMILMS!$F$27*AM579+BMILMS!$G$27,IF(AM579&lt;9.5,BMILMS!$D$28*AM579^3+BMILMS!$E$28*AM579^2+BMILMS!$F$28*AM579+BMILMS!$G$28,IF(AM579&lt;26.75,BMILMS!$D$29*AM579^3+BMILMS!$E$29*AM579^2+BMILMS!$F$29*AM579+BMILMS!$G$29,IF(AM579&lt;90,BMILMS!$D$30*AM579^3+BMILMS!$E$30*AM579^2+BMILMS!$F$30*AM579+BMILMS!$G$30,IF(AM579&lt;150,BMILMS!$D$31*AM579^3+BMILMS!$E$31*AM579^2+BMILMS!$F$31*AM579+BMILMS!$G$31,BMILMS!$D$32*AM579^3+BMILMS!$E$32*AM579^2+BMILMS!$F$32*AM579+BMILMS!$G$32)))))))</f>
        <v>12.568967990000001</v>
      </c>
      <c r="AL579" s="4">
        <f>IF(D579="M",(IF(AM579&lt;90,BMILMS!$D$14*AM579^3+BMILMS!$E$14*AM579^2+BMILMS!$F$14*AM579+BMILMS!$G$14,BMILMS!$D$15*AM579^3+BMILMS!$E$15*AM579^2+BMILMS!$F$15*AM579+BMILMS!$G$15)),(IF(AM579&lt;90,BMILMS!$D$17*AM579^3+BMILMS!$E$17*AM579^2+BMILMS!$F$17*AM579+BMILMS!$G$17,BMILMS!$D$18*AM579^3+BMILMS!$E$18*AM579^2+BMILMS!$F$18*AM579+BMILMS!$G$18)))</f>
        <v>8.8969350000000003E-2</v>
      </c>
      <c r="AM579" s="4">
        <f t="shared" si="188"/>
        <v>0</v>
      </c>
      <c r="AO579" s="56">
        <f>IF(D579="M",WeightSDS!P$5*$AM579^7+WeightSDS!Q$5*$AM579^6+WeightSDS!R$5*$AM579^5+WeightSDS!S$5*$AM579^4+WeightSDS!T$5*$AM579^3+WeightSDS!U$5*$AM579^2+WeightSDS!V$5*$AM579+WeightSDS!W$5,IF($AM579&lt;186,WeightSDS!P$8*$AM579^7+WeightSDS!Q$8*$AM579^6+WeightSDS!R$8*$AM579^5+WeightSDS!S$8*$AM579^4+WeightSDS!T$8*$AM579^3+WeightSDS!U$8*$AM579^2+WeightSDS!V$8*$AM579+WeightSDS!W$8,WeightSDS!$U$9+WeightSDS!$V$9*($AM579-WeightSDS!$W$9)))</f>
        <v>0.75407122999999998</v>
      </c>
      <c r="AP579" s="4">
        <f>IF(D579="M",IF($AM579&lt;45,WeightSDS!M$23*$AM579^10+WeightSDS!N$23*$AM579^9+WeightSDS!O$23*$AM579^8+WeightSDS!P$23*$AM579^7+WeightSDS!Q$23*$AM579^6+WeightSDS!R$23*$AM579^5+WeightSDS!S$23*$AM579^4+WeightSDS!T$23*$AM579^3+WeightSDS!U$23*$AM579^2+WeightSDS!V$23*$AM579+WeightSDS!W$23,IF($AM579&lt;153,WeightSDS!M$25*$AM579^10+WeightSDS!N$25*$AM579^9+WeightSDS!O$25*$AM579^8+WeightSDS!P$25*$AM579^7+WeightSDS!Q$25*$AM579^6+WeightSDS!R$25*$AM579^5+WeightSDS!S$25*$AM579^4+WeightSDS!T$25*$AM579^3+WeightSDS!U$25*$AM579^2+WeightSDS!V$25*$AM579+WeightSDS!W$25,WeightSDS!M$27+WeightSDS!N$27/(1+EXP(WeightSDS!O$27+WeightSDS!P$27*$AM579)))),IF($AM579&lt;43.8,WeightSDS!M$29*$AM579^10+WeightSDS!N$29*$AM579^9+WeightSDS!O$29*$AM579^8+WeightSDS!P$29*$AM579^7+WeightSDS!Q$29*$AM579^6+WeightSDS!R$29*$AM579^5+WeightSDS!S$29*$AM579^4+WeightSDS!T$29*$AM579^3+WeightSDS!U$29*$AM579^2+WeightSDS!V$29*$AM579+WeightSDS!W$29-0.010431*(1-$AM579/210),IF($AM579&lt;123,WeightSDS!M$30*$AM579^10+WeightSDS!N$30*$AM579^9+WeightSDS!O$30*$AM579^8+WeightSDS!P$30*$AM579^7+WeightSDS!Q$30*$AM579^6+WeightSDS!R$30*$AM579^5+WeightSDS!S$30*$AM579^4+WeightSDS!T$30*$AM579^3+WeightSDS!U$30*$AM579^2+WeightSDS!V$30*$AM579+WeightSDS!W$30-0.010431*(1-1/$AM579),WeightSDS!M$32+WeightSDS!N$32/(1+EXP(WeightSDS!O$32+WeightSDS!P$32*$AM579))-0.010431*(1-$AM579/210))))</f>
        <v>2.9500001032655536</v>
      </c>
      <c r="AQ579" s="4">
        <f>IF(D579="M",IF($AM579&lt;162,WeightSDS!P$12*$AM579^7+WeightSDS!Q$12*$AM579^6+WeightSDS!R$12*$AM579^5+WeightSDS!S$12*$AM579^4+WeightSDS!T$12*$AM579^3+WeightSDS!U$12*$AM579^2+WeightSDS!V$12*$AM579+WeightSDS!W$12,WeightSDS!P$14*$AM579^7+WeightSDS!Q$14*$AM579^6+WeightSDS!R$14*$AM579^5+WeightSDS!S$14*$AM579^4+WeightSDS!T$14*$AM579^3+WeightSDS!U$14*$AM579^2+WeightSDS!V$14*$AM579+WeightSDS!W$14),IF($AM579&lt;156,WeightSDS!O$17*$AM579^8+WeightSDS!P$17*$AM579^7+WeightSDS!Q$17*$AM579^6+WeightSDS!R$17*$AM579^5+WeightSDS!S$17*$AM579^4+WeightSDS!T$17*$AM579^3+WeightSDS!U$17*$AM579^2+WeightSDS!V$17*$AM579+WeightSDS!W$17,IF($AM579&lt;186,WeightSDS!$U$18+(WeightSDS!$V$18-WeightSDS!$U$18)/24*($AM579-186)+WeightSDS!$W$18*(-$AM579+186)^2-0.005,WeightSDS!$U$18+(WeightSDS!$V$18-WeightSDS!$U$18)/24*($AM579-186)-0.005)))</f>
        <v>0.14604529399999999</v>
      </c>
      <c r="AT579" s="4">
        <f t="shared" ref="AT579:AT642" si="196">INDEX(IF(D579="M",IGFmale, IGFfemale), AA579+1,1)</f>
        <v>0.56299999999999994</v>
      </c>
      <c r="AU579" s="4">
        <f t="shared" ref="AU579:AU642" si="197">INDEX(IF(D579="M",IGFmale, IGFfemale), AA579+1,2)</f>
        <v>69</v>
      </c>
      <c r="AV579" s="4">
        <f t="shared" ref="AV579:AV642" si="198">INDEX(IF(D579="M",IGFmale, IGFfemale), AA579+1,3)</f>
        <v>0.51</v>
      </c>
    </row>
    <row r="580" spans="1:48" x14ac:dyDescent="0.15">
      <c r="A580" s="4"/>
      <c r="B580" s="21"/>
      <c r="C580" s="21"/>
      <c r="D580" s="21"/>
      <c r="E580" s="22"/>
      <c r="F580" s="22"/>
      <c r="G580" s="23"/>
      <c r="H580" s="23"/>
      <c r="I580" s="181"/>
      <c r="J580" s="8" t="str">
        <f t="shared" si="190"/>
        <v/>
      </c>
      <c r="K580" s="2" t="str">
        <f t="shared" ref="K580:K643" si="199">IF(COUNTA(D580,E580,F580,G580,H580)=5,IF(T580&lt;1,"       *",IF(T580&gt;=6,"       *",IF(G580&gt;=120,"       *",IF(G580&lt;70,"       *",(H580-AG580)/AG580*100)))),"")</f>
        <v/>
      </c>
      <c r="L580" s="2" t="str">
        <f t="shared" si="191"/>
        <v/>
      </c>
      <c r="M580" s="2" t="str">
        <f t="shared" ref="M580:M643" si="200">IF(COUNTA(D580,E580,F580,G580,H580)=5,IF(G580&gt;=IF(D580="M",181,174),"*",IF(G580&lt;101,"       *",IF(T580&lt;6,"       *",IF(AA580+AB580/12&gt;=17.583,"*",(H580-AH580)/AH580*100)))),"")</f>
        <v/>
      </c>
      <c r="N580" s="2" t="str">
        <f t="shared" si="187"/>
        <v/>
      </c>
      <c r="O580" s="2" t="str">
        <f t="shared" ref="O580:O643" si="201">IF(COUNTA(D580,E580,F580,G580,H580)=5,IF(AA580+AB580/12&gt;17.583,"   *",NORMSDIST(((N580/AK580)^(AJ580)-1)/AJ580/AL580)*100),"")</f>
        <v/>
      </c>
      <c r="P580" s="8" t="str">
        <f t="shared" ref="P580:P643" si="202">IF(COUNTA(D580,E580,F580,G580,H580)=5,IF(AA580+AB580/12&gt;17.583,"   *",((N580/AK580)^(AJ580)-1)/AJ580/AL580),"")</f>
        <v/>
      </c>
      <c r="Q580" s="8" t="str">
        <f t="shared" ref="Q580:Q643" si="203">IF(COUNTA(D580,E580,F580,H580)=4,IF(AA580+AB580/12&gt;17.583,"   *",((H580/AP580)^(AO580)-1)/AO580/AQ580),"")</f>
        <v/>
      </c>
      <c r="R580" s="111" t="str">
        <f t="shared" ref="R580:R643" si="204">IF(COUNTA(D580,E580,F580,I580)=4,IF(AC580&gt;77,"*",NORMSDIST(((I580/AU580)^(AT580)-1)/AT580/AV580)*100),"")</f>
        <v/>
      </c>
      <c r="S580" s="44" t="str">
        <f t="shared" ref="S580:S643" si="205">IF(COUNTA(D580,E580,F580,I580)=4,IF(AC580&gt;77,"*",((I580/AU580)^(AT580)-1)/AT580/AV580),"")</f>
        <v/>
      </c>
      <c r="T580" s="37" t="str">
        <f t="shared" ref="T580:T643" si="206">IF(COUNTA(E580,F580)=2,AC580,"")</f>
        <v/>
      </c>
      <c r="U580" s="44" t="str">
        <f t="shared" ref="U580:U643" si="207">IF(COUNTA(E580,F580)=2,AA580&amp;"歳"&amp;AB580&amp;"か月","")</f>
        <v/>
      </c>
      <c r="V580" s="26"/>
      <c r="W580" s="26"/>
      <c r="X580" s="26"/>
      <c r="Y580" s="26"/>
      <c r="Z580" s="24"/>
      <c r="AA580" s="169">
        <f t="shared" si="192"/>
        <v>0</v>
      </c>
      <c r="AB580" s="4">
        <f t="shared" si="193"/>
        <v>0</v>
      </c>
      <c r="AC580" s="170">
        <f t="shared" si="189"/>
        <v>0</v>
      </c>
      <c r="AD580" s="58"/>
      <c r="AE580" s="58"/>
      <c r="AF580" s="58"/>
      <c r="AG580" s="59">
        <f t="shared" si="194"/>
        <v>9.0359999999999996</v>
      </c>
      <c r="AH580" s="59">
        <f t="shared" si="195"/>
        <v>-184.49199999999999</v>
      </c>
      <c r="AJ580" s="4">
        <f>IF(D580="M",IF(AM580&lt;78,BMILMS!$D$5*AM580^3+BMILMS!$E$5*AM580^2+BMILMS!$F$5*AM580+BMILMS!$G$5,IF(AM580&lt;150,BMILMS!$D$6*AM580^3+BMILMS!$E$6*AM580^2+BMILMS!$F$6*AM580+BMILMS!$G$6,BMILMS!$D$7*AM580^3+BMILMS!$E$7*AM580^2+BMILMS!$F$7*AM580+BMILMS!$G$7)),IF(AM580&lt;69,BMILMS!$D$9*AM580^3+BMILMS!$E$9*AM580^2+BMILMS!$F$9*AM580+BMILMS!$G$9,IF(AM580&lt;150,BMILMS!$D$10*AM580^3+BMILMS!$E$10*AM580^2+BMILMS!$F$10*AM580+BMILMS!$G$10,BMILMS!$D$11*AM580^3+BMILMS!$E$11*AM580^2+BMILMS!$F$11*AM580+BMILMS!$G$11)))</f>
        <v>0.79584630099999998</v>
      </c>
      <c r="AK580" s="4">
        <f>IF(D580="M",(IF(AM580&lt;2.5,BMILMS!$D$21*AM580^3+BMILMS!$E$21*AM580^2+BMILMS!$F$21*AM580+BMILMS!$G$21,IF(AM580&lt;9.5,BMILMS!$D$22*AM580^3+BMILMS!$E$22*AM580^2+BMILMS!$F$22*AM580+BMILMS!$G$22,IF(AM580&lt;26.75,BMILMS!$D$23*AM580^3+BMILMS!$E$23*AM580^2+BMILMS!$F$23*AM580+BMILMS!$G$23,IF(AM580&lt;90,BMILMS!$D$24*AM580^3+BMILMS!$E$24*AM580^2+BMILMS!$F$24*AM580+BMILMS!$G$24,BMILMS!$D$25*AM580^3+BMILMS!$E$25*AM580^2+BMILMS!$F$25*AM580+BMILMS!$G$25))))),(IF(AM580&lt;2.5,BMILMS!$D$27*AM580^3+BMILMS!$E$27*AM580^2+BMILMS!$F$27*AM580+BMILMS!$G$27,IF(AM580&lt;9.5,BMILMS!$D$28*AM580^3+BMILMS!$E$28*AM580^2+BMILMS!$F$28*AM580+BMILMS!$G$28,IF(AM580&lt;26.75,BMILMS!$D$29*AM580^3+BMILMS!$E$29*AM580^2+BMILMS!$F$29*AM580+BMILMS!$G$29,IF(AM580&lt;90,BMILMS!$D$30*AM580^3+BMILMS!$E$30*AM580^2+BMILMS!$F$30*AM580+BMILMS!$G$30,IF(AM580&lt;150,BMILMS!$D$31*AM580^3+BMILMS!$E$31*AM580^2+BMILMS!$F$31*AM580+BMILMS!$G$31,BMILMS!$D$32*AM580^3+BMILMS!$E$32*AM580^2+BMILMS!$F$32*AM580+BMILMS!$G$32)))))))</f>
        <v>12.568967990000001</v>
      </c>
      <c r="AL580" s="4">
        <f>IF(D580="M",(IF(AM580&lt;90,BMILMS!$D$14*AM580^3+BMILMS!$E$14*AM580^2+BMILMS!$F$14*AM580+BMILMS!$G$14,BMILMS!$D$15*AM580^3+BMILMS!$E$15*AM580^2+BMILMS!$F$15*AM580+BMILMS!$G$15)),(IF(AM580&lt;90,BMILMS!$D$17*AM580^3+BMILMS!$E$17*AM580^2+BMILMS!$F$17*AM580+BMILMS!$G$17,BMILMS!$D$18*AM580^3+BMILMS!$E$18*AM580^2+BMILMS!$F$18*AM580+BMILMS!$G$18)))</f>
        <v>8.8969350000000003E-2</v>
      </c>
      <c r="AM580" s="4">
        <f t="shared" si="188"/>
        <v>0</v>
      </c>
      <c r="AO580" s="56">
        <f>IF(D580="M",WeightSDS!P$5*$AM580^7+WeightSDS!Q$5*$AM580^6+WeightSDS!R$5*$AM580^5+WeightSDS!S$5*$AM580^4+WeightSDS!T$5*$AM580^3+WeightSDS!U$5*$AM580^2+WeightSDS!V$5*$AM580+WeightSDS!W$5,IF($AM580&lt;186,WeightSDS!P$8*$AM580^7+WeightSDS!Q$8*$AM580^6+WeightSDS!R$8*$AM580^5+WeightSDS!S$8*$AM580^4+WeightSDS!T$8*$AM580^3+WeightSDS!U$8*$AM580^2+WeightSDS!V$8*$AM580+WeightSDS!W$8,WeightSDS!$U$9+WeightSDS!$V$9*($AM580-WeightSDS!$W$9)))</f>
        <v>0.75407122999999998</v>
      </c>
      <c r="AP580" s="4">
        <f>IF(D580="M",IF($AM580&lt;45,WeightSDS!M$23*$AM580^10+WeightSDS!N$23*$AM580^9+WeightSDS!O$23*$AM580^8+WeightSDS!P$23*$AM580^7+WeightSDS!Q$23*$AM580^6+WeightSDS!R$23*$AM580^5+WeightSDS!S$23*$AM580^4+WeightSDS!T$23*$AM580^3+WeightSDS!U$23*$AM580^2+WeightSDS!V$23*$AM580+WeightSDS!W$23,IF($AM580&lt;153,WeightSDS!M$25*$AM580^10+WeightSDS!N$25*$AM580^9+WeightSDS!O$25*$AM580^8+WeightSDS!P$25*$AM580^7+WeightSDS!Q$25*$AM580^6+WeightSDS!R$25*$AM580^5+WeightSDS!S$25*$AM580^4+WeightSDS!T$25*$AM580^3+WeightSDS!U$25*$AM580^2+WeightSDS!V$25*$AM580+WeightSDS!W$25,WeightSDS!M$27+WeightSDS!N$27/(1+EXP(WeightSDS!O$27+WeightSDS!P$27*$AM580)))),IF($AM580&lt;43.8,WeightSDS!M$29*$AM580^10+WeightSDS!N$29*$AM580^9+WeightSDS!O$29*$AM580^8+WeightSDS!P$29*$AM580^7+WeightSDS!Q$29*$AM580^6+WeightSDS!R$29*$AM580^5+WeightSDS!S$29*$AM580^4+WeightSDS!T$29*$AM580^3+WeightSDS!U$29*$AM580^2+WeightSDS!V$29*$AM580+WeightSDS!W$29-0.010431*(1-$AM580/210),IF($AM580&lt;123,WeightSDS!M$30*$AM580^10+WeightSDS!N$30*$AM580^9+WeightSDS!O$30*$AM580^8+WeightSDS!P$30*$AM580^7+WeightSDS!Q$30*$AM580^6+WeightSDS!R$30*$AM580^5+WeightSDS!S$30*$AM580^4+WeightSDS!T$30*$AM580^3+WeightSDS!U$30*$AM580^2+WeightSDS!V$30*$AM580+WeightSDS!W$30-0.010431*(1-1/$AM580),WeightSDS!M$32+WeightSDS!N$32/(1+EXP(WeightSDS!O$32+WeightSDS!P$32*$AM580))-0.010431*(1-$AM580/210))))</f>
        <v>2.9500001032655536</v>
      </c>
      <c r="AQ580" s="4">
        <f>IF(D580="M",IF($AM580&lt;162,WeightSDS!P$12*$AM580^7+WeightSDS!Q$12*$AM580^6+WeightSDS!R$12*$AM580^5+WeightSDS!S$12*$AM580^4+WeightSDS!T$12*$AM580^3+WeightSDS!U$12*$AM580^2+WeightSDS!V$12*$AM580+WeightSDS!W$12,WeightSDS!P$14*$AM580^7+WeightSDS!Q$14*$AM580^6+WeightSDS!R$14*$AM580^5+WeightSDS!S$14*$AM580^4+WeightSDS!T$14*$AM580^3+WeightSDS!U$14*$AM580^2+WeightSDS!V$14*$AM580+WeightSDS!W$14),IF($AM580&lt;156,WeightSDS!O$17*$AM580^8+WeightSDS!P$17*$AM580^7+WeightSDS!Q$17*$AM580^6+WeightSDS!R$17*$AM580^5+WeightSDS!S$17*$AM580^4+WeightSDS!T$17*$AM580^3+WeightSDS!U$17*$AM580^2+WeightSDS!V$17*$AM580+WeightSDS!W$17,IF($AM580&lt;186,WeightSDS!$U$18+(WeightSDS!$V$18-WeightSDS!$U$18)/24*($AM580-186)+WeightSDS!$W$18*(-$AM580+186)^2-0.005,WeightSDS!$U$18+(WeightSDS!$V$18-WeightSDS!$U$18)/24*($AM580-186)-0.005)))</f>
        <v>0.14604529399999999</v>
      </c>
      <c r="AT580" s="4">
        <f t="shared" si="196"/>
        <v>0.56299999999999994</v>
      </c>
      <c r="AU580" s="4">
        <f t="shared" si="197"/>
        <v>69</v>
      </c>
      <c r="AV580" s="4">
        <f t="shared" si="198"/>
        <v>0.51</v>
      </c>
    </row>
    <row r="581" spans="1:48" x14ac:dyDescent="0.15">
      <c r="A581" s="4"/>
      <c r="B581" s="21"/>
      <c r="C581" s="21"/>
      <c r="D581" s="21"/>
      <c r="E581" s="22"/>
      <c r="F581" s="22"/>
      <c r="G581" s="23"/>
      <c r="H581" s="23"/>
      <c r="I581" s="181"/>
      <c r="J581" s="8" t="str">
        <f t="shared" si="190"/>
        <v/>
      </c>
      <c r="K581" s="2" t="str">
        <f t="shared" si="199"/>
        <v/>
      </c>
      <c r="L581" s="2" t="str">
        <f t="shared" si="191"/>
        <v/>
      </c>
      <c r="M581" s="2" t="str">
        <f t="shared" si="200"/>
        <v/>
      </c>
      <c r="N581" s="2" t="str">
        <f t="shared" si="187"/>
        <v/>
      </c>
      <c r="O581" s="2" t="str">
        <f t="shared" si="201"/>
        <v/>
      </c>
      <c r="P581" s="8" t="str">
        <f t="shared" si="202"/>
        <v/>
      </c>
      <c r="Q581" s="8" t="str">
        <f t="shared" si="203"/>
        <v/>
      </c>
      <c r="R581" s="111" t="str">
        <f t="shared" si="204"/>
        <v/>
      </c>
      <c r="S581" s="44" t="str">
        <f t="shared" si="205"/>
        <v/>
      </c>
      <c r="T581" s="37" t="str">
        <f t="shared" si="206"/>
        <v/>
      </c>
      <c r="U581" s="44" t="str">
        <f t="shared" si="207"/>
        <v/>
      </c>
      <c r="V581" s="26"/>
      <c r="W581" s="26"/>
      <c r="X581" s="26"/>
      <c r="Y581" s="26"/>
      <c r="Z581" s="24"/>
      <c r="AA581" s="169">
        <f t="shared" si="192"/>
        <v>0</v>
      </c>
      <c r="AB581" s="4">
        <f t="shared" si="193"/>
        <v>0</v>
      </c>
      <c r="AC581" s="170">
        <f t="shared" si="189"/>
        <v>0</v>
      </c>
      <c r="AD581" s="58"/>
      <c r="AE581" s="58"/>
      <c r="AF581" s="58"/>
      <c r="AG581" s="59">
        <f t="shared" si="194"/>
        <v>9.0359999999999996</v>
      </c>
      <c r="AH581" s="59">
        <f t="shared" si="195"/>
        <v>-184.49199999999999</v>
      </c>
      <c r="AJ581" s="4">
        <f>IF(D581="M",IF(AM581&lt;78,BMILMS!$D$5*AM581^3+BMILMS!$E$5*AM581^2+BMILMS!$F$5*AM581+BMILMS!$G$5,IF(AM581&lt;150,BMILMS!$D$6*AM581^3+BMILMS!$E$6*AM581^2+BMILMS!$F$6*AM581+BMILMS!$G$6,BMILMS!$D$7*AM581^3+BMILMS!$E$7*AM581^2+BMILMS!$F$7*AM581+BMILMS!$G$7)),IF(AM581&lt;69,BMILMS!$D$9*AM581^3+BMILMS!$E$9*AM581^2+BMILMS!$F$9*AM581+BMILMS!$G$9,IF(AM581&lt;150,BMILMS!$D$10*AM581^3+BMILMS!$E$10*AM581^2+BMILMS!$F$10*AM581+BMILMS!$G$10,BMILMS!$D$11*AM581^3+BMILMS!$E$11*AM581^2+BMILMS!$F$11*AM581+BMILMS!$G$11)))</f>
        <v>0.79584630099999998</v>
      </c>
      <c r="AK581" s="4">
        <f>IF(D581="M",(IF(AM581&lt;2.5,BMILMS!$D$21*AM581^3+BMILMS!$E$21*AM581^2+BMILMS!$F$21*AM581+BMILMS!$G$21,IF(AM581&lt;9.5,BMILMS!$D$22*AM581^3+BMILMS!$E$22*AM581^2+BMILMS!$F$22*AM581+BMILMS!$G$22,IF(AM581&lt;26.75,BMILMS!$D$23*AM581^3+BMILMS!$E$23*AM581^2+BMILMS!$F$23*AM581+BMILMS!$G$23,IF(AM581&lt;90,BMILMS!$D$24*AM581^3+BMILMS!$E$24*AM581^2+BMILMS!$F$24*AM581+BMILMS!$G$24,BMILMS!$D$25*AM581^3+BMILMS!$E$25*AM581^2+BMILMS!$F$25*AM581+BMILMS!$G$25))))),(IF(AM581&lt;2.5,BMILMS!$D$27*AM581^3+BMILMS!$E$27*AM581^2+BMILMS!$F$27*AM581+BMILMS!$G$27,IF(AM581&lt;9.5,BMILMS!$D$28*AM581^3+BMILMS!$E$28*AM581^2+BMILMS!$F$28*AM581+BMILMS!$G$28,IF(AM581&lt;26.75,BMILMS!$D$29*AM581^3+BMILMS!$E$29*AM581^2+BMILMS!$F$29*AM581+BMILMS!$G$29,IF(AM581&lt;90,BMILMS!$D$30*AM581^3+BMILMS!$E$30*AM581^2+BMILMS!$F$30*AM581+BMILMS!$G$30,IF(AM581&lt;150,BMILMS!$D$31*AM581^3+BMILMS!$E$31*AM581^2+BMILMS!$F$31*AM581+BMILMS!$G$31,BMILMS!$D$32*AM581^3+BMILMS!$E$32*AM581^2+BMILMS!$F$32*AM581+BMILMS!$G$32)))))))</f>
        <v>12.568967990000001</v>
      </c>
      <c r="AL581" s="4">
        <f>IF(D581="M",(IF(AM581&lt;90,BMILMS!$D$14*AM581^3+BMILMS!$E$14*AM581^2+BMILMS!$F$14*AM581+BMILMS!$G$14,BMILMS!$D$15*AM581^3+BMILMS!$E$15*AM581^2+BMILMS!$F$15*AM581+BMILMS!$G$15)),(IF(AM581&lt;90,BMILMS!$D$17*AM581^3+BMILMS!$E$17*AM581^2+BMILMS!$F$17*AM581+BMILMS!$G$17,BMILMS!$D$18*AM581^3+BMILMS!$E$18*AM581^2+BMILMS!$F$18*AM581+BMILMS!$G$18)))</f>
        <v>8.8969350000000003E-2</v>
      </c>
      <c r="AM581" s="4">
        <f t="shared" si="188"/>
        <v>0</v>
      </c>
      <c r="AO581" s="56">
        <f>IF(D581="M",WeightSDS!P$5*$AM581^7+WeightSDS!Q$5*$AM581^6+WeightSDS!R$5*$AM581^5+WeightSDS!S$5*$AM581^4+WeightSDS!T$5*$AM581^3+WeightSDS!U$5*$AM581^2+WeightSDS!V$5*$AM581+WeightSDS!W$5,IF($AM581&lt;186,WeightSDS!P$8*$AM581^7+WeightSDS!Q$8*$AM581^6+WeightSDS!R$8*$AM581^5+WeightSDS!S$8*$AM581^4+WeightSDS!T$8*$AM581^3+WeightSDS!U$8*$AM581^2+WeightSDS!V$8*$AM581+WeightSDS!W$8,WeightSDS!$U$9+WeightSDS!$V$9*($AM581-WeightSDS!$W$9)))</f>
        <v>0.75407122999999998</v>
      </c>
      <c r="AP581" s="4">
        <f>IF(D581="M",IF($AM581&lt;45,WeightSDS!M$23*$AM581^10+WeightSDS!N$23*$AM581^9+WeightSDS!O$23*$AM581^8+WeightSDS!P$23*$AM581^7+WeightSDS!Q$23*$AM581^6+WeightSDS!R$23*$AM581^5+WeightSDS!S$23*$AM581^4+WeightSDS!T$23*$AM581^3+WeightSDS!U$23*$AM581^2+WeightSDS!V$23*$AM581+WeightSDS!W$23,IF($AM581&lt;153,WeightSDS!M$25*$AM581^10+WeightSDS!N$25*$AM581^9+WeightSDS!O$25*$AM581^8+WeightSDS!P$25*$AM581^7+WeightSDS!Q$25*$AM581^6+WeightSDS!R$25*$AM581^5+WeightSDS!S$25*$AM581^4+WeightSDS!T$25*$AM581^3+WeightSDS!U$25*$AM581^2+WeightSDS!V$25*$AM581+WeightSDS!W$25,WeightSDS!M$27+WeightSDS!N$27/(1+EXP(WeightSDS!O$27+WeightSDS!P$27*$AM581)))),IF($AM581&lt;43.8,WeightSDS!M$29*$AM581^10+WeightSDS!N$29*$AM581^9+WeightSDS!O$29*$AM581^8+WeightSDS!P$29*$AM581^7+WeightSDS!Q$29*$AM581^6+WeightSDS!R$29*$AM581^5+WeightSDS!S$29*$AM581^4+WeightSDS!T$29*$AM581^3+WeightSDS!U$29*$AM581^2+WeightSDS!V$29*$AM581+WeightSDS!W$29-0.010431*(1-$AM581/210),IF($AM581&lt;123,WeightSDS!M$30*$AM581^10+WeightSDS!N$30*$AM581^9+WeightSDS!O$30*$AM581^8+WeightSDS!P$30*$AM581^7+WeightSDS!Q$30*$AM581^6+WeightSDS!R$30*$AM581^5+WeightSDS!S$30*$AM581^4+WeightSDS!T$30*$AM581^3+WeightSDS!U$30*$AM581^2+WeightSDS!V$30*$AM581+WeightSDS!W$30-0.010431*(1-1/$AM581),WeightSDS!M$32+WeightSDS!N$32/(1+EXP(WeightSDS!O$32+WeightSDS!P$32*$AM581))-0.010431*(1-$AM581/210))))</f>
        <v>2.9500001032655536</v>
      </c>
      <c r="AQ581" s="4">
        <f>IF(D581="M",IF($AM581&lt;162,WeightSDS!P$12*$AM581^7+WeightSDS!Q$12*$AM581^6+WeightSDS!R$12*$AM581^5+WeightSDS!S$12*$AM581^4+WeightSDS!T$12*$AM581^3+WeightSDS!U$12*$AM581^2+WeightSDS!V$12*$AM581+WeightSDS!W$12,WeightSDS!P$14*$AM581^7+WeightSDS!Q$14*$AM581^6+WeightSDS!R$14*$AM581^5+WeightSDS!S$14*$AM581^4+WeightSDS!T$14*$AM581^3+WeightSDS!U$14*$AM581^2+WeightSDS!V$14*$AM581+WeightSDS!W$14),IF($AM581&lt;156,WeightSDS!O$17*$AM581^8+WeightSDS!P$17*$AM581^7+WeightSDS!Q$17*$AM581^6+WeightSDS!R$17*$AM581^5+WeightSDS!S$17*$AM581^4+WeightSDS!T$17*$AM581^3+WeightSDS!U$17*$AM581^2+WeightSDS!V$17*$AM581+WeightSDS!W$17,IF($AM581&lt;186,WeightSDS!$U$18+(WeightSDS!$V$18-WeightSDS!$U$18)/24*($AM581-186)+WeightSDS!$W$18*(-$AM581+186)^2-0.005,WeightSDS!$U$18+(WeightSDS!$V$18-WeightSDS!$U$18)/24*($AM581-186)-0.005)))</f>
        <v>0.14604529399999999</v>
      </c>
      <c r="AT581" s="4">
        <f t="shared" si="196"/>
        <v>0.56299999999999994</v>
      </c>
      <c r="AU581" s="4">
        <f t="shared" si="197"/>
        <v>69</v>
      </c>
      <c r="AV581" s="4">
        <f t="shared" si="198"/>
        <v>0.51</v>
      </c>
    </row>
    <row r="582" spans="1:48" x14ac:dyDescent="0.15">
      <c r="A582" s="4"/>
      <c r="B582" s="21"/>
      <c r="C582" s="21"/>
      <c r="D582" s="21"/>
      <c r="E582" s="22"/>
      <c r="F582" s="22"/>
      <c r="G582" s="23"/>
      <c r="H582" s="23"/>
      <c r="I582" s="181"/>
      <c r="J582" s="8" t="str">
        <f t="shared" si="190"/>
        <v/>
      </c>
      <c r="K582" s="2" t="str">
        <f t="shared" si="199"/>
        <v/>
      </c>
      <c r="L582" s="2" t="str">
        <f t="shared" si="191"/>
        <v/>
      </c>
      <c r="M582" s="2" t="str">
        <f t="shared" si="200"/>
        <v/>
      </c>
      <c r="N582" s="2" t="str">
        <f t="shared" si="187"/>
        <v/>
      </c>
      <c r="O582" s="2" t="str">
        <f t="shared" si="201"/>
        <v/>
      </c>
      <c r="P582" s="8" t="str">
        <f t="shared" si="202"/>
        <v/>
      </c>
      <c r="Q582" s="8" t="str">
        <f t="shared" si="203"/>
        <v/>
      </c>
      <c r="R582" s="111" t="str">
        <f t="shared" si="204"/>
        <v/>
      </c>
      <c r="S582" s="44" t="str">
        <f t="shared" si="205"/>
        <v/>
      </c>
      <c r="T582" s="37" t="str">
        <f t="shared" si="206"/>
        <v/>
      </c>
      <c r="U582" s="44" t="str">
        <f t="shared" si="207"/>
        <v/>
      </c>
      <c r="V582" s="26"/>
      <c r="W582" s="26"/>
      <c r="X582" s="26"/>
      <c r="Y582" s="26"/>
      <c r="Z582" s="24"/>
      <c r="AA582" s="169">
        <f t="shared" si="192"/>
        <v>0</v>
      </c>
      <c r="AB582" s="4">
        <f t="shared" si="193"/>
        <v>0</v>
      </c>
      <c r="AC582" s="170">
        <f t="shared" si="189"/>
        <v>0</v>
      </c>
      <c r="AD582" s="58"/>
      <c r="AE582" s="58"/>
      <c r="AF582" s="58"/>
      <c r="AG582" s="59">
        <f t="shared" si="194"/>
        <v>9.0359999999999996</v>
      </c>
      <c r="AH582" s="59">
        <f t="shared" si="195"/>
        <v>-184.49199999999999</v>
      </c>
      <c r="AJ582" s="4">
        <f>IF(D582="M",IF(AM582&lt;78,BMILMS!$D$5*AM582^3+BMILMS!$E$5*AM582^2+BMILMS!$F$5*AM582+BMILMS!$G$5,IF(AM582&lt;150,BMILMS!$D$6*AM582^3+BMILMS!$E$6*AM582^2+BMILMS!$F$6*AM582+BMILMS!$G$6,BMILMS!$D$7*AM582^3+BMILMS!$E$7*AM582^2+BMILMS!$F$7*AM582+BMILMS!$G$7)),IF(AM582&lt;69,BMILMS!$D$9*AM582^3+BMILMS!$E$9*AM582^2+BMILMS!$F$9*AM582+BMILMS!$G$9,IF(AM582&lt;150,BMILMS!$D$10*AM582^3+BMILMS!$E$10*AM582^2+BMILMS!$F$10*AM582+BMILMS!$G$10,BMILMS!$D$11*AM582^3+BMILMS!$E$11*AM582^2+BMILMS!$F$11*AM582+BMILMS!$G$11)))</f>
        <v>0.79584630099999998</v>
      </c>
      <c r="AK582" s="4">
        <f>IF(D582="M",(IF(AM582&lt;2.5,BMILMS!$D$21*AM582^3+BMILMS!$E$21*AM582^2+BMILMS!$F$21*AM582+BMILMS!$G$21,IF(AM582&lt;9.5,BMILMS!$D$22*AM582^3+BMILMS!$E$22*AM582^2+BMILMS!$F$22*AM582+BMILMS!$G$22,IF(AM582&lt;26.75,BMILMS!$D$23*AM582^3+BMILMS!$E$23*AM582^2+BMILMS!$F$23*AM582+BMILMS!$G$23,IF(AM582&lt;90,BMILMS!$D$24*AM582^3+BMILMS!$E$24*AM582^2+BMILMS!$F$24*AM582+BMILMS!$G$24,BMILMS!$D$25*AM582^3+BMILMS!$E$25*AM582^2+BMILMS!$F$25*AM582+BMILMS!$G$25))))),(IF(AM582&lt;2.5,BMILMS!$D$27*AM582^3+BMILMS!$E$27*AM582^2+BMILMS!$F$27*AM582+BMILMS!$G$27,IF(AM582&lt;9.5,BMILMS!$D$28*AM582^3+BMILMS!$E$28*AM582^2+BMILMS!$F$28*AM582+BMILMS!$G$28,IF(AM582&lt;26.75,BMILMS!$D$29*AM582^3+BMILMS!$E$29*AM582^2+BMILMS!$F$29*AM582+BMILMS!$G$29,IF(AM582&lt;90,BMILMS!$D$30*AM582^3+BMILMS!$E$30*AM582^2+BMILMS!$F$30*AM582+BMILMS!$G$30,IF(AM582&lt;150,BMILMS!$D$31*AM582^3+BMILMS!$E$31*AM582^2+BMILMS!$F$31*AM582+BMILMS!$G$31,BMILMS!$D$32*AM582^3+BMILMS!$E$32*AM582^2+BMILMS!$F$32*AM582+BMILMS!$G$32)))))))</f>
        <v>12.568967990000001</v>
      </c>
      <c r="AL582" s="4">
        <f>IF(D582="M",(IF(AM582&lt;90,BMILMS!$D$14*AM582^3+BMILMS!$E$14*AM582^2+BMILMS!$F$14*AM582+BMILMS!$G$14,BMILMS!$D$15*AM582^3+BMILMS!$E$15*AM582^2+BMILMS!$F$15*AM582+BMILMS!$G$15)),(IF(AM582&lt;90,BMILMS!$D$17*AM582^3+BMILMS!$E$17*AM582^2+BMILMS!$F$17*AM582+BMILMS!$G$17,BMILMS!$D$18*AM582^3+BMILMS!$E$18*AM582^2+BMILMS!$F$18*AM582+BMILMS!$G$18)))</f>
        <v>8.8969350000000003E-2</v>
      </c>
      <c r="AM582" s="4">
        <f t="shared" si="188"/>
        <v>0</v>
      </c>
      <c r="AO582" s="56">
        <f>IF(D582="M",WeightSDS!P$5*$AM582^7+WeightSDS!Q$5*$AM582^6+WeightSDS!R$5*$AM582^5+WeightSDS!S$5*$AM582^4+WeightSDS!T$5*$AM582^3+WeightSDS!U$5*$AM582^2+WeightSDS!V$5*$AM582+WeightSDS!W$5,IF($AM582&lt;186,WeightSDS!P$8*$AM582^7+WeightSDS!Q$8*$AM582^6+WeightSDS!R$8*$AM582^5+WeightSDS!S$8*$AM582^4+WeightSDS!T$8*$AM582^3+WeightSDS!U$8*$AM582^2+WeightSDS!V$8*$AM582+WeightSDS!W$8,WeightSDS!$U$9+WeightSDS!$V$9*($AM582-WeightSDS!$W$9)))</f>
        <v>0.75407122999999998</v>
      </c>
      <c r="AP582" s="4">
        <f>IF(D582="M",IF($AM582&lt;45,WeightSDS!M$23*$AM582^10+WeightSDS!N$23*$AM582^9+WeightSDS!O$23*$AM582^8+WeightSDS!P$23*$AM582^7+WeightSDS!Q$23*$AM582^6+WeightSDS!R$23*$AM582^5+WeightSDS!S$23*$AM582^4+WeightSDS!T$23*$AM582^3+WeightSDS!U$23*$AM582^2+WeightSDS!V$23*$AM582+WeightSDS!W$23,IF($AM582&lt;153,WeightSDS!M$25*$AM582^10+WeightSDS!N$25*$AM582^9+WeightSDS!O$25*$AM582^8+WeightSDS!P$25*$AM582^7+WeightSDS!Q$25*$AM582^6+WeightSDS!R$25*$AM582^5+WeightSDS!S$25*$AM582^4+WeightSDS!T$25*$AM582^3+WeightSDS!U$25*$AM582^2+WeightSDS!V$25*$AM582+WeightSDS!W$25,WeightSDS!M$27+WeightSDS!N$27/(1+EXP(WeightSDS!O$27+WeightSDS!P$27*$AM582)))),IF($AM582&lt;43.8,WeightSDS!M$29*$AM582^10+WeightSDS!N$29*$AM582^9+WeightSDS!O$29*$AM582^8+WeightSDS!P$29*$AM582^7+WeightSDS!Q$29*$AM582^6+WeightSDS!R$29*$AM582^5+WeightSDS!S$29*$AM582^4+WeightSDS!T$29*$AM582^3+WeightSDS!U$29*$AM582^2+WeightSDS!V$29*$AM582+WeightSDS!W$29-0.010431*(1-$AM582/210),IF($AM582&lt;123,WeightSDS!M$30*$AM582^10+WeightSDS!N$30*$AM582^9+WeightSDS!O$30*$AM582^8+WeightSDS!P$30*$AM582^7+WeightSDS!Q$30*$AM582^6+WeightSDS!R$30*$AM582^5+WeightSDS!S$30*$AM582^4+WeightSDS!T$30*$AM582^3+WeightSDS!U$30*$AM582^2+WeightSDS!V$30*$AM582+WeightSDS!W$30-0.010431*(1-1/$AM582),WeightSDS!M$32+WeightSDS!N$32/(1+EXP(WeightSDS!O$32+WeightSDS!P$32*$AM582))-0.010431*(1-$AM582/210))))</f>
        <v>2.9500001032655536</v>
      </c>
      <c r="AQ582" s="4">
        <f>IF(D582="M",IF($AM582&lt;162,WeightSDS!P$12*$AM582^7+WeightSDS!Q$12*$AM582^6+WeightSDS!R$12*$AM582^5+WeightSDS!S$12*$AM582^4+WeightSDS!T$12*$AM582^3+WeightSDS!U$12*$AM582^2+WeightSDS!V$12*$AM582+WeightSDS!W$12,WeightSDS!P$14*$AM582^7+WeightSDS!Q$14*$AM582^6+WeightSDS!R$14*$AM582^5+WeightSDS!S$14*$AM582^4+WeightSDS!T$14*$AM582^3+WeightSDS!U$14*$AM582^2+WeightSDS!V$14*$AM582+WeightSDS!W$14),IF($AM582&lt;156,WeightSDS!O$17*$AM582^8+WeightSDS!P$17*$AM582^7+WeightSDS!Q$17*$AM582^6+WeightSDS!R$17*$AM582^5+WeightSDS!S$17*$AM582^4+WeightSDS!T$17*$AM582^3+WeightSDS!U$17*$AM582^2+WeightSDS!V$17*$AM582+WeightSDS!W$17,IF($AM582&lt;186,WeightSDS!$U$18+(WeightSDS!$V$18-WeightSDS!$U$18)/24*($AM582-186)+WeightSDS!$W$18*(-$AM582+186)^2-0.005,WeightSDS!$U$18+(WeightSDS!$V$18-WeightSDS!$U$18)/24*($AM582-186)-0.005)))</f>
        <v>0.14604529399999999</v>
      </c>
      <c r="AT582" s="4">
        <f t="shared" si="196"/>
        <v>0.56299999999999994</v>
      </c>
      <c r="AU582" s="4">
        <f t="shared" si="197"/>
        <v>69</v>
      </c>
      <c r="AV582" s="4">
        <f t="shared" si="198"/>
        <v>0.51</v>
      </c>
    </row>
    <row r="583" spans="1:48" x14ac:dyDescent="0.15">
      <c r="A583" s="4"/>
      <c r="B583" s="21"/>
      <c r="C583" s="21"/>
      <c r="D583" s="21"/>
      <c r="E583" s="22"/>
      <c r="F583" s="22"/>
      <c r="G583" s="23"/>
      <c r="H583" s="23"/>
      <c r="I583" s="181"/>
      <c r="J583" s="8" t="str">
        <f t="shared" si="190"/>
        <v/>
      </c>
      <c r="K583" s="2" t="str">
        <f t="shared" si="199"/>
        <v/>
      </c>
      <c r="L583" s="2" t="str">
        <f t="shared" si="191"/>
        <v/>
      </c>
      <c r="M583" s="2" t="str">
        <f t="shared" si="200"/>
        <v/>
      </c>
      <c r="N583" s="2" t="str">
        <f t="shared" si="187"/>
        <v/>
      </c>
      <c r="O583" s="2" t="str">
        <f t="shared" si="201"/>
        <v/>
      </c>
      <c r="P583" s="8" t="str">
        <f t="shared" si="202"/>
        <v/>
      </c>
      <c r="Q583" s="8" t="str">
        <f t="shared" si="203"/>
        <v/>
      </c>
      <c r="R583" s="111" t="str">
        <f t="shared" si="204"/>
        <v/>
      </c>
      <c r="S583" s="44" t="str">
        <f t="shared" si="205"/>
        <v/>
      </c>
      <c r="T583" s="37" t="str">
        <f t="shared" si="206"/>
        <v/>
      </c>
      <c r="U583" s="44" t="str">
        <f t="shared" si="207"/>
        <v/>
      </c>
      <c r="V583" s="26"/>
      <c r="W583" s="26"/>
      <c r="X583" s="26"/>
      <c r="Y583" s="26"/>
      <c r="Z583" s="24"/>
      <c r="AA583" s="169">
        <f t="shared" si="192"/>
        <v>0</v>
      </c>
      <c r="AB583" s="4">
        <f t="shared" si="193"/>
        <v>0</v>
      </c>
      <c r="AC583" s="170">
        <f t="shared" si="189"/>
        <v>0</v>
      </c>
      <c r="AD583" s="58"/>
      <c r="AE583" s="58"/>
      <c r="AF583" s="58"/>
      <c r="AG583" s="59">
        <f t="shared" si="194"/>
        <v>9.0359999999999996</v>
      </c>
      <c r="AH583" s="59">
        <f t="shared" si="195"/>
        <v>-184.49199999999999</v>
      </c>
      <c r="AJ583" s="4">
        <f>IF(D583="M",IF(AM583&lt;78,BMILMS!$D$5*AM583^3+BMILMS!$E$5*AM583^2+BMILMS!$F$5*AM583+BMILMS!$G$5,IF(AM583&lt;150,BMILMS!$D$6*AM583^3+BMILMS!$E$6*AM583^2+BMILMS!$F$6*AM583+BMILMS!$G$6,BMILMS!$D$7*AM583^3+BMILMS!$E$7*AM583^2+BMILMS!$F$7*AM583+BMILMS!$G$7)),IF(AM583&lt;69,BMILMS!$D$9*AM583^3+BMILMS!$E$9*AM583^2+BMILMS!$F$9*AM583+BMILMS!$G$9,IF(AM583&lt;150,BMILMS!$D$10*AM583^3+BMILMS!$E$10*AM583^2+BMILMS!$F$10*AM583+BMILMS!$G$10,BMILMS!$D$11*AM583^3+BMILMS!$E$11*AM583^2+BMILMS!$F$11*AM583+BMILMS!$G$11)))</f>
        <v>0.79584630099999998</v>
      </c>
      <c r="AK583" s="4">
        <f>IF(D583="M",(IF(AM583&lt;2.5,BMILMS!$D$21*AM583^3+BMILMS!$E$21*AM583^2+BMILMS!$F$21*AM583+BMILMS!$G$21,IF(AM583&lt;9.5,BMILMS!$D$22*AM583^3+BMILMS!$E$22*AM583^2+BMILMS!$F$22*AM583+BMILMS!$G$22,IF(AM583&lt;26.75,BMILMS!$D$23*AM583^3+BMILMS!$E$23*AM583^2+BMILMS!$F$23*AM583+BMILMS!$G$23,IF(AM583&lt;90,BMILMS!$D$24*AM583^3+BMILMS!$E$24*AM583^2+BMILMS!$F$24*AM583+BMILMS!$G$24,BMILMS!$D$25*AM583^3+BMILMS!$E$25*AM583^2+BMILMS!$F$25*AM583+BMILMS!$G$25))))),(IF(AM583&lt;2.5,BMILMS!$D$27*AM583^3+BMILMS!$E$27*AM583^2+BMILMS!$F$27*AM583+BMILMS!$G$27,IF(AM583&lt;9.5,BMILMS!$D$28*AM583^3+BMILMS!$E$28*AM583^2+BMILMS!$F$28*AM583+BMILMS!$G$28,IF(AM583&lt;26.75,BMILMS!$D$29*AM583^3+BMILMS!$E$29*AM583^2+BMILMS!$F$29*AM583+BMILMS!$G$29,IF(AM583&lt;90,BMILMS!$D$30*AM583^3+BMILMS!$E$30*AM583^2+BMILMS!$F$30*AM583+BMILMS!$G$30,IF(AM583&lt;150,BMILMS!$D$31*AM583^3+BMILMS!$E$31*AM583^2+BMILMS!$F$31*AM583+BMILMS!$G$31,BMILMS!$D$32*AM583^3+BMILMS!$E$32*AM583^2+BMILMS!$F$32*AM583+BMILMS!$G$32)))))))</f>
        <v>12.568967990000001</v>
      </c>
      <c r="AL583" s="4">
        <f>IF(D583="M",(IF(AM583&lt;90,BMILMS!$D$14*AM583^3+BMILMS!$E$14*AM583^2+BMILMS!$F$14*AM583+BMILMS!$G$14,BMILMS!$D$15*AM583^3+BMILMS!$E$15*AM583^2+BMILMS!$F$15*AM583+BMILMS!$G$15)),(IF(AM583&lt;90,BMILMS!$D$17*AM583^3+BMILMS!$E$17*AM583^2+BMILMS!$F$17*AM583+BMILMS!$G$17,BMILMS!$D$18*AM583^3+BMILMS!$E$18*AM583^2+BMILMS!$F$18*AM583+BMILMS!$G$18)))</f>
        <v>8.8969350000000003E-2</v>
      </c>
      <c r="AM583" s="4">
        <f t="shared" si="188"/>
        <v>0</v>
      </c>
      <c r="AO583" s="56">
        <f>IF(D583="M",WeightSDS!P$5*$AM583^7+WeightSDS!Q$5*$AM583^6+WeightSDS!R$5*$AM583^5+WeightSDS!S$5*$AM583^4+WeightSDS!T$5*$AM583^3+WeightSDS!U$5*$AM583^2+WeightSDS!V$5*$AM583+WeightSDS!W$5,IF($AM583&lt;186,WeightSDS!P$8*$AM583^7+WeightSDS!Q$8*$AM583^6+WeightSDS!R$8*$AM583^5+WeightSDS!S$8*$AM583^4+WeightSDS!T$8*$AM583^3+WeightSDS!U$8*$AM583^2+WeightSDS!V$8*$AM583+WeightSDS!W$8,WeightSDS!$U$9+WeightSDS!$V$9*($AM583-WeightSDS!$W$9)))</f>
        <v>0.75407122999999998</v>
      </c>
      <c r="AP583" s="4">
        <f>IF(D583="M",IF($AM583&lt;45,WeightSDS!M$23*$AM583^10+WeightSDS!N$23*$AM583^9+WeightSDS!O$23*$AM583^8+WeightSDS!P$23*$AM583^7+WeightSDS!Q$23*$AM583^6+WeightSDS!R$23*$AM583^5+WeightSDS!S$23*$AM583^4+WeightSDS!T$23*$AM583^3+WeightSDS!U$23*$AM583^2+WeightSDS!V$23*$AM583+WeightSDS!W$23,IF($AM583&lt;153,WeightSDS!M$25*$AM583^10+WeightSDS!N$25*$AM583^9+WeightSDS!O$25*$AM583^8+WeightSDS!P$25*$AM583^7+WeightSDS!Q$25*$AM583^6+WeightSDS!R$25*$AM583^5+WeightSDS!S$25*$AM583^4+WeightSDS!T$25*$AM583^3+WeightSDS!U$25*$AM583^2+WeightSDS!V$25*$AM583+WeightSDS!W$25,WeightSDS!M$27+WeightSDS!N$27/(1+EXP(WeightSDS!O$27+WeightSDS!P$27*$AM583)))),IF($AM583&lt;43.8,WeightSDS!M$29*$AM583^10+WeightSDS!N$29*$AM583^9+WeightSDS!O$29*$AM583^8+WeightSDS!P$29*$AM583^7+WeightSDS!Q$29*$AM583^6+WeightSDS!R$29*$AM583^5+WeightSDS!S$29*$AM583^4+WeightSDS!T$29*$AM583^3+WeightSDS!U$29*$AM583^2+WeightSDS!V$29*$AM583+WeightSDS!W$29-0.010431*(1-$AM583/210),IF($AM583&lt;123,WeightSDS!M$30*$AM583^10+WeightSDS!N$30*$AM583^9+WeightSDS!O$30*$AM583^8+WeightSDS!P$30*$AM583^7+WeightSDS!Q$30*$AM583^6+WeightSDS!R$30*$AM583^5+WeightSDS!S$30*$AM583^4+WeightSDS!T$30*$AM583^3+WeightSDS!U$30*$AM583^2+WeightSDS!V$30*$AM583+WeightSDS!W$30-0.010431*(1-1/$AM583),WeightSDS!M$32+WeightSDS!N$32/(1+EXP(WeightSDS!O$32+WeightSDS!P$32*$AM583))-0.010431*(1-$AM583/210))))</f>
        <v>2.9500001032655536</v>
      </c>
      <c r="AQ583" s="4">
        <f>IF(D583="M",IF($AM583&lt;162,WeightSDS!P$12*$AM583^7+WeightSDS!Q$12*$AM583^6+WeightSDS!R$12*$AM583^5+WeightSDS!S$12*$AM583^4+WeightSDS!T$12*$AM583^3+WeightSDS!U$12*$AM583^2+WeightSDS!V$12*$AM583+WeightSDS!W$12,WeightSDS!P$14*$AM583^7+WeightSDS!Q$14*$AM583^6+WeightSDS!R$14*$AM583^5+WeightSDS!S$14*$AM583^4+WeightSDS!T$14*$AM583^3+WeightSDS!U$14*$AM583^2+WeightSDS!V$14*$AM583+WeightSDS!W$14),IF($AM583&lt;156,WeightSDS!O$17*$AM583^8+WeightSDS!P$17*$AM583^7+WeightSDS!Q$17*$AM583^6+WeightSDS!R$17*$AM583^5+WeightSDS!S$17*$AM583^4+WeightSDS!T$17*$AM583^3+WeightSDS!U$17*$AM583^2+WeightSDS!V$17*$AM583+WeightSDS!W$17,IF($AM583&lt;186,WeightSDS!$U$18+(WeightSDS!$V$18-WeightSDS!$U$18)/24*($AM583-186)+WeightSDS!$W$18*(-$AM583+186)^2-0.005,WeightSDS!$U$18+(WeightSDS!$V$18-WeightSDS!$U$18)/24*($AM583-186)-0.005)))</f>
        <v>0.14604529399999999</v>
      </c>
      <c r="AT583" s="4">
        <f t="shared" si="196"/>
        <v>0.56299999999999994</v>
      </c>
      <c r="AU583" s="4">
        <f t="shared" si="197"/>
        <v>69</v>
      </c>
      <c r="AV583" s="4">
        <f t="shared" si="198"/>
        <v>0.51</v>
      </c>
    </row>
    <row r="584" spans="1:48" x14ac:dyDescent="0.15">
      <c r="A584" s="4"/>
      <c r="B584" s="21"/>
      <c r="C584" s="21"/>
      <c r="D584" s="21"/>
      <c r="E584" s="22"/>
      <c r="F584" s="22"/>
      <c r="G584" s="23"/>
      <c r="H584" s="23"/>
      <c r="I584" s="181"/>
      <c r="J584" s="8" t="str">
        <f t="shared" si="190"/>
        <v/>
      </c>
      <c r="K584" s="2" t="str">
        <f t="shared" si="199"/>
        <v/>
      </c>
      <c r="L584" s="2" t="str">
        <f t="shared" si="191"/>
        <v/>
      </c>
      <c r="M584" s="2" t="str">
        <f t="shared" si="200"/>
        <v/>
      </c>
      <c r="N584" s="2" t="str">
        <f t="shared" ref="N584:N647" si="208">IF(COUNTA(D584,E584,F584,G584,H584)=5,H584/G584^2*10000,"")</f>
        <v/>
      </c>
      <c r="O584" s="2" t="str">
        <f t="shared" si="201"/>
        <v/>
      </c>
      <c r="P584" s="8" t="str">
        <f t="shared" si="202"/>
        <v/>
      </c>
      <c r="Q584" s="8" t="str">
        <f t="shared" si="203"/>
        <v/>
      </c>
      <c r="R584" s="111" t="str">
        <f t="shared" si="204"/>
        <v/>
      </c>
      <c r="S584" s="44" t="str">
        <f t="shared" si="205"/>
        <v/>
      </c>
      <c r="T584" s="37" t="str">
        <f t="shared" si="206"/>
        <v/>
      </c>
      <c r="U584" s="44" t="str">
        <f t="shared" si="207"/>
        <v/>
      </c>
      <c r="V584" s="26"/>
      <c r="W584" s="26"/>
      <c r="X584" s="26"/>
      <c r="Y584" s="26"/>
      <c r="Z584" s="24"/>
      <c r="AA584" s="169">
        <f t="shared" si="192"/>
        <v>0</v>
      </c>
      <c r="AB584" s="4">
        <f t="shared" si="193"/>
        <v>0</v>
      </c>
      <c r="AC584" s="170">
        <f t="shared" si="189"/>
        <v>0</v>
      </c>
      <c r="AD584" s="58"/>
      <c r="AE584" s="58"/>
      <c r="AF584" s="58"/>
      <c r="AG584" s="59">
        <f t="shared" si="194"/>
        <v>9.0359999999999996</v>
      </c>
      <c r="AH584" s="59">
        <f t="shared" si="195"/>
        <v>-184.49199999999999</v>
      </c>
      <c r="AJ584" s="4">
        <f>IF(D584="M",IF(AM584&lt;78,BMILMS!$D$5*AM584^3+BMILMS!$E$5*AM584^2+BMILMS!$F$5*AM584+BMILMS!$G$5,IF(AM584&lt;150,BMILMS!$D$6*AM584^3+BMILMS!$E$6*AM584^2+BMILMS!$F$6*AM584+BMILMS!$G$6,BMILMS!$D$7*AM584^3+BMILMS!$E$7*AM584^2+BMILMS!$F$7*AM584+BMILMS!$G$7)),IF(AM584&lt;69,BMILMS!$D$9*AM584^3+BMILMS!$E$9*AM584^2+BMILMS!$F$9*AM584+BMILMS!$G$9,IF(AM584&lt;150,BMILMS!$D$10*AM584^3+BMILMS!$E$10*AM584^2+BMILMS!$F$10*AM584+BMILMS!$G$10,BMILMS!$D$11*AM584^3+BMILMS!$E$11*AM584^2+BMILMS!$F$11*AM584+BMILMS!$G$11)))</f>
        <v>0.79584630099999998</v>
      </c>
      <c r="AK584" s="4">
        <f>IF(D584="M",(IF(AM584&lt;2.5,BMILMS!$D$21*AM584^3+BMILMS!$E$21*AM584^2+BMILMS!$F$21*AM584+BMILMS!$G$21,IF(AM584&lt;9.5,BMILMS!$D$22*AM584^3+BMILMS!$E$22*AM584^2+BMILMS!$F$22*AM584+BMILMS!$G$22,IF(AM584&lt;26.75,BMILMS!$D$23*AM584^3+BMILMS!$E$23*AM584^2+BMILMS!$F$23*AM584+BMILMS!$G$23,IF(AM584&lt;90,BMILMS!$D$24*AM584^3+BMILMS!$E$24*AM584^2+BMILMS!$F$24*AM584+BMILMS!$G$24,BMILMS!$D$25*AM584^3+BMILMS!$E$25*AM584^2+BMILMS!$F$25*AM584+BMILMS!$G$25))))),(IF(AM584&lt;2.5,BMILMS!$D$27*AM584^3+BMILMS!$E$27*AM584^2+BMILMS!$F$27*AM584+BMILMS!$G$27,IF(AM584&lt;9.5,BMILMS!$D$28*AM584^3+BMILMS!$E$28*AM584^2+BMILMS!$F$28*AM584+BMILMS!$G$28,IF(AM584&lt;26.75,BMILMS!$D$29*AM584^3+BMILMS!$E$29*AM584^2+BMILMS!$F$29*AM584+BMILMS!$G$29,IF(AM584&lt;90,BMILMS!$D$30*AM584^3+BMILMS!$E$30*AM584^2+BMILMS!$F$30*AM584+BMILMS!$G$30,IF(AM584&lt;150,BMILMS!$D$31*AM584^3+BMILMS!$E$31*AM584^2+BMILMS!$F$31*AM584+BMILMS!$G$31,BMILMS!$D$32*AM584^3+BMILMS!$E$32*AM584^2+BMILMS!$F$32*AM584+BMILMS!$G$32)))))))</f>
        <v>12.568967990000001</v>
      </c>
      <c r="AL584" s="4">
        <f>IF(D584="M",(IF(AM584&lt;90,BMILMS!$D$14*AM584^3+BMILMS!$E$14*AM584^2+BMILMS!$F$14*AM584+BMILMS!$G$14,BMILMS!$D$15*AM584^3+BMILMS!$E$15*AM584^2+BMILMS!$F$15*AM584+BMILMS!$G$15)),(IF(AM584&lt;90,BMILMS!$D$17*AM584^3+BMILMS!$E$17*AM584^2+BMILMS!$F$17*AM584+BMILMS!$G$17,BMILMS!$D$18*AM584^3+BMILMS!$E$18*AM584^2+BMILMS!$F$18*AM584+BMILMS!$G$18)))</f>
        <v>8.8969350000000003E-2</v>
      </c>
      <c r="AM584" s="4">
        <f t="shared" ref="AM584:AM647" si="209">AA584*12+AB584</f>
        <v>0</v>
      </c>
      <c r="AO584" s="56">
        <f>IF(D584="M",WeightSDS!P$5*$AM584^7+WeightSDS!Q$5*$AM584^6+WeightSDS!R$5*$AM584^5+WeightSDS!S$5*$AM584^4+WeightSDS!T$5*$AM584^3+WeightSDS!U$5*$AM584^2+WeightSDS!V$5*$AM584+WeightSDS!W$5,IF($AM584&lt;186,WeightSDS!P$8*$AM584^7+WeightSDS!Q$8*$AM584^6+WeightSDS!R$8*$AM584^5+WeightSDS!S$8*$AM584^4+WeightSDS!T$8*$AM584^3+WeightSDS!U$8*$AM584^2+WeightSDS!V$8*$AM584+WeightSDS!W$8,WeightSDS!$U$9+WeightSDS!$V$9*($AM584-WeightSDS!$W$9)))</f>
        <v>0.75407122999999998</v>
      </c>
      <c r="AP584" s="4">
        <f>IF(D584="M",IF($AM584&lt;45,WeightSDS!M$23*$AM584^10+WeightSDS!N$23*$AM584^9+WeightSDS!O$23*$AM584^8+WeightSDS!P$23*$AM584^7+WeightSDS!Q$23*$AM584^6+WeightSDS!R$23*$AM584^5+WeightSDS!S$23*$AM584^4+WeightSDS!T$23*$AM584^3+WeightSDS!U$23*$AM584^2+WeightSDS!V$23*$AM584+WeightSDS!W$23,IF($AM584&lt;153,WeightSDS!M$25*$AM584^10+WeightSDS!N$25*$AM584^9+WeightSDS!O$25*$AM584^8+WeightSDS!P$25*$AM584^7+WeightSDS!Q$25*$AM584^6+WeightSDS!R$25*$AM584^5+WeightSDS!S$25*$AM584^4+WeightSDS!T$25*$AM584^3+WeightSDS!U$25*$AM584^2+WeightSDS!V$25*$AM584+WeightSDS!W$25,WeightSDS!M$27+WeightSDS!N$27/(1+EXP(WeightSDS!O$27+WeightSDS!P$27*$AM584)))),IF($AM584&lt;43.8,WeightSDS!M$29*$AM584^10+WeightSDS!N$29*$AM584^9+WeightSDS!O$29*$AM584^8+WeightSDS!P$29*$AM584^7+WeightSDS!Q$29*$AM584^6+WeightSDS!R$29*$AM584^5+WeightSDS!S$29*$AM584^4+WeightSDS!T$29*$AM584^3+WeightSDS!U$29*$AM584^2+WeightSDS!V$29*$AM584+WeightSDS!W$29-0.010431*(1-$AM584/210),IF($AM584&lt;123,WeightSDS!M$30*$AM584^10+WeightSDS!N$30*$AM584^9+WeightSDS!O$30*$AM584^8+WeightSDS!P$30*$AM584^7+WeightSDS!Q$30*$AM584^6+WeightSDS!R$30*$AM584^5+WeightSDS!S$30*$AM584^4+WeightSDS!T$30*$AM584^3+WeightSDS!U$30*$AM584^2+WeightSDS!V$30*$AM584+WeightSDS!W$30-0.010431*(1-1/$AM584),WeightSDS!M$32+WeightSDS!N$32/(1+EXP(WeightSDS!O$32+WeightSDS!P$32*$AM584))-0.010431*(1-$AM584/210))))</f>
        <v>2.9500001032655536</v>
      </c>
      <c r="AQ584" s="4">
        <f>IF(D584="M",IF($AM584&lt;162,WeightSDS!P$12*$AM584^7+WeightSDS!Q$12*$AM584^6+WeightSDS!R$12*$AM584^5+WeightSDS!S$12*$AM584^4+WeightSDS!T$12*$AM584^3+WeightSDS!U$12*$AM584^2+WeightSDS!V$12*$AM584+WeightSDS!W$12,WeightSDS!P$14*$AM584^7+WeightSDS!Q$14*$AM584^6+WeightSDS!R$14*$AM584^5+WeightSDS!S$14*$AM584^4+WeightSDS!T$14*$AM584^3+WeightSDS!U$14*$AM584^2+WeightSDS!V$14*$AM584+WeightSDS!W$14),IF($AM584&lt;156,WeightSDS!O$17*$AM584^8+WeightSDS!P$17*$AM584^7+WeightSDS!Q$17*$AM584^6+WeightSDS!R$17*$AM584^5+WeightSDS!S$17*$AM584^4+WeightSDS!T$17*$AM584^3+WeightSDS!U$17*$AM584^2+WeightSDS!V$17*$AM584+WeightSDS!W$17,IF($AM584&lt;186,WeightSDS!$U$18+(WeightSDS!$V$18-WeightSDS!$U$18)/24*($AM584-186)+WeightSDS!$W$18*(-$AM584+186)^2-0.005,WeightSDS!$U$18+(WeightSDS!$V$18-WeightSDS!$U$18)/24*($AM584-186)-0.005)))</f>
        <v>0.14604529399999999</v>
      </c>
      <c r="AT584" s="4">
        <f t="shared" si="196"/>
        <v>0.56299999999999994</v>
      </c>
      <c r="AU584" s="4">
        <f t="shared" si="197"/>
        <v>69</v>
      </c>
      <c r="AV584" s="4">
        <f t="shared" si="198"/>
        <v>0.51</v>
      </c>
    </row>
    <row r="585" spans="1:48" x14ac:dyDescent="0.15">
      <c r="A585" s="4"/>
      <c r="B585" s="21"/>
      <c r="C585" s="21"/>
      <c r="D585" s="21"/>
      <c r="E585" s="22"/>
      <c r="F585" s="22"/>
      <c r="G585" s="23"/>
      <c r="H585" s="23"/>
      <c r="I585" s="181"/>
      <c r="J585" s="8" t="str">
        <f t="shared" si="190"/>
        <v/>
      </c>
      <c r="K585" s="2" t="str">
        <f t="shared" si="199"/>
        <v/>
      </c>
      <c r="L585" s="2" t="str">
        <f t="shared" si="191"/>
        <v/>
      </c>
      <c r="M585" s="2" t="str">
        <f t="shared" si="200"/>
        <v/>
      </c>
      <c r="N585" s="2" t="str">
        <f t="shared" si="208"/>
        <v/>
      </c>
      <c r="O585" s="2" t="str">
        <f t="shared" si="201"/>
        <v/>
      </c>
      <c r="P585" s="8" t="str">
        <f t="shared" si="202"/>
        <v/>
      </c>
      <c r="Q585" s="8" t="str">
        <f t="shared" si="203"/>
        <v/>
      </c>
      <c r="R585" s="111" t="str">
        <f t="shared" si="204"/>
        <v/>
      </c>
      <c r="S585" s="44" t="str">
        <f t="shared" si="205"/>
        <v/>
      </c>
      <c r="T585" s="37" t="str">
        <f t="shared" si="206"/>
        <v/>
      </c>
      <c r="U585" s="44" t="str">
        <f t="shared" si="207"/>
        <v/>
      </c>
      <c r="V585" s="26"/>
      <c r="W585" s="26"/>
      <c r="X585" s="26"/>
      <c r="Y585" s="26"/>
      <c r="Z585" s="24"/>
      <c r="AA585" s="169">
        <f t="shared" si="192"/>
        <v>0</v>
      </c>
      <c r="AB585" s="4">
        <f t="shared" si="193"/>
        <v>0</v>
      </c>
      <c r="AC585" s="170">
        <f t="shared" si="189"/>
        <v>0</v>
      </c>
      <c r="AD585" s="58"/>
      <c r="AE585" s="58"/>
      <c r="AF585" s="58"/>
      <c r="AG585" s="59">
        <f t="shared" si="194"/>
        <v>9.0359999999999996</v>
      </c>
      <c r="AH585" s="59">
        <f t="shared" si="195"/>
        <v>-184.49199999999999</v>
      </c>
      <c r="AJ585" s="4">
        <f>IF(D585="M",IF(AM585&lt;78,BMILMS!$D$5*AM585^3+BMILMS!$E$5*AM585^2+BMILMS!$F$5*AM585+BMILMS!$G$5,IF(AM585&lt;150,BMILMS!$D$6*AM585^3+BMILMS!$E$6*AM585^2+BMILMS!$F$6*AM585+BMILMS!$G$6,BMILMS!$D$7*AM585^3+BMILMS!$E$7*AM585^2+BMILMS!$F$7*AM585+BMILMS!$G$7)),IF(AM585&lt;69,BMILMS!$D$9*AM585^3+BMILMS!$E$9*AM585^2+BMILMS!$F$9*AM585+BMILMS!$G$9,IF(AM585&lt;150,BMILMS!$D$10*AM585^3+BMILMS!$E$10*AM585^2+BMILMS!$F$10*AM585+BMILMS!$G$10,BMILMS!$D$11*AM585^3+BMILMS!$E$11*AM585^2+BMILMS!$F$11*AM585+BMILMS!$G$11)))</f>
        <v>0.79584630099999998</v>
      </c>
      <c r="AK585" s="4">
        <f>IF(D585="M",(IF(AM585&lt;2.5,BMILMS!$D$21*AM585^3+BMILMS!$E$21*AM585^2+BMILMS!$F$21*AM585+BMILMS!$G$21,IF(AM585&lt;9.5,BMILMS!$D$22*AM585^3+BMILMS!$E$22*AM585^2+BMILMS!$F$22*AM585+BMILMS!$G$22,IF(AM585&lt;26.75,BMILMS!$D$23*AM585^3+BMILMS!$E$23*AM585^2+BMILMS!$F$23*AM585+BMILMS!$G$23,IF(AM585&lt;90,BMILMS!$D$24*AM585^3+BMILMS!$E$24*AM585^2+BMILMS!$F$24*AM585+BMILMS!$G$24,BMILMS!$D$25*AM585^3+BMILMS!$E$25*AM585^2+BMILMS!$F$25*AM585+BMILMS!$G$25))))),(IF(AM585&lt;2.5,BMILMS!$D$27*AM585^3+BMILMS!$E$27*AM585^2+BMILMS!$F$27*AM585+BMILMS!$G$27,IF(AM585&lt;9.5,BMILMS!$D$28*AM585^3+BMILMS!$E$28*AM585^2+BMILMS!$F$28*AM585+BMILMS!$G$28,IF(AM585&lt;26.75,BMILMS!$D$29*AM585^3+BMILMS!$E$29*AM585^2+BMILMS!$F$29*AM585+BMILMS!$G$29,IF(AM585&lt;90,BMILMS!$D$30*AM585^3+BMILMS!$E$30*AM585^2+BMILMS!$F$30*AM585+BMILMS!$G$30,IF(AM585&lt;150,BMILMS!$D$31*AM585^3+BMILMS!$E$31*AM585^2+BMILMS!$F$31*AM585+BMILMS!$G$31,BMILMS!$D$32*AM585^3+BMILMS!$E$32*AM585^2+BMILMS!$F$32*AM585+BMILMS!$G$32)))))))</f>
        <v>12.568967990000001</v>
      </c>
      <c r="AL585" s="4">
        <f>IF(D585="M",(IF(AM585&lt;90,BMILMS!$D$14*AM585^3+BMILMS!$E$14*AM585^2+BMILMS!$F$14*AM585+BMILMS!$G$14,BMILMS!$D$15*AM585^3+BMILMS!$E$15*AM585^2+BMILMS!$F$15*AM585+BMILMS!$G$15)),(IF(AM585&lt;90,BMILMS!$D$17*AM585^3+BMILMS!$E$17*AM585^2+BMILMS!$F$17*AM585+BMILMS!$G$17,BMILMS!$D$18*AM585^3+BMILMS!$E$18*AM585^2+BMILMS!$F$18*AM585+BMILMS!$G$18)))</f>
        <v>8.8969350000000003E-2</v>
      </c>
      <c r="AM585" s="4">
        <f t="shared" si="209"/>
        <v>0</v>
      </c>
      <c r="AO585" s="56">
        <f>IF(D585="M",WeightSDS!P$5*$AM585^7+WeightSDS!Q$5*$AM585^6+WeightSDS!R$5*$AM585^5+WeightSDS!S$5*$AM585^4+WeightSDS!T$5*$AM585^3+WeightSDS!U$5*$AM585^2+WeightSDS!V$5*$AM585+WeightSDS!W$5,IF($AM585&lt;186,WeightSDS!P$8*$AM585^7+WeightSDS!Q$8*$AM585^6+WeightSDS!R$8*$AM585^5+WeightSDS!S$8*$AM585^4+WeightSDS!T$8*$AM585^3+WeightSDS!U$8*$AM585^2+WeightSDS!V$8*$AM585+WeightSDS!W$8,WeightSDS!$U$9+WeightSDS!$V$9*($AM585-WeightSDS!$W$9)))</f>
        <v>0.75407122999999998</v>
      </c>
      <c r="AP585" s="4">
        <f>IF(D585="M",IF($AM585&lt;45,WeightSDS!M$23*$AM585^10+WeightSDS!N$23*$AM585^9+WeightSDS!O$23*$AM585^8+WeightSDS!P$23*$AM585^7+WeightSDS!Q$23*$AM585^6+WeightSDS!R$23*$AM585^5+WeightSDS!S$23*$AM585^4+WeightSDS!T$23*$AM585^3+WeightSDS!U$23*$AM585^2+WeightSDS!V$23*$AM585+WeightSDS!W$23,IF($AM585&lt;153,WeightSDS!M$25*$AM585^10+WeightSDS!N$25*$AM585^9+WeightSDS!O$25*$AM585^8+WeightSDS!P$25*$AM585^7+WeightSDS!Q$25*$AM585^6+WeightSDS!R$25*$AM585^5+WeightSDS!S$25*$AM585^4+WeightSDS!T$25*$AM585^3+WeightSDS!U$25*$AM585^2+WeightSDS!V$25*$AM585+WeightSDS!W$25,WeightSDS!M$27+WeightSDS!N$27/(1+EXP(WeightSDS!O$27+WeightSDS!P$27*$AM585)))),IF($AM585&lt;43.8,WeightSDS!M$29*$AM585^10+WeightSDS!N$29*$AM585^9+WeightSDS!O$29*$AM585^8+WeightSDS!P$29*$AM585^7+WeightSDS!Q$29*$AM585^6+WeightSDS!R$29*$AM585^5+WeightSDS!S$29*$AM585^4+WeightSDS!T$29*$AM585^3+WeightSDS!U$29*$AM585^2+WeightSDS!V$29*$AM585+WeightSDS!W$29-0.010431*(1-$AM585/210),IF($AM585&lt;123,WeightSDS!M$30*$AM585^10+WeightSDS!N$30*$AM585^9+WeightSDS!O$30*$AM585^8+WeightSDS!P$30*$AM585^7+WeightSDS!Q$30*$AM585^6+WeightSDS!R$30*$AM585^5+WeightSDS!S$30*$AM585^4+WeightSDS!T$30*$AM585^3+WeightSDS!U$30*$AM585^2+WeightSDS!V$30*$AM585+WeightSDS!W$30-0.010431*(1-1/$AM585),WeightSDS!M$32+WeightSDS!N$32/(1+EXP(WeightSDS!O$32+WeightSDS!P$32*$AM585))-0.010431*(1-$AM585/210))))</f>
        <v>2.9500001032655536</v>
      </c>
      <c r="AQ585" s="4">
        <f>IF(D585="M",IF($AM585&lt;162,WeightSDS!P$12*$AM585^7+WeightSDS!Q$12*$AM585^6+WeightSDS!R$12*$AM585^5+WeightSDS!S$12*$AM585^4+WeightSDS!T$12*$AM585^3+WeightSDS!U$12*$AM585^2+WeightSDS!V$12*$AM585+WeightSDS!W$12,WeightSDS!P$14*$AM585^7+WeightSDS!Q$14*$AM585^6+WeightSDS!R$14*$AM585^5+WeightSDS!S$14*$AM585^4+WeightSDS!T$14*$AM585^3+WeightSDS!U$14*$AM585^2+WeightSDS!V$14*$AM585+WeightSDS!W$14),IF($AM585&lt;156,WeightSDS!O$17*$AM585^8+WeightSDS!P$17*$AM585^7+WeightSDS!Q$17*$AM585^6+WeightSDS!R$17*$AM585^5+WeightSDS!S$17*$AM585^4+WeightSDS!T$17*$AM585^3+WeightSDS!U$17*$AM585^2+WeightSDS!V$17*$AM585+WeightSDS!W$17,IF($AM585&lt;186,WeightSDS!$U$18+(WeightSDS!$V$18-WeightSDS!$U$18)/24*($AM585-186)+WeightSDS!$W$18*(-$AM585+186)^2-0.005,WeightSDS!$U$18+(WeightSDS!$V$18-WeightSDS!$U$18)/24*($AM585-186)-0.005)))</f>
        <v>0.14604529399999999</v>
      </c>
      <c r="AT585" s="4">
        <f t="shared" si="196"/>
        <v>0.56299999999999994</v>
      </c>
      <c r="AU585" s="4">
        <f t="shared" si="197"/>
        <v>69</v>
      </c>
      <c r="AV585" s="4">
        <f t="shared" si="198"/>
        <v>0.51</v>
      </c>
    </row>
    <row r="586" spans="1:48" x14ac:dyDescent="0.15">
      <c r="A586" s="4"/>
      <c r="B586" s="21"/>
      <c r="C586" s="21"/>
      <c r="D586" s="21"/>
      <c r="E586" s="22"/>
      <c r="F586" s="22"/>
      <c r="G586" s="23"/>
      <c r="H586" s="23"/>
      <c r="I586" s="181"/>
      <c r="J586" s="8" t="str">
        <f t="shared" si="190"/>
        <v/>
      </c>
      <c r="K586" s="2" t="str">
        <f t="shared" si="199"/>
        <v/>
      </c>
      <c r="L586" s="2" t="str">
        <f t="shared" si="191"/>
        <v/>
      </c>
      <c r="M586" s="2" t="str">
        <f t="shared" si="200"/>
        <v/>
      </c>
      <c r="N586" s="2" t="str">
        <f t="shared" si="208"/>
        <v/>
      </c>
      <c r="O586" s="2" t="str">
        <f t="shared" si="201"/>
        <v/>
      </c>
      <c r="P586" s="8" t="str">
        <f t="shared" si="202"/>
        <v/>
      </c>
      <c r="Q586" s="8" t="str">
        <f t="shared" si="203"/>
        <v/>
      </c>
      <c r="R586" s="111" t="str">
        <f t="shared" si="204"/>
        <v/>
      </c>
      <c r="S586" s="44" t="str">
        <f t="shared" si="205"/>
        <v/>
      </c>
      <c r="T586" s="37" t="str">
        <f t="shared" si="206"/>
        <v/>
      </c>
      <c r="U586" s="44" t="str">
        <f t="shared" si="207"/>
        <v/>
      </c>
      <c r="V586" s="26"/>
      <c r="W586" s="26"/>
      <c r="X586" s="26"/>
      <c r="Y586" s="26"/>
      <c r="Z586" s="24"/>
      <c r="AA586" s="169">
        <f t="shared" si="192"/>
        <v>0</v>
      </c>
      <c r="AB586" s="4">
        <f t="shared" si="193"/>
        <v>0</v>
      </c>
      <c r="AC586" s="170">
        <f t="shared" si="189"/>
        <v>0</v>
      </c>
      <c r="AD586" s="58"/>
      <c r="AE586" s="58"/>
      <c r="AF586" s="58"/>
      <c r="AG586" s="59">
        <f t="shared" si="194"/>
        <v>9.0359999999999996</v>
      </c>
      <c r="AH586" s="59">
        <f t="shared" si="195"/>
        <v>-184.49199999999999</v>
      </c>
      <c r="AJ586" s="4">
        <f>IF(D586="M",IF(AM586&lt;78,BMILMS!$D$5*AM586^3+BMILMS!$E$5*AM586^2+BMILMS!$F$5*AM586+BMILMS!$G$5,IF(AM586&lt;150,BMILMS!$D$6*AM586^3+BMILMS!$E$6*AM586^2+BMILMS!$F$6*AM586+BMILMS!$G$6,BMILMS!$D$7*AM586^3+BMILMS!$E$7*AM586^2+BMILMS!$F$7*AM586+BMILMS!$G$7)),IF(AM586&lt;69,BMILMS!$D$9*AM586^3+BMILMS!$E$9*AM586^2+BMILMS!$F$9*AM586+BMILMS!$G$9,IF(AM586&lt;150,BMILMS!$D$10*AM586^3+BMILMS!$E$10*AM586^2+BMILMS!$F$10*AM586+BMILMS!$G$10,BMILMS!$D$11*AM586^3+BMILMS!$E$11*AM586^2+BMILMS!$F$11*AM586+BMILMS!$G$11)))</f>
        <v>0.79584630099999998</v>
      </c>
      <c r="AK586" s="4">
        <f>IF(D586="M",(IF(AM586&lt;2.5,BMILMS!$D$21*AM586^3+BMILMS!$E$21*AM586^2+BMILMS!$F$21*AM586+BMILMS!$G$21,IF(AM586&lt;9.5,BMILMS!$D$22*AM586^3+BMILMS!$E$22*AM586^2+BMILMS!$F$22*AM586+BMILMS!$G$22,IF(AM586&lt;26.75,BMILMS!$D$23*AM586^3+BMILMS!$E$23*AM586^2+BMILMS!$F$23*AM586+BMILMS!$G$23,IF(AM586&lt;90,BMILMS!$D$24*AM586^3+BMILMS!$E$24*AM586^2+BMILMS!$F$24*AM586+BMILMS!$G$24,BMILMS!$D$25*AM586^3+BMILMS!$E$25*AM586^2+BMILMS!$F$25*AM586+BMILMS!$G$25))))),(IF(AM586&lt;2.5,BMILMS!$D$27*AM586^3+BMILMS!$E$27*AM586^2+BMILMS!$F$27*AM586+BMILMS!$G$27,IF(AM586&lt;9.5,BMILMS!$D$28*AM586^3+BMILMS!$E$28*AM586^2+BMILMS!$F$28*AM586+BMILMS!$G$28,IF(AM586&lt;26.75,BMILMS!$D$29*AM586^3+BMILMS!$E$29*AM586^2+BMILMS!$F$29*AM586+BMILMS!$G$29,IF(AM586&lt;90,BMILMS!$D$30*AM586^3+BMILMS!$E$30*AM586^2+BMILMS!$F$30*AM586+BMILMS!$G$30,IF(AM586&lt;150,BMILMS!$D$31*AM586^3+BMILMS!$E$31*AM586^2+BMILMS!$F$31*AM586+BMILMS!$G$31,BMILMS!$D$32*AM586^3+BMILMS!$E$32*AM586^2+BMILMS!$F$32*AM586+BMILMS!$G$32)))))))</f>
        <v>12.568967990000001</v>
      </c>
      <c r="AL586" s="4">
        <f>IF(D586="M",(IF(AM586&lt;90,BMILMS!$D$14*AM586^3+BMILMS!$E$14*AM586^2+BMILMS!$F$14*AM586+BMILMS!$G$14,BMILMS!$D$15*AM586^3+BMILMS!$E$15*AM586^2+BMILMS!$F$15*AM586+BMILMS!$G$15)),(IF(AM586&lt;90,BMILMS!$D$17*AM586^3+BMILMS!$E$17*AM586^2+BMILMS!$F$17*AM586+BMILMS!$G$17,BMILMS!$D$18*AM586^3+BMILMS!$E$18*AM586^2+BMILMS!$F$18*AM586+BMILMS!$G$18)))</f>
        <v>8.8969350000000003E-2</v>
      </c>
      <c r="AM586" s="4">
        <f t="shared" si="209"/>
        <v>0</v>
      </c>
      <c r="AO586" s="56">
        <f>IF(D586="M",WeightSDS!P$5*$AM586^7+WeightSDS!Q$5*$AM586^6+WeightSDS!R$5*$AM586^5+WeightSDS!S$5*$AM586^4+WeightSDS!T$5*$AM586^3+WeightSDS!U$5*$AM586^2+WeightSDS!V$5*$AM586+WeightSDS!W$5,IF($AM586&lt;186,WeightSDS!P$8*$AM586^7+WeightSDS!Q$8*$AM586^6+WeightSDS!R$8*$AM586^5+WeightSDS!S$8*$AM586^4+WeightSDS!T$8*$AM586^3+WeightSDS!U$8*$AM586^2+WeightSDS!V$8*$AM586+WeightSDS!W$8,WeightSDS!$U$9+WeightSDS!$V$9*($AM586-WeightSDS!$W$9)))</f>
        <v>0.75407122999999998</v>
      </c>
      <c r="AP586" s="4">
        <f>IF(D586="M",IF($AM586&lt;45,WeightSDS!M$23*$AM586^10+WeightSDS!N$23*$AM586^9+WeightSDS!O$23*$AM586^8+WeightSDS!P$23*$AM586^7+WeightSDS!Q$23*$AM586^6+WeightSDS!R$23*$AM586^5+WeightSDS!S$23*$AM586^4+WeightSDS!T$23*$AM586^3+WeightSDS!U$23*$AM586^2+WeightSDS!V$23*$AM586+WeightSDS!W$23,IF($AM586&lt;153,WeightSDS!M$25*$AM586^10+WeightSDS!N$25*$AM586^9+WeightSDS!O$25*$AM586^8+WeightSDS!P$25*$AM586^7+WeightSDS!Q$25*$AM586^6+WeightSDS!R$25*$AM586^5+WeightSDS!S$25*$AM586^4+WeightSDS!T$25*$AM586^3+WeightSDS!U$25*$AM586^2+WeightSDS!V$25*$AM586+WeightSDS!W$25,WeightSDS!M$27+WeightSDS!N$27/(1+EXP(WeightSDS!O$27+WeightSDS!P$27*$AM586)))),IF($AM586&lt;43.8,WeightSDS!M$29*$AM586^10+WeightSDS!N$29*$AM586^9+WeightSDS!O$29*$AM586^8+WeightSDS!P$29*$AM586^7+WeightSDS!Q$29*$AM586^6+WeightSDS!R$29*$AM586^5+WeightSDS!S$29*$AM586^4+WeightSDS!T$29*$AM586^3+WeightSDS!U$29*$AM586^2+WeightSDS!V$29*$AM586+WeightSDS!W$29-0.010431*(1-$AM586/210),IF($AM586&lt;123,WeightSDS!M$30*$AM586^10+WeightSDS!N$30*$AM586^9+WeightSDS!O$30*$AM586^8+WeightSDS!P$30*$AM586^7+WeightSDS!Q$30*$AM586^6+WeightSDS!R$30*$AM586^5+WeightSDS!S$30*$AM586^4+WeightSDS!T$30*$AM586^3+WeightSDS!U$30*$AM586^2+WeightSDS!V$30*$AM586+WeightSDS!W$30-0.010431*(1-1/$AM586),WeightSDS!M$32+WeightSDS!N$32/(1+EXP(WeightSDS!O$32+WeightSDS!P$32*$AM586))-0.010431*(1-$AM586/210))))</f>
        <v>2.9500001032655536</v>
      </c>
      <c r="AQ586" s="4">
        <f>IF(D586="M",IF($AM586&lt;162,WeightSDS!P$12*$AM586^7+WeightSDS!Q$12*$AM586^6+WeightSDS!R$12*$AM586^5+WeightSDS!S$12*$AM586^4+WeightSDS!T$12*$AM586^3+WeightSDS!U$12*$AM586^2+WeightSDS!V$12*$AM586+WeightSDS!W$12,WeightSDS!P$14*$AM586^7+WeightSDS!Q$14*$AM586^6+WeightSDS!R$14*$AM586^5+WeightSDS!S$14*$AM586^4+WeightSDS!T$14*$AM586^3+WeightSDS!U$14*$AM586^2+WeightSDS!V$14*$AM586+WeightSDS!W$14),IF($AM586&lt;156,WeightSDS!O$17*$AM586^8+WeightSDS!P$17*$AM586^7+WeightSDS!Q$17*$AM586^6+WeightSDS!R$17*$AM586^5+WeightSDS!S$17*$AM586^4+WeightSDS!T$17*$AM586^3+WeightSDS!U$17*$AM586^2+WeightSDS!V$17*$AM586+WeightSDS!W$17,IF($AM586&lt;186,WeightSDS!$U$18+(WeightSDS!$V$18-WeightSDS!$U$18)/24*($AM586-186)+WeightSDS!$W$18*(-$AM586+186)^2-0.005,WeightSDS!$U$18+(WeightSDS!$V$18-WeightSDS!$U$18)/24*($AM586-186)-0.005)))</f>
        <v>0.14604529399999999</v>
      </c>
      <c r="AT586" s="4">
        <f t="shared" si="196"/>
        <v>0.56299999999999994</v>
      </c>
      <c r="AU586" s="4">
        <f t="shared" si="197"/>
        <v>69</v>
      </c>
      <c r="AV586" s="4">
        <f t="shared" si="198"/>
        <v>0.51</v>
      </c>
    </row>
    <row r="587" spans="1:48" x14ac:dyDescent="0.15">
      <c r="A587" s="4"/>
      <c r="B587" s="21"/>
      <c r="C587" s="21"/>
      <c r="D587" s="21"/>
      <c r="E587" s="22"/>
      <c r="F587" s="22"/>
      <c r="G587" s="23"/>
      <c r="H587" s="23"/>
      <c r="I587" s="181"/>
      <c r="J587" s="8" t="str">
        <f t="shared" si="190"/>
        <v/>
      </c>
      <c r="K587" s="2" t="str">
        <f t="shared" si="199"/>
        <v/>
      </c>
      <c r="L587" s="2" t="str">
        <f t="shared" si="191"/>
        <v/>
      </c>
      <c r="M587" s="2" t="str">
        <f t="shared" si="200"/>
        <v/>
      </c>
      <c r="N587" s="2" t="str">
        <f t="shared" si="208"/>
        <v/>
      </c>
      <c r="O587" s="2" t="str">
        <f t="shared" si="201"/>
        <v/>
      </c>
      <c r="P587" s="8" t="str">
        <f t="shared" si="202"/>
        <v/>
      </c>
      <c r="Q587" s="8" t="str">
        <f t="shared" si="203"/>
        <v/>
      </c>
      <c r="R587" s="111" t="str">
        <f t="shared" si="204"/>
        <v/>
      </c>
      <c r="S587" s="44" t="str">
        <f t="shared" si="205"/>
        <v/>
      </c>
      <c r="T587" s="37" t="str">
        <f t="shared" si="206"/>
        <v/>
      </c>
      <c r="U587" s="44" t="str">
        <f t="shared" si="207"/>
        <v/>
      </c>
      <c r="V587" s="26"/>
      <c r="W587" s="26"/>
      <c r="X587" s="26"/>
      <c r="Y587" s="26"/>
      <c r="Z587" s="24"/>
      <c r="AA587" s="169">
        <f t="shared" si="192"/>
        <v>0</v>
      </c>
      <c r="AB587" s="4">
        <f t="shared" si="193"/>
        <v>0</v>
      </c>
      <c r="AC587" s="170">
        <f t="shared" si="189"/>
        <v>0</v>
      </c>
      <c r="AD587" s="58"/>
      <c r="AE587" s="58"/>
      <c r="AF587" s="58"/>
      <c r="AG587" s="59">
        <f t="shared" si="194"/>
        <v>9.0359999999999996</v>
      </c>
      <c r="AH587" s="59">
        <f t="shared" si="195"/>
        <v>-184.49199999999999</v>
      </c>
      <c r="AJ587" s="4">
        <f>IF(D587="M",IF(AM587&lt;78,BMILMS!$D$5*AM587^3+BMILMS!$E$5*AM587^2+BMILMS!$F$5*AM587+BMILMS!$G$5,IF(AM587&lt;150,BMILMS!$D$6*AM587^3+BMILMS!$E$6*AM587^2+BMILMS!$F$6*AM587+BMILMS!$G$6,BMILMS!$D$7*AM587^3+BMILMS!$E$7*AM587^2+BMILMS!$F$7*AM587+BMILMS!$G$7)),IF(AM587&lt;69,BMILMS!$D$9*AM587^3+BMILMS!$E$9*AM587^2+BMILMS!$F$9*AM587+BMILMS!$G$9,IF(AM587&lt;150,BMILMS!$D$10*AM587^3+BMILMS!$E$10*AM587^2+BMILMS!$F$10*AM587+BMILMS!$G$10,BMILMS!$D$11*AM587^3+BMILMS!$E$11*AM587^2+BMILMS!$F$11*AM587+BMILMS!$G$11)))</f>
        <v>0.79584630099999998</v>
      </c>
      <c r="AK587" s="4">
        <f>IF(D587="M",(IF(AM587&lt;2.5,BMILMS!$D$21*AM587^3+BMILMS!$E$21*AM587^2+BMILMS!$F$21*AM587+BMILMS!$G$21,IF(AM587&lt;9.5,BMILMS!$D$22*AM587^3+BMILMS!$E$22*AM587^2+BMILMS!$F$22*AM587+BMILMS!$G$22,IF(AM587&lt;26.75,BMILMS!$D$23*AM587^3+BMILMS!$E$23*AM587^2+BMILMS!$F$23*AM587+BMILMS!$G$23,IF(AM587&lt;90,BMILMS!$D$24*AM587^3+BMILMS!$E$24*AM587^2+BMILMS!$F$24*AM587+BMILMS!$G$24,BMILMS!$D$25*AM587^3+BMILMS!$E$25*AM587^2+BMILMS!$F$25*AM587+BMILMS!$G$25))))),(IF(AM587&lt;2.5,BMILMS!$D$27*AM587^3+BMILMS!$E$27*AM587^2+BMILMS!$F$27*AM587+BMILMS!$G$27,IF(AM587&lt;9.5,BMILMS!$D$28*AM587^3+BMILMS!$E$28*AM587^2+BMILMS!$F$28*AM587+BMILMS!$G$28,IF(AM587&lt;26.75,BMILMS!$D$29*AM587^3+BMILMS!$E$29*AM587^2+BMILMS!$F$29*AM587+BMILMS!$G$29,IF(AM587&lt;90,BMILMS!$D$30*AM587^3+BMILMS!$E$30*AM587^2+BMILMS!$F$30*AM587+BMILMS!$G$30,IF(AM587&lt;150,BMILMS!$D$31*AM587^3+BMILMS!$E$31*AM587^2+BMILMS!$F$31*AM587+BMILMS!$G$31,BMILMS!$D$32*AM587^3+BMILMS!$E$32*AM587^2+BMILMS!$F$32*AM587+BMILMS!$G$32)))))))</f>
        <v>12.568967990000001</v>
      </c>
      <c r="AL587" s="4">
        <f>IF(D587="M",(IF(AM587&lt;90,BMILMS!$D$14*AM587^3+BMILMS!$E$14*AM587^2+BMILMS!$F$14*AM587+BMILMS!$G$14,BMILMS!$D$15*AM587^3+BMILMS!$E$15*AM587^2+BMILMS!$F$15*AM587+BMILMS!$G$15)),(IF(AM587&lt;90,BMILMS!$D$17*AM587^3+BMILMS!$E$17*AM587^2+BMILMS!$F$17*AM587+BMILMS!$G$17,BMILMS!$D$18*AM587^3+BMILMS!$E$18*AM587^2+BMILMS!$F$18*AM587+BMILMS!$G$18)))</f>
        <v>8.8969350000000003E-2</v>
      </c>
      <c r="AM587" s="4">
        <f t="shared" si="209"/>
        <v>0</v>
      </c>
      <c r="AO587" s="56">
        <f>IF(D587="M",WeightSDS!P$5*$AM587^7+WeightSDS!Q$5*$AM587^6+WeightSDS!R$5*$AM587^5+WeightSDS!S$5*$AM587^4+WeightSDS!T$5*$AM587^3+WeightSDS!U$5*$AM587^2+WeightSDS!V$5*$AM587+WeightSDS!W$5,IF($AM587&lt;186,WeightSDS!P$8*$AM587^7+WeightSDS!Q$8*$AM587^6+WeightSDS!R$8*$AM587^5+WeightSDS!S$8*$AM587^4+WeightSDS!T$8*$AM587^3+WeightSDS!U$8*$AM587^2+WeightSDS!V$8*$AM587+WeightSDS!W$8,WeightSDS!$U$9+WeightSDS!$V$9*($AM587-WeightSDS!$W$9)))</f>
        <v>0.75407122999999998</v>
      </c>
      <c r="AP587" s="4">
        <f>IF(D587="M",IF($AM587&lt;45,WeightSDS!M$23*$AM587^10+WeightSDS!N$23*$AM587^9+WeightSDS!O$23*$AM587^8+WeightSDS!P$23*$AM587^7+WeightSDS!Q$23*$AM587^6+WeightSDS!R$23*$AM587^5+WeightSDS!S$23*$AM587^4+WeightSDS!T$23*$AM587^3+WeightSDS!U$23*$AM587^2+WeightSDS!V$23*$AM587+WeightSDS!W$23,IF($AM587&lt;153,WeightSDS!M$25*$AM587^10+WeightSDS!N$25*$AM587^9+WeightSDS!O$25*$AM587^8+WeightSDS!P$25*$AM587^7+WeightSDS!Q$25*$AM587^6+WeightSDS!R$25*$AM587^5+WeightSDS!S$25*$AM587^4+WeightSDS!T$25*$AM587^3+WeightSDS!U$25*$AM587^2+WeightSDS!V$25*$AM587+WeightSDS!W$25,WeightSDS!M$27+WeightSDS!N$27/(1+EXP(WeightSDS!O$27+WeightSDS!P$27*$AM587)))),IF($AM587&lt;43.8,WeightSDS!M$29*$AM587^10+WeightSDS!N$29*$AM587^9+WeightSDS!O$29*$AM587^8+WeightSDS!P$29*$AM587^7+WeightSDS!Q$29*$AM587^6+WeightSDS!R$29*$AM587^5+WeightSDS!S$29*$AM587^4+WeightSDS!T$29*$AM587^3+WeightSDS!U$29*$AM587^2+WeightSDS!V$29*$AM587+WeightSDS!W$29-0.010431*(1-$AM587/210),IF($AM587&lt;123,WeightSDS!M$30*$AM587^10+WeightSDS!N$30*$AM587^9+WeightSDS!O$30*$AM587^8+WeightSDS!P$30*$AM587^7+WeightSDS!Q$30*$AM587^6+WeightSDS!R$30*$AM587^5+WeightSDS!S$30*$AM587^4+WeightSDS!T$30*$AM587^3+WeightSDS!U$30*$AM587^2+WeightSDS!V$30*$AM587+WeightSDS!W$30-0.010431*(1-1/$AM587),WeightSDS!M$32+WeightSDS!N$32/(1+EXP(WeightSDS!O$32+WeightSDS!P$32*$AM587))-0.010431*(1-$AM587/210))))</f>
        <v>2.9500001032655536</v>
      </c>
      <c r="AQ587" s="4">
        <f>IF(D587="M",IF($AM587&lt;162,WeightSDS!P$12*$AM587^7+WeightSDS!Q$12*$AM587^6+WeightSDS!R$12*$AM587^5+WeightSDS!S$12*$AM587^4+WeightSDS!T$12*$AM587^3+WeightSDS!U$12*$AM587^2+WeightSDS!V$12*$AM587+WeightSDS!W$12,WeightSDS!P$14*$AM587^7+WeightSDS!Q$14*$AM587^6+WeightSDS!R$14*$AM587^5+WeightSDS!S$14*$AM587^4+WeightSDS!T$14*$AM587^3+WeightSDS!U$14*$AM587^2+WeightSDS!V$14*$AM587+WeightSDS!W$14),IF($AM587&lt;156,WeightSDS!O$17*$AM587^8+WeightSDS!P$17*$AM587^7+WeightSDS!Q$17*$AM587^6+WeightSDS!R$17*$AM587^5+WeightSDS!S$17*$AM587^4+WeightSDS!T$17*$AM587^3+WeightSDS!U$17*$AM587^2+WeightSDS!V$17*$AM587+WeightSDS!W$17,IF($AM587&lt;186,WeightSDS!$U$18+(WeightSDS!$V$18-WeightSDS!$U$18)/24*($AM587-186)+WeightSDS!$W$18*(-$AM587+186)^2-0.005,WeightSDS!$U$18+(WeightSDS!$V$18-WeightSDS!$U$18)/24*($AM587-186)-0.005)))</f>
        <v>0.14604529399999999</v>
      </c>
      <c r="AT587" s="4">
        <f t="shared" si="196"/>
        <v>0.56299999999999994</v>
      </c>
      <c r="AU587" s="4">
        <f t="shared" si="197"/>
        <v>69</v>
      </c>
      <c r="AV587" s="4">
        <f t="shared" si="198"/>
        <v>0.51</v>
      </c>
    </row>
    <row r="588" spans="1:48" x14ac:dyDescent="0.15">
      <c r="A588" s="4"/>
      <c r="B588" s="21"/>
      <c r="C588" s="21"/>
      <c r="D588" s="21"/>
      <c r="E588" s="22"/>
      <c r="F588" s="22"/>
      <c r="G588" s="23"/>
      <c r="H588" s="23"/>
      <c r="I588" s="181"/>
      <c r="J588" s="8" t="str">
        <f t="shared" si="190"/>
        <v/>
      </c>
      <c r="K588" s="2" t="str">
        <f t="shared" si="199"/>
        <v/>
      </c>
      <c r="L588" s="2" t="str">
        <f t="shared" si="191"/>
        <v/>
      </c>
      <c r="M588" s="2" t="str">
        <f t="shared" si="200"/>
        <v/>
      </c>
      <c r="N588" s="2" t="str">
        <f t="shared" si="208"/>
        <v/>
      </c>
      <c r="O588" s="2" t="str">
        <f t="shared" si="201"/>
        <v/>
      </c>
      <c r="P588" s="8" t="str">
        <f t="shared" si="202"/>
        <v/>
      </c>
      <c r="Q588" s="8" t="str">
        <f t="shared" si="203"/>
        <v/>
      </c>
      <c r="R588" s="111" t="str">
        <f t="shared" si="204"/>
        <v/>
      </c>
      <c r="S588" s="44" t="str">
        <f t="shared" si="205"/>
        <v/>
      </c>
      <c r="T588" s="37" t="str">
        <f t="shared" si="206"/>
        <v/>
      </c>
      <c r="U588" s="44" t="str">
        <f t="shared" si="207"/>
        <v/>
      </c>
      <c r="V588" s="26"/>
      <c r="W588" s="26"/>
      <c r="X588" s="26"/>
      <c r="Y588" s="26"/>
      <c r="Z588" s="24"/>
      <c r="AA588" s="169">
        <f t="shared" si="192"/>
        <v>0</v>
      </c>
      <c r="AB588" s="4">
        <f t="shared" si="193"/>
        <v>0</v>
      </c>
      <c r="AC588" s="170">
        <f t="shared" si="189"/>
        <v>0</v>
      </c>
      <c r="AD588" s="58"/>
      <c r="AE588" s="58"/>
      <c r="AF588" s="58"/>
      <c r="AG588" s="59">
        <f t="shared" si="194"/>
        <v>9.0359999999999996</v>
      </c>
      <c r="AH588" s="59">
        <f t="shared" si="195"/>
        <v>-184.49199999999999</v>
      </c>
      <c r="AJ588" s="4">
        <f>IF(D588="M",IF(AM588&lt;78,BMILMS!$D$5*AM588^3+BMILMS!$E$5*AM588^2+BMILMS!$F$5*AM588+BMILMS!$G$5,IF(AM588&lt;150,BMILMS!$D$6*AM588^3+BMILMS!$E$6*AM588^2+BMILMS!$F$6*AM588+BMILMS!$G$6,BMILMS!$D$7*AM588^3+BMILMS!$E$7*AM588^2+BMILMS!$F$7*AM588+BMILMS!$G$7)),IF(AM588&lt;69,BMILMS!$D$9*AM588^3+BMILMS!$E$9*AM588^2+BMILMS!$F$9*AM588+BMILMS!$G$9,IF(AM588&lt;150,BMILMS!$D$10*AM588^3+BMILMS!$E$10*AM588^2+BMILMS!$F$10*AM588+BMILMS!$G$10,BMILMS!$D$11*AM588^3+BMILMS!$E$11*AM588^2+BMILMS!$F$11*AM588+BMILMS!$G$11)))</f>
        <v>0.79584630099999998</v>
      </c>
      <c r="AK588" s="4">
        <f>IF(D588="M",(IF(AM588&lt;2.5,BMILMS!$D$21*AM588^3+BMILMS!$E$21*AM588^2+BMILMS!$F$21*AM588+BMILMS!$G$21,IF(AM588&lt;9.5,BMILMS!$D$22*AM588^3+BMILMS!$E$22*AM588^2+BMILMS!$F$22*AM588+BMILMS!$G$22,IF(AM588&lt;26.75,BMILMS!$D$23*AM588^3+BMILMS!$E$23*AM588^2+BMILMS!$F$23*AM588+BMILMS!$G$23,IF(AM588&lt;90,BMILMS!$D$24*AM588^3+BMILMS!$E$24*AM588^2+BMILMS!$F$24*AM588+BMILMS!$G$24,BMILMS!$D$25*AM588^3+BMILMS!$E$25*AM588^2+BMILMS!$F$25*AM588+BMILMS!$G$25))))),(IF(AM588&lt;2.5,BMILMS!$D$27*AM588^3+BMILMS!$E$27*AM588^2+BMILMS!$F$27*AM588+BMILMS!$G$27,IF(AM588&lt;9.5,BMILMS!$D$28*AM588^3+BMILMS!$E$28*AM588^2+BMILMS!$F$28*AM588+BMILMS!$G$28,IF(AM588&lt;26.75,BMILMS!$D$29*AM588^3+BMILMS!$E$29*AM588^2+BMILMS!$F$29*AM588+BMILMS!$G$29,IF(AM588&lt;90,BMILMS!$D$30*AM588^3+BMILMS!$E$30*AM588^2+BMILMS!$F$30*AM588+BMILMS!$G$30,IF(AM588&lt;150,BMILMS!$D$31*AM588^3+BMILMS!$E$31*AM588^2+BMILMS!$F$31*AM588+BMILMS!$G$31,BMILMS!$D$32*AM588^3+BMILMS!$E$32*AM588^2+BMILMS!$F$32*AM588+BMILMS!$G$32)))))))</f>
        <v>12.568967990000001</v>
      </c>
      <c r="AL588" s="4">
        <f>IF(D588="M",(IF(AM588&lt;90,BMILMS!$D$14*AM588^3+BMILMS!$E$14*AM588^2+BMILMS!$F$14*AM588+BMILMS!$G$14,BMILMS!$D$15*AM588^3+BMILMS!$E$15*AM588^2+BMILMS!$F$15*AM588+BMILMS!$G$15)),(IF(AM588&lt;90,BMILMS!$D$17*AM588^3+BMILMS!$E$17*AM588^2+BMILMS!$F$17*AM588+BMILMS!$G$17,BMILMS!$D$18*AM588^3+BMILMS!$E$18*AM588^2+BMILMS!$F$18*AM588+BMILMS!$G$18)))</f>
        <v>8.8969350000000003E-2</v>
      </c>
      <c r="AM588" s="4">
        <f t="shared" si="209"/>
        <v>0</v>
      </c>
      <c r="AO588" s="56">
        <f>IF(D588="M",WeightSDS!P$5*$AM588^7+WeightSDS!Q$5*$AM588^6+WeightSDS!R$5*$AM588^5+WeightSDS!S$5*$AM588^4+WeightSDS!T$5*$AM588^3+WeightSDS!U$5*$AM588^2+WeightSDS!V$5*$AM588+WeightSDS!W$5,IF($AM588&lt;186,WeightSDS!P$8*$AM588^7+WeightSDS!Q$8*$AM588^6+WeightSDS!R$8*$AM588^5+WeightSDS!S$8*$AM588^4+WeightSDS!T$8*$AM588^3+WeightSDS!U$8*$AM588^2+WeightSDS!V$8*$AM588+WeightSDS!W$8,WeightSDS!$U$9+WeightSDS!$V$9*($AM588-WeightSDS!$W$9)))</f>
        <v>0.75407122999999998</v>
      </c>
      <c r="AP588" s="4">
        <f>IF(D588="M",IF($AM588&lt;45,WeightSDS!M$23*$AM588^10+WeightSDS!N$23*$AM588^9+WeightSDS!O$23*$AM588^8+WeightSDS!P$23*$AM588^7+WeightSDS!Q$23*$AM588^6+WeightSDS!R$23*$AM588^5+WeightSDS!S$23*$AM588^4+WeightSDS!T$23*$AM588^3+WeightSDS!U$23*$AM588^2+WeightSDS!V$23*$AM588+WeightSDS!W$23,IF($AM588&lt;153,WeightSDS!M$25*$AM588^10+WeightSDS!N$25*$AM588^9+WeightSDS!O$25*$AM588^8+WeightSDS!P$25*$AM588^7+WeightSDS!Q$25*$AM588^6+WeightSDS!R$25*$AM588^5+WeightSDS!S$25*$AM588^4+WeightSDS!T$25*$AM588^3+WeightSDS!U$25*$AM588^2+WeightSDS!V$25*$AM588+WeightSDS!W$25,WeightSDS!M$27+WeightSDS!N$27/(1+EXP(WeightSDS!O$27+WeightSDS!P$27*$AM588)))),IF($AM588&lt;43.8,WeightSDS!M$29*$AM588^10+WeightSDS!N$29*$AM588^9+WeightSDS!O$29*$AM588^8+WeightSDS!P$29*$AM588^7+WeightSDS!Q$29*$AM588^6+WeightSDS!R$29*$AM588^5+WeightSDS!S$29*$AM588^4+WeightSDS!T$29*$AM588^3+WeightSDS!U$29*$AM588^2+WeightSDS!V$29*$AM588+WeightSDS!W$29-0.010431*(1-$AM588/210),IF($AM588&lt;123,WeightSDS!M$30*$AM588^10+WeightSDS!N$30*$AM588^9+WeightSDS!O$30*$AM588^8+WeightSDS!P$30*$AM588^7+WeightSDS!Q$30*$AM588^6+WeightSDS!R$30*$AM588^5+WeightSDS!S$30*$AM588^4+WeightSDS!T$30*$AM588^3+WeightSDS!U$30*$AM588^2+WeightSDS!V$30*$AM588+WeightSDS!W$30-0.010431*(1-1/$AM588),WeightSDS!M$32+WeightSDS!N$32/(1+EXP(WeightSDS!O$32+WeightSDS!P$32*$AM588))-0.010431*(1-$AM588/210))))</f>
        <v>2.9500001032655536</v>
      </c>
      <c r="AQ588" s="4">
        <f>IF(D588="M",IF($AM588&lt;162,WeightSDS!P$12*$AM588^7+WeightSDS!Q$12*$AM588^6+WeightSDS!R$12*$AM588^5+WeightSDS!S$12*$AM588^4+WeightSDS!T$12*$AM588^3+WeightSDS!U$12*$AM588^2+WeightSDS!V$12*$AM588+WeightSDS!W$12,WeightSDS!P$14*$AM588^7+WeightSDS!Q$14*$AM588^6+WeightSDS!R$14*$AM588^5+WeightSDS!S$14*$AM588^4+WeightSDS!T$14*$AM588^3+WeightSDS!U$14*$AM588^2+WeightSDS!V$14*$AM588+WeightSDS!W$14),IF($AM588&lt;156,WeightSDS!O$17*$AM588^8+WeightSDS!P$17*$AM588^7+WeightSDS!Q$17*$AM588^6+WeightSDS!R$17*$AM588^5+WeightSDS!S$17*$AM588^4+WeightSDS!T$17*$AM588^3+WeightSDS!U$17*$AM588^2+WeightSDS!V$17*$AM588+WeightSDS!W$17,IF($AM588&lt;186,WeightSDS!$U$18+(WeightSDS!$V$18-WeightSDS!$U$18)/24*($AM588-186)+WeightSDS!$W$18*(-$AM588+186)^2-0.005,WeightSDS!$U$18+(WeightSDS!$V$18-WeightSDS!$U$18)/24*($AM588-186)-0.005)))</f>
        <v>0.14604529399999999</v>
      </c>
      <c r="AT588" s="4">
        <f t="shared" si="196"/>
        <v>0.56299999999999994</v>
      </c>
      <c r="AU588" s="4">
        <f t="shared" si="197"/>
        <v>69</v>
      </c>
      <c r="AV588" s="4">
        <f t="shared" si="198"/>
        <v>0.51</v>
      </c>
    </row>
    <row r="589" spans="1:48" x14ac:dyDescent="0.15">
      <c r="A589" s="4"/>
      <c r="B589" s="21"/>
      <c r="C589" s="21"/>
      <c r="D589" s="21"/>
      <c r="E589" s="22"/>
      <c r="F589" s="22"/>
      <c r="G589" s="23"/>
      <c r="H589" s="23"/>
      <c r="I589" s="181"/>
      <c r="J589" s="8" t="str">
        <f t="shared" si="190"/>
        <v/>
      </c>
      <c r="K589" s="2" t="str">
        <f t="shared" si="199"/>
        <v/>
      </c>
      <c r="L589" s="2" t="str">
        <f t="shared" si="191"/>
        <v/>
      </c>
      <c r="M589" s="2" t="str">
        <f t="shared" si="200"/>
        <v/>
      </c>
      <c r="N589" s="2" t="str">
        <f t="shared" si="208"/>
        <v/>
      </c>
      <c r="O589" s="2" t="str">
        <f t="shared" si="201"/>
        <v/>
      </c>
      <c r="P589" s="8" t="str">
        <f t="shared" si="202"/>
        <v/>
      </c>
      <c r="Q589" s="8" t="str">
        <f t="shared" si="203"/>
        <v/>
      </c>
      <c r="R589" s="111" t="str">
        <f t="shared" si="204"/>
        <v/>
      </c>
      <c r="S589" s="44" t="str">
        <f t="shared" si="205"/>
        <v/>
      </c>
      <c r="T589" s="37" t="str">
        <f t="shared" si="206"/>
        <v/>
      </c>
      <c r="U589" s="44" t="str">
        <f t="shared" si="207"/>
        <v/>
      </c>
      <c r="V589" s="26"/>
      <c r="W589" s="26"/>
      <c r="X589" s="26"/>
      <c r="Y589" s="26"/>
      <c r="Z589" s="24"/>
      <c r="AA589" s="169">
        <f t="shared" si="192"/>
        <v>0</v>
      </c>
      <c r="AB589" s="4">
        <f t="shared" si="193"/>
        <v>0</v>
      </c>
      <c r="AC589" s="170">
        <f t="shared" si="189"/>
        <v>0</v>
      </c>
      <c r="AD589" s="58"/>
      <c r="AE589" s="58"/>
      <c r="AF589" s="58"/>
      <c r="AG589" s="59">
        <f t="shared" si="194"/>
        <v>9.0359999999999996</v>
      </c>
      <c r="AH589" s="59">
        <f t="shared" si="195"/>
        <v>-184.49199999999999</v>
      </c>
      <c r="AJ589" s="4">
        <f>IF(D589="M",IF(AM589&lt;78,BMILMS!$D$5*AM589^3+BMILMS!$E$5*AM589^2+BMILMS!$F$5*AM589+BMILMS!$G$5,IF(AM589&lt;150,BMILMS!$D$6*AM589^3+BMILMS!$E$6*AM589^2+BMILMS!$F$6*AM589+BMILMS!$G$6,BMILMS!$D$7*AM589^3+BMILMS!$E$7*AM589^2+BMILMS!$F$7*AM589+BMILMS!$G$7)),IF(AM589&lt;69,BMILMS!$D$9*AM589^3+BMILMS!$E$9*AM589^2+BMILMS!$F$9*AM589+BMILMS!$G$9,IF(AM589&lt;150,BMILMS!$D$10*AM589^3+BMILMS!$E$10*AM589^2+BMILMS!$F$10*AM589+BMILMS!$G$10,BMILMS!$D$11*AM589^3+BMILMS!$E$11*AM589^2+BMILMS!$F$11*AM589+BMILMS!$G$11)))</f>
        <v>0.79584630099999998</v>
      </c>
      <c r="AK589" s="4">
        <f>IF(D589="M",(IF(AM589&lt;2.5,BMILMS!$D$21*AM589^3+BMILMS!$E$21*AM589^2+BMILMS!$F$21*AM589+BMILMS!$G$21,IF(AM589&lt;9.5,BMILMS!$D$22*AM589^3+BMILMS!$E$22*AM589^2+BMILMS!$F$22*AM589+BMILMS!$G$22,IF(AM589&lt;26.75,BMILMS!$D$23*AM589^3+BMILMS!$E$23*AM589^2+BMILMS!$F$23*AM589+BMILMS!$G$23,IF(AM589&lt;90,BMILMS!$D$24*AM589^3+BMILMS!$E$24*AM589^2+BMILMS!$F$24*AM589+BMILMS!$G$24,BMILMS!$D$25*AM589^3+BMILMS!$E$25*AM589^2+BMILMS!$F$25*AM589+BMILMS!$G$25))))),(IF(AM589&lt;2.5,BMILMS!$D$27*AM589^3+BMILMS!$E$27*AM589^2+BMILMS!$F$27*AM589+BMILMS!$G$27,IF(AM589&lt;9.5,BMILMS!$D$28*AM589^3+BMILMS!$E$28*AM589^2+BMILMS!$F$28*AM589+BMILMS!$G$28,IF(AM589&lt;26.75,BMILMS!$D$29*AM589^3+BMILMS!$E$29*AM589^2+BMILMS!$F$29*AM589+BMILMS!$G$29,IF(AM589&lt;90,BMILMS!$D$30*AM589^3+BMILMS!$E$30*AM589^2+BMILMS!$F$30*AM589+BMILMS!$G$30,IF(AM589&lt;150,BMILMS!$D$31*AM589^3+BMILMS!$E$31*AM589^2+BMILMS!$F$31*AM589+BMILMS!$G$31,BMILMS!$D$32*AM589^3+BMILMS!$E$32*AM589^2+BMILMS!$F$32*AM589+BMILMS!$G$32)))))))</f>
        <v>12.568967990000001</v>
      </c>
      <c r="AL589" s="4">
        <f>IF(D589="M",(IF(AM589&lt;90,BMILMS!$D$14*AM589^3+BMILMS!$E$14*AM589^2+BMILMS!$F$14*AM589+BMILMS!$G$14,BMILMS!$D$15*AM589^3+BMILMS!$E$15*AM589^2+BMILMS!$F$15*AM589+BMILMS!$G$15)),(IF(AM589&lt;90,BMILMS!$D$17*AM589^3+BMILMS!$E$17*AM589^2+BMILMS!$F$17*AM589+BMILMS!$G$17,BMILMS!$D$18*AM589^3+BMILMS!$E$18*AM589^2+BMILMS!$F$18*AM589+BMILMS!$G$18)))</f>
        <v>8.8969350000000003E-2</v>
      </c>
      <c r="AM589" s="4">
        <f t="shared" si="209"/>
        <v>0</v>
      </c>
      <c r="AO589" s="56">
        <f>IF(D589="M",WeightSDS!P$5*$AM589^7+WeightSDS!Q$5*$AM589^6+WeightSDS!R$5*$AM589^5+WeightSDS!S$5*$AM589^4+WeightSDS!T$5*$AM589^3+WeightSDS!U$5*$AM589^2+WeightSDS!V$5*$AM589+WeightSDS!W$5,IF($AM589&lt;186,WeightSDS!P$8*$AM589^7+WeightSDS!Q$8*$AM589^6+WeightSDS!R$8*$AM589^5+WeightSDS!S$8*$AM589^4+WeightSDS!T$8*$AM589^3+WeightSDS!U$8*$AM589^2+WeightSDS!V$8*$AM589+WeightSDS!W$8,WeightSDS!$U$9+WeightSDS!$V$9*($AM589-WeightSDS!$W$9)))</f>
        <v>0.75407122999999998</v>
      </c>
      <c r="AP589" s="4">
        <f>IF(D589="M",IF($AM589&lt;45,WeightSDS!M$23*$AM589^10+WeightSDS!N$23*$AM589^9+WeightSDS!O$23*$AM589^8+WeightSDS!P$23*$AM589^7+WeightSDS!Q$23*$AM589^6+WeightSDS!R$23*$AM589^5+WeightSDS!S$23*$AM589^4+WeightSDS!T$23*$AM589^3+WeightSDS!U$23*$AM589^2+WeightSDS!V$23*$AM589+WeightSDS!W$23,IF($AM589&lt;153,WeightSDS!M$25*$AM589^10+WeightSDS!N$25*$AM589^9+WeightSDS!O$25*$AM589^8+WeightSDS!P$25*$AM589^7+WeightSDS!Q$25*$AM589^6+WeightSDS!R$25*$AM589^5+WeightSDS!S$25*$AM589^4+WeightSDS!T$25*$AM589^3+WeightSDS!U$25*$AM589^2+WeightSDS!V$25*$AM589+WeightSDS!W$25,WeightSDS!M$27+WeightSDS!N$27/(1+EXP(WeightSDS!O$27+WeightSDS!P$27*$AM589)))),IF($AM589&lt;43.8,WeightSDS!M$29*$AM589^10+WeightSDS!N$29*$AM589^9+WeightSDS!O$29*$AM589^8+WeightSDS!P$29*$AM589^7+WeightSDS!Q$29*$AM589^6+WeightSDS!R$29*$AM589^5+WeightSDS!S$29*$AM589^4+WeightSDS!T$29*$AM589^3+WeightSDS!U$29*$AM589^2+WeightSDS!V$29*$AM589+WeightSDS!W$29-0.010431*(1-$AM589/210),IF($AM589&lt;123,WeightSDS!M$30*$AM589^10+WeightSDS!N$30*$AM589^9+WeightSDS!O$30*$AM589^8+WeightSDS!P$30*$AM589^7+WeightSDS!Q$30*$AM589^6+WeightSDS!R$30*$AM589^5+WeightSDS!S$30*$AM589^4+WeightSDS!T$30*$AM589^3+WeightSDS!U$30*$AM589^2+WeightSDS!V$30*$AM589+WeightSDS!W$30-0.010431*(1-1/$AM589),WeightSDS!M$32+WeightSDS!N$32/(1+EXP(WeightSDS!O$32+WeightSDS!P$32*$AM589))-0.010431*(1-$AM589/210))))</f>
        <v>2.9500001032655536</v>
      </c>
      <c r="AQ589" s="4">
        <f>IF(D589="M",IF($AM589&lt;162,WeightSDS!P$12*$AM589^7+WeightSDS!Q$12*$AM589^6+WeightSDS!R$12*$AM589^5+WeightSDS!S$12*$AM589^4+WeightSDS!T$12*$AM589^3+WeightSDS!U$12*$AM589^2+WeightSDS!V$12*$AM589+WeightSDS!W$12,WeightSDS!P$14*$AM589^7+WeightSDS!Q$14*$AM589^6+WeightSDS!R$14*$AM589^5+WeightSDS!S$14*$AM589^4+WeightSDS!T$14*$AM589^3+WeightSDS!U$14*$AM589^2+WeightSDS!V$14*$AM589+WeightSDS!W$14),IF($AM589&lt;156,WeightSDS!O$17*$AM589^8+WeightSDS!P$17*$AM589^7+WeightSDS!Q$17*$AM589^6+WeightSDS!R$17*$AM589^5+WeightSDS!S$17*$AM589^4+WeightSDS!T$17*$AM589^3+WeightSDS!U$17*$AM589^2+WeightSDS!V$17*$AM589+WeightSDS!W$17,IF($AM589&lt;186,WeightSDS!$U$18+(WeightSDS!$V$18-WeightSDS!$U$18)/24*($AM589-186)+WeightSDS!$W$18*(-$AM589+186)^2-0.005,WeightSDS!$U$18+(WeightSDS!$V$18-WeightSDS!$U$18)/24*($AM589-186)-0.005)))</f>
        <v>0.14604529399999999</v>
      </c>
      <c r="AT589" s="4">
        <f t="shared" si="196"/>
        <v>0.56299999999999994</v>
      </c>
      <c r="AU589" s="4">
        <f t="shared" si="197"/>
        <v>69</v>
      </c>
      <c r="AV589" s="4">
        <f t="shared" si="198"/>
        <v>0.51</v>
      </c>
    </row>
    <row r="590" spans="1:48" x14ac:dyDescent="0.15">
      <c r="A590" s="4"/>
      <c r="B590" s="21"/>
      <c r="C590" s="21"/>
      <c r="D590" s="21"/>
      <c r="E590" s="22"/>
      <c r="F590" s="22"/>
      <c r="G590" s="23"/>
      <c r="H590" s="23"/>
      <c r="I590" s="181"/>
      <c r="J590" s="8" t="str">
        <f t="shared" si="190"/>
        <v/>
      </c>
      <c r="K590" s="2" t="str">
        <f t="shared" si="199"/>
        <v/>
      </c>
      <c r="L590" s="2" t="str">
        <f t="shared" si="191"/>
        <v/>
      </c>
      <c r="M590" s="2" t="str">
        <f t="shared" si="200"/>
        <v/>
      </c>
      <c r="N590" s="2" t="str">
        <f t="shared" si="208"/>
        <v/>
      </c>
      <c r="O590" s="2" t="str">
        <f t="shared" si="201"/>
        <v/>
      </c>
      <c r="P590" s="8" t="str">
        <f t="shared" si="202"/>
        <v/>
      </c>
      <c r="Q590" s="8" t="str">
        <f t="shared" si="203"/>
        <v/>
      </c>
      <c r="R590" s="111" t="str">
        <f t="shared" si="204"/>
        <v/>
      </c>
      <c r="S590" s="44" t="str">
        <f t="shared" si="205"/>
        <v/>
      </c>
      <c r="T590" s="37" t="str">
        <f t="shared" si="206"/>
        <v/>
      </c>
      <c r="U590" s="44" t="str">
        <f t="shared" si="207"/>
        <v/>
      </c>
      <c r="V590" s="26"/>
      <c r="W590" s="26"/>
      <c r="X590" s="26"/>
      <c r="Y590" s="26"/>
      <c r="Z590" s="24"/>
      <c r="AA590" s="169">
        <f t="shared" si="192"/>
        <v>0</v>
      </c>
      <c r="AB590" s="4">
        <f t="shared" si="193"/>
        <v>0</v>
      </c>
      <c r="AC590" s="170">
        <f t="shared" si="189"/>
        <v>0</v>
      </c>
      <c r="AD590" s="58"/>
      <c r="AE590" s="58"/>
      <c r="AF590" s="58"/>
      <c r="AG590" s="59">
        <f t="shared" si="194"/>
        <v>9.0359999999999996</v>
      </c>
      <c r="AH590" s="59">
        <f t="shared" si="195"/>
        <v>-184.49199999999999</v>
      </c>
      <c r="AJ590" s="4">
        <f>IF(D590="M",IF(AM590&lt;78,BMILMS!$D$5*AM590^3+BMILMS!$E$5*AM590^2+BMILMS!$F$5*AM590+BMILMS!$G$5,IF(AM590&lt;150,BMILMS!$D$6*AM590^3+BMILMS!$E$6*AM590^2+BMILMS!$F$6*AM590+BMILMS!$G$6,BMILMS!$D$7*AM590^3+BMILMS!$E$7*AM590^2+BMILMS!$F$7*AM590+BMILMS!$G$7)),IF(AM590&lt;69,BMILMS!$D$9*AM590^3+BMILMS!$E$9*AM590^2+BMILMS!$F$9*AM590+BMILMS!$G$9,IF(AM590&lt;150,BMILMS!$D$10*AM590^3+BMILMS!$E$10*AM590^2+BMILMS!$F$10*AM590+BMILMS!$G$10,BMILMS!$D$11*AM590^3+BMILMS!$E$11*AM590^2+BMILMS!$F$11*AM590+BMILMS!$G$11)))</f>
        <v>0.79584630099999998</v>
      </c>
      <c r="AK590" s="4">
        <f>IF(D590="M",(IF(AM590&lt;2.5,BMILMS!$D$21*AM590^3+BMILMS!$E$21*AM590^2+BMILMS!$F$21*AM590+BMILMS!$G$21,IF(AM590&lt;9.5,BMILMS!$D$22*AM590^3+BMILMS!$E$22*AM590^2+BMILMS!$F$22*AM590+BMILMS!$G$22,IF(AM590&lt;26.75,BMILMS!$D$23*AM590^3+BMILMS!$E$23*AM590^2+BMILMS!$F$23*AM590+BMILMS!$G$23,IF(AM590&lt;90,BMILMS!$D$24*AM590^3+BMILMS!$E$24*AM590^2+BMILMS!$F$24*AM590+BMILMS!$G$24,BMILMS!$D$25*AM590^3+BMILMS!$E$25*AM590^2+BMILMS!$F$25*AM590+BMILMS!$G$25))))),(IF(AM590&lt;2.5,BMILMS!$D$27*AM590^3+BMILMS!$E$27*AM590^2+BMILMS!$F$27*AM590+BMILMS!$G$27,IF(AM590&lt;9.5,BMILMS!$D$28*AM590^3+BMILMS!$E$28*AM590^2+BMILMS!$F$28*AM590+BMILMS!$G$28,IF(AM590&lt;26.75,BMILMS!$D$29*AM590^3+BMILMS!$E$29*AM590^2+BMILMS!$F$29*AM590+BMILMS!$G$29,IF(AM590&lt;90,BMILMS!$D$30*AM590^3+BMILMS!$E$30*AM590^2+BMILMS!$F$30*AM590+BMILMS!$G$30,IF(AM590&lt;150,BMILMS!$D$31*AM590^3+BMILMS!$E$31*AM590^2+BMILMS!$F$31*AM590+BMILMS!$G$31,BMILMS!$D$32*AM590^3+BMILMS!$E$32*AM590^2+BMILMS!$F$32*AM590+BMILMS!$G$32)))))))</f>
        <v>12.568967990000001</v>
      </c>
      <c r="AL590" s="4">
        <f>IF(D590="M",(IF(AM590&lt;90,BMILMS!$D$14*AM590^3+BMILMS!$E$14*AM590^2+BMILMS!$F$14*AM590+BMILMS!$G$14,BMILMS!$D$15*AM590^3+BMILMS!$E$15*AM590^2+BMILMS!$F$15*AM590+BMILMS!$G$15)),(IF(AM590&lt;90,BMILMS!$D$17*AM590^3+BMILMS!$E$17*AM590^2+BMILMS!$F$17*AM590+BMILMS!$G$17,BMILMS!$D$18*AM590^3+BMILMS!$E$18*AM590^2+BMILMS!$F$18*AM590+BMILMS!$G$18)))</f>
        <v>8.8969350000000003E-2</v>
      </c>
      <c r="AM590" s="4">
        <f t="shared" si="209"/>
        <v>0</v>
      </c>
      <c r="AO590" s="56">
        <f>IF(D590="M",WeightSDS!P$5*$AM590^7+WeightSDS!Q$5*$AM590^6+WeightSDS!R$5*$AM590^5+WeightSDS!S$5*$AM590^4+WeightSDS!T$5*$AM590^3+WeightSDS!U$5*$AM590^2+WeightSDS!V$5*$AM590+WeightSDS!W$5,IF($AM590&lt;186,WeightSDS!P$8*$AM590^7+WeightSDS!Q$8*$AM590^6+WeightSDS!R$8*$AM590^5+WeightSDS!S$8*$AM590^4+WeightSDS!T$8*$AM590^3+WeightSDS!U$8*$AM590^2+WeightSDS!V$8*$AM590+WeightSDS!W$8,WeightSDS!$U$9+WeightSDS!$V$9*($AM590-WeightSDS!$W$9)))</f>
        <v>0.75407122999999998</v>
      </c>
      <c r="AP590" s="4">
        <f>IF(D590="M",IF($AM590&lt;45,WeightSDS!M$23*$AM590^10+WeightSDS!N$23*$AM590^9+WeightSDS!O$23*$AM590^8+WeightSDS!P$23*$AM590^7+WeightSDS!Q$23*$AM590^6+WeightSDS!R$23*$AM590^5+WeightSDS!S$23*$AM590^4+WeightSDS!T$23*$AM590^3+WeightSDS!U$23*$AM590^2+WeightSDS!V$23*$AM590+WeightSDS!W$23,IF($AM590&lt;153,WeightSDS!M$25*$AM590^10+WeightSDS!N$25*$AM590^9+WeightSDS!O$25*$AM590^8+WeightSDS!P$25*$AM590^7+WeightSDS!Q$25*$AM590^6+WeightSDS!R$25*$AM590^5+WeightSDS!S$25*$AM590^4+WeightSDS!T$25*$AM590^3+WeightSDS!U$25*$AM590^2+WeightSDS!V$25*$AM590+WeightSDS!W$25,WeightSDS!M$27+WeightSDS!N$27/(1+EXP(WeightSDS!O$27+WeightSDS!P$27*$AM590)))),IF($AM590&lt;43.8,WeightSDS!M$29*$AM590^10+WeightSDS!N$29*$AM590^9+WeightSDS!O$29*$AM590^8+WeightSDS!P$29*$AM590^7+WeightSDS!Q$29*$AM590^6+WeightSDS!R$29*$AM590^5+WeightSDS!S$29*$AM590^4+WeightSDS!T$29*$AM590^3+WeightSDS!U$29*$AM590^2+WeightSDS!V$29*$AM590+WeightSDS!W$29-0.010431*(1-$AM590/210),IF($AM590&lt;123,WeightSDS!M$30*$AM590^10+WeightSDS!N$30*$AM590^9+WeightSDS!O$30*$AM590^8+WeightSDS!P$30*$AM590^7+WeightSDS!Q$30*$AM590^6+WeightSDS!R$30*$AM590^5+WeightSDS!S$30*$AM590^4+WeightSDS!T$30*$AM590^3+WeightSDS!U$30*$AM590^2+WeightSDS!V$30*$AM590+WeightSDS!W$30-0.010431*(1-1/$AM590),WeightSDS!M$32+WeightSDS!N$32/(1+EXP(WeightSDS!O$32+WeightSDS!P$32*$AM590))-0.010431*(1-$AM590/210))))</f>
        <v>2.9500001032655536</v>
      </c>
      <c r="AQ590" s="4">
        <f>IF(D590="M",IF($AM590&lt;162,WeightSDS!P$12*$AM590^7+WeightSDS!Q$12*$AM590^6+WeightSDS!R$12*$AM590^5+WeightSDS!S$12*$AM590^4+WeightSDS!T$12*$AM590^3+WeightSDS!U$12*$AM590^2+WeightSDS!V$12*$AM590+WeightSDS!W$12,WeightSDS!P$14*$AM590^7+WeightSDS!Q$14*$AM590^6+WeightSDS!R$14*$AM590^5+WeightSDS!S$14*$AM590^4+WeightSDS!T$14*$AM590^3+WeightSDS!U$14*$AM590^2+WeightSDS!V$14*$AM590+WeightSDS!W$14),IF($AM590&lt;156,WeightSDS!O$17*$AM590^8+WeightSDS!P$17*$AM590^7+WeightSDS!Q$17*$AM590^6+WeightSDS!R$17*$AM590^5+WeightSDS!S$17*$AM590^4+WeightSDS!T$17*$AM590^3+WeightSDS!U$17*$AM590^2+WeightSDS!V$17*$AM590+WeightSDS!W$17,IF($AM590&lt;186,WeightSDS!$U$18+(WeightSDS!$V$18-WeightSDS!$U$18)/24*($AM590-186)+WeightSDS!$W$18*(-$AM590+186)^2-0.005,WeightSDS!$U$18+(WeightSDS!$V$18-WeightSDS!$U$18)/24*($AM590-186)-0.005)))</f>
        <v>0.14604529399999999</v>
      </c>
      <c r="AT590" s="4">
        <f t="shared" si="196"/>
        <v>0.56299999999999994</v>
      </c>
      <c r="AU590" s="4">
        <f t="shared" si="197"/>
        <v>69</v>
      </c>
      <c r="AV590" s="4">
        <f t="shared" si="198"/>
        <v>0.51</v>
      </c>
    </row>
    <row r="591" spans="1:48" x14ac:dyDescent="0.15">
      <c r="A591" s="4"/>
      <c r="B591" s="21"/>
      <c r="C591" s="21"/>
      <c r="D591" s="21"/>
      <c r="E591" s="22"/>
      <c r="F591" s="22"/>
      <c r="G591" s="23"/>
      <c r="H591" s="23"/>
      <c r="I591" s="181"/>
      <c r="J591" s="8" t="str">
        <f t="shared" si="190"/>
        <v/>
      </c>
      <c r="K591" s="2" t="str">
        <f t="shared" si="199"/>
        <v/>
      </c>
      <c r="L591" s="2" t="str">
        <f t="shared" si="191"/>
        <v/>
      </c>
      <c r="M591" s="2" t="str">
        <f t="shared" si="200"/>
        <v/>
      </c>
      <c r="N591" s="2" t="str">
        <f t="shared" si="208"/>
        <v/>
      </c>
      <c r="O591" s="2" t="str">
        <f t="shared" si="201"/>
        <v/>
      </c>
      <c r="P591" s="8" t="str">
        <f t="shared" si="202"/>
        <v/>
      </c>
      <c r="Q591" s="8" t="str">
        <f t="shared" si="203"/>
        <v/>
      </c>
      <c r="R591" s="111" t="str">
        <f t="shared" si="204"/>
        <v/>
      </c>
      <c r="S591" s="44" t="str">
        <f t="shared" si="205"/>
        <v/>
      </c>
      <c r="T591" s="37" t="str">
        <f t="shared" si="206"/>
        <v/>
      </c>
      <c r="U591" s="44" t="str">
        <f t="shared" si="207"/>
        <v/>
      </c>
      <c r="V591" s="26"/>
      <c r="W591" s="26"/>
      <c r="X591" s="26"/>
      <c r="Y591" s="26"/>
      <c r="Z591" s="24"/>
      <c r="AA591" s="169">
        <f t="shared" si="192"/>
        <v>0</v>
      </c>
      <c r="AB591" s="4">
        <f t="shared" si="193"/>
        <v>0</v>
      </c>
      <c r="AC591" s="170">
        <f t="shared" si="189"/>
        <v>0</v>
      </c>
      <c r="AD591" s="58"/>
      <c r="AE591" s="58"/>
      <c r="AF591" s="58"/>
      <c r="AG591" s="59">
        <f t="shared" si="194"/>
        <v>9.0359999999999996</v>
      </c>
      <c r="AH591" s="59">
        <f t="shared" si="195"/>
        <v>-184.49199999999999</v>
      </c>
      <c r="AJ591" s="4">
        <f>IF(D591="M",IF(AM591&lt;78,BMILMS!$D$5*AM591^3+BMILMS!$E$5*AM591^2+BMILMS!$F$5*AM591+BMILMS!$G$5,IF(AM591&lt;150,BMILMS!$D$6*AM591^3+BMILMS!$E$6*AM591^2+BMILMS!$F$6*AM591+BMILMS!$G$6,BMILMS!$D$7*AM591^3+BMILMS!$E$7*AM591^2+BMILMS!$F$7*AM591+BMILMS!$G$7)),IF(AM591&lt;69,BMILMS!$D$9*AM591^3+BMILMS!$E$9*AM591^2+BMILMS!$F$9*AM591+BMILMS!$G$9,IF(AM591&lt;150,BMILMS!$D$10*AM591^3+BMILMS!$E$10*AM591^2+BMILMS!$F$10*AM591+BMILMS!$G$10,BMILMS!$D$11*AM591^3+BMILMS!$E$11*AM591^2+BMILMS!$F$11*AM591+BMILMS!$G$11)))</f>
        <v>0.79584630099999998</v>
      </c>
      <c r="AK591" s="4">
        <f>IF(D591="M",(IF(AM591&lt;2.5,BMILMS!$D$21*AM591^3+BMILMS!$E$21*AM591^2+BMILMS!$F$21*AM591+BMILMS!$G$21,IF(AM591&lt;9.5,BMILMS!$D$22*AM591^3+BMILMS!$E$22*AM591^2+BMILMS!$F$22*AM591+BMILMS!$G$22,IF(AM591&lt;26.75,BMILMS!$D$23*AM591^3+BMILMS!$E$23*AM591^2+BMILMS!$F$23*AM591+BMILMS!$G$23,IF(AM591&lt;90,BMILMS!$D$24*AM591^3+BMILMS!$E$24*AM591^2+BMILMS!$F$24*AM591+BMILMS!$G$24,BMILMS!$D$25*AM591^3+BMILMS!$E$25*AM591^2+BMILMS!$F$25*AM591+BMILMS!$G$25))))),(IF(AM591&lt;2.5,BMILMS!$D$27*AM591^3+BMILMS!$E$27*AM591^2+BMILMS!$F$27*AM591+BMILMS!$G$27,IF(AM591&lt;9.5,BMILMS!$D$28*AM591^3+BMILMS!$E$28*AM591^2+BMILMS!$F$28*AM591+BMILMS!$G$28,IF(AM591&lt;26.75,BMILMS!$D$29*AM591^3+BMILMS!$E$29*AM591^2+BMILMS!$F$29*AM591+BMILMS!$G$29,IF(AM591&lt;90,BMILMS!$D$30*AM591^3+BMILMS!$E$30*AM591^2+BMILMS!$F$30*AM591+BMILMS!$G$30,IF(AM591&lt;150,BMILMS!$D$31*AM591^3+BMILMS!$E$31*AM591^2+BMILMS!$F$31*AM591+BMILMS!$G$31,BMILMS!$D$32*AM591^3+BMILMS!$E$32*AM591^2+BMILMS!$F$32*AM591+BMILMS!$G$32)))))))</f>
        <v>12.568967990000001</v>
      </c>
      <c r="AL591" s="4">
        <f>IF(D591="M",(IF(AM591&lt;90,BMILMS!$D$14*AM591^3+BMILMS!$E$14*AM591^2+BMILMS!$F$14*AM591+BMILMS!$G$14,BMILMS!$D$15*AM591^3+BMILMS!$E$15*AM591^2+BMILMS!$F$15*AM591+BMILMS!$G$15)),(IF(AM591&lt;90,BMILMS!$D$17*AM591^3+BMILMS!$E$17*AM591^2+BMILMS!$F$17*AM591+BMILMS!$G$17,BMILMS!$D$18*AM591^3+BMILMS!$E$18*AM591^2+BMILMS!$F$18*AM591+BMILMS!$G$18)))</f>
        <v>8.8969350000000003E-2</v>
      </c>
      <c r="AM591" s="4">
        <f t="shared" si="209"/>
        <v>0</v>
      </c>
      <c r="AO591" s="56">
        <f>IF(D591="M",WeightSDS!P$5*$AM591^7+WeightSDS!Q$5*$AM591^6+WeightSDS!R$5*$AM591^5+WeightSDS!S$5*$AM591^4+WeightSDS!T$5*$AM591^3+WeightSDS!U$5*$AM591^2+WeightSDS!V$5*$AM591+WeightSDS!W$5,IF($AM591&lt;186,WeightSDS!P$8*$AM591^7+WeightSDS!Q$8*$AM591^6+WeightSDS!R$8*$AM591^5+WeightSDS!S$8*$AM591^4+WeightSDS!T$8*$AM591^3+WeightSDS!U$8*$AM591^2+WeightSDS!V$8*$AM591+WeightSDS!W$8,WeightSDS!$U$9+WeightSDS!$V$9*($AM591-WeightSDS!$W$9)))</f>
        <v>0.75407122999999998</v>
      </c>
      <c r="AP591" s="4">
        <f>IF(D591="M",IF($AM591&lt;45,WeightSDS!M$23*$AM591^10+WeightSDS!N$23*$AM591^9+WeightSDS!O$23*$AM591^8+WeightSDS!P$23*$AM591^7+WeightSDS!Q$23*$AM591^6+WeightSDS!R$23*$AM591^5+WeightSDS!S$23*$AM591^4+WeightSDS!T$23*$AM591^3+WeightSDS!U$23*$AM591^2+WeightSDS!V$23*$AM591+WeightSDS!W$23,IF($AM591&lt;153,WeightSDS!M$25*$AM591^10+WeightSDS!N$25*$AM591^9+WeightSDS!O$25*$AM591^8+WeightSDS!P$25*$AM591^7+WeightSDS!Q$25*$AM591^6+WeightSDS!R$25*$AM591^5+WeightSDS!S$25*$AM591^4+WeightSDS!T$25*$AM591^3+WeightSDS!U$25*$AM591^2+WeightSDS!V$25*$AM591+WeightSDS!W$25,WeightSDS!M$27+WeightSDS!N$27/(1+EXP(WeightSDS!O$27+WeightSDS!P$27*$AM591)))),IF($AM591&lt;43.8,WeightSDS!M$29*$AM591^10+WeightSDS!N$29*$AM591^9+WeightSDS!O$29*$AM591^8+WeightSDS!P$29*$AM591^7+WeightSDS!Q$29*$AM591^6+WeightSDS!R$29*$AM591^5+WeightSDS!S$29*$AM591^4+WeightSDS!T$29*$AM591^3+WeightSDS!U$29*$AM591^2+WeightSDS!V$29*$AM591+WeightSDS!W$29-0.010431*(1-$AM591/210),IF($AM591&lt;123,WeightSDS!M$30*$AM591^10+WeightSDS!N$30*$AM591^9+WeightSDS!O$30*$AM591^8+WeightSDS!P$30*$AM591^7+WeightSDS!Q$30*$AM591^6+WeightSDS!R$30*$AM591^5+WeightSDS!S$30*$AM591^4+WeightSDS!T$30*$AM591^3+WeightSDS!U$30*$AM591^2+WeightSDS!V$30*$AM591+WeightSDS!W$30-0.010431*(1-1/$AM591),WeightSDS!M$32+WeightSDS!N$32/(1+EXP(WeightSDS!O$32+WeightSDS!P$32*$AM591))-0.010431*(1-$AM591/210))))</f>
        <v>2.9500001032655536</v>
      </c>
      <c r="AQ591" s="4">
        <f>IF(D591="M",IF($AM591&lt;162,WeightSDS!P$12*$AM591^7+WeightSDS!Q$12*$AM591^6+WeightSDS!R$12*$AM591^5+WeightSDS!S$12*$AM591^4+WeightSDS!T$12*$AM591^3+WeightSDS!U$12*$AM591^2+WeightSDS!V$12*$AM591+WeightSDS!W$12,WeightSDS!P$14*$AM591^7+WeightSDS!Q$14*$AM591^6+WeightSDS!R$14*$AM591^5+WeightSDS!S$14*$AM591^4+WeightSDS!T$14*$AM591^3+WeightSDS!U$14*$AM591^2+WeightSDS!V$14*$AM591+WeightSDS!W$14),IF($AM591&lt;156,WeightSDS!O$17*$AM591^8+WeightSDS!P$17*$AM591^7+WeightSDS!Q$17*$AM591^6+WeightSDS!R$17*$AM591^5+WeightSDS!S$17*$AM591^4+WeightSDS!T$17*$AM591^3+WeightSDS!U$17*$AM591^2+WeightSDS!V$17*$AM591+WeightSDS!W$17,IF($AM591&lt;186,WeightSDS!$U$18+(WeightSDS!$V$18-WeightSDS!$U$18)/24*($AM591-186)+WeightSDS!$W$18*(-$AM591+186)^2-0.005,WeightSDS!$U$18+(WeightSDS!$V$18-WeightSDS!$U$18)/24*($AM591-186)-0.005)))</f>
        <v>0.14604529399999999</v>
      </c>
      <c r="AT591" s="4">
        <f t="shared" si="196"/>
        <v>0.56299999999999994</v>
      </c>
      <c r="AU591" s="4">
        <f t="shared" si="197"/>
        <v>69</v>
      </c>
      <c r="AV591" s="4">
        <f t="shared" si="198"/>
        <v>0.51</v>
      </c>
    </row>
    <row r="592" spans="1:48" x14ac:dyDescent="0.15">
      <c r="A592" s="4"/>
      <c r="B592" s="21"/>
      <c r="C592" s="21"/>
      <c r="D592" s="21"/>
      <c r="E592" s="22"/>
      <c r="F592" s="22"/>
      <c r="G592" s="23"/>
      <c r="H592" s="23"/>
      <c r="I592" s="181"/>
      <c r="J592" s="8" t="str">
        <f t="shared" si="190"/>
        <v/>
      </c>
      <c r="K592" s="2" t="str">
        <f t="shared" si="199"/>
        <v/>
      </c>
      <c r="L592" s="2" t="str">
        <f t="shared" si="191"/>
        <v/>
      </c>
      <c r="M592" s="2" t="str">
        <f t="shared" si="200"/>
        <v/>
      </c>
      <c r="N592" s="2" t="str">
        <f t="shared" si="208"/>
        <v/>
      </c>
      <c r="O592" s="2" t="str">
        <f t="shared" si="201"/>
        <v/>
      </c>
      <c r="P592" s="8" t="str">
        <f t="shared" si="202"/>
        <v/>
      </c>
      <c r="Q592" s="8" t="str">
        <f t="shared" si="203"/>
        <v/>
      </c>
      <c r="R592" s="111" t="str">
        <f t="shared" si="204"/>
        <v/>
      </c>
      <c r="S592" s="44" t="str">
        <f t="shared" si="205"/>
        <v/>
      </c>
      <c r="T592" s="37" t="str">
        <f t="shared" si="206"/>
        <v/>
      </c>
      <c r="U592" s="44" t="str">
        <f t="shared" si="207"/>
        <v/>
      </c>
      <c r="V592" s="26"/>
      <c r="W592" s="26"/>
      <c r="X592" s="26"/>
      <c r="Y592" s="26"/>
      <c r="Z592" s="24"/>
      <c r="AA592" s="169">
        <f t="shared" si="192"/>
        <v>0</v>
      </c>
      <c r="AB592" s="4">
        <f t="shared" si="193"/>
        <v>0</v>
      </c>
      <c r="AC592" s="170">
        <f t="shared" si="189"/>
        <v>0</v>
      </c>
      <c r="AD592" s="58"/>
      <c r="AE592" s="58"/>
      <c r="AF592" s="58"/>
      <c r="AG592" s="59">
        <f t="shared" si="194"/>
        <v>9.0359999999999996</v>
      </c>
      <c r="AH592" s="59">
        <f t="shared" si="195"/>
        <v>-184.49199999999999</v>
      </c>
      <c r="AJ592" s="4">
        <f>IF(D592="M",IF(AM592&lt;78,BMILMS!$D$5*AM592^3+BMILMS!$E$5*AM592^2+BMILMS!$F$5*AM592+BMILMS!$G$5,IF(AM592&lt;150,BMILMS!$D$6*AM592^3+BMILMS!$E$6*AM592^2+BMILMS!$F$6*AM592+BMILMS!$G$6,BMILMS!$D$7*AM592^3+BMILMS!$E$7*AM592^2+BMILMS!$F$7*AM592+BMILMS!$G$7)),IF(AM592&lt;69,BMILMS!$D$9*AM592^3+BMILMS!$E$9*AM592^2+BMILMS!$F$9*AM592+BMILMS!$G$9,IF(AM592&lt;150,BMILMS!$D$10*AM592^3+BMILMS!$E$10*AM592^2+BMILMS!$F$10*AM592+BMILMS!$G$10,BMILMS!$D$11*AM592^3+BMILMS!$E$11*AM592^2+BMILMS!$F$11*AM592+BMILMS!$G$11)))</f>
        <v>0.79584630099999998</v>
      </c>
      <c r="AK592" s="4">
        <f>IF(D592="M",(IF(AM592&lt;2.5,BMILMS!$D$21*AM592^3+BMILMS!$E$21*AM592^2+BMILMS!$F$21*AM592+BMILMS!$G$21,IF(AM592&lt;9.5,BMILMS!$D$22*AM592^3+BMILMS!$E$22*AM592^2+BMILMS!$F$22*AM592+BMILMS!$G$22,IF(AM592&lt;26.75,BMILMS!$D$23*AM592^3+BMILMS!$E$23*AM592^2+BMILMS!$F$23*AM592+BMILMS!$G$23,IF(AM592&lt;90,BMILMS!$D$24*AM592^3+BMILMS!$E$24*AM592^2+BMILMS!$F$24*AM592+BMILMS!$G$24,BMILMS!$D$25*AM592^3+BMILMS!$E$25*AM592^2+BMILMS!$F$25*AM592+BMILMS!$G$25))))),(IF(AM592&lt;2.5,BMILMS!$D$27*AM592^3+BMILMS!$E$27*AM592^2+BMILMS!$F$27*AM592+BMILMS!$G$27,IF(AM592&lt;9.5,BMILMS!$D$28*AM592^3+BMILMS!$E$28*AM592^2+BMILMS!$F$28*AM592+BMILMS!$G$28,IF(AM592&lt;26.75,BMILMS!$D$29*AM592^3+BMILMS!$E$29*AM592^2+BMILMS!$F$29*AM592+BMILMS!$G$29,IF(AM592&lt;90,BMILMS!$D$30*AM592^3+BMILMS!$E$30*AM592^2+BMILMS!$F$30*AM592+BMILMS!$G$30,IF(AM592&lt;150,BMILMS!$D$31*AM592^3+BMILMS!$E$31*AM592^2+BMILMS!$F$31*AM592+BMILMS!$G$31,BMILMS!$D$32*AM592^3+BMILMS!$E$32*AM592^2+BMILMS!$F$32*AM592+BMILMS!$G$32)))))))</f>
        <v>12.568967990000001</v>
      </c>
      <c r="AL592" s="4">
        <f>IF(D592="M",(IF(AM592&lt;90,BMILMS!$D$14*AM592^3+BMILMS!$E$14*AM592^2+BMILMS!$F$14*AM592+BMILMS!$G$14,BMILMS!$D$15*AM592^3+BMILMS!$E$15*AM592^2+BMILMS!$F$15*AM592+BMILMS!$G$15)),(IF(AM592&lt;90,BMILMS!$D$17*AM592^3+BMILMS!$E$17*AM592^2+BMILMS!$F$17*AM592+BMILMS!$G$17,BMILMS!$D$18*AM592^3+BMILMS!$E$18*AM592^2+BMILMS!$F$18*AM592+BMILMS!$G$18)))</f>
        <v>8.8969350000000003E-2</v>
      </c>
      <c r="AM592" s="4">
        <f t="shared" si="209"/>
        <v>0</v>
      </c>
      <c r="AO592" s="56">
        <f>IF(D592="M",WeightSDS!P$5*$AM592^7+WeightSDS!Q$5*$AM592^6+WeightSDS!R$5*$AM592^5+WeightSDS!S$5*$AM592^4+WeightSDS!T$5*$AM592^3+WeightSDS!U$5*$AM592^2+WeightSDS!V$5*$AM592+WeightSDS!W$5,IF($AM592&lt;186,WeightSDS!P$8*$AM592^7+WeightSDS!Q$8*$AM592^6+WeightSDS!R$8*$AM592^5+WeightSDS!S$8*$AM592^4+WeightSDS!T$8*$AM592^3+WeightSDS!U$8*$AM592^2+WeightSDS!V$8*$AM592+WeightSDS!W$8,WeightSDS!$U$9+WeightSDS!$V$9*($AM592-WeightSDS!$W$9)))</f>
        <v>0.75407122999999998</v>
      </c>
      <c r="AP592" s="4">
        <f>IF(D592="M",IF($AM592&lt;45,WeightSDS!M$23*$AM592^10+WeightSDS!N$23*$AM592^9+WeightSDS!O$23*$AM592^8+WeightSDS!P$23*$AM592^7+WeightSDS!Q$23*$AM592^6+WeightSDS!R$23*$AM592^5+WeightSDS!S$23*$AM592^4+WeightSDS!T$23*$AM592^3+WeightSDS!U$23*$AM592^2+WeightSDS!V$23*$AM592+WeightSDS!W$23,IF($AM592&lt;153,WeightSDS!M$25*$AM592^10+WeightSDS!N$25*$AM592^9+WeightSDS!O$25*$AM592^8+WeightSDS!P$25*$AM592^7+WeightSDS!Q$25*$AM592^6+WeightSDS!R$25*$AM592^5+WeightSDS!S$25*$AM592^4+WeightSDS!T$25*$AM592^3+WeightSDS!U$25*$AM592^2+WeightSDS!V$25*$AM592+WeightSDS!W$25,WeightSDS!M$27+WeightSDS!N$27/(1+EXP(WeightSDS!O$27+WeightSDS!P$27*$AM592)))),IF($AM592&lt;43.8,WeightSDS!M$29*$AM592^10+WeightSDS!N$29*$AM592^9+WeightSDS!O$29*$AM592^8+WeightSDS!P$29*$AM592^7+WeightSDS!Q$29*$AM592^6+WeightSDS!R$29*$AM592^5+WeightSDS!S$29*$AM592^4+WeightSDS!T$29*$AM592^3+WeightSDS!U$29*$AM592^2+WeightSDS!V$29*$AM592+WeightSDS!W$29-0.010431*(1-$AM592/210),IF($AM592&lt;123,WeightSDS!M$30*$AM592^10+WeightSDS!N$30*$AM592^9+WeightSDS!O$30*$AM592^8+WeightSDS!P$30*$AM592^7+WeightSDS!Q$30*$AM592^6+WeightSDS!R$30*$AM592^5+WeightSDS!S$30*$AM592^4+WeightSDS!T$30*$AM592^3+WeightSDS!U$30*$AM592^2+WeightSDS!V$30*$AM592+WeightSDS!W$30-0.010431*(1-1/$AM592),WeightSDS!M$32+WeightSDS!N$32/(1+EXP(WeightSDS!O$32+WeightSDS!P$32*$AM592))-0.010431*(1-$AM592/210))))</f>
        <v>2.9500001032655536</v>
      </c>
      <c r="AQ592" s="4">
        <f>IF(D592="M",IF($AM592&lt;162,WeightSDS!P$12*$AM592^7+WeightSDS!Q$12*$AM592^6+WeightSDS!R$12*$AM592^5+WeightSDS!S$12*$AM592^4+WeightSDS!T$12*$AM592^3+WeightSDS!U$12*$AM592^2+WeightSDS!V$12*$AM592+WeightSDS!W$12,WeightSDS!P$14*$AM592^7+WeightSDS!Q$14*$AM592^6+WeightSDS!R$14*$AM592^5+WeightSDS!S$14*$AM592^4+WeightSDS!T$14*$AM592^3+WeightSDS!U$14*$AM592^2+WeightSDS!V$14*$AM592+WeightSDS!W$14),IF($AM592&lt;156,WeightSDS!O$17*$AM592^8+WeightSDS!P$17*$AM592^7+WeightSDS!Q$17*$AM592^6+WeightSDS!R$17*$AM592^5+WeightSDS!S$17*$AM592^4+WeightSDS!T$17*$AM592^3+WeightSDS!U$17*$AM592^2+WeightSDS!V$17*$AM592+WeightSDS!W$17,IF($AM592&lt;186,WeightSDS!$U$18+(WeightSDS!$V$18-WeightSDS!$U$18)/24*($AM592-186)+WeightSDS!$W$18*(-$AM592+186)^2-0.005,WeightSDS!$U$18+(WeightSDS!$V$18-WeightSDS!$U$18)/24*($AM592-186)-0.005)))</f>
        <v>0.14604529399999999</v>
      </c>
      <c r="AT592" s="4">
        <f t="shared" si="196"/>
        <v>0.56299999999999994</v>
      </c>
      <c r="AU592" s="4">
        <f t="shared" si="197"/>
        <v>69</v>
      </c>
      <c r="AV592" s="4">
        <f t="shared" si="198"/>
        <v>0.51</v>
      </c>
    </row>
    <row r="593" spans="1:48" x14ac:dyDescent="0.15">
      <c r="A593" s="4"/>
      <c r="B593" s="21"/>
      <c r="C593" s="21"/>
      <c r="D593" s="21"/>
      <c r="E593" s="22"/>
      <c r="F593" s="22"/>
      <c r="G593" s="23"/>
      <c r="H593" s="23"/>
      <c r="I593" s="181"/>
      <c r="J593" s="8" t="str">
        <f t="shared" si="190"/>
        <v/>
      </c>
      <c r="K593" s="2" t="str">
        <f t="shared" si="199"/>
        <v/>
      </c>
      <c r="L593" s="2" t="str">
        <f t="shared" si="191"/>
        <v/>
      </c>
      <c r="M593" s="2" t="str">
        <f t="shared" si="200"/>
        <v/>
      </c>
      <c r="N593" s="2" t="str">
        <f t="shared" si="208"/>
        <v/>
      </c>
      <c r="O593" s="2" t="str">
        <f t="shared" si="201"/>
        <v/>
      </c>
      <c r="P593" s="8" t="str">
        <f t="shared" si="202"/>
        <v/>
      </c>
      <c r="Q593" s="8" t="str">
        <f t="shared" si="203"/>
        <v/>
      </c>
      <c r="R593" s="111" t="str">
        <f t="shared" si="204"/>
        <v/>
      </c>
      <c r="S593" s="44" t="str">
        <f t="shared" si="205"/>
        <v/>
      </c>
      <c r="T593" s="37" t="str">
        <f t="shared" si="206"/>
        <v/>
      </c>
      <c r="U593" s="44" t="str">
        <f t="shared" si="207"/>
        <v/>
      </c>
      <c r="V593" s="26"/>
      <c r="W593" s="26"/>
      <c r="X593" s="26"/>
      <c r="Y593" s="26"/>
      <c r="Z593" s="24"/>
      <c r="AA593" s="169">
        <f t="shared" si="192"/>
        <v>0</v>
      </c>
      <c r="AB593" s="4">
        <f t="shared" si="193"/>
        <v>0</v>
      </c>
      <c r="AC593" s="170">
        <f t="shared" si="189"/>
        <v>0</v>
      </c>
      <c r="AD593" s="58"/>
      <c r="AE593" s="58"/>
      <c r="AF593" s="58"/>
      <c r="AG593" s="59">
        <f t="shared" si="194"/>
        <v>9.0359999999999996</v>
      </c>
      <c r="AH593" s="59">
        <f t="shared" si="195"/>
        <v>-184.49199999999999</v>
      </c>
      <c r="AJ593" s="4">
        <f>IF(D593="M",IF(AM593&lt;78,BMILMS!$D$5*AM593^3+BMILMS!$E$5*AM593^2+BMILMS!$F$5*AM593+BMILMS!$G$5,IF(AM593&lt;150,BMILMS!$D$6*AM593^3+BMILMS!$E$6*AM593^2+BMILMS!$F$6*AM593+BMILMS!$G$6,BMILMS!$D$7*AM593^3+BMILMS!$E$7*AM593^2+BMILMS!$F$7*AM593+BMILMS!$G$7)),IF(AM593&lt;69,BMILMS!$D$9*AM593^3+BMILMS!$E$9*AM593^2+BMILMS!$F$9*AM593+BMILMS!$G$9,IF(AM593&lt;150,BMILMS!$D$10*AM593^3+BMILMS!$E$10*AM593^2+BMILMS!$F$10*AM593+BMILMS!$G$10,BMILMS!$D$11*AM593^3+BMILMS!$E$11*AM593^2+BMILMS!$F$11*AM593+BMILMS!$G$11)))</f>
        <v>0.79584630099999998</v>
      </c>
      <c r="AK593" s="4">
        <f>IF(D593="M",(IF(AM593&lt;2.5,BMILMS!$D$21*AM593^3+BMILMS!$E$21*AM593^2+BMILMS!$F$21*AM593+BMILMS!$G$21,IF(AM593&lt;9.5,BMILMS!$D$22*AM593^3+BMILMS!$E$22*AM593^2+BMILMS!$F$22*AM593+BMILMS!$G$22,IF(AM593&lt;26.75,BMILMS!$D$23*AM593^3+BMILMS!$E$23*AM593^2+BMILMS!$F$23*AM593+BMILMS!$G$23,IF(AM593&lt;90,BMILMS!$D$24*AM593^3+BMILMS!$E$24*AM593^2+BMILMS!$F$24*AM593+BMILMS!$G$24,BMILMS!$D$25*AM593^3+BMILMS!$E$25*AM593^2+BMILMS!$F$25*AM593+BMILMS!$G$25))))),(IF(AM593&lt;2.5,BMILMS!$D$27*AM593^3+BMILMS!$E$27*AM593^2+BMILMS!$F$27*AM593+BMILMS!$G$27,IF(AM593&lt;9.5,BMILMS!$D$28*AM593^3+BMILMS!$E$28*AM593^2+BMILMS!$F$28*AM593+BMILMS!$G$28,IF(AM593&lt;26.75,BMILMS!$D$29*AM593^3+BMILMS!$E$29*AM593^2+BMILMS!$F$29*AM593+BMILMS!$G$29,IF(AM593&lt;90,BMILMS!$D$30*AM593^3+BMILMS!$E$30*AM593^2+BMILMS!$F$30*AM593+BMILMS!$G$30,IF(AM593&lt;150,BMILMS!$D$31*AM593^3+BMILMS!$E$31*AM593^2+BMILMS!$F$31*AM593+BMILMS!$G$31,BMILMS!$D$32*AM593^3+BMILMS!$E$32*AM593^2+BMILMS!$F$32*AM593+BMILMS!$G$32)))))))</f>
        <v>12.568967990000001</v>
      </c>
      <c r="AL593" s="4">
        <f>IF(D593="M",(IF(AM593&lt;90,BMILMS!$D$14*AM593^3+BMILMS!$E$14*AM593^2+BMILMS!$F$14*AM593+BMILMS!$G$14,BMILMS!$D$15*AM593^3+BMILMS!$E$15*AM593^2+BMILMS!$F$15*AM593+BMILMS!$G$15)),(IF(AM593&lt;90,BMILMS!$D$17*AM593^3+BMILMS!$E$17*AM593^2+BMILMS!$F$17*AM593+BMILMS!$G$17,BMILMS!$D$18*AM593^3+BMILMS!$E$18*AM593^2+BMILMS!$F$18*AM593+BMILMS!$G$18)))</f>
        <v>8.8969350000000003E-2</v>
      </c>
      <c r="AM593" s="4">
        <f t="shared" si="209"/>
        <v>0</v>
      </c>
      <c r="AO593" s="56">
        <f>IF(D593="M",WeightSDS!P$5*$AM593^7+WeightSDS!Q$5*$AM593^6+WeightSDS!R$5*$AM593^5+WeightSDS!S$5*$AM593^4+WeightSDS!T$5*$AM593^3+WeightSDS!U$5*$AM593^2+WeightSDS!V$5*$AM593+WeightSDS!W$5,IF($AM593&lt;186,WeightSDS!P$8*$AM593^7+WeightSDS!Q$8*$AM593^6+WeightSDS!R$8*$AM593^5+WeightSDS!S$8*$AM593^4+WeightSDS!T$8*$AM593^3+WeightSDS!U$8*$AM593^2+WeightSDS!V$8*$AM593+WeightSDS!W$8,WeightSDS!$U$9+WeightSDS!$V$9*($AM593-WeightSDS!$W$9)))</f>
        <v>0.75407122999999998</v>
      </c>
      <c r="AP593" s="4">
        <f>IF(D593="M",IF($AM593&lt;45,WeightSDS!M$23*$AM593^10+WeightSDS!N$23*$AM593^9+WeightSDS!O$23*$AM593^8+WeightSDS!P$23*$AM593^7+WeightSDS!Q$23*$AM593^6+WeightSDS!R$23*$AM593^5+WeightSDS!S$23*$AM593^4+WeightSDS!T$23*$AM593^3+WeightSDS!U$23*$AM593^2+WeightSDS!V$23*$AM593+WeightSDS!W$23,IF($AM593&lt;153,WeightSDS!M$25*$AM593^10+WeightSDS!N$25*$AM593^9+WeightSDS!O$25*$AM593^8+WeightSDS!P$25*$AM593^7+WeightSDS!Q$25*$AM593^6+WeightSDS!R$25*$AM593^5+WeightSDS!S$25*$AM593^4+WeightSDS!T$25*$AM593^3+WeightSDS!U$25*$AM593^2+WeightSDS!V$25*$AM593+WeightSDS!W$25,WeightSDS!M$27+WeightSDS!N$27/(1+EXP(WeightSDS!O$27+WeightSDS!P$27*$AM593)))),IF($AM593&lt;43.8,WeightSDS!M$29*$AM593^10+WeightSDS!N$29*$AM593^9+WeightSDS!O$29*$AM593^8+WeightSDS!P$29*$AM593^7+WeightSDS!Q$29*$AM593^6+WeightSDS!R$29*$AM593^5+WeightSDS!S$29*$AM593^4+WeightSDS!T$29*$AM593^3+WeightSDS!U$29*$AM593^2+WeightSDS!V$29*$AM593+WeightSDS!W$29-0.010431*(1-$AM593/210),IF($AM593&lt;123,WeightSDS!M$30*$AM593^10+WeightSDS!N$30*$AM593^9+WeightSDS!O$30*$AM593^8+WeightSDS!P$30*$AM593^7+WeightSDS!Q$30*$AM593^6+WeightSDS!R$30*$AM593^5+WeightSDS!S$30*$AM593^4+WeightSDS!T$30*$AM593^3+WeightSDS!U$30*$AM593^2+WeightSDS!V$30*$AM593+WeightSDS!W$30-0.010431*(1-1/$AM593),WeightSDS!M$32+WeightSDS!N$32/(1+EXP(WeightSDS!O$32+WeightSDS!P$32*$AM593))-0.010431*(1-$AM593/210))))</f>
        <v>2.9500001032655536</v>
      </c>
      <c r="AQ593" s="4">
        <f>IF(D593="M",IF($AM593&lt;162,WeightSDS!P$12*$AM593^7+WeightSDS!Q$12*$AM593^6+WeightSDS!R$12*$AM593^5+WeightSDS!S$12*$AM593^4+WeightSDS!T$12*$AM593^3+WeightSDS!U$12*$AM593^2+WeightSDS!V$12*$AM593+WeightSDS!W$12,WeightSDS!P$14*$AM593^7+WeightSDS!Q$14*$AM593^6+WeightSDS!R$14*$AM593^5+WeightSDS!S$14*$AM593^4+WeightSDS!T$14*$AM593^3+WeightSDS!U$14*$AM593^2+WeightSDS!V$14*$AM593+WeightSDS!W$14),IF($AM593&lt;156,WeightSDS!O$17*$AM593^8+WeightSDS!P$17*$AM593^7+WeightSDS!Q$17*$AM593^6+WeightSDS!R$17*$AM593^5+WeightSDS!S$17*$AM593^4+WeightSDS!T$17*$AM593^3+WeightSDS!U$17*$AM593^2+WeightSDS!V$17*$AM593+WeightSDS!W$17,IF($AM593&lt;186,WeightSDS!$U$18+(WeightSDS!$V$18-WeightSDS!$U$18)/24*($AM593-186)+WeightSDS!$W$18*(-$AM593+186)^2-0.005,WeightSDS!$U$18+(WeightSDS!$V$18-WeightSDS!$U$18)/24*($AM593-186)-0.005)))</f>
        <v>0.14604529399999999</v>
      </c>
      <c r="AT593" s="4">
        <f t="shared" si="196"/>
        <v>0.56299999999999994</v>
      </c>
      <c r="AU593" s="4">
        <f t="shared" si="197"/>
        <v>69</v>
      </c>
      <c r="AV593" s="4">
        <f t="shared" si="198"/>
        <v>0.51</v>
      </c>
    </row>
    <row r="594" spans="1:48" x14ac:dyDescent="0.15">
      <c r="A594" s="4"/>
      <c r="B594" s="21"/>
      <c r="C594" s="21"/>
      <c r="D594" s="21"/>
      <c r="E594" s="22"/>
      <c r="F594" s="22"/>
      <c r="G594" s="23"/>
      <c r="H594" s="23"/>
      <c r="I594" s="181"/>
      <c r="J594" s="8" t="str">
        <f t="shared" si="190"/>
        <v/>
      </c>
      <c r="K594" s="2" t="str">
        <f t="shared" si="199"/>
        <v/>
      </c>
      <c r="L594" s="2" t="str">
        <f t="shared" si="191"/>
        <v/>
      </c>
      <c r="M594" s="2" t="str">
        <f t="shared" si="200"/>
        <v/>
      </c>
      <c r="N594" s="2" t="str">
        <f t="shared" si="208"/>
        <v/>
      </c>
      <c r="O594" s="2" t="str">
        <f t="shared" si="201"/>
        <v/>
      </c>
      <c r="P594" s="8" t="str">
        <f t="shared" si="202"/>
        <v/>
      </c>
      <c r="Q594" s="8" t="str">
        <f t="shared" si="203"/>
        <v/>
      </c>
      <c r="R594" s="111" t="str">
        <f t="shared" si="204"/>
        <v/>
      </c>
      <c r="S594" s="44" t="str">
        <f t="shared" si="205"/>
        <v/>
      </c>
      <c r="T594" s="37" t="str">
        <f t="shared" si="206"/>
        <v/>
      </c>
      <c r="U594" s="44" t="str">
        <f t="shared" si="207"/>
        <v/>
      </c>
      <c r="V594" s="26"/>
      <c r="W594" s="26"/>
      <c r="X594" s="26"/>
      <c r="Y594" s="26"/>
      <c r="Z594" s="24"/>
      <c r="AA594" s="169">
        <f t="shared" si="192"/>
        <v>0</v>
      </c>
      <c r="AB594" s="4">
        <f t="shared" si="193"/>
        <v>0</v>
      </c>
      <c r="AC594" s="170">
        <f t="shared" si="189"/>
        <v>0</v>
      </c>
      <c r="AD594" s="58"/>
      <c r="AE594" s="58"/>
      <c r="AF594" s="58"/>
      <c r="AG594" s="59">
        <f t="shared" si="194"/>
        <v>9.0359999999999996</v>
      </c>
      <c r="AH594" s="59">
        <f t="shared" si="195"/>
        <v>-184.49199999999999</v>
      </c>
      <c r="AJ594" s="4">
        <f>IF(D594="M",IF(AM594&lt;78,BMILMS!$D$5*AM594^3+BMILMS!$E$5*AM594^2+BMILMS!$F$5*AM594+BMILMS!$G$5,IF(AM594&lt;150,BMILMS!$D$6*AM594^3+BMILMS!$E$6*AM594^2+BMILMS!$F$6*AM594+BMILMS!$G$6,BMILMS!$D$7*AM594^3+BMILMS!$E$7*AM594^2+BMILMS!$F$7*AM594+BMILMS!$G$7)),IF(AM594&lt;69,BMILMS!$D$9*AM594^3+BMILMS!$E$9*AM594^2+BMILMS!$F$9*AM594+BMILMS!$G$9,IF(AM594&lt;150,BMILMS!$D$10*AM594^3+BMILMS!$E$10*AM594^2+BMILMS!$F$10*AM594+BMILMS!$G$10,BMILMS!$D$11*AM594^3+BMILMS!$E$11*AM594^2+BMILMS!$F$11*AM594+BMILMS!$G$11)))</f>
        <v>0.79584630099999998</v>
      </c>
      <c r="AK594" s="4">
        <f>IF(D594="M",(IF(AM594&lt;2.5,BMILMS!$D$21*AM594^3+BMILMS!$E$21*AM594^2+BMILMS!$F$21*AM594+BMILMS!$G$21,IF(AM594&lt;9.5,BMILMS!$D$22*AM594^3+BMILMS!$E$22*AM594^2+BMILMS!$F$22*AM594+BMILMS!$G$22,IF(AM594&lt;26.75,BMILMS!$D$23*AM594^3+BMILMS!$E$23*AM594^2+BMILMS!$F$23*AM594+BMILMS!$G$23,IF(AM594&lt;90,BMILMS!$D$24*AM594^3+BMILMS!$E$24*AM594^2+BMILMS!$F$24*AM594+BMILMS!$G$24,BMILMS!$D$25*AM594^3+BMILMS!$E$25*AM594^2+BMILMS!$F$25*AM594+BMILMS!$G$25))))),(IF(AM594&lt;2.5,BMILMS!$D$27*AM594^3+BMILMS!$E$27*AM594^2+BMILMS!$F$27*AM594+BMILMS!$G$27,IF(AM594&lt;9.5,BMILMS!$D$28*AM594^3+BMILMS!$E$28*AM594^2+BMILMS!$F$28*AM594+BMILMS!$G$28,IF(AM594&lt;26.75,BMILMS!$D$29*AM594^3+BMILMS!$E$29*AM594^2+BMILMS!$F$29*AM594+BMILMS!$G$29,IF(AM594&lt;90,BMILMS!$D$30*AM594^3+BMILMS!$E$30*AM594^2+BMILMS!$F$30*AM594+BMILMS!$G$30,IF(AM594&lt;150,BMILMS!$D$31*AM594^3+BMILMS!$E$31*AM594^2+BMILMS!$F$31*AM594+BMILMS!$G$31,BMILMS!$D$32*AM594^3+BMILMS!$E$32*AM594^2+BMILMS!$F$32*AM594+BMILMS!$G$32)))))))</f>
        <v>12.568967990000001</v>
      </c>
      <c r="AL594" s="4">
        <f>IF(D594="M",(IF(AM594&lt;90,BMILMS!$D$14*AM594^3+BMILMS!$E$14*AM594^2+BMILMS!$F$14*AM594+BMILMS!$G$14,BMILMS!$D$15*AM594^3+BMILMS!$E$15*AM594^2+BMILMS!$F$15*AM594+BMILMS!$G$15)),(IF(AM594&lt;90,BMILMS!$D$17*AM594^3+BMILMS!$E$17*AM594^2+BMILMS!$F$17*AM594+BMILMS!$G$17,BMILMS!$D$18*AM594^3+BMILMS!$E$18*AM594^2+BMILMS!$F$18*AM594+BMILMS!$G$18)))</f>
        <v>8.8969350000000003E-2</v>
      </c>
      <c r="AM594" s="4">
        <f t="shared" si="209"/>
        <v>0</v>
      </c>
      <c r="AO594" s="56">
        <f>IF(D594="M",WeightSDS!P$5*$AM594^7+WeightSDS!Q$5*$AM594^6+WeightSDS!R$5*$AM594^5+WeightSDS!S$5*$AM594^4+WeightSDS!T$5*$AM594^3+WeightSDS!U$5*$AM594^2+WeightSDS!V$5*$AM594+WeightSDS!W$5,IF($AM594&lt;186,WeightSDS!P$8*$AM594^7+WeightSDS!Q$8*$AM594^6+WeightSDS!R$8*$AM594^5+WeightSDS!S$8*$AM594^4+WeightSDS!T$8*$AM594^3+WeightSDS!U$8*$AM594^2+WeightSDS!V$8*$AM594+WeightSDS!W$8,WeightSDS!$U$9+WeightSDS!$V$9*($AM594-WeightSDS!$W$9)))</f>
        <v>0.75407122999999998</v>
      </c>
      <c r="AP594" s="4">
        <f>IF(D594="M",IF($AM594&lt;45,WeightSDS!M$23*$AM594^10+WeightSDS!N$23*$AM594^9+WeightSDS!O$23*$AM594^8+WeightSDS!P$23*$AM594^7+WeightSDS!Q$23*$AM594^6+WeightSDS!R$23*$AM594^5+WeightSDS!S$23*$AM594^4+WeightSDS!T$23*$AM594^3+WeightSDS!U$23*$AM594^2+WeightSDS!V$23*$AM594+WeightSDS!W$23,IF($AM594&lt;153,WeightSDS!M$25*$AM594^10+WeightSDS!N$25*$AM594^9+WeightSDS!O$25*$AM594^8+WeightSDS!P$25*$AM594^7+WeightSDS!Q$25*$AM594^6+WeightSDS!R$25*$AM594^5+WeightSDS!S$25*$AM594^4+WeightSDS!T$25*$AM594^3+WeightSDS!U$25*$AM594^2+WeightSDS!V$25*$AM594+WeightSDS!W$25,WeightSDS!M$27+WeightSDS!N$27/(1+EXP(WeightSDS!O$27+WeightSDS!P$27*$AM594)))),IF($AM594&lt;43.8,WeightSDS!M$29*$AM594^10+WeightSDS!N$29*$AM594^9+WeightSDS!O$29*$AM594^8+WeightSDS!P$29*$AM594^7+WeightSDS!Q$29*$AM594^6+WeightSDS!R$29*$AM594^5+WeightSDS!S$29*$AM594^4+WeightSDS!T$29*$AM594^3+WeightSDS!U$29*$AM594^2+WeightSDS!V$29*$AM594+WeightSDS!W$29-0.010431*(1-$AM594/210),IF($AM594&lt;123,WeightSDS!M$30*$AM594^10+WeightSDS!N$30*$AM594^9+WeightSDS!O$30*$AM594^8+WeightSDS!P$30*$AM594^7+WeightSDS!Q$30*$AM594^6+WeightSDS!R$30*$AM594^5+WeightSDS!S$30*$AM594^4+WeightSDS!T$30*$AM594^3+WeightSDS!U$30*$AM594^2+WeightSDS!V$30*$AM594+WeightSDS!W$30-0.010431*(1-1/$AM594),WeightSDS!M$32+WeightSDS!N$32/(1+EXP(WeightSDS!O$32+WeightSDS!P$32*$AM594))-0.010431*(1-$AM594/210))))</f>
        <v>2.9500001032655536</v>
      </c>
      <c r="AQ594" s="4">
        <f>IF(D594="M",IF($AM594&lt;162,WeightSDS!P$12*$AM594^7+WeightSDS!Q$12*$AM594^6+WeightSDS!R$12*$AM594^5+WeightSDS!S$12*$AM594^4+WeightSDS!T$12*$AM594^3+WeightSDS!U$12*$AM594^2+WeightSDS!V$12*$AM594+WeightSDS!W$12,WeightSDS!P$14*$AM594^7+WeightSDS!Q$14*$AM594^6+WeightSDS!R$14*$AM594^5+WeightSDS!S$14*$AM594^4+WeightSDS!T$14*$AM594^3+WeightSDS!U$14*$AM594^2+WeightSDS!V$14*$AM594+WeightSDS!W$14),IF($AM594&lt;156,WeightSDS!O$17*$AM594^8+WeightSDS!P$17*$AM594^7+WeightSDS!Q$17*$AM594^6+WeightSDS!R$17*$AM594^5+WeightSDS!S$17*$AM594^4+WeightSDS!T$17*$AM594^3+WeightSDS!U$17*$AM594^2+WeightSDS!V$17*$AM594+WeightSDS!W$17,IF($AM594&lt;186,WeightSDS!$U$18+(WeightSDS!$V$18-WeightSDS!$U$18)/24*($AM594-186)+WeightSDS!$W$18*(-$AM594+186)^2-0.005,WeightSDS!$U$18+(WeightSDS!$V$18-WeightSDS!$U$18)/24*($AM594-186)-0.005)))</f>
        <v>0.14604529399999999</v>
      </c>
      <c r="AT594" s="4">
        <f t="shared" si="196"/>
        <v>0.56299999999999994</v>
      </c>
      <c r="AU594" s="4">
        <f t="shared" si="197"/>
        <v>69</v>
      </c>
      <c r="AV594" s="4">
        <f t="shared" si="198"/>
        <v>0.51</v>
      </c>
    </row>
    <row r="595" spans="1:48" x14ac:dyDescent="0.15">
      <c r="A595" s="4"/>
      <c r="B595" s="21"/>
      <c r="C595" s="21"/>
      <c r="D595" s="21"/>
      <c r="E595" s="22"/>
      <c r="F595" s="22"/>
      <c r="G595" s="23"/>
      <c r="H595" s="23"/>
      <c r="I595" s="181"/>
      <c r="J595" s="8" t="str">
        <f t="shared" si="190"/>
        <v/>
      </c>
      <c r="K595" s="2" t="str">
        <f t="shared" si="199"/>
        <v/>
      </c>
      <c r="L595" s="2" t="str">
        <f t="shared" si="191"/>
        <v/>
      </c>
      <c r="M595" s="2" t="str">
        <f t="shared" si="200"/>
        <v/>
      </c>
      <c r="N595" s="2" t="str">
        <f t="shared" si="208"/>
        <v/>
      </c>
      <c r="O595" s="2" t="str">
        <f t="shared" si="201"/>
        <v/>
      </c>
      <c r="P595" s="8" t="str">
        <f t="shared" si="202"/>
        <v/>
      </c>
      <c r="Q595" s="8" t="str">
        <f t="shared" si="203"/>
        <v/>
      </c>
      <c r="R595" s="111" t="str">
        <f t="shared" si="204"/>
        <v/>
      </c>
      <c r="S595" s="44" t="str">
        <f t="shared" si="205"/>
        <v/>
      </c>
      <c r="T595" s="37" t="str">
        <f t="shared" si="206"/>
        <v/>
      </c>
      <c r="U595" s="44" t="str">
        <f t="shared" si="207"/>
        <v/>
      </c>
      <c r="V595" s="26"/>
      <c r="W595" s="26"/>
      <c r="X595" s="26"/>
      <c r="Y595" s="26"/>
      <c r="Z595" s="24"/>
      <c r="AA595" s="169">
        <f t="shared" si="192"/>
        <v>0</v>
      </c>
      <c r="AB595" s="4">
        <f t="shared" si="193"/>
        <v>0</v>
      </c>
      <c r="AC595" s="170">
        <f t="shared" si="189"/>
        <v>0</v>
      </c>
      <c r="AD595" s="58"/>
      <c r="AE595" s="58"/>
      <c r="AF595" s="58"/>
      <c r="AG595" s="59">
        <f t="shared" si="194"/>
        <v>9.0359999999999996</v>
      </c>
      <c r="AH595" s="59">
        <f t="shared" si="195"/>
        <v>-184.49199999999999</v>
      </c>
      <c r="AJ595" s="4">
        <f>IF(D595="M",IF(AM595&lt;78,BMILMS!$D$5*AM595^3+BMILMS!$E$5*AM595^2+BMILMS!$F$5*AM595+BMILMS!$G$5,IF(AM595&lt;150,BMILMS!$D$6*AM595^3+BMILMS!$E$6*AM595^2+BMILMS!$F$6*AM595+BMILMS!$G$6,BMILMS!$D$7*AM595^3+BMILMS!$E$7*AM595^2+BMILMS!$F$7*AM595+BMILMS!$G$7)),IF(AM595&lt;69,BMILMS!$D$9*AM595^3+BMILMS!$E$9*AM595^2+BMILMS!$F$9*AM595+BMILMS!$G$9,IF(AM595&lt;150,BMILMS!$D$10*AM595^3+BMILMS!$E$10*AM595^2+BMILMS!$F$10*AM595+BMILMS!$G$10,BMILMS!$D$11*AM595^3+BMILMS!$E$11*AM595^2+BMILMS!$F$11*AM595+BMILMS!$G$11)))</f>
        <v>0.79584630099999998</v>
      </c>
      <c r="AK595" s="4">
        <f>IF(D595="M",(IF(AM595&lt;2.5,BMILMS!$D$21*AM595^3+BMILMS!$E$21*AM595^2+BMILMS!$F$21*AM595+BMILMS!$G$21,IF(AM595&lt;9.5,BMILMS!$D$22*AM595^3+BMILMS!$E$22*AM595^2+BMILMS!$F$22*AM595+BMILMS!$G$22,IF(AM595&lt;26.75,BMILMS!$D$23*AM595^3+BMILMS!$E$23*AM595^2+BMILMS!$F$23*AM595+BMILMS!$G$23,IF(AM595&lt;90,BMILMS!$D$24*AM595^3+BMILMS!$E$24*AM595^2+BMILMS!$F$24*AM595+BMILMS!$G$24,BMILMS!$D$25*AM595^3+BMILMS!$E$25*AM595^2+BMILMS!$F$25*AM595+BMILMS!$G$25))))),(IF(AM595&lt;2.5,BMILMS!$D$27*AM595^3+BMILMS!$E$27*AM595^2+BMILMS!$F$27*AM595+BMILMS!$G$27,IF(AM595&lt;9.5,BMILMS!$D$28*AM595^3+BMILMS!$E$28*AM595^2+BMILMS!$F$28*AM595+BMILMS!$G$28,IF(AM595&lt;26.75,BMILMS!$D$29*AM595^3+BMILMS!$E$29*AM595^2+BMILMS!$F$29*AM595+BMILMS!$G$29,IF(AM595&lt;90,BMILMS!$D$30*AM595^3+BMILMS!$E$30*AM595^2+BMILMS!$F$30*AM595+BMILMS!$G$30,IF(AM595&lt;150,BMILMS!$D$31*AM595^3+BMILMS!$E$31*AM595^2+BMILMS!$F$31*AM595+BMILMS!$G$31,BMILMS!$D$32*AM595^3+BMILMS!$E$32*AM595^2+BMILMS!$F$32*AM595+BMILMS!$G$32)))))))</f>
        <v>12.568967990000001</v>
      </c>
      <c r="AL595" s="4">
        <f>IF(D595="M",(IF(AM595&lt;90,BMILMS!$D$14*AM595^3+BMILMS!$E$14*AM595^2+BMILMS!$F$14*AM595+BMILMS!$G$14,BMILMS!$D$15*AM595^3+BMILMS!$E$15*AM595^2+BMILMS!$F$15*AM595+BMILMS!$G$15)),(IF(AM595&lt;90,BMILMS!$D$17*AM595^3+BMILMS!$E$17*AM595^2+BMILMS!$F$17*AM595+BMILMS!$G$17,BMILMS!$D$18*AM595^3+BMILMS!$E$18*AM595^2+BMILMS!$F$18*AM595+BMILMS!$G$18)))</f>
        <v>8.8969350000000003E-2</v>
      </c>
      <c r="AM595" s="4">
        <f t="shared" si="209"/>
        <v>0</v>
      </c>
      <c r="AO595" s="56">
        <f>IF(D595="M",WeightSDS!P$5*$AM595^7+WeightSDS!Q$5*$AM595^6+WeightSDS!R$5*$AM595^5+WeightSDS!S$5*$AM595^4+WeightSDS!T$5*$AM595^3+WeightSDS!U$5*$AM595^2+WeightSDS!V$5*$AM595+WeightSDS!W$5,IF($AM595&lt;186,WeightSDS!P$8*$AM595^7+WeightSDS!Q$8*$AM595^6+WeightSDS!R$8*$AM595^5+WeightSDS!S$8*$AM595^4+WeightSDS!T$8*$AM595^3+WeightSDS!U$8*$AM595^2+WeightSDS!V$8*$AM595+WeightSDS!W$8,WeightSDS!$U$9+WeightSDS!$V$9*($AM595-WeightSDS!$W$9)))</f>
        <v>0.75407122999999998</v>
      </c>
      <c r="AP595" s="4">
        <f>IF(D595="M",IF($AM595&lt;45,WeightSDS!M$23*$AM595^10+WeightSDS!N$23*$AM595^9+WeightSDS!O$23*$AM595^8+WeightSDS!P$23*$AM595^7+WeightSDS!Q$23*$AM595^6+WeightSDS!R$23*$AM595^5+WeightSDS!S$23*$AM595^4+WeightSDS!T$23*$AM595^3+WeightSDS!U$23*$AM595^2+WeightSDS!V$23*$AM595+WeightSDS!W$23,IF($AM595&lt;153,WeightSDS!M$25*$AM595^10+WeightSDS!N$25*$AM595^9+WeightSDS!O$25*$AM595^8+WeightSDS!P$25*$AM595^7+WeightSDS!Q$25*$AM595^6+WeightSDS!R$25*$AM595^5+WeightSDS!S$25*$AM595^4+WeightSDS!T$25*$AM595^3+WeightSDS!U$25*$AM595^2+WeightSDS!V$25*$AM595+WeightSDS!W$25,WeightSDS!M$27+WeightSDS!N$27/(1+EXP(WeightSDS!O$27+WeightSDS!P$27*$AM595)))),IF($AM595&lt;43.8,WeightSDS!M$29*$AM595^10+WeightSDS!N$29*$AM595^9+WeightSDS!O$29*$AM595^8+WeightSDS!P$29*$AM595^7+WeightSDS!Q$29*$AM595^6+WeightSDS!R$29*$AM595^5+WeightSDS!S$29*$AM595^4+WeightSDS!T$29*$AM595^3+WeightSDS!U$29*$AM595^2+WeightSDS!V$29*$AM595+WeightSDS!W$29-0.010431*(1-$AM595/210),IF($AM595&lt;123,WeightSDS!M$30*$AM595^10+WeightSDS!N$30*$AM595^9+WeightSDS!O$30*$AM595^8+WeightSDS!P$30*$AM595^7+WeightSDS!Q$30*$AM595^6+WeightSDS!R$30*$AM595^5+WeightSDS!S$30*$AM595^4+WeightSDS!T$30*$AM595^3+WeightSDS!U$30*$AM595^2+WeightSDS!V$30*$AM595+WeightSDS!W$30-0.010431*(1-1/$AM595),WeightSDS!M$32+WeightSDS!N$32/(1+EXP(WeightSDS!O$32+WeightSDS!P$32*$AM595))-0.010431*(1-$AM595/210))))</f>
        <v>2.9500001032655536</v>
      </c>
      <c r="AQ595" s="4">
        <f>IF(D595="M",IF($AM595&lt;162,WeightSDS!P$12*$AM595^7+WeightSDS!Q$12*$AM595^6+WeightSDS!R$12*$AM595^5+WeightSDS!S$12*$AM595^4+WeightSDS!T$12*$AM595^3+WeightSDS!U$12*$AM595^2+WeightSDS!V$12*$AM595+WeightSDS!W$12,WeightSDS!P$14*$AM595^7+WeightSDS!Q$14*$AM595^6+WeightSDS!R$14*$AM595^5+WeightSDS!S$14*$AM595^4+WeightSDS!T$14*$AM595^3+WeightSDS!U$14*$AM595^2+WeightSDS!V$14*$AM595+WeightSDS!W$14),IF($AM595&lt;156,WeightSDS!O$17*$AM595^8+WeightSDS!P$17*$AM595^7+WeightSDS!Q$17*$AM595^6+WeightSDS!R$17*$AM595^5+WeightSDS!S$17*$AM595^4+WeightSDS!T$17*$AM595^3+WeightSDS!U$17*$AM595^2+WeightSDS!V$17*$AM595+WeightSDS!W$17,IF($AM595&lt;186,WeightSDS!$U$18+(WeightSDS!$V$18-WeightSDS!$U$18)/24*($AM595-186)+WeightSDS!$W$18*(-$AM595+186)^2-0.005,WeightSDS!$U$18+(WeightSDS!$V$18-WeightSDS!$U$18)/24*($AM595-186)-0.005)))</f>
        <v>0.14604529399999999</v>
      </c>
      <c r="AT595" s="4">
        <f t="shared" si="196"/>
        <v>0.56299999999999994</v>
      </c>
      <c r="AU595" s="4">
        <f t="shared" si="197"/>
        <v>69</v>
      </c>
      <c r="AV595" s="4">
        <f t="shared" si="198"/>
        <v>0.51</v>
      </c>
    </row>
    <row r="596" spans="1:48" x14ac:dyDescent="0.15">
      <c r="A596" s="4"/>
      <c r="B596" s="21"/>
      <c r="C596" s="21"/>
      <c r="D596" s="21"/>
      <c r="E596" s="22"/>
      <c r="F596" s="22"/>
      <c r="G596" s="23"/>
      <c r="H596" s="23"/>
      <c r="I596" s="181"/>
      <c r="J596" s="8" t="str">
        <f t="shared" si="190"/>
        <v/>
      </c>
      <c r="K596" s="2" t="str">
        <f t="shared" si="199"/>
        <v/>
      </c>
      <c r="L596" s="2" t="str">
        <f t="shared" si="191"/>
        <v/>
      </c>
      <c r="M596" s="2" t="str">
        <f t="shared" si="200"/>
        <v/>
      </c>
      <c r="N596" s="2" t="str">
        <f t="shared" si="208"/>
        <v/>
      </c>
      <c r="O596" s="2" t="str">
        <f t="shared" si="201"/>
        <v/>
      </c>
      <c r="P596" s="8" t="str">
        <f t="shared" si="202"/>
        <v/>
      </c>
      <c r="Q596" s="8" t="str">
        <f t="shared" si="203"/>
        <v/>
      </c>
      <c r="R596" s="111" t="str">
        <f t="shared" si="204"/>
        <v/>
      </c>
      <c r="S596" s="44" t="str">
        <f t="shared" si="205"/>
        <v/>
      </c>
      <c r="T596" s="37" t="str">
        <f t="shared" si="206"/>
        <v/>
      </c>
      <c r="U596" s="44" t="str">
        <f t="shared" si="207"/>
        <v/>
      </c>
      <c r="V596" s="26"/>
      <c r="W596" s="26"/>
      <c r="X596" s="26"/>
      <c r="Y596" s="26"/>
      <c r="Z596" s="24"/>
      <c r="AA596" s="169">
        <f t="shared" si="192"/>
        <v>0</v>
      </c>
      <c r="AB596" s="4">
        <f t="shared" si="193"/>
        <v>0</v>
      </c>
      <c r="AC596" s="170">
        <f t="shared" si="189"/>
        <v>0</v>
      </c>
      <c r="AD596" s="58"/>
      <c r="AE596" s="58"/>
      <c r="AF596" s="58"/>
      <c r="AG596" s="59">
        <f t="shared" si="194"/>
        <v>9.0359999999999996</v>
      </c>
      <c r="AH596" s="59">
        <f t="shared" si="195"/>
        <v>-184.49199999999999</v>
      </c>
      <c r="AJ596" s="4">
        <f>IF(D596="M",IF(AM596&lt;78,BMILMS!$D$5*AM596^3+BMILMS!$E$5*AM596^2+BMILMS!$F$5*AM596+BMILMS!$G$5,IF(AM596&lt;150,BMILMS!$D$6*AM596^3+BMILMS!$E$6*AM596^2+BMILMS!$F$6*AM596+BMILMS!$G$6,BMILMS!$D$7*AM596^3+BMILMS!$E$7*AM596^2+BMILMS!$F$7*AM596+BMILMS!$G$7)),IF(AM596&lt;69,BMILMS!$D$9*AM596^3+BMILMS!$E$9*AM596^2+BMILMS!$F$9*AM596+BMILMS!$G$9,IF(AM596&lt;150,BMILMS!$D$10*AM596^3+BMILMS!$E$10*AM596^2+BMILMS!$F$10*AM596+BMILMS!$G$10,BMILMS!$D$11*AM596^3+BMILMS!$E$11*AM596^2+BMILMS!$F$11*AM596+BMILMS!$G$11)))</f>
        <v>0.79584630099999998</v>
      </c>
      <c r="AK596" s="4">
        <f>IF(D596="M",(IF(AM596&lt;2.5,BMILMS!$D$21*AM596^3+BMILMS!$E$21*AM596^2+BMILMS!$F$21*AM596+BMILMS!$G$21,IF(AM596&lt;9.5,BMILMS!$D$22*AM596^3+BMILMS!$E$22*AM596^2+BMILMS!$F$22*AM596+BMILMS!$G$22,IF(AM596&lt;26.75,BMILMS!$D$23*AM596^3+BMILMS!$E$23*AM596^2+BMILMS!$F$23*AM596+BMILMS!$G$23,IF(AM596&lt;90,BMILMS!$D$24*AM596^3+BMILMS!$E$24*AM596^2+BMILMS!$F$24*AM596+BMILMS!$G$24,BMILMS!$D$25*AM596^3+BMILMS!$E$25*AM596^2+BMILMS!$F$25*AM596+BMILMS!$G$25))))),(IF(AM596&lt;2.5,BMILMS!$D$27*AM596^3+BMILMS!$E$27*AM596^2+BMILMS!$F$27*AM596+BMILMS!$G$27,IF(AM596&lt;9.5,BMILMS!$D$28*AM596^3+BMILMS!$E$28*AM596^2+BMILMS!$F$28*AM596+BMILMS!$G$28,IF(AM596&lt;26.75,BMILMS!$D$29*AM596^3+BMILMS!$E$29*AM596^2+BMILMS!$F$29*AM596+BMILMS!$G$29,IF(AM596&lt;90,BMILMS!$D$30*AM596^3+BMILMS!$E$30*AM596^2+BMILMS!$F$30*AM596+BMILMS!$G$30,IF(AM596&lt;150,BMILMS!$D$31*AM596^3+BMILMS!$E$31*AM596^2+BMILMS!$F$31*AM596+BMILMS!$G$31,BMILMS!$D$32*AM596^3+BMILMS!$E$32*AM596^2+BMILMS!$F$32*AM596+BMILMS!$G$32)))))))</f>
        <v>12.568967990000001</v>
      </c>
      <c r="AL596" s="4">
        <f>IF(D596="M",(IF(AM596&lt;90,BMILMS!$D$14*AM596^3+BMILMS!$E$14*AM596^2+BMILMS!$F$14*AM596+BMILMS!$G$14,BMILMS!$D$15*AM596^3+BMILMS!$E$15*AM596^2+BMILMS!$F$15*AM596+BMILMS!$G$15)),(IF(AM596&lt;90,BMILMS!$D$17*AM596^3+BMILMS!$E$17*AM596^2+BMILMS!$F$17*AM596+BMILMS!$G$17,BMILMS!$D$18*AM596^3+BMILMS!$E$18*AM596^2+BMILMS!$F$18*AM596+BMILMS!$G$18)))</f>
        <v>8.8969350000000003E-2</v>
      </c>
      <c r="AM596" s="4">
        <f t="shared" si="209"/>
        <v>0</v>
      </c>
      <c r="AO596" s="56">
        <f>IF(D596="M",WeightSDS!P$5*$AM596^7+WeightSDS!Q$5*$AM596^6+WeightSDS!R$5*$AM596^5+WeightSDS!S$5*$AM596^4+WeightSDS!T$5*$AM596^3+WeightSDS!U$5*$AM596^2+WeightSDS!V$5*$AM596+WeightSDS!W$5,IF($AM596&lt;186,WeightSDS!P$8*$AM596^7+WeightSDS!Q$8*$AM596^6+WeightSDS!R$8*$AM596^5+WeightSDS!S$8*$AM596^4+WeightSDS!T$8*$AM596^3+WeightSDS!U$8*$AM596^2+WeightSDS!V$8*$AM596+WeightSDS!W$8,WeightSDS!$U$9+WeightSDS!$V$9*($AM596-WeightSDS!$W$9)))</f>
        <v>0.75407122999999998</v>
      </c>
      <c r="AP596" s="4">
        <f>IF(D596="M",IF($AM596&lt;45,WeightSDS!M$23*$AM596^10+WeightSDS!N$23*$AM596^9+WeightSDS!O$23*$AM596^8+WeightSDS!P$23*$AM596^7+WeightSDS!Q$23*$AM596^6+WeightSDS!R$23*$AM596^5+WeightSDS!S$23*$AM596^4+WeightSDS!T$23*$AM596^3+WeightSDS!U$23*$AM596^2+WeightSDS!V$23*$AM596+WeightSDS!W$23,IF($AM596&lt;153,WeightSDS!M$25*$AM596^10+WeightSDS!N$25*$AM596^9+WeightSDS!O$25*$AM596^8+WeightSDS!P$25*$AM596^7+WeightSDS!Q$25*$AM596^6+WeightSDS!R$25*$AM596^5+WeightSDS!S$25*$AM596^4+WeightSDS!T$25*$AM596^3+WeightSDS!U$25*$AM596^2+WeightSDS!V$25*$AM596+WeightSDS!W$25,WeightSDS!M$27+WeightSDS!N$27/(1+EXP(WeightSDS!O$27+WeightSDS!P$27*$AM596)))),IF($AM596&lt;43.8,WeightSDS!M$29*$AM596^10+WeightSDS!N$29*$AM596^9+WeightSDS!O$29*$AM596^8+WeightSDS!P$29*$AM596^7+WeightSDS!Q$29*$AM596^6+WeightSDS!R$29*$AM596^5+WeightSDS!S$29*$AM596^4+WeightSDS!T$29*$AM596^3+WeightSDS!U$29*$AM596^2+WeightSDS!V$29*$AM596+WeightSDS!W$29-0.010431*(1-$AM596/210),IF($AM596&lt;123,WeightSDS!M$30*$AM596^10+WeightSDS!N$30*$AM596^9+WeightSDS!O$30*$AM596^8+WeightSDS!P$30*$AM596^7+WeightSDS!Q$30*$AM596^6+WeightSDS!R$30*$AM596^5+WeightSDS!S$30*$AM596^4+WeightSDS!T$30*$AM596^3+WeightSDS!U$30*$AM596^2+WeightSDS!V$30*$AM596+WeightSDS!W$30-0.010431*(1-1/$AM596),WeightSDS!M$32+WeightSDS!N$32/(1+EXP(WeightSDS!O$32+WeightSDS!P$32*$AM596))-0.010431*(1-$AM596/210))))</f>
        <v>2.9500001032655536</v>
      </c>
      <c r="AQ596" s="4">
        <f>IF(D596="M",IF($AM596&lt;162,WeightSDS!P$12*$AM596^7+WeightSDS!Q$12*$AM596^6+WeightSDS!R$12*$AM596^5+WeightSDS!S$12*$AM596^4+WeightSDS!T$12*$AM596^3+WeightSDS!U$12*$AM596^2+WeightSDS!V$12*$AM596+WeightSDS!W$12,WeightSDS!P$14*$AM596^7+WeightSDS!Q$14*$AM596^6+WeightSDS!R$14*$AM596^5+WeightSDS!S$14*$AM596^4+WeightSDS!T$14*$AM596^3+WeightSDS!U$14*$AM596^2+WeightSDS!V$14*$AM596+WeightSDS!W$14),IF($AM596&lt;156,WeightSDS!O$17*$AM596^8+WeightSDS!P$17*$AM596^7+WeightSDS!Q$17*$AM596^6+WeightSDS!R$17*$AM596^5+WeightSDS!S$17*$AM596^4+WeightSDS!T$17*$AM596^3+WeightSDS!U$17*$AM596^2+WeightSDS!V$17*$AM596+WeightSDS!W$17,IF($AM596&lt;186,WeightSDS!$U$18+(WeightSDS!$V$18-WeightSDS!$U$18)/24*($AM596-186)+WeightSDS!$W$18*(-$AM596+186)^2-0.005,WeightSDS!$U$18+(WeightSDS!$V$18-WeightSDS!$U$18)/24*($AM596-186)-0.005)))</f>
        <v>0.14604529399999999</v>
      </c>
      <c r="AT596" s="4">
        <f t="shared" si="196"/>
        <v>0.56299999999999994</v>
      </c>
      <c r="AU596" s="4">
        <f t="shared" si="197"/>
        <v>69</v>
      </c>
      <c r="AV596" s="4">
        <f t="shared" si="198"/>
        <v>0.51</v>
      </c>
    </row>
    <row r="597" spans="1:48" x14ac:dyDescent="0.15">
      <c r="A597" s="4"/>
      <c r="B597" s="21"/>
      <c r="C597" s="21"/>
      <c r="D597" s="21"/>
      <c r="E597" s="22"/>
      <c r="F597" s="22"/>
      <c r="G597" s="23"/>
      <c r="H597" s="23"/>
      <c r="I597" s="181"/>
      <c r="J597" s="8" t="str">
        <f t="shared" si="190"/>
        <v/>
      </c>
      <c r="K597" s="2" t="str">
        <f t="shared" si="199"/>
        <v/>
      </c>
      <c r="L597" s="2" t="str">
        <f t="shared" si="191"/>
        <v/>
      </c>
      <c r="M597" s="2" t="str">
        <f t="shared" si="200"/>
        <v/>
      </c>
      <c r="N597" s="2" t="str">
        <f t="shared" si="208"/>
        <v/>
      </c>
      <c r="O597" s="2" t="str">
        <f t="shared" si="201"/>
        <v/>
      </c>
      <c r="P597" s="8" t="str">
        <f t="shared" si="202"/>
        <v/>
      </c>
      <c r="Q597" s="8" t="str">
        <f t="shared" si="203"/>
        <v/>
      </c>
      <c r="R597" s="111" t="str">
        <f t="shared" si="204"/>
        <v/>
      </c>
      <c r="S597" s="44" t="str">
        <f t="shared" si="205"/>
        <v/>
      </c>
      <c r="T597" s="37" t="str">
        <f t="shared" si="206"/>
        <v/>
      </c>
      <c r="U597" s="44" t="str">
        <f t="shared" si="207"/>
        <v/>
      </c>
      <c r="V597" s="26"/>
      <c r="W597" s="26"/>
      <c r="X597" s="26"/>
      <c r="Y597" s="26"/>
      <c r="Z597" s="24"/>
      <c r="AA597" s="169">
        <f t="shared" si="192"/>
        <v>0</v>
      </c>
      <c r="AB597" s="4">
        <f t="shared" si="193"/>
        <v>0</v>
      </c>
      <c r="AC597" s="170">
        <f t="shared" si="189"/>
        <v>0</v>
      </c>
      <c r="AD597" s="58"/>
      <c r="AE597" s="58"/>
      <c r="AF597" s="58"/>
      <c r="AG597" s="59">
        <f t="shared" si="194"/>
        <v>9.0359999999999996</v>
      </c>
      <c r="AH597" s="59">
        <f t="shared" si="195"/>
        <v>-184.49199999999999</v>
      </c>
      <c r="AJ597" s="4">
        <f>IF(D597="M",IF(AM597&lt;78,BMILMS!$D$5*AM597^3+BMILMS!$E$5*AM597^2+BMILMS!$F$5*AM597+BMILMS!$G$5,IF(AM597&lt;150,BMILMS!$D$6*AM597^3+BMILMS!$E$6*AM597^2+BMILMS!$F$6*AM597+BMILMS!$G$6,BMILMS!$D$7*AM597^3+BMILMS!$E$7*AM597^2+BMILMS!$F$7*AM597+BMILMS!$G$7)),IF(AM597&lt;69,BMILMS!$D$9*AM597^3+BMILMS!$E$9*AM597^2+BMILMS!$F$9*AM597+BMILMS!$G$9,IF(AM597&lt;150,BMILMS!$D$10*AM597^3+BMILMS!$E$10*AM597^2+BMILMS!$F$10*AM597+BMILMS!$G$10,BMILMS!$D$11*AM597^3+BMILMS!$E$11*AM597^2+BMILMS!$F$11*AM597+BMILMS!$G$11)))</f>
        <v>0.79584630099999998</v>
      </c>
      <c r="AK597" s="4">
        <f>IF(D597="M",(IF(AM597&lt;2.5,BMILMS!$D$21*AM597^3+BMILMS!$E$21*AM597^2+BMILMS!$F$21*AM597+BMILMS!$G$21,IF(AM597&lt;9.5,BMILMS!$D$22*AM597^3+BMILMS!$E$22*AM597^2+BMILMS!$F$22*AM597+BMILMS!$G$22,IF(AM597&lt;26.75,BMILMS!$D$23*AM597^3+BMILMS!$E$23*AM597^2+BMILMS!$F$23*AM597+BMILMS!$G$23,IF(AM597&lt;90,BMILMS!$D$24*AM597^3+BMILMS!$E$24*AM597^2+BMILMS!$F$24*AM597+BMILMS!$G$24,BMILMS!$D$25*AM597^3+BMILMS!$E$25*AM597^2+BMILMS!$F$25*AM597+BMILMS!$G$25))))),(IF(AM597&lt;2.5,BMILMS!$D$27*AM597^3+BMILMS!$E$27*AM597^2+BMILMS!$F$27*AM597+BMILMS!$G$27,IF(AM597&lt;9.5,BMILMS!$D$28*AM597^3+BMILMS!$E$28*AM597^2+BMILMS!$F$28*AM597+BMILMS!$G$28,IF(AM597&lt;26.75,BMILMS!$D$29*AM597^3+BMILMS!$E$29*AM597^2+BMILMS!$F$29*AM597+BMILMS!$G$29,IF(AM597&lt;90,BMILMS!$D$30*AM597^3+BMILMS!$E$30*AM597^2+BMILMS!$F$30*AM597+BMILMS!$G$30,IF(AM597&lt;150,BMILMS!$D$31*AM597^3+BMILMS!$E$31*AM597^2+BMILMS!$F$31*AM597+BMILMS!$G$31,BMILMS!$D$32*AM597^3+BMILMS!$E$32*AM597^2+BMILMS!$F$32*AM597+BMILMS!$G$32)))))))</f>
        <v>12.568967990000001</v>
      </c>
      <c r="AL597" s="4">
        <f>IF(D597="M",(IF(AM597&lt;90,BMILMS!$D$14*AM597^3+BMILMS!$E$14*AM597^2+BMILMS!$F$14*AM597+BMILMS!$G$14,BMILMS!$D$15*AM597^3+BMILMS!$E$15*AM597^2+BMILMS!$F$15*AM597+BMILMS!$G$15)),(IF(AM597&lt;90,BMILMS!$D$17*AM597^3+BMILMS!$E$17*AM597^2+BMILMS!$F$17*AM597+BMILMS!$G$17,BMILMS!$D$18*AM597^3+BMILMS!$E$18*AM597^2+BMILMS!$F$18*AM597+BMILMS!$G$18)))</f>
        <v>8.8969350000000003E-2</v>
      </c>
      <c r="AM597" s="4">
        <f t="shared" si="209"/>
        <v>0</v>
      </c>
      <c r="AO597" s="56">
        <f>IF(D597="M",WeightSDS!P$5*$AM597^7+WeightSDS!Q$5*$AM597^6+WeightSDS!R$5*$AM597^5+WeightSDS!S$5*$AM597^4+WeightSDS!T$5*$AM597^3+WeightSDS!U$5*$AM597^2+WeightSDS!V$5*$AM597+WeightSDS!W$5,IF($AM597&lt;186,WeightSDS!P$8*$AM597^7+WeightSDS!Q$8*$AM597^6+WeightSDS!R$8*$AM597^5+WeightSDS!S$8*$AM597^4+WeightSDS!T$8*$AM597^3+WeightSDS!U$8*$AM597^2+WeightSDS!V$8*$AM597+WeightSDS!W$8,WeightSDS!$U$9+WeightSDS!$V$9*($AM597-WeightSDS!$W$9)))</f>
        <v>0.75407122999999998</v>
      </c>
      <c r="AP597" s="4">
        <f>IF(D597="M",IF($AM597&lt;45,WeightSDS!M$23*$AM597^10+WeightSDS!N$23*$AM597^9+WeightSDS!O$23*$AM597^8+WeightSDS!P$23*$AM597^7+WeightSDS!Q$23*$AM597^6+WeightSDS!R$23*$AM597^5+WeightSDS!S$23*$AM597^4+WeightSDS!T$23*$AM597^3+WeightSDS!U$23*$AM597^2+WeightSDS!V$23*$AM597+WeightSDS!W$23,IF($AM597&lt;153,WeightSDS!M$25*$AM597^10+WeightSDS!N$25*$AM597^9+WeightSDS!O$25*$AM597^8+WeightSDS!P$25*$AM597^7+WeightSDS!Q$25*$AM597^6+WeightSDS!R$25*$AM597^5+WeightSDS!S$25*$AM597^4+WeightSDS!T$25*$AM597^3+WeightSDS!U$25*$AM597^2+WeightSDS!V$25*$AM597+WeightSDS!W$25,WeightSDS!M$27+WeightSDS!N$27/(1+EXP(WeightSDS!O$27+WeightSDS!P$27*$AM597)))),IF($AM597&lt;43.8,WeightSDS!M$29*$AM597^10+WeightSDS!N$29*$AM597^9+WeightSDS!O$29*$AM597^8+WeightSDS!P$29*$AM597^7+WeightSDS!Q$29*$AM597^6+WeightSDS!R$29*$AM597^5+WeightSDS!S$29*$AM597^4+WeightSDS!T$29*$AM597^3+WeightSDS!U$29*$AM597^2+WeightSDS!V$29*$AM597+WeightSDS!W$29-0.010431*(1-$AM597/210),IF($AM597&lt;123,WeightSDS!M$30*$AM597^10+WeightSDS!N$30*$AM597^9+WeightSDS!O$30*$AM597^8+WeightSDS!P$30*$AM597^7+WeightSDS!Q$30*$AM597^6+WeightSDS!R$30*$AM597^5+WeightSDS!S$30*$AM597^4+WeightSDS!T$30*$AM597^3+WeightSDS!U$30*$AM597^2+WeightSDS!V$30*$AM597+WeightSDS!W$30-0.010431*(1-1/$AM597),WeightSDS!M$32+WeightSDS!N$32/(1+EXP(WeightSDS!O$32+WeightSDS!P$32*$AM597))-0.010431*(1-$AM597/210))))</f>
        <v>2.9500001032655536</v>
      </c>
      <c r="AQ597" s="4">
        <f>IF(D597="M",IF($AM597&lt;162,WeightSDS!P$12*$AM597^7+WeightSDS!Q$12*$AM597^6+WeightSDS!R$12*$AM597^5+WeightSDS!S$12*$AM597^4+WeightSDS!T$12*$AM597^3+WeightSDS!U$12*$AM597^2+WeightSDS!V$12*$AM597+WeightSDS!W$12,WeightSDS!P$14*$AM597^7+WeightSDS!Q$14*$AM597^6+WeightSDS!R$14*$AM597^5+WeightSDS!S$14*$AM597^4+WeightSDS!T$14*$AM597^3+WeightSDS!U$14*$AM597^2+WeightSDS!V$14*$AM597+WeightSDS!W$14),IF($AM597&lt;156,WeightSDS!O$17*$AM597^8+WeightSDS!P$17*$AM597^7+WeightSDS!Q$17*$AM597^6+WeightSDS!R$17*$AM597^5+WeightSDS!S$17*$AM597^4+WeightSDS!T$17*$AM597^3+WeightSDS!U$17*$AM597^2+WeightSDS!V$17*$AM597+WeightSDS!W$17,IF($AM597&lt;186,WeightSDS!$U$18+(WeightSDS!$V$18-WeightSDS!$U$18)/24*($AM597-186)+WeightSDS!$W$18*(-$AM597+186)^2-0.005,WeightSDS!$U$18+(WeightSDS!$V$18-WeightSDS!$U$18)/24*($AM597-186)-0.005)))</f>
        <v>0.14604529399999999</v>
      </c>
      <c r="AT597" s="4">
        <f t="shared" si="196"/>
        <v>0.56299999999999994</v>
      </c>
      <c r="AU597" s="4">
        <f t="shared" si="197"/>
        <v>69</v>
      </c>
      <c r="AV597" s="4">
        <f t="shared" si="198"/>
        <v>0.51</v>
      </c>
    </row>
    <row r="598" spans="1:48" x14ac:dyDescent="0.15">
      <c r="A598" s="4"/>
      <c r="B598" s="21"/>
      <c r="C598" s="21"/>
      <c r="D598" s="21"/>
      <c r="E598" s="22"/>
      <c r="F598" s="22"/>
      <c r="G598" s="23"/>
      <c r="H598" s="23"/>
      <c r="I598" s="181"/>
      <c r="J598" s="8" t="str">
        <f t="shared" si="190"/>
        <v/>
      </c>
      <c r="K598" s="2" t="str">
        <f t="shared" si="199"/>
        <v/>
      </c>
      <c r="L598" s="2" t="str">
        <f t="shared" si="191"/>
        <v/>
      </c>
      <c r="M598" s="2" t="str">
        <f t="shared" si="200"/>
        <v/>
      </c>
      <c r="N598" s="2" t="str">
        <f t="shared" si="208"/>
        <v/>
      </c>
      <c r="O598" s="2" t="str">
        <f t="shared" si="201"/>
        <v/>
      </c>
      <c r="P598" s="8" t="str">
        <f t="shared" si="202"/>
        <v/>
      </c>
      <c r="Q598" s="8" t="str">
        <f t="shared" si="203"/>
        <v/>
      </c>
      <c r="R598" s="111" t="str">
        <f t="shared" si="204"/>
        <v/>
      </c>
      <c r="S598" s="44" t="str">
        <f t="shared" si="205"/>
        <v/>
      </c>
      <c r="T598" s="37" t="str">
        <f t="shared" si="206"/>
        <v/>
      </c>
      <c r="U598" s="44" t="str">
        <f t="shared" si="207"/>
        <v/>
      </c>
      <c r="V598" s="26"/>
      <c r="W598" s="26"/>
      <c r="X598" s="26"/>
      <c r="Y598" s="26"/>
      <c r="Z598" s="24"/>
      <c r="AA598" s="169">
        <f t="shared" si="192"/>
        <v>0</v>
      </c>
      <c r="AB598" s="4">
        <f t="shared" si="193"/>
        <v>0</v>
      </c>
      <c r="AC598" s="170">
        <f t="shared" si="189"/>
        <v>0</v>
      </c>
      <c r="AD598" s="58"/>
      <c r="AE598" s="58"/>
      <c r="AF598" s="58"/>
      <c r="AG598" s="59">
        <f t="shared" si="194"/>
        <v>9.0359999999999996</v>
      </c>
      <c r="AH598" s="59">
        <f t="shared" si="195"/>
        <v>-184.49199999999999</v>
      </c>
      <c r="AJ598" s="4">
        <f>IF(D598="M",IF(AM598&lt;78,BMILMS!$D$5*AM598^3+BMILMS!$E$5*AM598^2+BMILMS!$F$5*AM598+BMILMS!$G$5,IF(AM598&lt;150,BMILMS!$D$6*AM598^3+BMILMS!$E$6*AM598^2+BMILMS!$F$6*AM598+BMILMS!$G$6,BMILMS!$D$7*AM598^3+BMILMS!$E$7*AM598^2+BMILMS!$F$7*AM598+BMILMS!$G$7)),IF(AM598&lt;69,BMILMS!$D$9*AM598^3+BMILMS!$E$9*AM598^2+BMILMS!$F$9*AM598+BMILMS!$G$9,IF(AM598&lt;150,BMILMS!$D$10*AM598^3+BMILMS!$E$10*AM598^2+BMILMS!$F$10*AM598+BMILMS!$G$10,BMILMS!$D$11*AM598^3+BMILMS!$E$11*AM598^2+BMILMS!$F$11*AM598+BMILMS!$G$11)))</f>
        <v>0.79584630099999998</v>
      </c>
      <c r="AK598" s="4">
        <f>IF(D598="M",(IF(AM598&lt;2.5,BMILMS!$D$21*AM598^3+BMILMS!$E$21*AM598^2+BMILMS!$F$21*AM598+BMILMS!$G$21,IF(AM598&lt;9.5,BMILMS!$D$22*AM598^3+BMILMS!$E$22*AM598^2+BMILMS!$F$22*AM598+BMILMS!$G$22,IF(AM598&lt;26.75,BMILMS!$D$23*AM598^3+BMILMS!$E$23*AM598^2+BMILMS!$F$23*AM598+BMILMS!$G$23,IF(AM598&lt;90,BMILMS!$D$24*AM598^3+BMILMS!$E$24*AM598^2+BMILMS!$F$24*AM598+BMILMS!$G$24,BMILMS!$D$25*AM598^3+BMILMS!$E$25*AM598^2+BMILMS!$F$25*AM598+BMILMS!$G$25))))),(IF(AM598&lt;2.5,BMILMS!$D$27*AM598^3+BMILMS!$E$27*AM598^2+BMILMS!$F$27*AM598+BMILMS!$G$27,IF(AM598&lt;9.5,BMILMS!$D$28*AM598^3+BMILMS!$E$28*AM598^2+BMILMS!$F$28*AM598+BMILMS!$G$28,IF(AM598&lt;26.75,BMILMS!$D$29*AM598^3+BMILMS!$E$29*AM598^2+BMILMS!$F$29*AM598+BMILMS!$G$29,IF(AM598&lt;90,BMILMS!$D$30*AM598^3+BMILMS!$E$30*AM598^2+BMILMS!$F$30*AM598+BMILMS!$G$30,IF(AM598&lt;150,BMILMS!$D$31*AM598^3+BMILMS!$E$31*AM598^2+BMILMS!$F$31*AM598+BMILMS!$G$31,BMILMS!$D$32*AM598^3+BMILMS!$E$32*AM598^2+BMILMS!$F$32*AM598+BMILMS!$G$32)))))))</f>
        <v>12.568967990000001</v>
      </c>
      <c r="AL598" s="4">
        <f>IF(D598="M",(IF(AM598&lt;90,BMILMS!$D$14*AM598^3+BMILMS!$E$14*AM598^2+BMILMS!$F$14*AM598+BMILMS!$G$14,BMILMS!$D$15*AM598^3+BMILMS!$E$15*AM598^2+BMILMS!$F$15*AM598+BMILMS!$G$15)),(IF(AM598&lt;90,BMILMS!$D$17*AM598^3+BMILMS!$E$17*AM598^2+BMILMS!$F$17*AM598+BMILMS!$G$17,BMILMS!$D$18*AM598^3+BMILMS!$E$18*AM598^2+BMILMS!$F$18*AM598+BMILMS!$G$18)))</f>
        <v>8.8969350000000003E-2</v>
      </c>
      <c r="AM598" s="4">
        <f t="shared" si="209"/>
        <v>0</v>
      </c>
      <c r="AO598" s="56">
        <f>IF(D598="M",WeightSDS!P$5*$AM598^7+WeightSDS!Q$5*$AM598^6+WeightSDS!R$5*$AM598^5+WeightSDS!S$5*$AM598^4+WeightSDS!T$5*$AM598^3+WeightSDS!U$5*$AM598^2+WeightSDS!V$5*$AM598+WeightSDS!W$5,IF($AM598&lt;186,WeightSDS!P$8*$AM598^7+WeightSDS!Q$8*$AM598^6+WeightSDS!R$8*$AM598^5+WeightSDS!S$8*$AM598^4+WeightSDS!T$8*$AM598^3+WeightSDS!U$8*$AM598^2+WeightSDS!V$8*$AM598+WeightSDS!W$8,WeightSDS!$U$9+WeightSDS!$V$9*($AM598-WeightSDS!$W$9)))</f>
        <v>0.75407122999999998</v>
      </c>
      <c r="AP598" s="4">
        <f>IF(D598="M",IF($AM598&lt;45,WeightSDS!M$23*$AM598^10+WeightSDS!N$23*$AM598^9+WeightSDS!O$23*$AM598^8+WeightSDS!P$23*$AM598^7+WeightSDS!Q$23*$AM598^6+WeightSDS!R$23*$AM598^5+WeightSDS!S$23*$AM598^4+WeightSDS!T$23*$AM598^3+WeightSDS!U$23*$AM598^2+WeightSDS!V$23*$AM598+WeightSDS!W$23,IF($AM598&lt;153,WeightSDS!M$25*$AM598^10+WeightSDS!N$25*$AM598^9+WeightSDS!O$25*$AM598^8+WeightSDS!P$25*$AM598^7+WeightSDS!Q$25*$AM598^6+WeightSDS!R$25*$AM598^5+WeightSDS!S$25*$AM598^4+WeightSDS!T$25*$AM598^3+WeightSDS!U$25*$AM598^2+WeightSDS!V$25*$AM598+WeightSDS!W$25,WeightSDS!M$27+WeightSDS!N$27/(1+EXP(WeightSDS!O$27+WeightSDS!P$27*$AM598)))),IF($AM598&lt;43.8,WeightSDS!M$29*$AM598^10+WeightSDS!N$29*$AM598^9+WeightSDS!O$29*$AM598^8+WeightSDS!P$29*$AM598^7+WeightSDS!Q$29*$AM598^6+WeightSDS!R$29*$AM598^5+WeightSDS!S$29*$AM598^4+WeightSDS!T$29*$AM598^3+WeightSDS!U$29*$AM598^2+WeightSDS!V$29*$AM598+WeightSDS!W$29-0.010431*(1-$AM598/210),IF($AM598&lt;123,WeightSDS!M$30*$AM598^10+WeightSDS!N$30*$AM598^9+WeightSDS!O$30*$AM598^8+WeightSDS!P$30*$AM598^7+WeightSDS!Q$30*$AM598^6+WeightSDS!R$30*$AM598^5+WeightSDS!S$30*$AM598^4+WeightSDS!T$30*$AM598^3+WeightSDS!U$30*$AM598^2+WeightSDS!V$30*$AM598+WeightSDS!W$30-0.010431*(1-1/$AM598),WeightSDS!M$32+WeightSDS!N$32/(1+EXP(WeightSDS!O$32+WeightSDS!P$32*$AM598))-0.010431*(1-$AM598/210))))</f>
        <v>2.9500001032655536</v>
      </c>
      <c r="AQ598" s="4">
        <f>IF(D598="M",IF($AM598&lt;162,WeightSDS!P$12*$AM598^7+WeightSDS!Q$12*$AM598^6+WeightSDS!R$12*$AM598^5+WeightSDS!S$12*$AM598^4+WeightSDS!T$12*$AM598^3+WeightSDS!U$12*$AM598^2+WeightSDS!V$12*$AM598+WeightSDS!W$12,WeightSDS!P$14*$AM598^7+WeightSDS!Q$14*$AM598^6+WeightSDS!R$14*$AM598^5+WeightSDS!S$14*$AM598^4+WeightSDS!T$14*$AM598^3+WeightSDS!U$14*$AM598^2+WeightSDS!V$14*$AM598+WeightSDS!W$14),IF($AM598&lt;156,WeightSDS!O$17*$AM598^8+WeightSDS!P$17*$AM598^7+WeightSDS!Q$17*$AM598^6+WeightSDS!R$17*$AM598^5+WeightSDS!S$17*$AM598^4+WeightSDS!T$17*$AM598^3+WeightSDS!U$17*$AM598^2+WeightSDS!V$17*$AM598+WeightSDS!W$17,IF($AM598&lt;186,WeightSDS!$U$18+(WeightSDS!$V$18-WeightSDS!$U$18)/24*($AM598-186)+WeightSDS!$W$18*(-$AM598+186)^2-0.005,WeightSDS!$U$18+(WeightSDS!$V$18-WeightSDS!$U$18)/24*($AM598-186)-0.005)))</f>
        <v>0.14604529399999999</v>
      </c>
      <c r="AT598" s="4">
        <f t="shared" si="196"/>
        <v>0.56299999999999994</v>
      </c>
      <c r="AU598" s="4">
        <f t="shared" si="197"/>
        <v>69</v>
      </c>
      <c r="AV598" s="4">
        <f t="shared" si="198"/>
        <v>0.51</v>
      </c>
    </row>
    <row r="599" spans="1:48" x14ac:dyDescent="0.15">
      <c r="A599" s="4"/>
      <c r="B599" s="21"/>
      <c r="C599" s="21"/>
      <c r="D599" s="21"/>
      <c r="E599" s="22"/>
      <c r="F599" s="22"/>
      <c r="G599" s="23"/>
      <c r="H599" s="23"/>
      <c r="I599" s="181"/>
      <c r="J599" s="8" t="str">
        <f t="shared" si="190"/>
        <v/>
      </c>
      <c r="K599" s="2" t="str">
        <f t="shared" si="199"/>
        <v/>
      </c>
      <c r="L599" s="2" t="str">
        <f t="shared" si="191"/>
        <v/>
      </c>
      <c r="M599" s="2" t="str">
        <f t="shared" si="200"/>
        <v/>
      </c>
      <c r="N599" s="2" t="str">
        <f t="shared" si="208"/>
        <v/>
      </c>
      <c r="O599" s="2" t="str">
        <f t="shared" si="201"/>
        <v/>
      </c>
      <c r="P599" s="8" t="str">
        <f t="shared" si="202"/>
        <v/>
      </c>
      <c r="Q599" s="8" t="str">
        <f t="shared" si="203"/>
        <v/>
      </c>
      <c r="R599" s="111" t="str">
        <f t="shared" si="204"/>
        <v/>
      </c>
      <c r="S599" s="44" t="str">
        <f t="shared" si="205"/>
        <v/>
      </c>
      <c r="T599" s="37" t="str">
        <f t="shared" si="206"/>
        <v/>
      </c>
      <c r="U599" s="44" t="str">
        <f t="shared" si="207"/>
        <v/>
      </c>
      <c r="V599" s="26"/>
      <c r="W599" s="26"/>
      <c r="X599" s="26"/>
      <c r="Y599" s="26"/>
      <c r="Z599" s="24"/>
      <c r="AA599" s="169">
        <f t="shared" si="192"/>
        <v>0</v>
      </c>
      <c r="AB599" s="4">
        <f t="shared" si="193"/>
        <v>0</v>
      </c>
      <c r="AC599" s="170">
        <f t="shared" si="189"/>
        <v>0</v>
      </c>
      <c r="AD599" s="58"/>
      <c r="AE599" s="58"/>
      <c r="AF599" s="58"/>
      <c r="AG599" s="59">
        <f t="shared" si="194"/>
        <v>9.0359999999999996</v>
      </c>
      <c r="AH599" s="59">
        <f t="shared" si="195"/>
        <v>-184.49199999999999</v>
      </c>
      <c r="AJ599" s="4">
        <f>IF(D599="M",IF(AM599&lt;78,BMILMS!$D$5*AM599^3+BMILMS!$E$5*AM599^2+BMILMS!$F$5*AM599+BMILMS!$G$5,IF(AM599&lt;150,BMILMS!$D$6*AM599^3+BMILMS!$E$6*AM599^2+BMILMS!$F$6*AM599+BMILMS!$G$6,BMILMS!$D$7*AM599^3+BMILMS!$E$7*AM599^2+BMILMS!$F$7*AM599+BMILMS!$G$7)),IF(AM599&lt;69,BMILMS!$D$9*AM599^3+BMILMS!$E$9*AM599^2+BMILMS!$F$9*AM599+BMILMS!$G$9,IF(AM599&lt;150,BMILMS!$D$10*AM599^3+BMILMS!$E$10*AM599^2+BMILMS!$F$10*AM599+BMILMS!$G$10,BMILMS!$D$11*AM599^3+BMILMS!$E$11*AM599^2+BMILMS!$F$11*AM599+BMILMS!$G$11)))</f>
        <v>0.79584630099999998</v>
      </c>
      <c r="AK599" s="4">
        <f>IF(D599="M",(IF(AM599&lt;2.5,BMILMS!$D$21*AM599^3+BMILMS!$E$21*AM599^2+BMILMS!$F$21*AM599+BMILMS!$G$21,IF(AM599&lt;9.5,BMILMS!$D$22*AM599^3+BMILMS!$E$22*AM599^2+BMILMS!$F$22*AM599+BMILMS!$G$22,IF(AM599&lt;26.75,BMILMS!$D$23*AM599^3+BMILMS!$E$23*AM599^2+BMILMS!$F$23*AM599+BMILMS!$G$23,IF(AM599&lt;90,BMILMS!$D$24*AM599^3+BMILMS!$E$24*AM599^2+BMILMS!$F$24*AM599+BMILMS!$G$24,BMILMS!$D$25*AM599^3+BMILMS!$E$25*AM599^2+BMILMS!$F$25*AM599+BMILMS!$G$25))))),(IF(AM599&lt;2.5,BMILMS!$D$27*AM599^3+BMILMS!$E$27*AM599^2+BMILMS!$F$27*AM599+BMILMS!$G$27,IF(AM599&lt;9.5,BMILMS!$D$28*AM599^3+BMILMS!$E$28*AM599^2+BMILMS!$F$28*AM599+BMILMS!$G$28,IF(AM599&lt;26.75,BMILMS!$D$29*AM599^3+BMILMS!$E$29*AM599^2+BMILMS!$F$29*AM599+BMILMS!$G$29,IF(AM599&lt;90,BMILMS!$D$30*AM599^3+BMILMS!$E$30*AM599^2+BMILMS!$F$30*AM599+BMILMS!$G$30,IF(AM599&lt;150,BMILMS!$D$31*AM599^3+BMILMS!$E$31*AM599^2+BMILMS!$F$31*AM599+BMILMS!$G$31,BMILMS!$D$32*AM599^3+BMILMS!$E$32*AM599^2+BMILMS!$F$32*AM599+BMILMS!$G$32)))))))</f>
        <v>12.568967990000001</v>
      </c>
      <c r="AL599" s="4">
        <f>IF(D599="M",(IF(AM599&lt;90,BMILMS!$D$14*AM599^3+BMILMS!$E$14*AM599^2+BMILMS!$F$14*AM599+BMILMS!$G$14,BMILMS!$D$15*AM599^3+BMILMS!$E$15*AM599^2+BMILMS!$F$15*AM599+BMILMS!$G$15)),(IF(AM599&lt;90,BMILMS!$D$17*AM599^3+BMILMS!$E$17*AM599^2+BMILMS!$F$17*AM599+BMILMS!$G$17,BMILMS!$D$18*AM599^3+BMILMS!$E$18*AM599^2+BMILMS!$F$18*AM599+BMILMS!$G$18)))</f>
        <v>8.8969350000000003E-2</v>
      </c>
      <c r="AM599" s="4">
        <f t="shared" si="209"/>
        <v>0</v>
      </c>
      <c r="AO599" s="56">
        <f>IF(D599="M",WeightSDS!P$5*$AM599^7+WeightSDS!Q$5*$AM599^6+WeightSDS!R$5*$AM599^5+WeightSDS!S$5*$AM599^4+WeightSDS!T$5*$AM599^3+WeightSDS!U$5*$AM599^2+WeightSDS!V$5*$AM599+WeightSDS!W$5,IF($AM599&lt;186,WeightSDS!P$8*$AM599^7+WeightSDS!Q$8*$AM599^6+WeightSDS!R$8*$AM599^5+WeightSDS!S$8*$AM599^4+WeightSDS!T$8*$AM599^3+WeightSDS!U$8*$AM599^2+WeightSDS!V$8*$AM599+WeightSDS!W$8,WeightSDS!$U$9+WeightSDS!$V$9*($AM599-WeightSDS!$W$9)))</f>
        <v>0.75407122999999998</v>
      </c>
      <c r="AP599" s="4">
        <f>IF(D599="M",IF($AM599&lt;45,WeightSDS!M$23*$AM599^10+WeightSDS!N$23*$AM599^9+WeightSDS!O$23*$AM599^8+WeightSDS!P$23*$AM599^7+WeightSDS!Q$23*$AM599^6+WeightSDS!R$23*$AM599^5+WeightSDS!S$23*$AM599^4+WeightSDS!T$23*$AM599^3+WeightSDS!U$23*$AM599^2+WeightSDS!V$23*$AM599+WeightSDS!W$23,IF($AM599&lt;153,WeightSDS!M$25*$AM599^10+WeightSDS!N$25*$AM599^9+WeightSDS!O$25*$AM599^8+WeightSDS!P$25*$AM599^7+WeightSDS!Q$25*$AM599^6+WeightSDS!R$25*$AM599^5+WeightSDS!S$25*$AM599^4+WeightSDS!T$25*$AM599^3+WeightSDS!U$25*$AM599^2+WeightSDS!V$25*$AM599+WeightSDS!W$25,WeightSDS!M$27+WeightSDS!N$27/(1+EXP(WeightSDS!O$27+WeightSDS!P$27*$AM599)))),IF($AM599&lt;43.8,WeightSDS!M$29*$AM599^10+WeightSDS!N$29*$AM599^9+WeightSDS!O$29*$AM599^8+WeightSDS!P$29*$AM599^7+WeightSDS!Q$29*$AM599^6+WeightSDS!R$29*$AM599^5+WeightSDS!S$29*$AM599^4+WeightSDS!T$29*$AM599^3+WeightSDS!U$29*$AM599^2+WeightSDS!V$29*$AM599+WeightSDS!W$29-0.010431*(1-$AM599/210),IF($AM599&lt;123,WeightSDS!M$30*$AM599^10+WeightSDS!N$30*$AM599^9+WeightSDS!O$30*$AM599^8+WeightSDS!P$30*$AM599^7+WeightSDS!Q$30*$AM599^6+WeightSDS!R$30*$AM599^5+WeightSDS!S$30*$AM599^4+WeightSDS!T$30*$AM599^3+WeightSDS!U$30*$AM599^2+WeightSDS!V$30*$AM599+WeightSDS!W$30-0.010431*(1-1/$AM599),WeightSDS!M$32+WeightSDS!N$32/(1+EXP(WeightSDS!O$32+WeightSDS!P$32*$AM599))-0.010431*(1-$AM599/210))))</f>
        <v>2.9500001032655536</v>
      </c>
      <c r="AQ599" s="4">
        <f>IF(D599="M",IF($AM599&lt;162,WeightSDS!P$12*$AM599^7+WeightSDS!Q$12*$AM599^6+WeightSDS!R$12*$AM599^5+WeightSDS!S$12*$AM599^4+WeightSDS!T$12*$AM599^3+WeightSDS!U$12*$AM599^2+WeightSDS!V$12*$AM599+WeightSDS!W$12,WeightSDS!P$14*$AM599^7+WeightSDS!Q$14*$AM599^6+WeightSDS!R$14*$AM599^5+WeightSDS!S$14*$AM599^4+WeightSDS!T$14*$AM599^3+WeightSDS!U$14*$AM599^2+WeightSDS!V$14*$AM599+WeightSDS!W$14),IF($AM599&lt;156,WeightSDS!O$17*$AM599^8+WeightSDS!P$17*$AM599^7+WeightSDS!Q$17*$AM599^6+WeightSDS!R$17*$AM599^5+WeightSDS!S$17*$AM599^4+WeightSDS!T$17*$AM599^3+WeightSDS!U$17*$AM599^2+WeightSDS!V$17*$AM599+WeightSDS!W$17,IF($AM599&lt;186,WeightSDS!$U$18+(WeightSDS!$V$18-WeightSDS!$U$18)/24*($AM599-186)+WeightSDS!$W$18*(-$AM599+186)^2-0.005,WeightSDS!$U$18+(WeightSDS!$V$18-WeightSDS!$U$18)/24*($AM599-186)-0.005)))</f>
        <v>0.14604529399999999</v>
      </c>
      <c r="AT599" s="4">
        <f t="shared" si="196"/>
        <v>0.56299999999999994</v>
      </c>
      <c r="AU599" s="4">
        <f t="shared" si="197"/>
        <v>69</v>
      </c>
      <c r="AV599" s="4">
        <f t="shared" si="198"/>
        <v>0.51</v>
      </c>
    </row>
    <row r="600" spans="1:48" x14ac:dyDescent="0.15">
      <c r="A600" s="4"/>
      <c r="B600" s="21"/>
      <c r="C600" s="21"/>
      <c r="D600" s="21"/>
      <c r="E600" s="22"/>
      <c r="F600" s="22"/>
      <c r="G600" s="23"/>
      <c r="H600" s="23"/>
      <c r="I600" s="181"/>
      <c r="J600" s="8" t="str">
        <f t="shared" si="190"/>
        <v/>
      </c>
      <c r="K600" s="2" t="str">
        <f t="shared" si="199"/>
        <v/>
      </c>
      <c r="L600" s="2" t="str">
        <f t="shared" si="191"/>
        <v/>
      </c>
      <c r="M600" s="2" t="str">
        <f t="shared" si="200"/>
        <v/>
      </c>
      <c r="N600" s="2" t="str">
        <f t="shared" si="208"/>
        <v/>
      </c>
      <c r="O600" s="2" t="str">
        <f t="shared" si="201"/>
        <v/>
      </c>
      <c r="P600" s="8" t="str">
        <f t="shared" si="202"/>
        <v/>
      </c>
      <c r="Q600" s="8" t="str">
        <f t="shared" si="203"/>
        <v/>
      </c>
      <c r="R600" s="111" t="str">
        <f t="shared" si="204"/>
        <v/>
      </c>
      <c r="S600" s="44" t="str">
        <f t="shared" si="205"/>
        <v/>
      </c>
      <c r="T600" s="37" t="str">
        <f t="shared" si="206"/>
        <v/>
      </c>
      <c r="U600" s="44" t="str">
        <f t="shared" si="207"/>
        <v/>
      </c>
      <c r="V600" s="26"/>
      <c r="W600" s="26"/>
      <c r="X600" s="26"/>
      <c r="Y600" s="26"/>
      <c r="Z600" s="24"/>
      <c r="AA600" s="169">
        <f t="shared" si="192"/>
        <v>0</v>
      </c>
      <c r="AB600" s="4">
        <f t="shared" si="193"/>
        <v>0</v>
      </c>
      <c r="AC600" s="170">
        <f t="shared" si="189"/>
        <v>0</v>
      </c>
      <c r="AD600" s="58"/>
      <c r="AE600" s="58"/>
      <c r="AF600" s="58"/>
      <c r="AG600" s="59">
        <f t="shared" si="194"/>
        <v>9.0359999999999996</v>
      </c>
      <c r="AH600" s="59">
        <f t="shared" si="195"/>
        <v>-184.49199999999999</v>
      </c>
      <c r="AJ600" s="4">
        <f>IF(D600="M",IF(AM600&lt;78,BMILMS!$D$5*AM600^3+BMILMS!$E$5*AM600^2+BMILMS!$F$5*AM600+BMILMS!$G$5,IF(AM600&lt;150,BMILMS!$D$6*AM600^3+BMILMS!$E$6*AM600^2+BMILMS!$F$6*AM600+BMILMS!$G$6,BMILMS!$D$7*AM600^3+BMILMS!$E$7*AM600^2+BMILMS!$F$7*AM600+BMILMS!$G$7)),IF(AM600&lt;69,BMILMS!$D$9*AM600^3+BMILMS!$E$9*AM600^2+BMILMS!$F$9*AM600+BMILMS!$G$9,IF(AM600&lt;150,BMILMS!$D$10*AM600^3+BMILMS!$E$10*AM600^2+BMILMS!$F$10*AM600+BMILMS!$G$10,BMILMS!$D$11*AM600^3+BMILMS!$E$11*AM600^2+BMILMS!$F$11*AM600+BMILMS!$G$11)))</f>
        <v>0.79584630099999998</v>
      </c>
      <c r="AK600" s="4">
        <f>IF(D600="M",(IF(AM600&lt;2.5,BMILMS!$D$21*AM600^3+BMILMS!$E$21*AM600^2+BMILMS!$F$21*AM600+BMILMS!$G$21,IF(AM600&lt;9.5,BMILMS!$D$22*AM600^3+BMILMS!$E$22*AM600^2+BMILMS!$F$22*AM600+BMILMS!$G$22,IF(AM600&lt;26.75,BMILMS!$D$23*AM600^3+BMILMS!$E$23*AM600^2+BMILMS!$F$23*AM600+BMILMS!$G$23,IF(AM600&lt;90,BMILMS!$D$24*AM600^3+BMILMS!$E$24*AM600^2+BMILMS!$F$24*AM600+BMILMS!$G$24,BMILMS!$D$25*AM600^3+BMILMS!$E$25*AM600^2+BMILMS!$F$25*AM600+BMILMS!$G$25))))),(IF(AM600&lt;2.5,BMILMS!$D$27*AM600^3+BMILMS!$E$27*AM600^2+BMILMS!$F$27*AM600+BMILMS!$G$27,IF(AM600&lt;9.5,BMILMS!$D$28*AM600^3+BMILMS!$E$28*AM600^2+BMILMS!$F$28*AM600+BMILMS!$G$28,IF(AM600&lt;26.75,BMILMS!$D$29*AM600^3+BMILMS!$E$29*AM600^2+BMILMS!$F$29*AM600+BMILMS!$G$29,IF(AM600&lt;90,BMILMS!$D$30*AM600^3+BMILMS!$E$30*AM600^2+BMILMS!$F$30*AM600+BMILMS!$G$30,IF(AM600&lt;150,BMILMS!$D$31*AM600^3+BMILMS!$E$31*AM600^2+BMILMS!$F$31*AM600+BMILMS!$G$31,BMILMS!$D$32*AM600^3+BMILMS!$E$32*AM600^2+BMILMS!$F$32*AM600+BMILMS!$G$32)))))))</f>
        <v>12.568967990000001</v>
      </c>
      <c r="AL600" s="4">
        <f>IF(D600="M",(IF(AM600&lt;90,BMILMS!$D$14*AM600^3+BMILMS!$E$14*AM600^2+BMILMS!$F$14*AM600+BMILMS!$G$14,BMILMS!$D$15*AM600^3+BMILMS!$E$15*AM600^2+BMILMS!$F$15*AM600+BMILMS!$G$15)),(IF(AM600&lt;90,BMILMS!$D$17*AM600^3+BMILMS!$E$17*AM600^2+BMILMS!$F$17*AM600+BMILMS!$G$17,BMILMS!$D$18*AM600^3+BMILMS!$E$18*AM600^2+BMILMS!$F$18*AM600+BMILMS!$G$18)))</f>
        <v>8.8969350000000003E-2</v>
      </c>
      <c r="AM600" s="4">
        <f t="shared" si="209"/>
        <v>0</v>
      </c>
      <c r="AO600" s="56">
        <f>IF(D600="M",WeightSDS!P$5*$AM600^7+WeightSDS!Q$5*$AM600^6+WeightSDS!R$5*$AM600^5+WeightSDS!S$5*$AM600^4+WeightSDS!T$5*$AM600^3+WeightSDS!U$5*$AM600^2+WeightSDS!V$5*$AM600+WeightSDS!W$5,IF($AM600&lt;186,WeightSDS!P$8*$AM600^7+WeightSDS!Q$8*$AM600^6+WeightSDS!R$8*$AM600^5+WeightSDS!S$8*$AM600^4+WeightSDS!T$8*$AM600^3+WeightSDS!U$8*$AM600^2+WeightSDS!V$8*$AM600+WeightSDS!W$8,WeightSDS!$U$9+WeightSDS!$V$9*($AM600-WeightSDS!$W$9)))</f>
        <v>0.75407122999999998</v>
      </c>
      <c r="AP600" s="4">
        <f>IF(D600="M",IF($AM600&lt;45,WeightSDS!M$23*$AM600^10+WeightSDS!N$23*$AM600^9+WeightSDS!O$23*$AM600^8+WeightSDS!P$23*$AM600^7+WeightSDS!Q$23*$AM600^6+WeightSDS!R$23*$AM600^5+WeightSDS!S$23*$AM600^4+WeightSDS!T$23*$AM600^3+WeightSDS!U$23*$AM600^2+WeightSDS!V$23*$AM600+WeightSDS!W$23,IF($AM600&lt;153,WeightSDS!M$25*$AM600^10+WeightSDS!N$25*$AM600^9+WeightSDS!O$25*$AM600^8+WeightSDS!P$25*$AM600^7+WeightSDS!Q$25*$AM600^6+WeightSDS!R$25*$AM600^5+WeightSDS!S$25*$AM600^4+WeightSDS!T$25*$AM600^3+WeightSDS!U$25*$AM600^2+WeightSDS!V$25*$AM600+WeightSDS!W$25,WeightSDS!M$27+WeightSDS!N$27/(1+EXP(WeightSDS!O$27+WeightSDS!P$27*$AM600)))),IF($AM600&lt;43.8,WeightSDS!M$29*$AM600^10+WeightSDS!N$29*$AM600^9+WeightSDS!O$29*$AM600^8+WeightSDS!P$29*$AM600^7+WeightSDS!Q$29*$AM600^6+WeightSDS!R$29*$AM600^5+WeightSDS!S$29*$AM600^4+WeightSDS!T$29*$AM600^3+WeightSDS!U$29*$AM600^2+WeightSDS!V$29*$AM600+WeightSDS!W$29-0.010431*(1-$AM600/210),IF($AM600&lt;123,WeightSDS!M$30*$AM600^10+WeightSDS!N$30*$AM600^9+WeightSDS!O$30*$AM600^8+WeightSDS!P$30*$AM600^7+WeightSDS!Q$30*$AM600^6+WeightSDS!R$30*$AM600^5+WeightSDS!S$30*$AM600^4+WeightSDS!T$30*$AM600^3+WeightSDS!U$30*$AM600^2+WeightSDS!V$30*$AM600+WeightSDS!W$30-0.010431*(1-1/$AM600),WeightSDS!M$32+WeightSDS!N$32/(1+EXP(WeightSDS!O$32+WeightSDS!P$32*$AM600))-0.010431*(1-$AM600/210))))</f>
        <v>2.9500001032655536</v>
      </c>
      <c r="AQ600" s="4">
        <f>IF(D600="M",IF($AM600&lt;162,WeightSDS!P$12*$AM600^7+WeightSDS!Q$12*$AM600^6+WeightSDS!R$12*$AM600^5+WeightSDS!S$12*$AM600^4+WeightSDS!T$12*$AM600^3+WeightSDS!U$12*$AM600^2+WeightSDS!V$12*$AM600+WeightSDS!W$12,WeightSDS!P$14*$AM600^7+WeightSDS!Q$14*$AM600^6+WeightSDS!R$14*$AM600^5+WeightSDS!S$14*$AM600^4+WeightSDS!T$14*$AM600^3+WeightSDS!U$14*$AM600^2+WeightSDS!V$14*$AM600+WeightSDS!W$14),IF($AM600&lt;156,WeightSDS!O$17*$AM600^8+WeightSDS!P$17*$AM600^7+WeightSDS!Q$17*$AM600^6+WeightSDS!R$17*$AM600^5+WeightSDS!S$17*$AM600^4+WeightSDS!T$17*$AM600^3+WeightSDS!U$17*$AM600^2+WeightSDS!V$17*$AM600+WeightSDS!W$17,IF($AM600&lt;186,WeightSDS!$U$18+(WeightSDS!$V$18-WeightSDS!$U$18)/24*($AM600-186)+WeightSDS!$W$18*(-$AM600+186)^2-0.005,WeightSDS!$U$18+(WeightSDS!$V$18-WeightSDS!$U$18)/24*($AM600-186)-0.005)))</f>
        <v>0.14604529399999999</v>
      </c>
      <c r="AT600" s="4">
        <f t="shared" si="196"/>
        <v>0.56299999999999994</v>
      </c>
      <c r="AU600" s="4">
        <f t="shared" si="197"/>
        <v>69</v>
      </c>
      <c r="AV600" s="4">
        <f t="shared" si="198"/>
        <v>0.51</v>
      </c>
    </row>
    <row r="601" spans="1:48" x14ac:dyDescent="0.15">
      <c r="A601" s="4"/>
      <c r="B601" s="21"/>
      <c r="C601" s="21"/>
      <c r="D601" s="21"/>
      <c r="E601" s="22"/>
      <c r="F601" s="22"/>
      <c r="G601" s="23"/>
      <c r="H601" s="23"/>
      <c r="I601" s="181"/>
      <c r="J601" s="8" t="str">
        <f t="shared" si="190"/>
        <v/>
      </c>
      <c r="K601" s="2" t="str">
        <f t="shared" si="199"/>
        <v/>
      </c>
      <c r="L601" s="2" t="str">
        <f t="shared" si="191"/>
        <v/>
      </c>
      <c r="M601" s="2" t="str">
        <f t="shared" si="200"/>
        <v/>
      </c>
      <c r="N601" s="2" t="str">
        <f t="shared" si="208"/>
        <v/>
      </c>
      <c r="O601" s="2" t="str">
        <f t="shared" si="201"/>
        <v/>
      </c>
      <c r="P601" s="8" t="str">
        <f t="shared" si="202"/>
        <v/>
      </c>
      <c r="Q601" s="8" t="str">
        <f t="shared" si="203"/>
        <v/>
      </c>
      <c r="R601" s="111" t="str">
        <f t="shared" si="204"/>
        <v/>
      </c>
      <c r="S601" s="44" t="str">
        <f t="shared" si="205"/>
        <v/>
      </c>
      <c r="T601" s="37" t="str">
        <f t="shared" si="206"/>
        <v/>
      </c>
      <c r="U601" s="44" t="str">
        <f t="shared" si="207"/>
        <v/>
      </c>
      <c r="V601" s="26"/>
      <c r="W601" s="26"/>
      <c r="X601" s="26"/>
      <c r="Y601" s="26"/>
      <c r="Z601" s="24"/>
      <c r="AA601" s="169">
        <f t="shared" si="192"/>
        <v>0</v>
      </c>
      <c r="AB601" s="4">
        <f t="shared" si="193"/>
        <v>0</v>
      </c>
      <c r="AC601" s="170">
        <f t="shared" si="189"/>
        <v>0</v>
      </c>
      <c r="AD601" s="58"/>
      <c r="AE601" s="58"/>
      <c r="AF601" s="58"/>
      <c r="AG601" s="59">
        <f t="shared" si="194"/>
        <v>9.0359999999999996</v>
      </c>
      <c r="AH601" s="59">
        <f t="shared" si="195"/>
        <v>-184.49199999999999</v>
      </c>
      <c r="AJ601" s="4">
        <f>IF(D601="M",IF(AM601&lt;78,BMILMS!$D$5*AM601^3+BMILMS!$E$5*AM601^2+BMILMS!$F$5*AM601+BMILMS!$G$5,IF(AM601&lt;150,BMILMS!$D$6*AM601^3+BMILMS!$E$6*AM601^2+BMILMS!$F$6*AM601+BMILMS!$G$6,BMILMS!$D$7*AM601^3+BMILMS!$E$7*AM601^2+BMILMS!$F$7*AM601+BMILMS!$G$7)),IF(AM601&lt;69,BMILMS!$D$9*AM601^3+BMILMS!$E$9*AM601^2+BMILMS!$F$9*AM601+BMILMS!$G$9,IF(AM601&lt;150,BMILMS!$D$10*AM601^3+BMILMS!$E$10*AM601^2+BMILMS!$F$10*AM601+BMILMS!$G$10,BMILMS!$D$11*AM601^3+BMILMS!$E$11*AM601^2+BMILMS!$F$11*AM601+BMILMS!$G$11)))</f>
        <v>0.79584630099999998</v>
      </c>
      <c r="AK601" s="4">
        <f>IF(D601="M",(IF(AM601&lt;2.5,BMILMS!$D$21*AM601^3+BMILMS!$E$21*AM601^2+BMILMS!$F$21*AM601+BMILMS!$G$21,IF(AM601&lt;9.5,BMILMS!$D$22*AM601^3+BMILMS!$E$22*AM601^2+BMILMS!$F$22*AM601+BMILMS!$G$22,IF(AM601&lt;26.75,BMILMS!$D$23*AM601^3+BMILMS!$E$23*AM601^2+BMILMS!$F$23*AM601+BMILMS!$G$23,IF(AM601&lt;90,BMILMS!$D$24*AM601^3+BMILMS!$E$24*AM601^2+BMILMS!$F$24*AM601+BMILMS!$G$24,BMILMS!$D$25*AM601^3+BMILMS!$E$25*AM601^2+BMILMS!$F$25*AM601+BMILMS!$G$25))))),(IF(AM601&lt;2.5,BMILMS!$D$27*AM601^3+BMILMS!$E$27*AM601^2+BMILMS!$F$27*AM601+BMILMS!$G$27,IF(AM601&lt;9.5,BMILMS!$D$28*AM601^3+BMILMS!$E$28*AM601^2+BMILMS!$F$28*AM601+BMILMS!$G$28,IF(AM601&lt;26.75,BMILMS!$D$29*AM601^3+BMILMS!$E$29*AM601^2+BMILMS!$F$29*AM601+BMILMS!$G$29,IF(AM601&lt;90,BMILMS!$D$30*AM601^3+BMILMS!$E$30*AM601^2+BMILMS!$F$30*AM601+BMILMS!$G$30,IF(AM601&lt;150,BMILMS!$D$31*AM601^3+BMILMS!$E$31*AM601^2+BMILMS!$F$31*AM601+BMILMS!$G$31,BMILMS!$D$32*AM601^3+BMILMS!$E$32*AM601^2+BMILMS!$F$32*AM601+BMILMS!$G$32)))))))</f>
        <v>12.568967990000001</v>
      </c>
      <c r="AL601" s="4">
        <f>IF(D601="M",(IF(AM601&lt;90,BMILMS!$D$14*AM601^3+BMILMS!$E$14*AM601^2+BMILMS!$F$14*AM601+BMILMS!$G$14,BMILMS!$D$15*AM601^3+BMILMS!$E$15*AM601^2+BMILMS!$F$15*AM601+BMILMS!$G$15)),(IF(AM601&lt;90,BMILMS!$D$17*AM601^3+BMILMS!$E$17*AM601^2+BMILMS!$F$17*AM601+BMILMS!$G$17,BMILMS!$D$18*AM601^3+BMILMS!$E$18*AM601^2+BMILMS!$F$18*AM601+BMILMS!$G$18)))</f>
        <v>8.8969350000000003E-2</v>
      </c>
      <c r="AM601" s="4">
        <f t="shared" si="209"/>
        <v>0</v>
      </c>
      <c r="AO601" s="56">
        <f>IF(D601="M",WeightSDS!P$5*$AM601^7+WeightSDS!Q$5*$AM601^6+WeightSDS!R$5*$AM601^5+WeightSDS!S$5*$AM601^4+WeightSDS!T$5*$AM601^3+WeightSDS!U$5*$AM601^2+WeightSDS!V$5*$AM601+WeightSDS!W$5,IF($AM601&lt;186,WeightSDS!P$8*$AM601^7+WeightSDS!Q$8*$AM601^6+WeightSDS!R$8*$AM601^5+WeightSDS!S$8*$AM601^4+WeightSDS!T$8*$AM601^3+WeightSDS!U$8*$AM601^2+WeightSDS!V$8*$AM601+WeightSDS!W$8,WeightSDS!$U$9+WeightSDS!$V$9*($AM601-WeightSDS!$W$9)))</f>
        <v>0.75407122999999998</v>
      </c>
      <c r="AP601" s="4">
        <f>IF(D601="M",IF($AM601&lt;45,WeightSDS!M$23*$AM601^10+WeightSDS!N$23*$AM601^9+WeightSDS!O$23*$AM601^8+WeightSDS!P$23*$AM601^7+WeightSDS!Q$23*$AM601^6+WeightSDS!R$23*$AM601^5+WeightSDS!S$23*$AM601^4+WeightSDS!T$23*$AM601^3+WeightSDS!U$23*$AM601^2+WeightSDS!V$23*$AM601+WeightSDS!W$23,IF($AM601&lt;153,WeightSDS!M$25*$AM601^10+WeightSDS!N$25*$AM601^9+WeightSDS!O$25*$AM601^8+WeightSDS!P$25*$AM601^7+WeightSDS!Q$25*$AM601^6+WeightSDS!R$25*$AM601^5+WeightSDS!S$25*$AM601^4+WeightSDS!T$25*$AM601^3+WeightSDS!U$25*$AM601^2+WeightSDS!V$25*$AM601+WeightSDS!W$25,WeightSDS!M$27+WeightSDS!N$27/(1+EXP(WeightSDS!O$27+WeightSDS!P$27*$AM601)))),IF($AM601&lt;43.8,WeightSDS!M$29*$AM601^10+WeightSDS!N$29*$AM601^9+WeightSDS!O$29*$AM601^8+WeightSDS!P$29*$AM601^7+WeightSDS!Q$29*$AM601^6+WeightSDS!R$29*$AM601^5+WeightSDS!S$29*$AM601^4+WeightSDS!T$29*$AM601^3+WeightSDS!U$29*$AM601^2+WeightSDS!V$29*$AM601+WeightSDS!W$29-0.010431*(1-$AM601/210),IF($AM601&lt;123,WeightSDS!M$30*$AM601^10+WeightSDS!N$30*$AM601^9+WeightSDS!O$30*$AM601^8+WeightSDS!P$30*$AM601^7+WeightSDS!Q$30*$AM601^6+WeightSDS!R$30*$AM601^5+WeightSDS!S$30*$AM601^4+WeightSDS!T$30*$AM601^3+WeightSDS!U$30*$AM601^2+WeightSDS!V$30*$AM601+WeightSDS!W$30-0.010431*(1-1/$AM601),WeightSDS!M$32+WeightSDS!N$32/(1+EXP(WeightSDS!O$32+WeightSDS!P$32*$AM601))-0.010431*(1-$AM601/210))))</f>
        <v>2.9500001032655536</v>
      </c>
      <c r="AQ601" s="4">
        <f>IF(D601="M",IF($AM601&lt;162,WeightSDS!P$12*$AM601^7+WeightSDS!Q$12*$AM601^6+WeightSDS!R$12*$AM601^5+WeightSDS!S$12*$AM601^4+WeightSDS!T$12*$AM601^3+WeightSDS!U$12*$AM601^2+WeightSDS!V$12*$AM601+WeightSDS!W$12,WeightSDS!P$14*$AM601^7+WeightSDS!Q$14*$AM601^6+WeightSDS!R$14*$AM601^5+WeightSDS!S$14*$AM601^4+WeightSDS!T$14*$AM601^3+WeightSDS!U$14*$AM601^2+WeightSDS!V$14*$AM601+WeightSDS!W$14),IF($AM601&lt;156,WeightSDS!O$17*$AM601^8+WeightSDS!P$17*$AM601^7+WeightSDS!Q$17*$AM601^6+WeightSDS!R$17*$AM601^5+WeightSDS!S$17*$AM601^4+WeightSDS!T$17*$AM601^3+WeightSDS!U$17*$AM601^2+WeightSDS!V$17*$AM601+WeightSDS!W$17,IF($AM601&lt;186,WeightSDS!$U$18+(WeightSDS!$V$18-WeightSDS!$U$18)/24*($AM601-186)+WeightSDS!$W$18*(-$AM601+186)^2-0.005,WeightSDS!$U$18+(WeightSDS!$V$18-WeightSDS!$U$18)/24*($AM601-186)-0.005)))</f>
        <v>0.14604529399999999</v>
      </c>
      <c r="AT601" s="4">
        <f t="shared" si="196"/>
        <v>0.56299999999999994</v>
      </c>
      <c r="AU601" s="4">
        <f t="shared" si="197"/>
        <v>69</v>
      </c>
      <c r="AV601" s="4">
        <f t="shared" si="198"/>
        <v>0.51</v>
      </c>
    </row>
    <row r="602" spans="1:48" x14ac:dyDescent="0.15">
      <c r="A602" s="4"/>
      <c r="B602" s="21"/>
      <c r="C602" s="21"/>
      <c r="D602" s="21"/>
      <c r="E602" s="22"/>
      <c r="F602" s="22"/>
      <c r="G602" s="23"/>
      <c r="H602" s="23"/>
      <c r="I602" s="181"/>
      <c r="J602" s="8" t="str">
        <f t="shared" si="190"/>
        <v/>
      </c>
      <c r="K602" s="2" t="str">
        <f t="shared" si="199"/>
        <v/>
      </c>
      <c r="L602" s="2" t="str">
        <f t="shared" si="191"/>
        <v/>
      </c>
      <c r="M602" s="2" t="str">
        <f t="shared" si="200"/>
        <v/>
      </c>
      <c r="N602" s="2" t="str">
        <f t="shared" si="208"/>
        <v/>
      </c>
      <c r="O602" s="2" t="str">
        <f t="shared" si="201"/>
        <v/>
      </c>
      <c r="P602" s="8" t="str">
        <f t="shared" si="202"/>
        <v/>
      </c>
      <c r="Q602" s="8" t="str">
        <f t="shared" si="203"/>
        <v/>
      </c>
      <c r="R602" s="111" t="str">
        <f t="shared" si="204"/>
        <v/>
      </c>
      <c r="S602" s="44" t="str">
        <f t="shared" si="205"/>
        <v/>
      </c>
      <c r="T602" s="37" t="str">
        <f t="shared" si="206"/>
        <v/>
      </c>
      <c r="U602" s="44" t="str">
        <f t="shared" si="207"/>
        <v/>
      </c>
      <c r="V602" s="26"/>
      <c r="W602" s="26"/>
      <c r="X602" s="26"/>
      <c r="Y602" s="26"/>
      <c r="Z602" s="24"/>
      <c r="AA602" s="169">
        <f t="shared" si="192"/>
        <v>0</v>
      </c>
      <c r="AB602" s="4">
        <f t="shared" si="193"/>
        <v>0</v>
      </c>
      <c r="AC602" s="170">
        <f t="shared" si="189"/>
        <v>0</v>
      </c>
      <c r="AD602" s="58"/>
      <c r="AE602" s="58"/>
      <c r="AF602" s="58"/>
      <c r="AG602" s="59">
        <f t="shared" si="194"/>
        <v>9.0359999999999996</v>
      </c>
      <c r="AH602" s="59">
        <f t="shared" si="195"/>
        <v>-184.49199999999999</v>
      </c>
      <c r="AJ602" s="4">
        <f>IF(D602="M",IF(AM602&lt;78,BMILMS!$D$5*AM602^3+BMILMS!$E$5*AM602^2+BMILMS!$F$5*AM602+BMILMS!$G$5,IF(AM602&lt;150,BMILMS!$D$6*AM602^3+BMILMS!$E$6*AM602^2+BMILMS!$F$6*AM602+BMILMS!$G$6,BMILMS!$D$7*AM602^3+BMILMS!$E$7*AM602^2+BMILMS!$F$7*AM602+BMILMS!$G$7)),IF(AM602&lt;69,BMILMS!$D$9*AM602^3+BMILMS!$E$9*AM602^2+BMILMS!$F$9*AM602+BMILMS!$G$9,IF(AM602&lt;150,BMILMS!$D$10*AM602^3+BMILMS!$E$10*AM602^2+BMILMS!$F$10*AM602+BMILMS!$G$10,BMILMS!$D$11*AM602^3+BMILMS!$E$11*AM602^2+BMILMS!$F$11*AM602+BMILMS!$G$11)))</f>
        <v>0.79584630099999998</v>
      </c>
      <c r="AK602" s="4">
        <f>IF(D602="M",(IF(AM602&lt;2.5,BMILMS!$D$21*AM602^3+BMILMS!$E$21*AM602^2+BMILMS!$F$21*AM602+BMILMS!$G$21,IF(AM602&lt;9.5,BMILMS!$D$22*AM602^3+BMILMS!$E$22*AM602^2+BMILMS!$F$22*AM602+BMILMS!$G$22,IF(AM602&lt;26.75,BMILMS!$D$23*AM602^3+BMILMS!$E$23*AM602^2+BMILMS!$F$23*AM602+BMILMS!$G$23,IF(AM602&lt;90,BMILMS!$D$24*AM602^3+BMILMS!$E$24*AM602^2+BMILMS!$F$24*AM602+BMILMS!$G$24,BMILMS!$D$25*AM602^3+BMILMS!$E$25*AM602^2+BMILMS!$F$25*AM602+BMILMS!$G$25))))),(IF(AM602&lt;2.5,BMILMS!$D$27*AM602^3+BMILMS!$E$27*AM602^2+BMILMS!$F$27*AM602+BMILMS!$G$27,IF(AM602&lt;9.5,BMILMS!$D$28*AM602^3+BMILMS!$E$28*AM602^2+BMILMS!$F$28*AM602+BMILMS!$G$28,IF(AM602&lt;26.75,BMILMS!$D$29*AM602^3+BMILMS!$E$29*AM602^2+BMILMS!$F$29*AM602+BMILMS!$G$29,IF(AM602&lt;90,BMILMS!$D$30*AM602^3+BMILMS!$E$30*AM602^2+BMILMS!$F$30*AM602+BMILMS!$G$30,IF(AM602&lt;150,BMILMS!$D$31*AM602^3+BMILMS!$E$31*AM602^2+BMILMS!$F$31*AM602+BMILMS!$G$31,BMILMS!$D$32*AM602^3+BMILMS!$E$32*AM602^2+BMILMS!$F$32*AM602+BMILMS!$G$32)))))))</f>
        <v>12.568967990000001</v>
      </c>
      <c r="AL602" s="4">
        <f>IF(D602="M",(IF(AM602&lt;90,BMILMS!$D$14*AM602^3+BMILMS!$E$14*AM602^2+BMILMS!$F$14*AM602+BMILMS!$G$14,BMILMS!$D$15*AM602^3+BMILMS!$E$15*AM602^2+BMILMS!$F$15*AM602+BMILMS!$G$15)),(IF(AM602&lt;90,BMILMS!$D$17*AM602^3+BMILMS!$E$17*AM602^2+BMILMS!$F$17*AM602+BMILMS!$G$17,BMILMS!$D$18*AM602^3+BMILMS!$E$18*AM602^2+BMILMS!$F$18*AM602+BMILMS!$G$18)))</f>
        <v>8.8969350000000003E-2</v>
      </c>
      <c r="AM602" s="4">
        <f t="shared" si="209"/>
        <v>0</v>
      </c>
      <c r="AO602" s="56">
        <f>IF(D602="M",WeightSDS!P$5*$AM602^7+WeightSDS!Q$5*$AM602^6+WeightSDS!R$5*$AM602^5+WeightSDS!S$5*$AM602^4+WeightSDS!T$5*$AM602^3+WeightSDS!U$5*$AM602^2+WeightSDS!V$5*$AM602+WeightSDS!W$5,IF($AM602&lt;186,WeightSDS!P$8*$AM602^7+WeightSDS!Q$8*$AM602^6+WeightSDS!R$8*$AM602^5+WeightSDS!S$8*$AM602^4+WeightSDS!T$8*$AM602^3+WeightSDS!U$8*$AM602^2+WeightSDS!V$8*$AM602+WeightSDS!W$8,WeightSDS!$U$9+WeightSDS!$V$9*($AM602-WeightSDS!$W$9)))</f>
        <v>0.75407122999999998</v>
      </c>
      <c r="AP602" s="4">
        <f>IF(D602="M",IF($AM602&lt;45,WeightSDS!M$23*$AM602^10+WeightSDS!N$23*$AM602^9+WeightSDS!O$23*$AM602^8+WeightSDS!P$23*$AM602^7+WeightSDS!Q$23*$AM602^6+WeightSDS!R$23*$AM602^5+WeightSDS!S$23*$AM602^4+WeightSDS!T$23*$AM602^3+WeightSDS!U$23*$AM602^2+WeightSDS!V$23*$AM602+WeightSDS!W$23,IF($AM602&lt;153,WeightSDS!M$25*$AM602^10+WeightSDS!N$25*$AM602^9+WeightSDS!O$25*$AM602^8+WeightSDS!P$25*$AM602^7+WeightSDS!Q$25*$AM602^6+WeightSDS!R$25*$AM602^5+WeightSDS!S$25*$AM602^4+WeightSDS!T$25*$AM602^3+WeightSDS!U$25*$AM602^2+WeightSDS!V$25*$AM602+WeightSDS!W$25,WeightSDS!M$27+WeightSDS!N$27/(1+EXP(WeightSDS!O$27+WeightSDS!P$27*$AM602)))),IF($AM602&lt;43.8,WeightSDS!M$29*$AM602^10+WeightSDS!N$29*$AM602^9+WeightSDS!O$29*$AM602^8+WeightSDS!P$29*$AM602^7+WeightSDS!Q$29*$AM602^6+WeightSDS!R$29*$AM602^5+WeightSDS!S$29*$AM602^4+WeightSDS!T$29*$AM602^3+WeightSDS!U$29*$AM602^2+WeightSDS!V$29*$AM602+WeightSDS!W$29-0.010431*(1-$AM602/210),IF($AM602&lt;123,WeightSDS!M$30*$AM602^10+WeightSDS!N$30*$AM602^9+WeightSDS!O$30*$AM602^8+WeightSDS!P$30*$AM602^7+WeightSDS!Q$30*$AM602^6+WeightSDS!R$30*$AM602^5+WeightSDS!S$30*$AM602^4+WeightSDS!T$30*$AM602^3+WeightSDS!U$30*$AM602^2+WeightSDS!V$30*$AM602+WeightSDS!W$30-0.010431*(1-1/$AM602),WeightSDS!M$32+WeightSDS!N$32/(1+EXP(WeightSDS!O$32+WeightSDS!P$32*$AM602))-0.010431*(1-$AM602/210))))</f>
        <v>2.9500001032655536</v>
      </c>
      <c r="AQ602" s="4">
        <f>IF(D602="M",IF($AM602&lt;162,WeightSDS!P$12*$AM602^7+WeightSDS!Q$12*$AM602^6+WeightSDS!R$12*$AM602^5+WeightSDS!S$12*$AM602^4+WeightSDS!T$12*$AM602^3+WeightSDS!U$12*$AM602^2+WeightSDS!V$12*$AM602+WeightSDS!W$12,WeightSDS!P$14*$AM602^7+WeightSDS!Q$14*$AM602^6+WeightSDS!R$14*$AM602^5+WeightSDS!S$14*$AM602^4+WeightSDS!T$14*$AM602^3+WeightSDS!U$14*$AM602^2+WeightSDS!V$14*$AM602+WeightSDS!W$14),IF($AM602&lt;156,WeightSDS!O$17*$AM602^8+WeightSDS!P$17*$AM602^7+WeightSDS!Q$17*$AM602^6+WeightSDS!R$17*$AM602^5+WeightSDS!S$17*$AM602^4+WeightSDS!T$17*$AM602^3+WeightSDS!U$17*$AM602^2+WeightSDS!V$17*$AM602+WeightSDS!W$17,IF($AM602&lt;186,WeightSDS!$U$18+(WeightSDS!$V$18-WeightSDS!$U$18)/24*($AM602-186)+WeightSDS!$W$18*(-$AM602+186)^2-0.005,WeightSDS!$U$18+(WeightSDS!$V$18-WeightSDS!$U$18)/24*($AM602-186)-0.005)))</f>
        <v>0.14604529399999999</v>
      </c>
      <c r="AT602" s="4">
        <f t="shared" si="196"/>
        <v>0.56299999999999994</v>
      </c>
      <c r="AU602" s="4">
        <f t="shared" si="197"/>
        <v>69</v>
      </c>
      <c r="AV602" s="4">
        <f t="shared" si="198"/>
        <v>0.51</v>
      </c>
    </row>
    <row r="603" spans="1:48" x14ac:dyDescent="0.15">
      <c r="A603" s="4"/>
      <c r="B603" s="21"/>
      <c r="C603" s="21"/>
      <c r="D603" s="21"/>
      <c r="E603" s="22"/>
      <c r="F603" s="22"/>
      <c r="G603" s="23"/>
      <c r="H603" s="23"/>
      <c r="I603" s="181"/>
      <c r="J603" s="8" t="str">
        <f t="shared" si="190"/>
        <v/>
      </c>
      <c r="K603" s="2" t="str">
        <f t="shared" si="199"/>
        <v/>
      </c>
      <c r="L603" s="2" t="str">
        <f t="shared" si="191"/>
        <v/>
      </c>
      <c r="M603" s="2" t="str">
        <f t="shared" si="200"/>
        <v/>
      </c>
      <c r="N603" s="2" t="str">
        <f t="shared" si="208"/>
        <v/>
      </c>
      <c r="O603" s="2" t="str">
        <f t="shared" si="201"/>
        <v/>
      </c>
      <c r="P603" s="8" t="str">
        <f t="shared" si="202"/>
        <v/>
      </c>
      <c r="Q603" s="8" t="str">
        <f t="shared" si="203"/>
        <v/>
      </c>
      <c r="R603" s="111" t="str">
        <f t="shared" si="204"/>
        <v/>
      </c>
      <c r="S603" s="44" t="str">
        <f t="shared" si="205"/>
        <v/>
      </c>
      <c r="T603" s="37" t="str">
        <f t="shared" si="206"/>
        <v/>
      </c>
      <c r="U603" s="44" t="str">
        <f t="shared" si="207"/>
        <v/>
      </c>
      <c r="V603" s="26"/>
      <c r="W603" s="26"/>
      <c r="X603" s="26"/>
      <c r="Y603" s="26"/>
      <c r="Z603" s="24"/>
      <c r="AA603" s="169">
        <f t="shared" si="192"/>
        <v>0</v>
      </c>
      <c r="AB603" s="4">
        <f t="shared" si="193"/>
        <v>0</v>
      </c>
      <c r="AC603" s="170">
        <f t="shared" si="189"/>
        <v>0</v>
      </c>
      <c r="AD603" s="58"/>
      <c r="AE603" s="58"/>
      <c r="AF603" s="58"/>
      <c r="AG603" s="59">
        <f t="shared" si="194"/>
        <v>9.0359999999999996</v>
      </c>
      <c r="AH603" s="59">
        <f t="shared" si="195"/>
        <v>-184.49199999999999</v>
      </c>
      <c r="AJ603" s="4">
        <f>IF(D603="M",IF(AM603&lt;78,BMILMS!$D$5*AM603^3+BMILMS!$E$5*AM603^2+BMILMS!$F$5*AM603+BMILMS!$G$5,IF(AM603&lt;150,BMILMS!$D$6*AM603^3+BMILMS!$E$6*AM603^2+BMILMS!$F$6*AM603+BMILMS!$G$6,BMILMS!$D$7*AM603^3+BMILMS!$E$7*AM603^2+BMILMS!$F$7*AM603+BMILMS!$G$7)),IF(AM603&lt;69,BMILMS!$D$9*AM603^3+BMILMS!$E$9*AM603^2+BMILMS!$F$9*AM603+BMILMS!$G$9,IF(AM603&lt;150,BMILMS!$D$10*AM603^3+BMILMS!$E$10*AM603^2+BMILMS!$F$10*AM603+BMILMS!$G$10,BMILMS!$D$11*AM603^3+BMILMS!$E$11*AM603^2+BMILMS!$F$11*AM603+BMILMS!$G$11)))</f>
        <v>0.79584630099999998</v>
      </c>
      <c r="AK603" s="4">
        <f>IF(D603="M",(IF(AM603&lt;2.5,BMILMS!$D$21*AM603^3+BMILMS!$E$21*AM603^2+BMILMS!$F$21*AM603+BMILMS!$G$21,IF(AM603&lt;9.5,BMILMS!$D$22*AM603^3+BMILMS!$E$22*AM603^2+BMILMS!$F$22*AM603+BMILMS!$G$22,IF(AM603&lt;26.75,BMILMS!$D$23*AM603^3+BMILMS!$E$23*AM603^2+BMILMS!$F$23*AM603+BMILMS!$G$23,IF(AM603&lt;90,BMILMS!$D$24*AM603^3+BMILMS!$E$24*AM603^2+BMILMS!$F$24*AM603+BMILMS!$G$24,BMILMS!$D$25*AM603^3+BMILMS!$E$25*AM603^2+BMILMS!$F$25*AM603+BMILMS!$G$25))))),(IF(AM603&lt;2.5,BMILMS!$D$27*AM603^3+BMILMS!$E$27*AM603^2+BMILMS!$F$27*AM603+BMILMS!$G$27,IF(AM603&lt;9.5,BMILMS!$D$28*AM603^3+BMILMS!$E$28*AM603^2+BMILMS!$F$28*AM603+BMILMS!$G$28,IF(AM603&lt;26.75,BMILMS!$D$29*AM603^3+BMILMS!$E$29*AM603^2+BMILMS!$F$29*AM603+BMILMS!$G$29,IF(AM603&lt;90,BMILMS!$D$30*AM603^3+BMILMS!$E$30*AM603^2+BMILMS!$F$30*AM603+BMILMS!$G$30,IF(AM603&lt;150,BMILMS!$D$31*AM603^3+BMILMS!$E$31*AM603^2+BMILMS!$F$31*AM603+BMILMS!$G$31,BMILMS!$D$32*AM603^3+BMILMS!$E$32*AM603^2+BMILMS!$F$32*AM603+BMILMS!$G$32)))))))</f>
        <v>12.568967990000001</v>
      </c>
      <c r="AL603" s="4">
        <f>IF(D603="M",(IF(AM603&lt;90,BMILMS!$D$14*AM603^3+BMILMS!$E$14*AM603^2+BMILMS!$F$14*AM603+BMILMS!$G$14,BMILMS!$D$15*AM603^3+BMILMS!$E$15*AM603^2+BMILMS!$F$15*AM603+BMILMS!$G$15)),(IF(AM603&lt;90,BMILMS!$D$17*AM603^3+BMILMS!$E$17*AM603^2+BMILMS!$F$17*AM603+BMILMS!$G$17,BMILMS!$D$18*AM603^3+BMILMS!$E$18*AM603^2+BMILMS!$F$18*AM603+BMILMS!$G$18)))</f>
        <v>8.8969350000000003E-2</v>
      </c>
      <c r="AM603" s="4">
        <f t="shared" si="209"/>
        <v>0</v>
      </c>
      <c r="AO603" s="56">
        <f>IF(D603="M",WeightSDS!P$5*$AM603^7+WeightSDS!Q$5*$AM603^6+WeightSDS!R$5*$AM603^5+WeightSDS!S$5*$AM603^4+WeightSDS!T$5*$AM603^3+WeightSDS!U$5*$AM603^2+WeightSDS!V$5*$AM603+WeightSDS!W$5,IF($AM603&lt;186,WeightSDS!P$8*$AM603^7+WeightSDS!Q$8*$AM603^6+WeightSDS!R$8*$AM603^5+WeightSDS!S$8*$AM603^4+WeightSDS!T$8*$AM603^3+WeightSDS!U$8*$AM603^2+WeightSDS!V$8*$AM603+WeightSDS!W$8,WeightSDS!$U$9+WeightSDS!$V$9*($AM603-WeightSDS!$W$9)))</f>
        <v>0.75407122999999998</v>
      </c>
      <c r="AP603" s="4">
        <f>IF(D603="M",IF($AM603&lt;45,WeightSDS!M$23*$AM603^10+WeightSDS!N$23*$AM603^9+WeightSDS!O$23*$AM603^8+WeightSDS!P$23*$AM603^7+WeightSDS!Q$23*$AM603^6+WeightSDS!R$23*$AM603^5+WeightSDS!S$23*$AM603^4+WeightSDS!T$23*$AM603^3+WeightSDS!U$23*$AM603^2+WeightSDS!V$23*$AM603+WeightSDS!W$23,IF($AM603&lt;153,WeightSDS!M$25*$AM603^10+WeightSDS!N$25*$AM603^9+WeightSDS!O$25*$AM603^8+WeightSDS!P$25*$AM603^7+WeightSDS!Q$25*$AM603^6+WeightSDS!R$25*$AM603^5+WeightSDS!S$25*$AM603^4+WeightSDS!T$25*$AM603^3+WeightSDS!U$25*$AM603^2+WeightSDS!V$25*$AM603+WeightSDS!W$25,WeightSDS!M$27+WeightSDS!N$27/(1+EXP(WeightSDS!O$27+WeightSDS!P$27*$AM603)))),IF($AM603&lt;43.8,WeightSDS!M$29*$AM603^10+WeightSDS!N$29*$AM603^9+WeightSDS!O$29*$AM603^8+WeightSDS!P$29*$AM603^7+WeightSDS!Q$29*$AM603^6+WeightSDS!R$29*$AM603^5+WeightSDS!S$29*$AM603^4+WeightSDS!T$29*$AM603^3+WeightSDS!U$29*$AM603^2+WeightSDS!V$29*$AM603+WeightSDS!W$29-0.010431*(1-$AM603/210),IF($AM603&lt;123,WeightSDS!M$30*$AM603^10+WeightSDS!N$30*$AM603^9+WeightSDS!O$30*$AM603^8+WeightSDS!P$30*$AM603^7+WeightSDS!Q$30*$AM603^6+WeightSDS!R$30*$AM603^5+WeightSDS!S$30*$AM603^4+WeightSDS!T$30*$AM603^3+WeightSDS!U$30*$AM603^2+WeightSDS!V$30*$AM603+WeightSDS!W$30-0.010431*(1-1/$AM603),WeightSDS!M$32+WeightSDS!N$32/(1+EXP(WeightSDS!O$32+WeightSDS!P$32*$AM603))-0.010431*(1-$AM603/210))))</f>
        <v>2.9500001032655536</v>
      </c>
      <c r="AQ603" s="4">
        <f>IF(D603="M",IF($AM603&lt;162,WeightSDS!P$12*$AM603^7+WeightSDS!Q$12*$AM603^6+WeightSDS!R$12*$AM603^5+WeightSDS!S$12*$AM603^4+WeightSDS!T$12*$AM603^3+WeightSDS!U$12*$AM603^2+WeightSDS!V$12*$AM603+WeightSDS!W$12,WeightSDS!P$14*$AM603^7+WeightSDS!Q$14*$AM603^6+WeightSDS!R$14*$AM603^5+WeightSDS!S$14*$AM603^4+WeightSDS!T$14*$AM603^3+WeightSDS!U$14*$AM603^2+WeightSDS!V$14*$AM603+WeightSDS!W$14),IF($AM603&lt;156,WeightSDS!O$17*$AM603^8+WeightSDS!P$17*$AM603^7+WeightSDS!Q$17*$AM603^6+WeightSDS!R$17*$AM603^5+WeightSDS!S$17*$AM603^4+WeightSDS!T$17*$AM603^3+WeightSDS!U$17*$AM603^2+WeightSDS!V$17*$AM603+WeightSDS!W$17,IF($AM603&lt;186,WeightSDS!$U$18+(WeightSDS!$V$18-WeightSDS!$U$18)/24*($AM603-186)+WeightSDS!$W$18*(-$AM603+186)^2-0.005,WeightSDS!$U$18+(WeightSDS!$V$18-WeightSDS!$U$18)/24*($AM603-186)-0.005)))</f>
        <v>0.14604529399999999</v>
      </c>
      <c r="AT603" s="4">
        <f t="shared" si="196"/>
        <v>0.56299999999999994</v>
      </c>
      <c r="AU603" s="4">
        <f t="shared" si="197"/>
        <v>69</v>
      </c>
      <c r="AV603" s="4">
        <f t="shared" si="198"/>
        <v>0.51</v>
      </c>
    </row>
    <row r="604" spans="1:48" x14ac:dyDescent="0.15">
      <c r="A604" s="4"/>
      <c r="B604" s="21"/>
      <c r="C604" s="21"/>
      <c r="D604" s="21"/>
      <c r="E604" s="22"/>
      <c r="F604" s="22"/>
      <c r="G604" s="23"/>
      <c r="H604" s="23"/>
      <c r="I604" s="181"/>
      <c r="J604" s="8" t="str">
        <f t="shared" si="190"/>
        <v/>
      </c>
      <c r="K604" s="2" t="str">
        <f t="shared" si="199"/>
        <v/>
      </c>
      <c r="L604" s="2" t="str">
        <f t="shared" si="191"/>
        <v/>
      </c>
      <c r="M604" s="2" t="str">
        <f t="shared" si="200"/>
        <v/>
      </c>
      <c r="N604" s="2" t="str">
        <f t="shared" si="208"/>
        <v/>
      </c>
      <c r="O604" s="2" t="str">
        <f t="shared" si="201"/>
        <v/>
      </c>
      <c r="P604" s="8" t="str">
        <f t="shared" si="202"/>
        <v/>
      </c>
      <c r="Q604" s="8" t="str">
        <f t="shared" si="203"/>
        <v/>
      </c>
      <c r="R604" s="111" t="str">
        <f t="shared" si="204"/>
        <v/>
      </c>
      <c r="S604" s="44" t="str">
        <f t="shared" si="205"/>
        <v/>
      </c>
      <c r="T604" s="37" t="str">
        <f t="shared" si="206"/>
        <v/>
      </c>
      <c r="U604" s="44" t="str">
        <f t="shared" si="207"/>
        <v/>
      </c>
      <c r="V604" s="26"/>
      <c r="W604" s="26"/>
      <c r="X604" s="26"/>
      <c r="Y604" s="26"/>
      <c r="Z604" s="24"/>
      <c r="AA604" s="169">
        <f t="shared" si="192"/>
        <v>0</v>
      </c>
      <c r="AB604" s="4">
        <f t="shared" si="193"/>
        <v>0</v>
      </c>
      <c r="AC604" s="170">
        <f t="shared" si="189"/>
        <v>0</v>
      </c>
      <c r="AD604" s="58"/>
      <c r="AE604" s="58"/>
      <c r="AF604" s="58"/>
      <c r="AG604" s="59">
        <f t="shared" si="194"/>
        <v>9.0359999999999996</v>
      </c>
      <c r="AH604" s="59">
        <f t="shared" si="195"/>
        <v>-184.49199999999999</v>
      </c>
      <c r="AJ604" s="4">
        <f>IF(D604="M",IF(AM604&lt;78,BMILMS!$D$5*AM604^3+BMILMS!$E$5*AM604^2+BMILMS!$F$5*AM604+BMILMS!$G$5,IF(AM604&lt;150,BMILMS!$D$6*AM604^3+BMILMS!$E$6*AM604^2+BMILMS!$F$6*AM604+BMILMS!$G$6,BMILMS!$D$7*AM604^3+BMILMS!$E$7*AM604^2+BMILMS!$F$7*AM604+BMILMS!$G$7)),IF(AM604&lt;69,BMILMS!$D$9*AM604^3+BMILMS!$E$9*AM604^2+BMILMS!$F$9*AM604+BMILMS!$G$9,IF(AM604&lt;150,BMILMS!$D$10*AM604^3+BMILMS!$E$10*AM604^2+BMILMS!$F$10*AM604+BMILMS!$G$10,BMILMS!$D$11*AM604^3+BMILMS!$E$11*AM604^2+BMILMS!$F$11*AM604+BMILMS!$G$11)))</f>
        <v>0.79584630099999998</v>
      </c>
      <c r="AK604" s="4">
        <f>IF(D604="M",(IF(AM604&lt;2.5,BMILMS!$D$21*AM604^3+BMILMS!$E$21*AM604^2+BMILMS!$F$21*AM604+BMILMS!$G$21,IF(AM604&lt;9.5,BMILMS!$D$22*AM604^3+BMILMS!$E$22*AM604^2+BMILMS!$F$22*AM604+BMILMS!$G$22,IF(AM604&lt;26.75,BMILMS!$D$23*AM604^3+BMILMS!$E$23*AM604^2+BMILMS!$F$23*AM604+BMILMS!$G$23,IF(AM604&lt;90,BMILMS!$D$24*AM604^3+BMILMS!$E$24*AM604^2+BMILMS!$F$24*AM604+BMILMS!$G$24,BMILMS!$D$25*AM604^3+BMILMS!$E$25*AM604^2+BMILMS!$F$25*AM604+BMILMS!$G$25))))),(IF(AM604&lt;2.5,BMILMS!$D$27*AM604^3+BMILMS!$E$27*AM604^2+BMILMS!$F$27*AM604+BMILMS!$G$27,IF(AM604&lt;9.5,BMILMS!$D$28*AM604^3+BMILMS!$E$28*AM604^2+BMILMS!$F$28*AM604+BMILMS!$G$28,IF(AM604&lt;26.75,BMILMS!$D$29*AM604^3+BMILMS!$E$29*AM604^2+BMILMS!$F$29*AM604+BMILMS!$G$29,IF(AM604&lt;90,BMILMS!$D$30*AM604^3+BMILMS!$E$30*AM604^2+BMILMS!$F$30*AM604+BMILMS!$G$30,IF(AM604&lt;150,BMILMS!$D$31*AM604^3+BMILMS!$E$31*AM604^2+BMILMS!$F$31*AM604+BMILMS!$G$31,BMILMS!$D$32*AM604^3+BMILMS!$E$32*AM604^2+BMILMS!$F$32*AM604+BMILMS!$G$32)))))))</f>
        <v>12.568967990000001</v>
      </c>
      <c r="AL604" s="4">
        <f>IF(D604="M",(IF(AM604&lt;90,BMILMS!$D$14*AM604^3+BMILMS!$E$14*AM604^2+BMILMS!$F$14*AM604+BMILMS!$G$14,BMILMS!$D$15*AM604^3+BMILMS!$E$15*AM604^2+BMILMS!$F$15*AM604+BMILMS!$G$15)),(IF(AM604&lt;90,BMILMS!$D$17*AM604^3+BMILMS!$E$17*AM604^2+BMILMS!$F$17*AM604+BMILMS!$G$17,BMILMS!$D$18*AM604^3+BMILMS!$E$18*AM604^2+BMILMS!$F$18*AM604+BMILMS!$G$18)))</f>
        <v>8.8969350000000003E-2</v>
      </c>
      <c r="AM604" s="4">
        <f t="shared" si="209"/>
        <v>0</v>
      </c>
      <c r="AO604" s="56">
        <f>IF(D604="M",WeightSDS!P$5*$AM604^7+WeightSDS!Q$5*$AM604^6+WeightSDS!R$5*$AM604^5+WeightSDS!S$5*$AM604^4+WeightSDS!T$5*$AM604^3+WeightSDS!U$5*$AM604^2+WeightSDS!V$5*$AM604+WeightSDS!W$5,IF($AM604&lt;186,WeightSDS!P$8*$AM604^7+WeightSDS!Q$8*$AM604^6+WeightSDS!R$8*$AM604^5+WeightSDS!S$8*$AM604^4+WeightSDS!T$8*$AM604^3+WeightSDS!U$8*$AM604^2+WeightSDS!V$8*$AM604+WeightSDS!W$8,WeightSDS!$U$9+WeightSDS!$V$9*($AM604-WeightSDS!$W$9)))</f>
        <v>0.75407122999999998</v>
      </c>
      <c r="AP604" s="4">
        <f>IF(D604="M",IF($AM604&lt;45,WeightSDS!M$23*$AM604^10+WeightSDS!N$23*$AM604^9+WeightSDS!O$23*$AM604^8+WeightSDS!P$23*$AM604^7+WeightSDS!Q$23*$AM604^6+WeightSDS!R$23*$AM604^5+WeightSDS!S$23*$AM604^4+WeightSDS!T$23*$AM604^3+WeightSDS!U$23*$AM604^2+WeightSDS!V$23*$AM604+WeightSDS!W$23,IF($AM604&lt;153,WeightSDS!M$25*$AM604^10+WeightSDS!N$25*$AM604^9+WeightSDS!O$25*$AM604^8+WeightSDS!P$25*$AM604^7+WeightSDS!Q$25*$AM604^6+WeightSDS!R$25*$AM604^5+WeightSDS!S$25*$AM604^4+WeightSDS!T$25*$AM604^3+WeightSDS!U$25*$AM604^2+WeightSDS!V$25*$AM604+WeightSDS!W$25,WeightSDS!M$27+WeightSDS!N$27/(1+EXP(WeightSDS!O$27+WeightSDS!P$27*$AM604)))),IF($AM604&lt;43.8,WeightSDS!M$29*$AM604^10+WeightSDS!N$29*$AM604^9+WeightSDS!O$29*$AM604^8+WeightSDS!P$29*$AM604^7+WeightSDS!Q$29*$AM604^6+WeightSDS!R$29*$AM604^5+WeightSDS!S$29*$AM604^4+WeightSDS!T$29*$AM604^3+WeightSDS!U$29*$AM604^2+WeightSDS!V$29*$AM604+WeightSDS!W$29-0.010431*(1-$AM604/210),IF($AM604&lt;123,WeightSDS!M$30*$AM604^10+WeightSDS!N$30*$AM604^9+WeightSDS!O$30*$AM604^8+WeightSDS!P$30*$AM604^7+WeightSDS!Q$30*$AM604^6+WeightSDS!R$30*$AM604^5+WeightSDS!S$30*$AM604^4+WeightSDS!T$30*$AM604^3+WeightSDS!U$30*$AM604^2+WeightSDS!V$30*$AM604+WeightSDS!W$30-0.010431*(1-1/$AM604),WeightSDS!M$32+WeightSDS!N$32/(1+EXP(WeightSDS!O$32+WeightSDS!P$32*$AM604))-0.010431*(1-$AM604/210))))</f>
        <v>2.9500001032655536</v>
      </c>
      <c r="AQ604" s="4">
        <f>IF(D604="M",IF($AM604&lt;162,WeightSDS!P$12*$AM604^7+WeightSDS!Q$12*$AM604^6+WeightSDS!R$12*$AM604^5+WeightSDS!S$12*$AM604^4+WeightSDS!T$12*$AM604^3+WeightSDS!U$12*$AM604^2+WeightSDS!V$12*$AM604+WeightSDS!W$12,WeightSDS!P$14*$AM604^7+WeightSDS!Q$14*$AM604^6+WeightSDS!R$14*$AM604^5+WeightSDS!S$14*$AM604^4+WeightSDS!T$14*$AM604^3+WeightSDS!U$14*$AM604^2+WeightSDS!V$14*$AM604+WeightSDS!W$14),IF($AM604&lt;156,WeightSDS!O$17*$AM604^8+WeightSDS!P$17*$AM604^7+WeightSDS!Q$17*$AM604^6+WeightSDS!R$17*$AM604^5+WeightSDS!S$17*$AM604^4+WeightSDS!T$17*$AM604^3+WeightSDS!U$17*$AM604^2+WeightSDS!V$17*$AM604+WeightSDS!W$17,IF($AM604&lt;186,WeightSDS!$U$18+(WeightSDS!$V$18-WeightSDS!$U$18)/24*($AM604-186)+WeightSDS!$W$18*(-$AM604+186)^2-0.005,WeightSDS!$U$18+(WeightSDS!$V$18-WeightSDS!$U$18)/24*($AM604-186)-0.005)))</f>
        <v>0.14604529399999999</v>
      </c>
      <c r="AT604" s="4">
        <f t="shared" si="196"/>
        <v>0.56299999999999994</v>
      </c>
      <c r="AU604" s="4">
        <f t="shared" si="197"/>
        <v>69</v>
      </c>
      <c r="AV604" s="4">
        <f t="shared" si="198"/>
        <v>0.51</v>
      </c>
    </row>
    <row r="605" spans="1:48" x14ac:dyDescent="0.15">
      <c r="A605" s="4"/>
      <c r="B605" s="21"/>
      <c r="C605" s="21"/>
      <c r="D605" s="21"/>
      <c r="E605" s="22"/>
      <c r="F605" s="22"/>
      <c r="G605" s="23"/>
      <c r="H605" s="23"/>
      <c r="I605" s="181"/>
      <c r="J605" s="8" t="str">
        <f t="shared" si="190"/>
        <v/>
      </c>
      <c r="K605" s="2" t="str">
        <f t="shared" si="199"/>
        <v/>
      </c>
      <c r="L605" s="2" t="str">
        <f t="shared" si="191"/>
        <v/>
      </c>
      <c r="M605" s="2" t="str">
        <f t="shared" si="200"/>
        <v/>
      </c>
      <c r="N605" s="2" t="str">
        <f t="shared" si="208"/>
        <v/>
      </c>
      <c r="O605" s="2" t="str">
        <f t="shared" si="201"/>
        <v/>
      </c>
      <c r="P605" s="8" t="str">
        <f t="shared" si="202"/>
        <v/>
      </c>
      <c r="Q605" s="8" t="str">
        <f t="shared" si="203"/>
        <v/>
      </c>
      <c r="R605" s="111" t="str">
        <f t="shared" si="204"/>
        <v/>
      </c>
      <c r="S605" s="44" t="str">
        <f t="shared" si="205"/>
        <v/>
      </c>
      <c r="T605" s="37" t="str">
        <f t="shared" si="206"/>
        <v/>
      </c>
      <c r="U605" s="44" t="str">
        <f t="shared" si="207"/>
        <v/>
      </c>
      <c r="V605" s="26"/>
      <c r="W605" s="26"/>
      <c r="X605" s="26"/>
      <c r="Y605" s="26"/>
      <c r="Z605" s="24"/>
      <c r="AA605" s="169">
        <f t="shared" si="192"/>
        <v>0</v>
      </c>
      <c r="AB605" s="4">
        <f t="shared" si="193"/>
        <v>0</v>
      </c>
      <c r="AC605" s="170">
        <f t="shared" si="189"/>
        <v>0</v>
      </c>
      <c r="AD605" s="58"/>
      <c r="AE605" s="58"/>
      <c r="AF605" s="58"/>
      <c r="AG605" s="59">
        <f t="shared" si="194"/>
        <v>9.0359999999999996</v>
      </c>
      <c r="AH605" s="59">
        <f t="shared" si="195"/>
        <v>-184.49199999999999</v>
      </c>
      <c r="AJ605" s="4">
        <f>IF(D605="M",IF(AM605&lt;78,BMILMS!$D$5*AM605^3+BMILMS!$E$5*AM605^2+BMILMS!$F$5*AM605+BMILMS!$G$5,IF(AM605&lt;150,BMILMS!$D$6*AM605^3+BMILMS!$E$6*AM605^2+BMILMS!$F$6*AM605+BMILMS!$G$6,BMILMS!$D$7*AM605^3+BMILMS!$E$7*AM605^2+BMILMS!$F$7*AM605+BMILMS!$G$7)),IF(AM605&lt;69,BMILMS!$D$9*AM605^3+BMILMS!$E$9*AM605^2+BMILMS!$F$9*AM605+BMILMS!$G$9,IF(AM605&lt;150,BMILMS!$D$10*AM605^3+BMILMS!$E$10*AM605^2+BMILMS!$F$10*AM605+BMILMS!$G$10,BMILMS!$D$11*AM605^3+BMILMS!$E$11*AM605^2+BMILMS!$F$11*AM605+BMILMS!$G$11)))</f>
        <v>0.79584630099999998</v>
      </c>
      <c r="AK605" s="4">
        <f>IF(D605="M",(IF(AM605&lt;2.5,BMILMS!$D$21*AM605^3+BMILMS!$E$21*AM605^2+BMILMS!$F$21*AM605+BMILMS!$G$21,IF(AM605&lt;9.5,BMILMS!$D$22*AM605^3+BMILMS!$E$22*AM605^2+BMILMS!$F$22*AM605+BMILMS!$G$22,IF(AM605&lt;26.75,BMILMS!$D$23*AM605^3+BMILMS!$E$23*AM605^2+BMILMS!$F$23*AM605+BMILMS!$G$23,IF(AM605&lt;90,BMILMS!$D$24*AM605^3+BMILMS!$E$24*AM605^2+BMILMS!$F$24*AM605+BMILMS!$G$24,BMILMS!$D$25*AM605^3+BMILMS!$E$25*AM605^2+BMILMS!$F$25*AM605+BMILMS!$G$25))))),(IF(AM605&lt;2.5,BMILMS!$D$27*AM605^3+BMILMS!$E$27*AM605^2+BMILMS!$F$27*AM605+BMILMS!$G$27,IF(AM605&lt;9.5,BMILMS!$D$28*AM605^3+BMILMS!$E$28*AM605^2+BMILMS!$F$28*AM605+BMILMS!$G$28,IF(AM605&lt;26.75,BMILMS!$D$29*AM605^3+BMILMS!$E$29*AM605^2+BMILMS!$F$29*AM605+BMILMS!$G$29,IF(AM605&lt;90,BMILMS!$D$30*AM605^3+BMILMS!$E$30*AM605^2+BMILMS!$F$30*AM605+BMILMS!$G$30,IF(AM605&lt;150,BMILMS!$D$31*AM605^3+BMILMS!$E$31*AM605^2+BMILMS!$F$31*AM605+BMILMS!$G$31,BMILMS!$D$32*AM605^3+BMILMS!$E$32*AM605^2+BMILMS!$F$32*AM605+BMILMS!$G$32)))))))</f>
        <v>12.568967990000001</v>
      </c>
      <c r="AL605" s="4">
        <f>IF(D605="M",(IF(AM605&lt;90,BMILMS!$D$14*AM605^3+BMILMS!$E$14*AM605^2+BMILMS!$F$14*AM605+BMILMS!$G$14,BMILMS!$D$15*AM605^3+BMILMS!$E$15*AM605^2+BMILMS!$F$15*AM605+BMILMS!$G$15)),(IF(AM605&lt;90,BMILMS!$D$17*AM605^3+BMILMS!$E$17*AM605^2+BMILMS!$F$17*AM605+BMILMS!$G$17,BMILMS!$D$18*AM605^3+BMILMS!$E$18*AM605^2+BMILMS!$F$18*AM605+BMILMS!$G$18)))</f>
        <v>8.8969350000000003E-2</v>
      </c>
      <c r="AM605" s="4">
        <f t="shared" si="209"/>
        <v>0</v>
      </c>
      <c r="AO605" s="56">
        <f>IF(D605="M",WeightSDS!P$5*$AM605^7+WeightSDS!Q$5*$AM605^6+WeightSDS!R$5*$AM605^5+WeightSDS!S$5*$AM605^4+WeightSDS!T$5*$AM605^3+WeightSDS!U$5*$AM605^2+WeightSDS!V$5*$AM605+WeightSDS!W$5,IF($AM605&lt;186,WeightSDS!P$8*$AM605^7+WeightSDS!Q$8*$AM605^6+WeightSDS!R$8*$AM605^5+WeightSDS!S$8*$AM605^4+WeightSDS!T$8*$AM605^3+WeightSDS!U$8*$AM605^2+WeightSDS!V$8*$AM605+WeightSDS!W$8,WeightSDS!$U$9+WeightSDS!$V$9*($AM605-WeightSDS!$W$9)))</f>
        <v>0.75407122999999998</v>
      </c>
      <c r="AP605" s="4">
        <f>IF(D605="M",IF($AM605&lt;45,WeightSDS!M$23*$AM605^10+WeightSDS!N$23*$AM605^9+WeightSDS!O$23*$AM605^8+WeightSDS!P$23*$AM605^7+WeightSDS!Q$23*$AM605^6+WeightSDS!R$23*$AM605^5+WeightSDS!S$23*$AM605^4+WeightSDS!T$23*$AM605^3+WeightSDS!U$23*$AM605^2+WeightSDS!V$23*$AM605+WeightSDS!W$23,IF($AM605&lt;153,WeightSDS!M$25*$AM605^10+WeightSDS!N$25*$AM605^9+WeightSDS!O$25*$AM605^8+WeightSDS!P$25*$AM605^7+WeightSDS!Q$25*$AM605^6+WeightSDS!R$25*$AM605^5+WeightSDS!S$25*$AM605^4+WeightSDS!T$25*$AM605^3+WeightSDS!U$25*$AM605^2+WeightSDS!V$25*$AM605+WeightSDS!W$25,WeightSDS!M$27+WeightSDS!N$27/(1+EXP(WeightSDS!O$27+WeightSDS!P$27*$AM605)))),IF($AM605&lt;43.8,WeightSDS!M$29*$AM605^10+WeightSDS!N$29*$AM605^9+WeightSDS!O$29*$AM605^8+WeightSDS!P$29*$AM605^7+WeightSDS!Q$29*$AM605^6+WeightSDS!R$29*$AM605^5+WeightSDS!S$29*$AM605^4+WeightSDS!T$29*$AM605^3+WeightSDS!U$29*$AM605^2+WeightSDS!V$29*$AM605+WeightSDS!W$29-0.010431*(1-$AM605/210),IF($AM605&lt;123,WeightSDS!M$30*$AM605^10+WeightSDS!N$30*$AM605^9+WeightSDS!O$30*$AM605^8+WeightSDS!P$30*$AM605^7+WeightSDS!Q$30*$AM605^6+WeightSDS!R$30*$AM605^5+WeightSDS!S$30*$AM605^4+WeightSDS!T$30*$AM605^3+WeightSDS!U$30*$AM605^2+WeightSDS!V$30*$AM605+WeightSDS!W$30-0.010431*(1-1/$AM605),WeightSDS!M$32+WeightSDS!N$32/(1+EXP(WeightSDS!O$32+WeightSDS!P$32*$AM605))-0.010431*(1-$AM605/210))))</f>
        <v>2.9500001032655536</v>
      </c>
      <c r="AQ605" s="4">
        <f>IF(D605="M",IF($AM605&lt;162,WeightSDS!P$12*$AM605^7+WeightSDS!Q$12*$AM605^6+WeightSDS!R$12*$AM605^5+WeightSDS!S$12*$AM605^4+WeightSDS!T$12*$AM605^3+WeightSDS!U$12*$AM605^2+WeightSDS!V$12*$AM605+WeightSDS!W$12,WeightSDS!P$14*$AM605^7+WeightSDS!Q$14*$AM605^6+WeightSDS!R$14*$AM605^5+WeightSDS!S$14*$AM605^4+WeightSDS!T$14*$AM605^3+WeightSDS!U$14*$AM605^2+WeightSDS!V$14*$AM605+WeightSDS!W$14),IF($AM605&lt;156,WeightSDS!O$17*$AM605^8+WeightSDS!P$17*$AM605^7+WeightSDS!Q$17*$AM605^6+WeightSDS!R$17*$AM605^5+WeightSDS!S$17*$AM605^4+WeightSDS!T$17*$AM605^3+WeightSDS!U$17*$AM605^2+WeightSDS!V$17*$AM605+WeightSDS!W$17,IF($AM605&lt;186,WeightSDS!$U$18+(WeightSDS!$V$18-WeightSDS!$U$18)/24*($AM605-186)+WeightSDS!$W$18*(-$AM605+186)^2-0.005,WeightSDS!$U$18+(WeightSDS!$V$18-WeightSDS!$U$18)/24*($AM605-186)-0.005)))</f>
        <v>0.14604529399999999</v>
      </c>
      <c r="AT605" s="4">
        <f t="shared" si="196"/>
        <v>0.56299999999999994</v>
      </c>
      <c r="AU605" s="4">
        <f t="shared" si="197"/>
        <v>69</v>
      </c>
      <c r="AV605" s="4">
        <f t="shared" si="198"/>
        <v>0.51</v>
      </c>
    </row>
    <row r="606" spans="1:48" x14ac:dyDescent="0.15">
      <c r="A606" s="4"/>
      <c r="B606" s="21"/>
      <c r="C606" s="21"/>
      <c r="D606" s="21"/>
      <c r="E606" s="22"/>
      <c r="F606" s="22"/>
      <c r="G606" s="23"/>
      <c r="H606" s="23"/>
      <c r="I606" s="181"/>
      <c r="J606" s="8" t="str">
        <f t="shared" si="190"/>
        <v/>
      </c>
      <c r="K606" s="2" t="str">
        <f t="shared" si="199"/>
        <v/>
      </c>
      <c r="L606" s="2" t="str">
        <f t="shared" si="191"/>
        <v/>
      </c>
      <c r="M606" s="2" t="str">
        <f t="shared" si="200"/>
        <v/>
      </c>
      <c r="N606" s="2" t="str">
        <f t="shared" si="208"/>
        <v/>
      </c>
      <c r="O606" s="2" t="str">
        <f t="shared" si="201"/>
        <v/>
      </c>
      <c r="P606" s="8" t="str">
        <f t="shared" si="202"/>
        <v/>
      </c>
      <c r="Q606" s="8" t="str">
        <f t="shared" si="203"/>
        <v/>
      </c>
      <c r="R606" s="111" t="str">
        <f t="shared" si="204"/>
        <v/>
      </c>
      <c r="S606" s="44" t="str">
        <f t="shared" si="205"/>
        <v/>
      </c>
      <c r="T606" s="37" t="str">
        <f t="shared" si="206"/>
        <v/>
      </c>
      <c r="U606" s="44" t="str">
        <f t="shared" si="207"/>
        <v/>
      </c>
      <c r="V606" s="26"/>
      <c r="W606" s="26"/>
      <c r="X606" s="26"/>
      <c r="Y606" s="26"/>
      <c r="Z606" s="24"/>
      <c r="AA606" s="169">
        <f t="shared" si="192"/>
        <v>0</v>
      </c>
      <c r="AB606" s="4">
        <f t="shared" si="193"/>
        <v>0</v>
      </c>
      <c r="AC606" s="170">
        <f t="shared" ref="AC606:AC669" si="210">DATEDIF(E606,F606,"Y")+(F606-(DATE(YEAR(E606)+DATEDIF(E606,F606,"Y"),MONTH(E606),DAY(E606))))/(365+IF(MOD(YEAR((DATE(YEAR(F606)-1,MONTH(E606),DAY(E606)))),4)=0,IF((DATE(YEAR(F606)-1,MONTH(E606),DAY(E606)))&gt;DATE(YEAR((DATE(YEAR(F606)-1,MONTH(E606),DAY(E606)))),2,29),0,1),0)+IF(MOD(YEAR(F606),4)=0,IF(F606&gt;DATE(YEAR(F606),2,29),1,0),0))</f>
        <v>0</v>
      </c>
      <c r="AD606" s="58"/>
      <c r="AE606" s="58"/>
      <c r="AF606" s="58"/>
      <c r="AG606" s="59">
        <f t="shared" si="194"/>
        <v>9.0359999999999996</v>
      </c>
      <c r="AH606" s="59">
        <f t="shared" si="195"/>
        <v>-184.49199999999999</v>
      </c>
      <c r="AJ606" s="4">
        <f>IF(D606="M",IF(AM606&lt;78,BMILMS!$D$5*AM606^3+BMILMS!$E$5*AM606^2+BMILMS!$F$5*AM606+BMILMS!$G$5,IF(AM606&lt;150,BMILMS!$D$6*AM606^3+BMILMS!$E$6*AM606^2+BMILMS!$F$6*AM606+BMILMS!$G$6,BMILMS!$D$7*AM606^3+BMILMS!$E$7*AM606^2+BMILMS!$F$7*AM606+BMILMS!$G$7)),IF(AM606&lt;69,BMILMS!$D$9*AM606^3+BMILMS!$E$9*AM606^2+BMILMS!$F$9*AM606+BMILMS!$G$9,IF(AM606&lt;150,BMILMS!$D$10*AM606^3+BMILMS!$E$10*AM606^2+BMILMS!$F$10*AM606+BMILMS!$G$10,BMILMS!$D$11*AM606^3+BMILMS!$E$11*AM606^2+BMILMS!$F$11*AM606+BMILMS!$G$11)))</f>
        <v>0.79584630099999998</v>
      </c>
      <c r="AK606" s="4">
        <f>IF(D606="M",(IF(AM606&lt;2.5,BMILMS!$D$21*AM606^3+BMILMS!$E$21*AM606^2+BMILMS!$F$21*AM606+BMILMS!$G$21,IF(AM606&lt;9.5,BMILMS!$D$22*AM606^3+BMILMS!$E$22*AM606^2+BMILMS!$F$22*AM606+BMILMS!$G$22,IF(AM606&lt;26.75,BMILMS!$D$23*AM606^3+BMILMS!$E$23*AM606^2+BMILMS!$F$23*AM606+BMILMS!$G$23,IF(AM606&lt;90,BMILMS!$D$24*AM606^3+BMILMS!$E$24*AM606^2+BMILMS!$F$24*AM606+BMILMS!$G$24,BMILMS!$D$25*AM606^3+BMILMS!$E$25*AM606^2+BMILMS!$F$25*AM606+BMILMS!$G$25))))),(IF(AM606&lt;2.5,BMILMS!$D$27*AM606^3+BMILMS!$E$27*AM606^2+BMILMS!$F$27*AM606+BMILMS!$G$27,IF(AM606&lt;9.5,BMILMS!$D$28*AM606^3+BMILMS!$E$28*AM606^2+BMILMS!$F$28*AM606+BMILMS!$G$28,IF(AM606&lt;26.75,BMILMS!$D$29*AM606^3+BMILMS!$E$29*AM606^2+BMILMS!$F$29*AM606+BMILMS!$G$29,IF(AM606&lt;90,BMILMS!$D$30*AM606^3+BMILMS!$E$30*AM606^2+BMILMS!$F$30*AM606+BMILMS!$G$30,IF(AM606&lt;150,BMILMS!$D$31*AM606^3+BMILMS!$E$31*AM606^2+BMILMS!$F$31*AM606+BMILMS!$G$31,BMILMS!$D$32*AM606^3+BMILMS!$E$32*AM606^2+BMILMS!$F$32*AM606+BMILMS!$G$32)))))))</f>
        <v>12.568967990000001</v>
      </c>
      <c r="AL606" s="4">
        <f>IF(D606="M",(IF(AM606&lt;90,BMILMS!$D$14*AM606^3+BMILMS!$E$14*AM606^2+BMILMS!$F$14*AM606+BMILMS!$G$14,BMILMS!$D$15*AM606^3+BMILMS!$E$15*AM606^2+BMILMS!$F$15*AM606+BMILMS!$G$15)),(IF(AM606&lt;90,BMILMS!$D$17*AM606^3+BMILMS!$E$17*AM606^2+BMILMS!$F$17*AM606+BMILMS!$G$17,BMILMS!$D$18*AM606^3+BMILMS!$E$18*AM606^2+BMILMS!$F$18*AM606+BMILMS!$G$18)))</f>
        <v>8.8969350000000003E-2</v>
      </c>
      <c r="AM606" s="4">
        <f t="shared" si="209"/>
        <v>0</v>
      </c>
      <c r="AO606" s="56">
        <f>IF(D606="M",WeightSDS!P$5*$AM606^7+WeightSDS!Q$5*$AM606^6+WeightSDS!R$5*$AM606^5+WeightSDS!S$5*$AM606^4+WeightSDS!T$5*$AM606^3+WeightSDS!U$5*$AM606^2+WeightSDS!V$5*$AM606+WeightSDS!W$5,IF($AM606&lt;186,WeightSDS!P$8*$AM606^7+WeightSDS!Q$8*$AM606^6+WeightSDS!R$8*$AM606^5+WeightSDS!S$8*$AM606^4+WeightSDS!T$8*$AM606^3+WeightSDS!U$8*$AM606^2+WeightSDS!V$8*$AM606+WeightSDS!W$8,WeightSDS!$U$9+WeightSDS!$V$9*($AM606-WeightSDS!$W$9)))</f>
        <v>0.75407122999999998</v>
      </c>
      <c r="AP606" s="4">
        <f>IF(D606="M",IF($AM606&lt;45,WeightSDS!M$23*$AM606^10+WeightSDS!N$23*$AM606^9+WeightSDS!O$23*$AM606^8+WeightSDS!P$23*$AM606^7+WeightSDS!Q$23*$AM606^6+WeightSDS!R$23*$AM606^5+WeightSDS!S$23*$AM606^4+WeightSDS!T$23*$AM606^3+WeightSDS!U$23*$AM606^2+WeightSDS!V$23*$AM606+WeightSDS!W$23,IF($AM606&lt;153,WeightSDS!M$25*$AM606^10+WeightSDS!N$25*$AM606^9+WeightSDS!O$25*$AM606^8+WeightSDS!P$25*$AM606^7+WeightSDS!Q$25*$AM606^6+WeightSDS!R$25*$AM606^5+WeightSDS!S$25*$AM606^4+WeightSDS!T$25*$AM606^3+WeightSDS!U$25*$AM606^2+WeightSDS!V$25*$AM606+WeightSDS!W$25,WeightSDS!M$27+WeightSDS!N$27/(1+EXP(WeightSDS!O$27+WeightSDS!P$27*$AM606)))),IF($AM606&lt;43.8,WeightSDS!M$29*$AM606^10+WeightSDS!N$29*$AM606^9+WeightSDS!O$29*$AM606^8+WeightSDS!P$29*$AM606^7+WeightSDS!Q$29*$AM606^6+WeightSDS!R$29*$AM606^5+WeightSDS!S$29*$AM606^4+WeightSDS!T$29*$AM606^3+WeightSDS!U$29*$AM606^2+WeightSDS!V$29*$AM606+WeightSDS!W$29-0.010431*(1-$AM606/210),IF($AM606&lt;123,WeightSDS!M$30*$AM606^10+WeightSDS!N$30*$AM606^9+WeightSDS!O$30*$AM606^8+WeightSDS!P$30*$AM606^7+WeightSDS!Q$30*$AM606^6+WeightSDS!R$30*$AM606^5+WeightSDS!S$30*$AM606^4+WeightSDS!T$30*$AM606^3+WeightSDS!U$30*$AM606^2+WeightSDS!V$30*$AM606+WeightSDS!W$30-0.010431*(1-1/$AM606),WeightSDS!M$32+WeightSDS!N$32/(1+EXP(WeightSDS!O$32+WeightSDS!P$32*$AM606))-0.010431*(1-$AM606/210))))</f>
        <v>2.9500001032655536</v>
      </c>
      <c r="AQ606" s="4">
        <f>IF(D606="M",IF($AM606&lt;162,WeightSDS!P$12*$AM606^7+WeightSDS!Q$12*$AM606^6+WeightSDS!R$12*$AM606^5+WeightSDS!S$12*$AM606^4+WeightSDS!T$12*$AM606^3+WeightSDS!U$12*$AM606^2+WeightSDS!V$12*$AM606+WeightSDS!W$12,WeightSDS!P$14*$AM606^7+WeightSDS!Q$14*$AM606^6+WeightSDS!R$14*$AM606^5+WeightSDS!S$14*$AM606^4+WeightSDS!T$14*$AM606^3+WeightSDS!U$14*$AM606^2+WeightSDS!V$14*$AM606+WeightSDS!W$14),IF($AM606&lt;156,WeightSDS!O$17*$AM606^8+WeightSDS!P$17*$AM606^7+WeightSDS!Q$17*$AM606^6+WeightSDS!R$17*$AM606^5+WeightSDS!S$17*$AM606^4+WeightSDS!T$17*$AM606^3+WeightSDS!U$17*$AM606^2+WeightSDS!V$17*$AM606+WeightSDS!W$17,IF($AM606&lt;186,WeightSDS!$U$18+(WeightSDS!$V$18-WeightSDS!$U$18)/24*($AM606-186)+WeightSDS!$W$18*(-$AM606+186)^2-0.005,WeightSDS!$U$18+(WeightSDS!$V$18-WeightSDS!$U$18)/24*($AM606-186)-0.005)))</f>
        <v>0.14604529399999999</v>
      </c>
      <c r="AT606" s="4">
        <f t="shared" si="196"/>
        <v>0.56299999999999994</v>
      </c>
      <c r="AU606" s="4">
        <f t="shared" si="197"/>
        <v>69</v>
      </c>
      <c r="AV606" s="4">
        <f t="shared" si="198"/>
        <v>0.51</v>
      </c>
    </row>
    <row r="607" spans="1:48" x14ac:dyDescent="0.15">
      <c r="A607" s="4"/>
      <c r="B607" s="21"/>
      <c r="C607" s="21"/>
      <c r="D607" s="21"/>
      <c r="E607" s="22"/>
      <c r="F607" s="22"/>
      <c r="G607" s="23"/>
      <c r="H607" s="23"/>
      <c r="I607" s="181"/>
      <c r="J607" s="8" t="str">
        <f t="shared" si="190"/>
        <v/>
      </c>
      <c r="K607" s="2" t="str">
        <f t="shared" si="199"/>
        <v/>
      </c>
      <c r="L607" s="2" t="str">
        <f t="shared" si="191"/>
        <v/>
      </c>
      <c r="M607" s="2" t="str">
        <f t="shared" si="200"/>
        <v/>
      </c>
      <c r="N607" s="2" t="str">
        <f t="shared" si="208"/>
        <v/>
      </c>
      <c r="O607" s="2" t="str">
        <f t="shared" si="201"/>
        <v/>
      </c>
      <c r="P607" s="8" t="str">
        <f t="shared" si="202"/>
        <v/>
      </c>
      <c r="Q607" s="8" t="str">
        <f t="shared" si="203"/>
        <v/>
      </c>
      <c r="R607" s="111" t="str">
        <f t="shared" si="204"/>
        <v/>
      </c>
      <c r="S607" s="44" t="str">
        <f t="shared" si="205"/>
        <v/>
      </c>
      <c r="T607" s="37" t="str">
        <f t="shared" si="206"/>
        <v/>
      </c>
      <c r="U607" s="44" t="str">
        <f t="shared" si="207"/>
        <v/>
      </c>
      <c r="V607" s="26"/>
      <c r="W607" s="26"/>
      <c r="X607" s="26"/>
      <c r="Y607" s="26"/>
      <c r="Z607" s="24"/>
      <c r="AA607" s="169">
        <f t="shared" si="192"/>
        <v>0</v>
      </c>
      <c r="AB607" s="4">
        <f t="shared" si="193"/>
        <v>0</v>
      </c>
      <c r="AC607" s="170">
        <f t="shared" si="210"/>
        <v>0</v>
      </c>
      <c r="AD607" s="58"/>
      <c r="AE607" s="58"/>
      <c r="AF607" s="58"/>
      <c r="AG607" s="59">
        <f t="shared" si="194"/>
        <v>9.0359999999999996</v>
      </c>
      <c r="AH607" s="59">
        <f t="shared" si="195"/>
        <v>-184.49199999999999</v>
      </c>
      <c r="AJ607" s="4">
        <f>IF(D607="M",IF(AM607&lt;78,BMILMS!$D$5*AM607^3+BMILMS!$E$5*AM607^2+BMILMS!$F$5*AM607+BMILMS!$G$5,IF(AM607&lt;150,BMILMS!$D$6*AM607^3+BMILMS!$E$6*AM607^2+BMILMS!$F$6*AM607+BMILMS!$G$6,BMILMS!$D$7*AM607^3+BMILMS!$E$7*AM607^2+BMILMS!$F$7*AM607+BMILMS!$G$7)),IF(AM607&lt;69,BMILMS!$D$9*AM607^3+BMILMS!$E$9*AM607^2+BMILMS!$F$9*AM607+BMILMS!$G$9,IF(AM607&lt;150,BMILMS!$D$10*AM607^3+BMILMS!$E$10*AM607^2+BMILMS!$F$10*AM607+BMILMS!$G$10,BMILMS!$D$11*AM607^3+BMILMS!$E$11*AM607^2+BMILMS!$F$11*AM607+BMILMS!$G$11)))</f>
        <v>0.79584630099999998</v>
      </c>
      <c r="AK607" s="4">
        <f>IF(D607="M",(IF(AM607&lt;2.5,BMILMS!$D$21*AM607^3+BMILMS!$E$21*AM607^2+BMILMS!$F$21*AM607+BMILMS!$G$21,IF(AM607&lt;9.5,BMILMS!$D$22*AM607^3+BMILMS!$E$22*AM607^2+BMILMS!$F$22*AM607+BMILMS!$G$22,IF(AM607&lt;26.75,BMILMS!$D$23*AM607^3+BMILMS!$E$23*AM607^2+BMILMS!$F$23*AM607+BMILMS!$G$23,IF(AM607&lt;90,BMILMS!$D$24*AM607^3+BMILMS!$E$24*AM607^2+BMILMS!$F$24*AM607+BMILMS!$G$24,BMILMS!$D$25*AM607^3+BMILMS!$E$25*AM607^2+BMILMS!$F$25*AM607+BMILMS!$G$25))))),(IF(AM607&lt;2.5,BMILMS!$D$27*AM607^3+BMILMS!$E$27*AM607^2+BMILMS!$F$27*AM607+BMILMS!$G$27,IF(AM607&lt;9.5,BMILMS!$D$28*AM607^3+BMILMS!$E$28*AM607^2+BMILMS!$F$28*AM607+BMILMS!$G$28,IF(AM607&lt;26.75,BMILMS!$D$29*AM607^3+BMILMS!$E$29*AM607^2+BMILMS!$F$29*AM607+BMILMS!$G$29,IF(AM607&lt;90,BMILMS!$D$30*AM607^3+BMILMS!$E$30*AM607^2+BMILMS!$F$30*AM607+BMILMS!$G$30,IF(AM607&lt;150,BMILMS!$D$31*AM607^3+BMILMS!$E$31*AM607^2+BMILMS!$F$31*AM607+BMILMS!$G$31,BMILMS!$D$32*AM607^3+BMILMS!$E$32*AM607^2+BMILMS!$F$32*AM607+BMILMS!$G$32)))))))</f>
        <v>12.568967990000001</v>
      </c>
      <c r="AL607" s="4">
        <f>IF(D607="M",(IF(AM607&lt;90,BMILMS!$D$14*AM607^3+BMILMS!$E$14*AM607^2+BMILMS!$F$14*AM607+BMILMS!$G$14,BMILMS!$D$15*AM607^3+BMILMS!$E$15*AM607^2+BMILMS!$F$15*AM607+BMILMS!$G$15)),(IF(AM607&lt;90,BMILMS!$D$17*AM607^3+BMILMS!$E$17*AM607^2+BMILMS!$F$17*AM607+BMILMS!$G$17,BMILMS!$D$18*AM607^3+BMILMS!$E$18*AM607^2+BMILMS!$F$18*AM607+BMILMS!$G$18)))</f>
        <v>8.8969350000000003E-2</v>
      </c>
      <c r="AM607" s="4">
        <f t="shared" si="209"/>
        <v>0</v>
      </c>
      <c r="AO607" s="56">
        <f>IF(D607="M",WeightSDS!P$5*$AM607^7+WeightSDS!Q$5*$AM607^6+WeightSDS!R$5*$AM607^5+WeightSDS!S$5*$AM607^4+WeightSDS!T$5*$AM607^3+WeightSDS!U$5*$AM607^2+WeightSDS!V$5*$AM607+WeightSDS!W$5,IF($AM607&lt;186,WeightSDS!P$8*$AM607^7+WeightSDS!Q$8*$AM607^6+WeightSDS!R$8*$AM607^5+WeightSDS!S$8*$AM607^4+WeightSDS!T$8*$AM607^3+WeightSDS!U$8*$AM607^2+WeightSDS!V$8*$AM607+WeightSDS!W$8,WeightSDS!$U$9+WeightSDS!$V$9*($AM607-WeightSDS!$W$9)))</f>
        <v>0.75407122999999998</v>
      </c>
      <c r="AP607" s="4">
        <f>IF(D607="M",IF($AM607&lt;45,WeightSDS!M$23*$AM607^10+WeightSDS!N$23*$AM607^9+WeightSDS!O$23*$AM607^8+WeightSDS!P$23*$AM607^7+WeightSDS!Q$23*$AM607^6+WeightSDS!R$23*$AM607^5+WeightSDS!S$23*$AM607^4+WeightSDS!T$23*$AM607^3+WeightSDS!U$23*$AM607^2+WeightSDS!V$23*$AM607+WeightSDS!W$23,IF($AM607&lt;153,WeightSDS!M$25*$AM607^10+WeightSDS!N$25*$AM607^9+WeightSDS!O$25*$AM607^8+WeightSDS!P$25*$AM607^7+WeightSDS!Q$25*$AM607^6+WeightSDS!R$25*$AM607^5+WeightSDS!S$25*$AM607^4+WeightSDS!T$25*$AM607^3+WeightSDS!U$25*$AM607^2+WeightSDS!V$25*$AM607+WeightSDS!W$25,WeightSDS!M$27+WeightSDS!N$27/(1+EXP(WeightSDS!O$27+WeightSDS!P$27*$AM607)))),IF($AM607&lt;43.8,WeightSDS!M$29*$AM607^10+WeightSDS!N$29*$AM607^9+WeightSDS!O$29*$AM607^8+WeightSDS!P$29*$AM607^7+WeightSDS!Q$29*$AM607^6+WeightSDS!R$29*$AM607^5+WeightSDS!S$29*$AM607^4+WeightSDS!T$29*$AM607^3+WeightSDS!U$29*$AM607^2+WeightSDS!V$29*$AM607+WeightSDS!W$29-0.010431*(1-$AM607/210),IF($AM607&lt;123,WeightSDS!M$30*$AM607^10+WeightSDS!N$30*$AM607^9+WeightSDS!O$30*$AM607^8+WeightSDS!P$30*$AM607^7+WeightSDS!Q$30*$AM607^6+WeightSDS!R$30*$AM607^5+WeightSDS!S$30*$AM607^4+WeightSDS!T$30*$AM607^3+WeightSDS!U$30*$AM607^2+WeightSDS!V$30*$AM607+WeightSDS!W$30-0.010431*(1-1/$AM607),WeightSDS!M$32+WeightSDS!N$32/(1+EXP(WeightSDS!O$32+WeightSDS!P$32*$AM607))-0.010431*(1-$AM607/210))))</f>
        <v>2.9500001032655536</v>
      </c>
      <c r="AQ607" s="4">
        <f>IF(D607="M",IF($AM607&lt;162,WeightSDS!P$12*$AM607^7+WeightSDS!Q$12*$AM607^6+WeightSDS!R$12*$AM607^5+WeightSDS!S$12*$AM607^4+WeightSDS!T$12*$AM607^3+WeightSDS!U$12*$AM607^2+WeightSDS!V$12*$AM607+WeightSDS!W$12,WeightSDS!P$14*$AM607^7+WeightSDS!Q$14*$AM607^6+WeightSDS!R$14*$AM607^5+WeightSDS!S$14*$AM607^4+WeightSDS!T$14*$AM607^3+WeightSDS!U$14*$AM607^2+WeightSDS!V$14*$AM607+WeightSDS!W$14),IF($AM607&lt;156,WeightSDS!O$17*$AM607^8+WeightSDS!P$17*$AM607^7+WeightSDS!Q$17*$AM607^6+WeightSDS!R$17*$AM607^5+WeightSDS!S$17*$AM607^4+WeightSDS!T$17*$AM607^3+WeightSDS!U$17*$AM607^2+WeightSDS!V$17*$AM607+WeightSDS!W$17,IF($AM607&lt;186,WeightSDS!$U$18+(WeightSDS!$V$18-WeightSDS!$U$18)/24*($AM607-186)+WeightSDS!$W$18*(-$AM607+186)^2-0.005,WeightSDS!$U$18+(WeightSDS!$V$18-WeightSDS!$U$18)/24*($AM607-186)-0.005)))</f>
        <v>0.14604529399999999</v>
      </c>
      <c r="AT607" s="4">
        <f t="shared" si="196"/>
        <v>0.56299999999999994</v>
      </c>
      <c r="AU607" s="4">
        <f t="shared" si="197"/>
        <v>69</v>
      </c>
      <c r="AV607" s="4">
        <f t="shared" si="198"/>
        <v>0.51</v>
      </c>
    </row>
    <row r="608" spans="1:48" x14ac:dyDescent="0.15">
      <c r="A608" s="4"/>
      <c r="B608" s="21"/>
      <c r="C608" s="21"/>
      <c r="D608" s="21"/>
      <c r="E608" s="22"/>
      <c r="F608" s="22"/>
      <c r="G608" s="23"/>
      <c r="H608" s="23"/>
      <c r="I608" s="181"/>
      <c r="J608" s="8" t="str">
        <f t="shared" si="190"/>
        <v/>
      </c>
      <c r="K608" s="2" t="str">
        <f t="shared" si="199"/>
        <v/>
      </c>
      <c r="L608" s="2" t="str">
        <f t="shared" si="191"/>
        <v/>
      </c>
      <c r="M608" s="2" t="str">
        <f t="shared" si="200"/>
        <v/>
      </c>
      <c r="N608" s="2" t="str">
        <f t="shared" si="208"/>
        <v/>
      </c>
      <c r="O608" s="2" t="str">
        <f t="shared" si="201"/>
        <v/>
      </c>
      <c r="P608" s="8" t="str">
        <f t="shared" si="202"/>
        <v/>
      </c>
      <c r="Q608" s="8" t="str">
        <f t="shared" si="203"/>
        <v/>
      </c>
      <c r="R608" s="111" t="str">
        <f t="shared" si="204"/>
        <v/>
      </c>
      <c r="S608" s="44" t="str">
        <f t="shared" si="205"/>
        <v/>
      </c>
      <c r="T608" s="37" t="str">
        <f t="shared" si="206"/>
        <v/>
      </c>
      <c r="U608" s="44" t="str">
        <f t="shared" si="207"/>
        <v/>
      </c>
      <c r="V608" s="26"/>
      <c r="W608" s="26"/>
      <c r="X608" s="26"/>
      <c r="Y608" s="26"/>
      <c r="Z608" s="24"/>
      <c r="AA608" s="169">
        <f t="shared" si="192"/>
        <v>0</v>
      </c>
      <c r="AB608" s="4">
        <f t="shared" si="193"/>
        <v>0</v>
      </c>
      <c r="AC608" s="170">
        <f t="shared" si="210"/>
        <v>0</v>
      </c>
      <c r="AD608" s="58"/>
      <c r="AE608" s="58"/>
      <c r="AF608" s="58"/>
      <c r="AG608" s="59">
        <f t="shared" si="194"/>
        <v>9.0359999999999996</v>
      </c>
      <c r="AH608" s="59">
        <f t="shared" si="195"/>
        <v>-184.49199999999999</v>
      </c>
      <c r="AJ608" s="4">
        <f>IF(D608="M",IF(AM608&lt;78,BMILMS!$D$5*AM608^3+BMILMS!$E$5*AM608^2+BMILMS!$F$5*AM608+BMILMS!$G$5,IF(AM608&lt;150,BMILMS!$D$6*AM608^3+BMILMS!$E$6*AM608^2+BMILMS!$F$6*AM608+BMILMS!$G$6,BMILMS!$D$7*AM608^3+BMILMS!$E$7*AM608^2+BMILMS!$F$7*AM608+BMILMS!$G$7)),IF(AM608&lt;69,BMILMS!$D$9*AM608^3+BMILMS!$E$9*AM608^2+BMILMS!$F$9*AM608+BMILMS!$G$9,IF(AM608&lt;150,BMILMS!$D$10*AM608^3+BMILMS!$E$10*AM608^2+BMILMS!$F$10*AM608+BMILMS!$G$10,BMILMS!$D$11*AM608^3+BMILMS!$E$11*AM608^2+BMILMS!$F$11*AM608+BMILMS!$G$11)))</f>
        <v>0.79584630099999998</v>
      </c>
      <c r="AK608" s="4">
        <f>IF(D608="M",(IF(AM608&lt;2.5,BMILMS!$D$21*AM608^3+BMILMS!$E$21*AM608^2+BMILMS!$F$21*AM608+BMILMS!$G$21,IF(AM608&lt;9.5,BMILMS!$D$22*AM608^3+BMILMS!$E$22*AM608^2+BMILMS!$F$22*AM608+BMILMS!$G$22,IF(AM608&lt;26.75,BMILMS!$D$23*AM608^3+BMILMS!$E$23*AM608^2+BMILMS!$F$23*AM608+BMILMS!$G$23,IF(AM608&lt;90,BMILMS!$D$24*AM608^3+BMILMS!$E$24*AM608^2+BMILMS!$F$24*AM608+BMILMS!$G$24,BMILMS!$D$25*AM608^3+BMILMS!$E$25*AM608^2+BMILMS!$F$25*AM608+BMILMS!$G$25))))),(IF(AM608&lt;2.5,BMILMS!$D$27*AM608^3+BMILMS!$E$27*AM608^2+BMILMS!$F$27*AM608+BMILMS!$G$27,IF(AM608&lt;9.5,BMILMS!$D$28*AM608^3+BMILMS!$E$28*AM608^2+BMILMS!$F$28*AM608+BMILMS!$G$28,IF(AM608&lt;26.75,BMILMS!$D$29*AM608^3+BMILMS!$E$29*AM608^2+BMILMS!$F$29*AM608+BMILMS!$G$29,IF(AM608&lt;90,BMILMS!$D$30*AM608^3+BMILMS!$E$30*AM608^2+BMILMS!$F$30*AM608+BMILMS!$G$30,IF(AM608&lt;150,BMILMS!$D$31*AM608^3+BMILMS!$E$31*AM608^2+BMILMS!$F$31*AM608+BMILMS!$G$31,BMILMS!$D$32*AM608^3+BMILMS!$E$32*AM608^2+BMILMS!$F$32*AM608+BMILMS!$G$32)))))))</f>
        <v>12.568967990000001</v>
      </c>
      <c r="AL608" s="4">
        <f>IF(D608="M",(IF(AM608&lt;90,BMILMS!$D$14*AM608^3+BMILMS!$E$14*AM608^2+BMILMS!$F$14*AM608+BMILMS!$G$14,BMILMS!$D$15*AM608^3+BMILMS!$E$15*AM608^2+BMILMS!$F$15*AM608+BMILMS!$G$15)),(IF(AM608&lt;90,BMILMS!$D$17*AM608^3+BMILMS!$E$17*AM608^2+BMILMS!$F$17*AM608+BMILMS!$G$17,BMILMS!$D$18*AM608^3+BMILMS!$E$18*AM608^2+BMILMS!$F$18*AM608+BMILMS!$G$18)))</f>
        <v>8.8969350000000003E-2</v>
      </c>
      <c r="AM608" s="4">
        <f t="shared" si="209"/>
        <v>0</v>
      </c>
      <c r="AO608" s="56">
        <f>IF(D608="M",WeightSDS!P$5*$AM608^7+WeightSDS!Q$5*$AM608^6+WeightSDS!R$5*$AM608^5+WeightSDS!S$5*$AM608^4+WeightSDS!T$5*$AM608^3+WeightSDS!U$5*$AM608^2+WeightSDS!V$5*$AM608+WeightSDS!W$5,IF($AM608&lt;186,WeightSDS!P$8*$AM608^7+WeightSDS!Q$8*$AM608^6+WeightSDS!R$8*$AM608^5+WeightSDS!S$8*$AM608^4+WeightSDS!T$8*$AM608^3+WeightSDS!U$8*$AM608^2+WeightSDS!V$8*$AM608+WeightSDS!W$8,WeightSDS!$U$9+WeightSDS!$V$9*($AM608-WeightSDS!$W$9)))</f>
        <v>0.75407122999999998</v>
      </c>
      <c r="AP608" s="4">
        <f>IF(D608="M",IF($AM608&lt;45,WeightSDS!M$23*$AM608^10+WeightSDS!N$23*$AM608^9+WeightSDS!O$23*$AM608^8+WeightSDS!P$23*$AM608^7+WeightSDS!Q$23*$AM608^6+WeightSDS!R$23*$AM608^5+WeightSDS!S$23*$AM608^4+WeightSDS!T$23*$AM608^3+WeightSDS!U$23*$AM608^2+WeightSDS!V$23*$AM608+WeightSDS!W$23,IF($AM608&lt;153,WeightSDS!M$25*$AM608^10+WeightSDS!N$25*$AM608^9+WeightSDS!O$25*$AM608^8+WeightSDS!P$25*$AM608^7+WeightSDS!Q$25*$AM608^6+WeightSDS!R$25*$AM608^5+WeightSDS!S$25*$AM608^4+WeightSDS!T$25*$AM608^3+WeightSDS!U$25*$AM608^2+WeightSDS!V$25*$AM608+WeightSDS!W$25,WeightSDS!M$27+WeightSDS!N$27/(1+EXP(WeightSDS!O$27+WeightSDS!P$27*$AM608)))),IF($AM608&lt;43.8,WeightSDS!M$29*$AM608^10+WeightSDS!N$29*$AM608^9+WeightSDS!O$29*$AM608^8+WeightSDS!P$29*$AM608^7+WeightSDS!Q$29*$AM608^6+WeightSDS!R$29*$AM608^5+WeightSDS!S$29*$AM608^4+WeightSDS!T$29*$AM608^3+WeightSDS!U$29*$AM608^2+WeightSDS!V$29*$AM608+WeightSDS!W$29-0.010431*(1-$AM608/210),IF($AM608&lt;123,WeightSDS!M$30*$AM608^10+WeightSDS!N$30*$AM608^9+WeightSDS!O$30*$AM608^8+WeightSDS!P$30*$AM608^7+WeightSDS!Q$30*$AM608^6+WeightSDS!R$30*$AM608^5+WeightSDS!S$30*$AM608^4+WeightSDS!T$30*$AM608^3+WeightSDS!U$30*$AM608^2+WeightSDS!V$30*$AM608+WeightSDS!W$30-0.010431*(1-1/$AM608),WeightSDS!M$32+WeightSDS!N$32/(1+EXP(WeightSDS!O$32+WeightSDS!P$32*$AM608))-0.010431*(1-$AM608/210))))</f>
        <v>2.9500001032655536</v>
      </c>
      <c r="AQ608" s="4">
        <f>IF(D608="M",IF($AM608&lt;162,WeightSDS!P$12*$AM608^7+WeightSDS!Q$12*$AM608^6+WeightSDS!R$12*$AM608^5+WeightSDS!S$12*$AM608^4+WeightSDS!T$12*$AM608^3+WeightSDS!U$12*$AM608^2+WeightSDS!V$12*$AM608+WeightSDS!W$12,WeightSDS!P$14*$AM608^7+WeightSDS!Q$14*$AM608^6+WeightSDS!R$14*$AM608^5+WeightSDS!S$14*$AM608^4+WeightSDS!T$14*$AM608^3+WeightSDS!U$14*$AM608^2+WeightSDS!V$14*$AM608+WeightSDS!W$14),IF($AM608&lt;156,WeightSDS!O$17*$AM608^8+WeightSDS!P$17*$AM608^7+WeightSDS!Q$17*$AM608^6+WeightSDS!R$17*$AM608^5+WeightSDS!S$17*$AM608^4+WeightSDS!T$17*$AM608^3+WeightSDS!U$17*$AM608^2+WeightSDS!V$17*$AM608+WeightSDS!W$17,IF($AM608&lt;186,WeightSDS!$U$18+(WeightSDS!$V$18-WeightSDS!$U$18)/24*($AM608-186)+WeightSDS!$W$18*(-$AM608+186)^2-0.005,WeightSDS!$U$18+(WeightSDS!$V$18-WeightSDS!$U$18)/24*($AM608-186)-0.005)))</f>
        <v>0.14604529399999999</v>
      </c>
      <c r="AT608" s="4">
        <f t="shared" si="196"/>
        <v>0.56299999999999994</v>
      </c>
      <c r="AU608" s="4">
        <f t="shared" si="197"/>
        <v>69</v>
      </c>
      <c r="AV608" s="4">
        <f t="shared" si="198"/>
        <v>0.51</v>
      </c>
    </row>
    <row r="609" spans="1:48" x14ac:dyDescent="0.15">
      <c r="A609" s="4"/>
      <c r="B609" s="21"/>
      <c r="C609" s="21"/>
      <c r="D609" s="21"/>
      <c r="E609" s="22"/>
      <c r="F609" s="22"/>
      <c r="G609" s="23"/>
      <c r="H609" s="23"/>
      <c r="I609" s="181"/>
      <c r="J609" s="8" t="str">
        <f t="shared" si="190"/>
        <v/>
      </c>
      <c r="K609" s="2" t="str">
        <f t="shared" si="199"/>
        <v/>
      </c>
      <c r="L609" s="2" t="str">
        <f t="shared" si="191"/>
        <v/>
      </c>
      <c r="M609" s="2" t="str">
        <f t="shared" si="200"/>
        <v/>
      </c>
      <c r="N609" s="2" t="str">
        <f t="shared" si="208"/>
        <v/>
      </c>
      <c r="O609" s="2" t="str">
        <f t="shared" si="201"/>
        <v/>
      </c>
      <c r="P609" s="8" t="str">
        <f t="shared" si="202"/>
        <v/>
      </c>
      <c r="Q609" s="8" t="str">
        <f t="shared" si="203"/>
        <v/>
      </c>
      <c r="R609" s="111" t="str">
        <f t="shared" si="204"/>
        <v/>
      </c>
      <c r="S609" s="44" t="str">
        <f t="shared" si="205"/>
        <v/>
      </c>
      <c r="T609" s="37" t="str">
        <f t="shared" si="206"/>
        <v/>
      </c>
      <c r="U609" s="44" t="str">
        <f t="shared" si="207"/>
        <v/>
      </c>
      <c r="V609" s="26"/>
      <c r="W609" s="26"/>
      <c r="X609" s="26"/>
      <c r="Y609" s="26"/>
      <c r="Z609" s="24"/>
      <c r="AA609" s="169">
        <f t="shared" si="192"/>
        <v>0</v>
      </c>
      <c r="AB609" s="4">
        <f t="shared" si="193"/>
        <v>0</v>
      </c>
      <c r="AC609" s="170">
        <f t="shared" si="210"/>
        <v>0</v>
      </c>
      <c r="AD609" s="58"/>
      <c r="AE609" s="58"/>
      <c r="AF609" s="58"/>
      <c r="AG609" s="59">
        <f t="shared" si="194"/>
        <v>9.0359999999999996</v>
      </c>
      <c r="AH609" s="59">
        <f t="shared" si="195"/>
        <v>-184.49199999999999</v>
      </c>
      <c r="AJ609" s="4">
        <f>IF(D609="M",IF(AM609&lt;78,BMILMS!$D$5*AM609^3+BMILMS!$E$5*AM609^2+BMILMS!$F$5*AM609+BMILMS!$G$5,IF(AM609&lt;150,BMILMS!$D$6*AM609^3+BMILMS!$E$6*AM609^2+BMILMS!$F$6*AM609+BMILMS!$G$6,BMILMS!$D$7*AM609^3+BMILMS!$E$7*AM609^2+BMILMS!$F$7*AM609+BMILMS!$G$7)),IF(AM609&lt;69,BMILMS!$D$9*AM609^3+BMILMS!$E$9*AM609^2+BMILMS!$F$9*AM609+BMILMS!$G$9,IF(AM609&lt;150,BMILMS!$D$10*AM609^3+BMILMS!$E$10*AM609^2+BMILMS!$F$10*AM609+BMILMS!$G$10,BMILMS!$D$11*AM609^3+BMILMS!$E$11*AM609^2+BMILMS!$F$11*AM609+BMILMS!$G$11)))</f>
        <v>0.79584630099999998</v>
      </c>
      <c r="AK609" s="4">
        <f>IF(D609="M",(IF(AM609&lt;2.5,BMILMS!$D$21*AM609^3+BMILMS!$E$21*AM609^2+BMILMS!$F$21*AM609+BMILMS!$G$21,IF(AM609&lt;9.5,BMILMS!$D$22*AM609^3+BMILMS!$E$22*AM609^2+BMILMS!$F$22*AM609+BMILMS!$G$22,IF(AM609&lt;26.75,BMILMS!$D$23*AM609^3+BMILMS!$E$23*AM609^2+BMILMS!$F$23*AM609+BMILMS!$G$23,IF(AM609&lt;90,BMILMS!$D$24*AM609^3+BMILMS!$E$24*AM609^2+BMILMS!$F$24*AM609+BMILMS!$G$24,BMILMS!$D$25*AM609^3+BMILMS!$E$25*AM609^2+BMILMS!$F$25*AM609+BMILMS!$G$25))))),(IF(AM609&lt;2.5,BMILMS!$D$27*AM609^3+BMILMS!$E$27*AM609^2+BMILMS!$F$27*AM609+BMILMS!$G$27,IF(AM609&lt;9.5,BMILMS!$D$28*AM609^3+BMILMS!$E$28*AM609^2+BMILMS!$F$28*AM609+BMILMS!$G$28,IF(AM609&lt;26.75,BMILMS!$D$29*AM609^3+BMILMS!$E$29*AM609^2+BMILMS!$F$29*AM609+BMILMS!$G$29,IF(AM609&lt;90,BMILMS!$D$30*AM609^3+BMILMS!$E$30*AM609^2+BMILMS!$F$30*AM609+BMILMS!$G$30,IF(AM609&lt;150,BMILMS!$D$31*AM609^3+BMILMS!$E$31*AM609^2+BMILMS!$F$31*AM609+BMILMS!$G$31,BMILMS!$D$32*AM609^3+BMILMS!$E$32*AM609^2+BMILMS!$F$32*AM609+BMILMS!$G$32)))))))</f>
        <v>12.568967990000001</v>
      </c>
      <c r="AL609" s="4">
        <f>IF(D609="M",(IF(AM609&lt;90,BMILMS!$D$14*AM609^3+BMILMS!$E$14*AM609^2+BMILMS!$F$14*AM609+BMILMS!$G$14,BMILMS!$D$15*AM609^3+BMILMS!$E$15*AM609^2+BMILMS!$F$15*AM609+BMILMS!$G$15)),(IF(AM609&lt;90,BMILMS!$D$17*AM609^3+BMILMS!$E$17*AM609^2+BMILMS!$F$17*AM609+BMILMS!$G$17,BMILMS!$D$18*AM609^3+BMILMS!$E$18*AM609^2+BMILMS!$F$18*AM609+BMILMS!$G$18)))</f>
        <v>8.8969350000000003E-2</v>
      </c>
      <c r="AM609" s="4">
        <f t="shared" si="209"/>
        <v>0</v>
      </c>
      <c r="AO609" s="56">
        <f>IF(D609="M",WeightSDS!P$5*$AM609^7+WeightSDS!Q$5*$AM609^6+WeightSDS!R$5*$AM609^5+WeightSDS!S$5*$AM609^4+WeightSDS!T$5*$AM609^3+WeightSDS!U$5*$AM609^2+WeightSDS!V$5*$AM609+WeightSDS!W$5,IF($AM609&lt;186,WeightSDS!P$8*$AM609^7+WeightSDS!Q$8*$AM609^6+WeightSDS!R$8*$AM609^5+WeightSDS!S$8*$AM609^4+WeightSDS!T$8*$AM609^3+WeightSDS!U$8*$AM609^2+WeightSDS!V$8*$AM609+WeightSDS!W$8,WeightSDS!$U$9+WeightSDS!$V$9*($AM609-WeightSDS!$W$9)))</f>
        <v>0.75407122999999998</v>
      </c>
      <c r="AP609" s="4">
        <f>IF(D609="M",IF($AM609&lt;45,WeightSDS!M$23*$AM609^10+WeightSDS!N$23*$AM609^9+WeightSDS!O$23*$AM609^8+WeightSDS!P$23*$AM609^7+WeightSDS!Q$23*$AM609^6+WeightSDS!R$23*$AM609^5+WeightSDS!S$23*$AM609^4+WeightSDS!T$23*$AM609^3+WeightSDS!U$23*$AM609^2+WeightSDS!V$23*$AM609+WeightSDS!W$23,IF($AM609&lt;153,WeightSDS!M$25*$AM609^10+WeightSDS!N$25*$AM609^9+WeightSDS!O$25*$AM609^8+WeightSDS!P$25*$AM609^7+WeightSDS!Q$25*$AM609^6+WeightSDS!R$25*$AM609^5+WeightSDS!S$25*$AM609^4+WeightSDS!T$25*$AM609^3+WeightSDS!U$25*$AM609^2+WeightSDS!V$25*$AM609+WeightSDS!W$25,WeightSDS!M$27+WeightSDS!N$27/(1+EXP(WeightSDS!O$27+WeightSDS!P$27*$AM609)))),IF($AM609&lt;43.8,WeightSDS!M$29*$AM609^10+WeightSDS!N$29*$AM609^9+WeightSDS!O$29*$AM609^8+WeightSDS!P$29*$AM609^7+WeightSDS!Q$29*$AM609^6+WeightSDS!R$29*$AM609^5+WeightSDS!S$29*$AM609^4+WeightSDS!T$29*$AM609^3+WeightSDS!U$29*$AM609^2+WeightSDS!V$29*$AM609+WeightSDS!W$29-0.010431*(1-$AM609/210),IF($AM609&lt;123,WeightSDS!M$30*$AM609^10+WeightSDS!N$30*$AM609^9+WeightSDS!O$30*$AM609^8+WeightSDS!P$30*$AM609^7+WeightSDS!Q$30*$AM609^6+WeightSDS!R$30*$AM609^5+WeightSDS!S$30*$AM609^4+WeightSDS!T$30*$AM609^3+WeightSDS!U$30*$AM609^2+WeightSDS!V$30*$AM609+WeightSDS!W$30-0.010431*(1-1/$AM609),WeightSDS!M$32+WeightSDS!N$32/(1+EXP(WeightSDS!O$32+WeightSDS!P$32*$AM609))-0.010431*(1-$AM609/210))))</f>
        <v>2.9500001032655536</v>
      </c>
      <c r="AQ609" s="4">
        <f>IF(D609="M",IF($AM609&lt;162,WeightSDS!P$12*$AM609^7+WeightSDS!Q$12*$AM609^6+WeightSDS!R$12*$AM609^5+WeightSDS!S$12*$AM609^4+WeightSDS!T$12*$AM609^3+WeightSDS!U$12*$AM609^2+WeightSDS!V$12*$AM609+WeightSDS!W$12,WeightSDS!P$14*$AM609^7+WeightSDS!Q$14*$AM609^6+WeightSDS!R$14*$AM609^5+WeightSDS!S$14*$AM609^4+WeightSDS!T$14*$AM609^3+WeightSDS!U$14*$AM609^2+WeightSDS!V$14*$AM609+WeightSDS!W$14),IF($AM609&lt;156,WeightSDS!O$17*$AM609^8+WeightSDS!P$17*$AM609^7+WeightSDS!Q$17*$AM609^6+WeightSDS!R$17*$AM609^5+WeightSDS!S$17*$AM609^4+WeightSDS!T$17*$AM609^3+WeightSDS!U$17*$AM609^2+WeightSDS!V$17*$AM609+WeightSDS!W$17,IF($AM609&lt;186,WeightSDS!$U$18+(WeightSDS!$V$18-WeightSDS!$U$18)/24*($AM609-186)+WeightSDS!$W$18*(-$AM609+186)^2-0.005,WeightSDS!$U$18+(WeightSDS!$V$18-WeightSDS!$U$18)/24*($AM609-186)-0.005)))</f>
        <v>0.14604529399999999</v>
      </c>
      <c r="AT609" s="4">
        <f t="shared" si="196"/>
        <v>0.56299999999999994</v>
      </c>
      <c r="AU609" s="4">
        <f t="shared" si="197"/>
        <v>69</v>
      </c>
      <c r="AV609" s="4">
        <f t="shared" si="198"/>
        <v>0.51</v>
      </c>
    </row>
    <row r="610" spans="1:48" x14ac:dyDescent="0.15">
      <c r="A610" s="4"/>
      <c r="B610" s="21"/>
      <c r="C610" s="21"/>
      <c r="D610" s="21"/>
      <c r="E610" s="22"/>
      <c r="F610" s="22"/>
      <c r="G610" s="23"/>
      <c r="H610" s="23"/>
      <c r="I610" s="181"/>
      <c r="J610" s="8" t="str">
        <f t="shared" si="190"/>
        <v/>
      </c>
      <c r="K610" s="2" t="str">
        <f t="shared" si="199"/>
        <v/>
      </c>
      <c r="L610" s="2" t="str">
        <f t="shared" si="191"/>
        <v/>
      </c>
      <c r="M610" s="2" t="str">
        <f t="shared" si="200"/>
        <v/>
      </c>
      <c r="N610" s="2" t="str">
        <f t="shared" si="208"/>
        <v/>
      </c>
      <c r="O610" s="2" t="str">
        <f t="shared" si="201"/>
        <v/>
      </c>
      <c r="P610" s="8" t="str">
        <f t="shared" si="202"/>
        <v/>
      </c>
      <c r="Q610" s="8" t="str">
        <f t="shared" si="203"/>
        <v/>
      </c>
      <c r="R610" s="111" t="str">
        <f t="shared" si="204"/>
        <v/>
      </c>
      <c r="S610" s="44" t="str">
        <f t="shared" si="205"/>
        <v/>
      </c>
      <c r="T610" s="37" t="str">
        <f t="shared" si="206"/>
        <v/>
      </c>
      <c r="U610" s="44" t="str">
        <f t="shared" si="207"/>
        <v/>
      </c>
      <c r="V610" s="26"/>
      <c r="W610" s="26"/>
      <c r="X610" s="26"/>
      <c r="Y610" s="26"/>
      <c r="Z610" s="24"/>
      <c r="AA610" s="169">
        <f t="shared" si="192"/>
        <v>0</v>
      </c>
      <c r="AB610" s="4">
        <f t="shared" si="193"/>
        <v>0</v>
      </c>
      <c r="AC610" s="170">
        <f t="shared" si="210"/>
        <v>0</v>
      </c>
      <c r="AD610" s="58"/>
      <c r="AE610" s="58"/>
      <c r="AF610" s="58"/>
      <c r="AG610" s="59">
        <f t="shared" si="194"/>
        <v>9.0359999999999996</v>
      </c>
      <c r="AH610" s="59">
        <f t="shared" si="195"/>
        <v>-184.49199999999999</v>
      </c>
      <c r="AJ610" s="4">
        <f>IF(D610="M",IF(AM610&lt;78,BMILMS!$D$5*AM610^3+BMILMS!$E$5*AM610^2+BMILMS!$F$5*AM610+BMILMS!$G$5,IF(AM610&lt;150,BMILMS!$D$6*AM610^3+BMILMS!$E$6*AM610^2+BMILMS!$F$6*AM610+BMILMS!$G$6,BMILMS!$D$7*AM610^3+BMILMS!$E$7*AM610^2+BMILMS!$F$7*AM610+BMILMS!$G$7)),IF(AM610&lt;69,BMILMS!$D$9*AM610^3+BMILMS!$E$9*AM610^2+BMILMS!$F$9*AM610+BMILMS!$G$9,IF(AM610&lt;150,BMILMS!$D$10*AM610^3+BMILMS!$E$10*AM610^2+BMILMS!$F$10*AM610+BMILMS!$G$10,BMILMS!$D$11*AM610^3+BMILMS!$E$11*AM610^2+BMILMS!$F$11*AM610+BMILMS!$G$11)))</f>
        <v>0.79584630099999998</v>
      </c>
      <c r="AK610" s="4">
        <f>IF(D610="M",(IF(AM610&lt;2.5,BMILMS!$D$21*AM610^3+BMILMS!$E$21*AM610^2+BMILMS!$F$21*AM610+BMILMS!$G$21,IF(AM610&lt;9.5,BMILMS!$D$22*AM610^3+BMILMS!$E$22*AM610^2+BMILMS!$F$22*AM610+BMILMS!$G$22,IF(AM610&lt;26.75,BMILMS!$D$23*AM610^3+BMILMS!$E$23*AM610^2+BMILMS!$F$23*AM610+BMILMS!$G$23,IF(AM610&lt;90,BMILMS!$D$24*AM610^3+BMILMS!$E$24*AM610^2+BMILMS!$F$24*AM610+BMILMS!$G$24,BMILMS!$D$25*AM610^3+BMILMS!$E$25*AM610^2+BMILMS!$F$25*AM610+BMILMS!$G$25))))),(IF(AM610&lt;2.5,BMILMS!$D$27*AM610^3+BMILMS!$E$27*AM610^2+BMILMS!$F$27*AM610+BMILMS!$G$27,IF(AM610&lt;9.5,BMILMS!$D$28*AM610^3+BMILMS!$E$28*AM610^2+BMILMS!$F$28*AM610+BMILMS!$G$28,IF(AM610&lt;26.75,BMILMS!$D$29*AM610^3+BMILMS!$E$29*AM610^2+BMILMS!$F$29*AM610+BMILMS!$G$29,IF(AM610&lt;90,BMILMS!$D$30*AM610^3+BMILMS!$E$30*AM610^2+BMILMS!$F$30*AM610+BMILMS!$G$30,IF(AM610&lt;150,BMILMS!$D$31*AM610^3+BMILMS!$E$31*AM610^2+BMILMS!$F$31*AM610+BMILMS!$G$31,BMILMS!$D$32*AM610^3+BMILMS!$E$32*AM610^2+BMILMS!$F$32*AM610+BMILMS!$G$32)))))))</f>
        <v>12.568967990000001</v>
      </c>
      <c r="AL610" s="4">
        <f>IF(D610="M",(IF(AM610&lt;90,BMILMS!$D$14*AM610^3+BMILMS!$E$14*AM610^2+BMILMS!$F$14*AM610+BMILMS!$G$14,BMILMS!$D$15*AM610^3+BMILMS!$E$15*AM610^2+BMILMS!$F$15*AM610+BMILMS!$G$15)),(IF(AM610&lt;90,BMILMS!$D$17*AM610^3+BMILMS!$E$17*AM610^2+BMILMS!$F$17*AM610+BMILMS!$G$17,BMILMS!$D$18*AM610^3+BMILMS!$E$18*AM610^2+BMILMS!$F$18*AM610+BMILMS!$G$18)))</f>
        <v>8.8969350000000003E-2</v>
      </c>
      <c r="AM610" s="4">
        <f t="shared" si="209"/>
        <v>0</v>
      </c>
      <c r="AO610" s="56">
        <f>IF(D610="M",WeightSDS!P$5*$AM610^7+WeightSDS!Q$5*$AM610^6+WeightSDS!R$5*$AM610^5+WeightSDS!S$5*$AM610^4+WeightSDS!T$5*$AM610^3+WeightSDS!U$5*$AM610^2+WeightSDS!V$5*$AM610+WeightSDS!W$5,IF($AM610&lt;186,WeightSDS!P$8*$AM610^7+WeightSDS!Q$8*$AM610^6+WeightSDS!R$8*$AM610^5+WeightSDS!S$8*$AM610^4+WeightSDS!T$8*$AM610^3+WeightSDS!U$8*$AM610^2+WeightSDS!V$8*$AM610+WeightSDS!W$8,WeightSDS!$U$9+WeightSDS!$V$9*($AM610-WeightSDS!$W$9)))</f>
        <v>0.75407122999999998</v>
      </c>
      <c r="AP610" s="4">
        <f>IF(D610="M",IF($AM610&lt;45,WeightSDS!M$23*$AM610^10+WeightSDS!N$23*$AM610^9+WeightSDS!O$23*$AM610^8+WeightSDS!P$23*$AM610^7+WeightSDS!Q$23*$AM610^6+WeightSDS!R$23*$AM610^5+WeightSDS!S$23*$AM610^4+WeightSDS!T$23*$AM610^3+WeightSDS!U$23*$AM610^2+WeightSDS!V$23*$AM610+WeightSDS!W$23,IF($AM610&lt;153,WeightSDS!M$25*$AM610^10+WeightSDS!N$25*$AM610^9+WeightSDS!O$25*$AM610^8+WeightSDS!P$25*$AM610^7+WeightSDS!Q$25*$AM610^6+WeightSDS!R$25*$AM610^5+WeightSDS!S$25*$AM610^4+WeightSDS!T$25*$AM610^3+WeightSDS!U$25*$AM610^2+WeightSDS!V$25*$AM610+WeightSDS!W$25,WeightSDS!M$27+WeightSDS!N$27/(1+EXP(WeightSDS!O$27+WeightSDS!P$27*$AM610)))),IF($AM610&lt;43.8,WeightSDS!M$29*$AM610^10+WeightSDS!N$29*$AM610^9+WeightSDS!O$29*$AM610^8+WeightSDS!P$29*$AM610^7+WeightSDS!Q$29*$AM610^6+WeightSDS!R$29*$AM610^5+WeightSDS!S$29*$AM610^4+WeightSDS!T$29*$AM610^3+WeightSDS!U$29*$AM610^2+WeightSDS!V$29*$AM610+WeightSDS!W$29-0.010431*(1-$AM610/210),IF($AM610&lt;123,WeightSDS!M$30*$AM610^10+WeightSDS!N$30*$AM610^9+WeightSDS!O$30*$AM610^8+WeightSDS!P$30*$AM610^7+WeightSDS!Q$30*$AM610^6+WeightSDS!R$30*$AM610^5+WeightSDS!S$30*$AM610^4+WeightSDS!T$30*$AM610^3+WeightSDS!U$30*$AM610^2+WeightSDS!V$30*$AM610+WeightSDS!W$30-0.010431*(1-1/$AM610),WeightSDS!M$32+WeightSDS!N$32/(1+EXP(WeightSDS!O$32+WeightSDS!P$32*$AM610))-0.010431*(1-$AM610/210))))</f>
        <v>2.9500001032655536</v>
      </c>
      <c r="AQ610" s="4">
        <f>IF(D610="M",IF($AM610&lt;162,WeightSDS!P$12*$AM610^7+WeightSDS!Q$12*$AM610^6+WeightSDS!R$12*$AM610^5+WeightSDS!S$12*$AM610^4+WeightSDS!T$12*$AM610^3+WeightSDS!U$12*$AM610^2+WeightSDS!V$12*$AM610+WeightSDS!W$12,WeightSDS!P$14*$AM610^7+WeightSDS!Q$14*$AM610^6+WeightSDS!R$14*$AM610^5+WeightSDS!S$14*$AM610^4+WeightSDS!T$14*$AM610^3+WeightSDS!U$14*$AM610^2+WeightSDS!V$14*$AM610+WeightSDS!W$14),IF($AM610&lt;156,WeightSDS!O$17*$AM610^8+WeightSDS!P$17*$AM610^7+WeightSDS!Q$17*$AM610^6+WeightSDS!R$17*$AM610^5+WeightSDS!S$17*$AM610^4+WeightSDS!T$17*$AM610^3+WeightSDS!U$17*$AM610^2+WeightSDS!V$17*$AM610+WeightSDS!W$17,IF($AM610&lt;186,WeightSDS!$U$18+(WeightSDS!$V$18-WeightSDS!$U$18)/24*($AM610-186)+WeightSDS!$W$18*(-$AM610+186)^2-0.005,WeightSDS!$U$18+(WeightSDS!$V$18-WeightSDS!$U$18)/24*($AM610-186)-0.005)))</f>
        <v>0.14604529399999999</v>
      </c>
      <c r="AT610" s="4">
        <f t="shared" si="196"/>
        <v>0.56299999999999994</v>
      </c>
      <c r="AU610" s="4">
        <f t="shared" si="197"/>
        <v>69</v>
      </c>
      <c r="AV610" s="4">
        <f t="shared" si="198"/>
        <v>0.51</v>
      </c>
    </row>
    <row r="611" spans="1:48" x14ac:dyDescent="0.15">
      <c r="A611" s="4"/>
      <c r="B611" s="21"/>
      <c r="C611" s="21"/>
      <c r="D611" s="21"/>
      <c r="E611" s="22"/>
      <c r="F611" s="22"/>
      <c r="G611" s="23"/>
      <c r="H611" s="23"/>
      <c r="I611" s="181"/>
      <c r="J611" s="8" t="str">
        <f t="shared" si="190"/>
        <v/>
      </c>
      <c r="K611" s="2" t="str">
        <f t="shared" si="199"/>
        <v/>
      </c>
      <c r="L611" s="2" t="str">
        <f t="shared" si="191"/>
        <v/>
      </c>
      <c r="M611" s="2" t="str">
        <f t="shared" si="200"/>
        <v/>
      </c>
      <c r="N611" s="2" t="str">
        <f t="shared" si="208"/>
        <v/>
      </c>
      <c r="O611" s="2" t="str">
        <f t="shared" si="201"/>
        <v/>
      </c>
      <c r="P611" s="8" t="str">
        <f t="shared" si="202"/>
        <v/>
      </c>
      <c r="Q611" s="8" t="str">
        <f t="shared" si="203"/>
        <v/>
      </c>
      <c r="R611" s="111" t="str">
        <f t="shared" si="204"/>
        <v/>
      </c>
      <c r="S611" s="44" t="str">
        <f t="shared" si="205"/>
        <v/>
      </c>
      <c r="T611" s="37" t="str">
        <f t="shared" si="206"/>
        <v/>
      </c>
      <c r="U611" s="44" t="str">
        <f t="shared" si="207"/>
        <v/>
      </c>
      <c r="V611" s="26"/>
      <c r="W611" s="26"/>
      <c r="X611" s="26"/>
      <c r="Y611" s="26"/>
      <c r="Z611" s="24"/>
      <c r="AA611" s="169">
        <f t="shared" si="192"/>
        <v>0</v>
      </c>
      <c r="AB611" s="4">
        <f t="shared" si="193"/>
        <v>0</v>
      </c>
      <c r="AC611" s="170">
        <f t="shared" si="210"/>
        <v>0</v>
      </c>
      <c r="AD611" s="58"/>
      <c r="AE611" s="58"/>
      <c r="AF611" s="58"/>
      <c r="AG611" s="59">
        <f t="shared" si="194"/>
        <v>9.0359999999999996</v>
      </c>
      <c r="AH611" s="59">
        <f t="shared" si="195"/>
        <v>-184.49199999999999</v>
      </c>
      <c r="AJ611" s="4">
        <f>IF(D611="M",IF(AM611&lt;78,BMILMS!$D$5*AM611^3+BMILMS!$E$5*AM611^2+BMILMS!$F$5*AM611+BMILMS!$G$5,IF(AM611&lt;150,BMILMS!$D$6*AM611^3+BMILMS!$E$6*AM611^2+BMILMS!$F$6*AM611+BMILMS!$G$6,BMILMS!$D$7*AM611^3+BMILMS!$E$7*AM611^2+BMILMS!$F$7*AM611+BMILMS!$G$7)),IF(AM611&lt;69,BMILMS!$D$9*AM611^3+BMILMS!$E$9*AM611^2+BMILMS!$F$9*AM611+BMILMS!$G$9,IF(AM611&lt;150,BMILMS!$D$10*AM611^3+BMILMS!$E$10*AM611^2+BMILMS!$F$10*AM611+BMILMS!$G$10,BMILMS!$D$11*AM611^3+BMILMS!$E$11*AM611^2+BMILMS!$F$11*AM611+BMILMS!$G$11)))</f>
        <v>0.79584630099999998</v>
      </c>
      <c r="AK611" s="4">
        <f>IF(D611="M",(IF(AM611&lt;2.5,BMILMS!$D$21*AM611^3+BMILMS!$E$21*AM611^2+BMILMS!$F$21*AM611+BMILMS!$G$21,IF(AM611&lt;9.5,BMILMS!$D$22*AM611^3+BMILMS!$E$22*AM611^2+BMILMS!$F$22*AM611+BMILMS!$G$22,IF(AM611&lt;26.75,BMILMS!$D$23*AM611^3+BMILMS!$E$23*AM611^2+BMILMS!$F$23*AM611+BMILMS!$G$23,IF(AM611&lt;90,BMILMS!$D$24*AM611^3+BMILMS!$E$24*AM611^2+BMILMS!$F$24*AM611+BMILMS!$G$24,BMILMS!$D$25*AM611^3+BMILMS!$E$25*AM611^2+BMILMS!$F$25*AM611+BMILMS!$G$25))))),(IF(AM611&lt;2.5,BMILMS!$D$27*AM611^3+BMILMS!$E$27*AM611^2+BMILMS!$F$27*AM611+BMILMS!$G$27,IF(AM611&lt;9.5,BMILMS!$D$28*AM611^3+BMILMS!$E$28*AM611^2+BMILMS!$F$28*AM611+BMILMS!$G$28,IF(AM611&lt;26.75,BMILMS!$D$29*AM611^3+BMILMS!$E$29*AM611^2+BMILMS!$F$29*AM611+BMILMS!$G$29,IF(AM611&lt;90,BMILMS!$D$30*AM611^3+BMILMS!$E$30*AM611^2+BMILMS!$F$30*AM611+BMILMS!$G$30,IF(AM611&lt;150,BMILMS!$D$31*AM611^3+BMILMS!$E$31*AM611^2+BMILMS!$F$31*AM611+BMILMS!$G$31,BMILMS!$D$32*AM611^3+BMILMS!$E$32*AM611^2+BMILMS!$F$32*AM611+BMILMS!$G$32)))))))</f>
        <v>12.568967990000001</v>
      </c>
      <c r="AL611" s="4">
        <f>IF(D611="M",(IF(AM611&lt;90,BMILMS!$D$14*AM611^3+BMILMS!$E$14*AM611^2+BMILMS!$F$14*AM611+BMILMS!$G$14,BMILMS!$D$15*AM611^3+BMILMS!$E$15*AM611^2+BMILMS!$F$15*AM611+BMILMS!$G$15)),(IF(AM611&lt;90,BMILMS!$D$17*AM611^3+BMILMS!$E$17*AM611^2+BMILMS!$F$17*AM611+BMILMS!$G$17,BMILMS!$D$18*AM611^3+BMILMS!$E$18*AM611^2+BMILMS!$F$18*AM611+BMILMS!$G$18)))</f>
        <v>8.8969350000000003E-2</v>
      </c>
      <c r="AM611" s="4">
        <f t="shared" si="209"/>
        <v>0</v>
      </c>
      <c r="AO611" s="56">
        <f>IF(D611="M",WeightSDS!P$5*$AM611^7+WeightSDS!Q$5*$AM611^6+WeightSDS!R$5*$AM611^5+WeightSDS!S$5*$AM611^4+WeightSDS!T$5*$AM611^3+WeightSDS!U$5*$AM611^2+WeightSDS!V$5*$AM611+WeightSDS!W$5,IF($AM611&lt;186,WeightSDS!P$8*$AM611^7+WeightSDS!Q$8*$AM611^6+WeightSDS!R$8*$AM611^5+WeightSDS!S$8*$AM611^4+WeightSDS!T$8*$AM611^3+WeightSDS!U$8*$AM611^2+WeightSDS!V$8*$AM611+WeightSDS!W$8,WeightSDS!$U$9+WeightSDS!$V$9*($AM611-WeightSDS!$W$9)))</f>
        <v>0.75407122999999998</v>
      </c>
      <c r="AP611" s="4">
        <f>IF(D611="M",IF($AM611&lt;45,WeightSDS!M$23*$AM611^10+WeightSDS!N$23*$AM611^9+WeightSDS!O$23*$AM611^8+WeightSDS!P$23*$AM611^7+WeightSDS!Q$23*$AM611^6+WeightSDS!R$23*$AM611^5+WeightSDS!S$23*$AM611^4+WeightSDS!T$23*$AM611^3+WeightSDS!U$23*$AM611^2+WeightSDS!V$23*$AM611+WeightSDS!W$23,IF($AM611&lt;153,WeightSDS!M$25*$AM611^10+WeightSDS!N$25*$AM611^9+WeightSDS!O$25*$AM611^8+WeightSDS!P$25*$AM611^7+WeightSDS!Q$25*$AM611^6+WeightSDS!R$25*$AM611^5+WeightSDS!S$25*$AM611^4+WeightSDS!T$25*$AM611^3+WeightSDS!U$25*$AM611^2+WeightSDS!V$25*$AM611+WeightSDS!W$25,WeightSDS!M$27+WeightSDS!N$27/(1+EXP(WeightSDS!O$27+WeightSDS!P$27*$AM611)))),IF($AM611&lt;43.8,WeightSDS!M$29*$AM611^10+WeightSDS!N$29*$AM611^9+WeightSDS!O$29*$AM611^8+WeightSDS!P$29*$AM611^7+WeightSDS!Q$29*$AM611^6+WeightSDS!R$29*$AM611^5+WeightSDS!S$29*$AM611^4+WeightSDS!T$29*$AM611^3+WeightSDS!U$29*$AM611^2+WeightSDS!V$29*$AM611+WeightSDS!W$29-0.010431*(1-$AM611/210),IF($AM611&lt;123,WeightSDS!M$30*$AM611^10+WeightSDS!N$30*$AM611^9+WeightSDS!O$30*$AM611^8+WeightSDS!P$30*$AM611^7+WeightSDS!Q$30*$AM611^6+WeightSDS!R$30*$AM611^5+WeightSDS!S$30*$AM611^4+WeightSDS!T$30*$AM611^3+WeightSDS!U$30*$AM611^2+WeightSDS!V$30*$AM611+WeightSDS!W$30-0.010431*(1-1/$AM611),WeightSDS!M$32+WeightSDS!N$32/(1+EXP(WeightSDS!O$32+WeightSDS!P$32*$AM611))-0.010431*(1-$AM611/210))))</f>
        <v>2.9500001032655536</v>
      </c>
      <c r="AQ611" s="4">
        <f>IF(D611="M",IF($AM611&lt;162,WeightSDS!P$12*$AM611^7+WeightSDS!Q$12*$AM611^6+WeightSDS!R$12*$AM611^5+WeightSDS!S$12*$AM611^4+WeightSDS!T$12*$AM611^3+WeightSDS!U$12*$AM611^2+WeightSDS!V$12*$AM611+WeightSDS!W$12,WeightSDS!P$14*$AM611^7+WeightSDS!Q$14*$AM611^6+WeightSDS!R$14*$AM611^5+WeightSDS!S$14*$AM611^4+WeightSDS!T$14*$AM611^3+WeightSDS!U$14*$AM611^2+WeightSDS!V$14*$AM611+WeightSDS!W$14),IF($AM611&lt;156,WeightSDS!O$17*$AM611^8+WeightSDS!P$17*$AM611^7+WeightSDS!Q$17*$AM611^6+WeightSDS!R$17*$AM611^5+WeightSDS!S$17*$AM611^4+WeightSDS!T$17*$AM611^3+WeightSDS!U$17*$AM611^2+WeightSDS!V$17*$AM611+WeightSDS!W$17,IF($AM611&lt;186,WeightSDS!$U$18+(WeightSDS!$V$18-WeightSDS!$U$18)/24*($AM611-186)+WeightSDS!$W$18*(-$AM611+186)^2-0.005,WeightSDS!$U$18+(WeightSDS!$V$18-WeightSDS!$U$18)/24*($AM611-186)-0.005)))</f>
        <v>0.14604529399999999</v>
      </c>
      <c r="AT611" s="4">
        <f t="shared" si="196"/>
        <v>0.56299999999999994</v>
      </c>
      <c r="AU611" s="4">
        <f t="shared" si="197"/>
        <v>69</v>
      </c>
      <c r="AV611" s="4">
        <f t="shared" si="198"/>
        <v>0.51</v>
      </c>
    </row>
    <row r="612" spans="1:48" x14ac:dyDescent="0.15">
      <c r="A612" s="4"/>
      <c r="B612" s="21"/>
      <c r="C612" s="21"/>
      <c r="D612" s="21"/>
      <c r="E612" s="22"/>
      <c r="F612" s="22"/>
      <c r="G612" s="23"/>
      <c r="H612" s="23"/>
      <c r="I612" s="181"/>
      <c r="J612" s="8" t="str">
        <f t="shared" si="190"/>
        <v/>
      </c>
      <c r="K612" s="2" t="str">
        <f t="shared" si="199"/>
        <v/>
      </c>
      <c r="L612" s="2" t="str">
        <f t="shared" si="191"/>
        <v/>
      </c>
      <c r="M612" s="2" t="str">
        <f t="shared" si="200"/>
        <v/>
      </c>
      <c r="N612" s="2" t="str">
        <f t="shared" si="208"/>
        <v/>
      </c>
      <c r="O612" s="2" t="str">
        <f t="shared" si="201"/>
        <v/>
      </c>
      <c r="P612" s="8" t="str">
        <f t="shared" si="202"/>
        <v/>
      </c>
      <c r="Q612" s="8" t="str">
        <f t="shared" si="203"/>
        <v/>
      </c>
      <c r="R612" s="111" t="str">
        <f t="shared" si="204"/>
        <v/>
      </c>
      <c r="S612" s="44" t="str">
        <f t="shared" si="205"/>
        <v/>
      </c>
      <c r="T612" s="37" t="str">
        <f t="shared" si="206"/>
        <v/>
      </c>
      <c r="U612" s="44" t="str">
        <f t="shared" si="207"/>
        <v/>
      </c>
      <c r="V612" s="26"/>
      <c r="W612" s="26"/>
      <c r="X612" s="26"/>
      <c r="Y612" s="26"/>
      <c r="Z612" s="24"/>
      <c r="AA612" s="169">
        <f t="shared" si="192"/>
        <v>0</v>
      </c>
      <c r="AB612" s="4">
        <f t="shared" si="193"/>
        <v>0</v>
      </c>
      <c r="AC612" s="170">
        <f t="shared" si="210"/>
        <v>0</v>
      </c>
      <c r="AD612" s="58"/>
      <c r="AE612" s="58"/>
      <c r="AF612" s="58"/>
      <c r="AG612" s="59">
        <f t="shared" si="194"/>
        <v>9.0359999999999996</v>
      </c>
      <c r="AH612" s="59">
        <f t="shared" si="195"/>
        <v>-184.49199999999999</v>
      </c>
      <c r="AJ612" s="4">
        <f>IF(D612="M",IF(AM612&lt;78,BMILMS!$D$5*AM612^3+BMILMS!$E$5*AM612^2+BMILMS!$F$5*AM612+BMILMS!$G$5,IF(AM612&lt;150,BMILMS!$D$6*AM612^3+BMILMS!$E$6*AM612^2+BMILMS!$F$6*AM612+BMILMS!$G$6,BMILMS!$D$7*AM612^3+BMILMS!$E$7*AM612^2+BMILMS!$F$7*AM612+BMILMS!$G$7)),IF(AM612&lt;69,BMILMS!$D$9*AM612^3+BMILMS!$E$9*AM612^2+BMILMS!$F$9*AM612+BMILMS!$G$9,IF(AM612&lt;150,BMILMS!$D$10*AM612^3+BMILMS!$E$10*AM612^2+BMILMS!$F$10*AM612+BMILMS!$G$10,BMILMS!$D$11*AM612^3+BMILMS!$E$11*AM612^2+BMILMS!$F$11*AM612+BMILMS!$G$11)))</f>
        <v>0.79584630099999998</v>
      </c>
      <c r="AK612" s="4">
        <f>IF(D612="M",(IF(AM612&lt;2.5,BMILMS!$D$21*AM612^3+BMILMS!$E$21*AM612^2+BMILMS!$F$21*AM612+BMILMS!$G$21,IF(AM612&lt;9.5,BMILMS!$D$22*AM612^3+BMILMS!$E$22*AM612^2+BMILMS!$F$22*AM612+BMILMS!$G$22,IF(AM612&lt;26.75,BMILMS!$D$23*AM612^3+BMILMS!$E$23*AM612^2+BMILMS!$F$23*AM612+BMILMS!$G$23,IF(AM612&lt;90,BMILMS!$D$24*AM612^3+BMILMS!$E$24*AM612^2+BMILMS!$F$24*AM612+BMILMS!$G$24,BMILMS!$D$25*AM612^3+BMILMS!$E$25*AM612^2+BMILMS!$F$25*AM612+BMILMS!$G$25))))),(IF(AM612&lt;2.5,BMILMS!$D$27*AM612^3+BMILMS!$E$27*AM612^2+BMILMS!$F$27*AM612+BMILMS!$G$27,IF(AM612&lt;9.5,BMILMS!$D$28*AM612^3+BMILMS!$E$28*AM612^2+BMILMS!$F$28*AM612+BMILMS!$G$28,IF(AM612&lt;26.75,BMILMS!$D$29*AM612^3+BMILMS!$E$29*AM612^2+BMILMS!$F$29*AM612+BMILMS!$G$29,IF(AM612&lt;90,BMILMS!$D$30*AM612^3+BMILMS!$E$30*AM612^2+BMILMS!$F$30*AM612+BMILMS!$G$30,IF(AM612&lt;150,BMILMS!$D$31*AM612^3+BMILMS!$E$31*AM612^2+BMILMS!$F$31*AM612+BMILMS!$G$31,BMILMS!$D$32*AM612^3+BMILMS!$E$32*AM612^2+BMILMS!$F$32*AM612+BMILMS!$G$32)))))))</f>
        <v>12.568967990000001</v>
      </c>
      <c r="AL612" s="4">
        <f>IF(D612="M",(IF(AM612&lt;90,BMILMS!$D$14*AM612^3+BMILMS!$E$14*AM612^2+BMILMS!$F$14*AM612+BMILMS!$G$14,BMILMS!$D$15*AM612^3+BMILMS!$E$15*AM612^2+BMILMS!$F$15*AM612+BMILMS!$G$15)),(IF(AM612&lt;90,BMILMS!$D$17*AM612^3+BMILMS!$E$17*AM612^2+BMILMS!$F$17*AM612+BMILMS!$G$17,BMILMS!$D$18*AM612^3+BMILMS!$E$18*AM612^2+BMILMS!$F$18*AM612+BMILMS!$G$18)))</f>
        <v>8.8969350000000003E-2</v>
      </c>
      <c r="AM612" s="4">
        <f t="shared" si="209"/>
        <v>0</v>
      </c>
      <c r="AO612" s="56">
        <f>IF(D612="M",WeightSDS!P$5*$AM612^7+WeightSDS!Q$5*$AM612^6+WeightSDS!R$5*$AM612^5+WeightSDS!S$5*$AM612^4+WeightSDS!T$5*$AM612^3+WeightSDS!U$5*$AM612^2+WeightSDS!V$5*$AM612+WeightSDS!W$5,IF($AM612&lt;186,WeightSDS!P$8*$AM612^7+WeightSDS!Q$8*$AM612^6+WeightSDS!R$8*$AM612^5+WeightSDS!S$8*$AM612^4+WeightSDS!T$8*$AM612^3+WeightSDS!U$8*$AM612^2+WeightSDS!V$8*$AM612+WeightSDS!W$8,WeightSDS!$U$9+WeightSDS!$V$9*($AM612-WeightSDS!$W$9)))</f>
        <v>0.75407122999999998</v>
      </c>
      <c r="AP612" s="4">
        <f>IF(D612="M",IF($AM612&lt;45,WeightSDS!M$23*$AM612^10+WeightSDS!N$23*$AM612^9+WeightSDS!O$23*$AM612^8+WeightSDS!P$23*$AM612^7+WeightSDS!Q$23*$AM612^6+WeightSDS!R$23*$AM612^5+WeightSDS!S$23*$AM612^4+WeightSDS!T$23*$AM612^3+WeightSDS!U$23*$AM612^2+WeightSDS!V$23*$AM612+WeightSDS!W$23,IF($AM612&lt;153,WeightSDS!M$25*$AM612^10+WeightSDS!N$25*$AM612^9+WeightSDS!O$25*$AM612^8+WeightSDS!P$25*$AM612^7+WeightSDS!Q$25*$AM612^6+WeightSDS!R$25*$AM612^5+WeightSDS!S$25*$AM612^4+WeightSDS!T$25*$AM612^3+WeightSDS!U$25*$AM612^2+WeightSDS!V$25*$AM612+WeightSDS!W$25,WeightSDS!M$27+WeightSDS!N$27/(1+EXP(WeightSDS!O$27+WeightSDS!P$27*$AM612)))),IF($AM612&lt;43.8,WeightSDS!M$29*$AM612^10+WeightSDS!N$29*$AM612^9+WeightSDS!O$29*$AM612^8+WeightSDS!P$29*$AM612^7+WeightSDS!Q$29*$AM612^6+WeightSDS!R$29*$AM612^5+WeightSDS!S$29*$AM612^4+WeightSDS!T$29*$AM612^3+WeightSDS!U$29*$AM612^2+WeightSDS!V$29*$AM612+WeightSDS!W$29-0.010431*(1-$AM612/210),IF($AM612&lt;123,WeightSDS!M$30*$AM612^10+WeightSDS!N$30*$AM612^9+WeightSDS!O$30*$AM612^8+WeightSDS!P$30*$AM612^7+WeightSDS!Q$30*$AM612^6+WeightSDS!R$30*$AM612^5+WeightSDS!S$30*$AM612^4+WeightSDS!T$30*$AM612^3+WeightSDS!U$30*$AM612^2+WeightSDS!V$30*$AM612+WeightSDS!W$30-0.010431*(1-1/$AM612),WeightSDS!M$32+WeightSDS!N$32/(1+EXP(WeightSDS!O$32+WeightSDS!P$32*$AM612))-0.010431*(1-$AM612/210))))</f>
        <v>2.9500001032655536</v>
      </c>
      <c r="AQ612" s="4">
        <f>IF(D612="M",IF($AM612&lt;162,WeightSDS!P$12*$AM612^7+WeightSDS!Q$12*$AM612^6+WeightSDS!R$12*$AM612^5+WeightSDS!S$12*$AM612^4+WeightSDS!T$12*$AM612^3+WeightSDS!U$12*$AM612^2+WeightSDS!V$12*$AM612+WeightSDS!W$12,WeightSDS!P$14*$AM612^7+WeightSDS!Q$14*$AM612^6+WeightSDS!R$14*$AM612^5+WeightSDS!S$14*$AM612^4+WeightSDS!T$14*$AM612^3+WeightSDS!U$14*$AM612^2+WeightSDS!V$14*$AM612+WeightSDS!W$14),IF($AM612&lt;156,WeightSDS!O$17*$AM612^8+WeightSDS!P$17*$AM612^7+WeightSDS!Q$17*$AM612^6+WeightSDS!R$17*$AM612^5+WeightSDS!S$17*$AM612^4+WeightSDS!T$17*$AM612^3+WeightSDS!U$17*$AM612^2+WeightSDS!V$17*$AM612+WeightSDS!W$17,IF($AM612&lt;186,WeightSDS!$U$18+(WeightSDS!$V$18-WeightSDS!$U$18)/24*($AM612-186)+WeightSDS!$W$18*(-$AM612+186)^2-0.005,WeightSDS!$U$18+(WeightSDS!$V$18-WeightSDS!$U$18)/24*($AM612-186)-0.005)))</f>
        <v>0.14604529399999999</v>
      </c>
      <c r="AT612" s="4">
        <f t="shared" si="196"/>
        <v>0.56299999999999994</v>
      </c>
      <c r="AU612" s="4">
        <f t="shared" si="197"/>
        <v>69</v>
      </c>
      <c r="AV612" s="4">
        <f t="shared" si="198"/>
        <v>0.51</v>
      </c>
    </row>
    <row r="613" spans="1:48" x14ac:dyDescent="0.15">
      <c r="A613" s="4"/>
      <c r="B613" s="21"/>
      <c r="C613" s="21"/>
      <c r="D613" s="21"/>
      <c r="E613" s="22"/>
      <c r="F613" s="22"/>
      <c r="G613" s="23"/>
      <c r="H613" s="23"/>
      <c r="I613" s="181"/>
      <c r="J613" s="8" t="str">
        <f t="shared" si="190"/>
        <v/>
      </c>
      <c r="K613" s="2" t="str">
        <f t="shared" si="199"/>
        <v/>
      </c>
      <c r="L613" s="2" t="str">
        <f t="shared" si="191"/>
        <v/>
      </c>
      <c r="M613" s="2" t="str">
        <f t="shared" si="200"/>
        <v/>
      </c>
      <c r="N613" s="2" t="str">
        <f t="shared" si="208"/>
        <v/>
      </c>
      <c r="O613" s="2" t="str">
        <f t="shared" si="201"/>
        <v/>
      </c>
      <c r="P613" s="8" t="str">
        <f t="shared" si="202"/>
        <v/>
      </c>
      <c r="Q613" s="8" t="str">
        <f t="shared" si="203"/>
        <v/>
      </c>
      <c r="R613" s="111" t="str">
        <f t="shared" si="204"/>
        <v/>
      </c>
      <c r="S613" s="44" t="str">
        <f t="shared" si="205"/>
        <v/>
      </c>
      <c r="T613" s="37" t="str">
        <f t="shared" si="206"/>
        <v/>
      </c>
      <c r="U613" s="44" t="str">
        <f t="shared" si="207"/>
        <v/>
      </c>
      <c r="V613" s="26"/>
      <c r="W613" s="26"/>
      <c r="X613" s="26"/>
      <c r="Y613" s="26"/>
      <c r="Z613" s="24"/>
      <c r="AA613" s="169">
        <f t="shared" si="192"/>
        <v>0</v>
      </c>
      <c r="AB613" s="4">
        <f t="shared" si="193"/>
        <v>0</v>
      </c>
      <c r="AC613" s="170">
        <f t="shared" si="210"/>
        <v>0</v>
      </c>
      <c r="AD613" s="58"/>
      <c r="AE613" s="58"/>
      <c r="AF613" s="58"/>
      <c r="AG613" s="59">
        <f t="shared" si="194"/>
        <v>9.0359999999999996</v>
      </c>
      <c r="AH613" s="59">
        <f t="shared" si="195"/>
        <v>-184.49199999999999</v>
      </c>
      <c r="AJ613" s="4">
        <f>IF(D613="M",IF(AM613&lt;78,BMILMS!$D$5*AM613^3+BMILMS!$E$5*AM613^2+BMILMS!$F$5*AM613+BMILMS!$G$5,IF(AM613&lt;150,BMILMS!$D$6*AM613^3+BMILMS!$E$6*AM613^2+BMILMS!$F$6*AM613+BMILMS!$G$6,BMILMS!$D$7*AM613^3+BMILMS!$E$7*AM613^2+BMILMS!$F$7*AM613+BMILMS!$G$7)),IF(AM613&lt;69,BMILMS!$D$9*AM613^3+BMILMS!$E$9*AM613^2+BMILMS!$F$9*AM613+BMILMS!$G$9,IF(AM613&lt;150,BMILMS!$D$10*AM613^3+BMILMS!$E$10*AM613^2+BMILMS!$F$10*AM613+BMILMS!$G$10,BMILMS!$D$11*AM613^3+BMILMS!$E$11*AM613^2+BMILMS!$F$11*AM613+BMILMS!$G$11)))</f>
        <v>0.79584630099999998</v>
      </c>
      <c r="AK613" s="4">
        <f>IF(D613="M",(IF(AM613&lt;2.5,BMILMS!$D$21*AM613^3+BMILMS!$E$21*AM613^2+BMILMS!$F$21*AM613+BMILMS!$G$21,IF(AM613&lt;9.5,BMILMS!$D$22*AM613^3+BMILMS!$E$22*AM613^2+BMILMS!$F$22*AM613+BMILMS!$G$22,IF(AM613&lt;26.75,BMILMS!$D$23*AM613^3+BMILMS!$E$23*AM613^2+BMILMS!$F$23*AM613+BMILMS!$G$23,IF(AM613&lt;90,BMILMS!$D$24*AM613^3+BMILMS!$E$24*AM613^2+BMILMS!$F$24*AM613+BMILMS!$G$24,BMILMS!$D$25*AM613^3+BMILMS!$E$25*AM613^2+BMILMS!$F$25*AM613+BMILMS!$G$25))))),(IF(AM613&lt;2.5,BMILMS!$D$27*AM613^3+BMILMS!$E$27*AM613^2+BMILMS!$F$27*AM613+BMILMS!$G$27,IF(AM613&lt;9.5,BMILMS!$D$28*AM613^3+BMILMS!$E$28*AM613^2+BMILMS!$F$28*AM613+BMILMS!$G$28,IF(AM613&lt;26.75,BMILMS!$D$29*AM613^3+BMILMS!$E$29*AM613^2+BMILMS!$F$29*AM613+BMILMS!$G$29,IF(AM613&lt;90,BMILMS!$D$30*AM613^3+BMILMS!$E$30*AM613^2+BMILMS!$F$30*AM613+BMILMS!$G$30,IF(AM613&lt;150,BMILMS!$D$31*AM613^3+BMILMS!$E$31*AM613^2+BMILMS!$F$31*AM613+BMILMS!$G$31,BMILMS!$D$32*AM613^3+BMILMS!$E$32*AM613^2+BMILMS!$F$32*AM613+BMILMS!$G$32)))))))</f>
        <v>12.568967990000001</v>
      </c>
      <c r="AL613" s="4">
        <f>IF(D613="M",(IF(AM613&lt;90,BMILMS!$D$14*AM613^3+BMILMS!$E$14*AM613^2+BMILMS!$F$14*AM613+BMILMS!$G$14,BMILMS!$D$15*AM613^3+BMILMS!$E$15*AM613^2+BMILMS!$F$15*AM613+BMILMS!$G$15)),(IF(AM613&lt;90,BMILMS!$D$17*AM613^3+BMILMS!$E$17*AM613^2+BMILMS!$F$17*AM613+BMILMS!$G$17,BMILMS!$D$18*AM613^3+BMILMS!$E$18*AM613^2+BMILMS!$F$18*AM613+BMILMS!$G$18)))</f>
        <v>8.8969350000000003E-2</v>
      </c>
      <c r="AM613" s="4">
        <f t="shared" si="209"/>
        <v>0</v>
      </c>
      <c r="AO613" s="56">
        <f>IF(D613="M",WeightSDS!P$5*$AM613^7+WeightSDS!Q$5*$AM613^6+WeightSDS!R$5*$AM613^5+WeightSDS!S$5*$AM613^4+WeightSDS!T$5*$AM613^3+WeightSDS!U$5*$AM613^2+WeightSDS!V$5*$AM613+WeightSDS!W$5,IF($AM613&lt;186,WeightSDS!P$8*$AM613^7+WeightSDS!Q$8*$AM613^6+WeightSDS!R$8*$AM613^5+WeightSDS!S$8*$AM613^4+WeightSDS!T$8*$AM613^3+WeightSDS!U$8*$AM613^2+WeightSDS!V$8*$AM613+WeightSDS!W$8,WeightSDS!$U$9+WeightSDS!$V$9*($AM613-WeightSDS!$W$9)))</f>
        <v>0.75407122999999998</v>
      </c>
      <c r="AP613" s="4">
        <f>IF(D613="M",IF($AM613&lt;45,WeightSDS!M$23*$AM613^10+WeightSDS!N$23*$AM613^9+WeightSDS!O$23*$AM613^8+WeightSDS!P$23*$AM613^7+WeightSDS!Q$23*$AM613^6+WeightSDS!R$23*$AM613^5+WeightSDS!S$23*$AM613^4+WeightSDS!T$23*$AM613^3+WeightSDS!U$23*$AM613^2+WeightSDS!V$23*$AM613+WeightSDS!W$23,IF($AM613&lt;153,WeightSDS!M$25*$AM613^10+WeightSDS!N$25*$AM613^9+WeightSDS!O$25*$AM613^8+WeightSDS!P$25*$AM613^7+WeightSDS!Q$25*$AM613^6+WeightSDS!R$25*$AM613^5+WeightSDS!S$25*$AM613^4+WeightSDS!T$25*$AM613^3+WeightSDS!U$25*$AM613^2+WeightSDS!V$25*$AM613+WeightSDS!W$25,WeightSDS!M$27+WeightSDS!N$27/(1+EXP(WeightSDS!O$27+WeightSDS!P$27*$AM613)))),IF($AM613&lt;43.8,WeightSDS!M$29*$AM613^10+WeightSDS!N$29*$AM613^9+WeightSDS!O$29*$AM613^8+WeightSDS!P$29*$AM613^7+WeightSDS!Q$29*$AM613^6+WeightSDS!R$29*$AM613^5+WeightSDS!S$29*$AM613^4+WeightSDS!T$29*$AM613^3+WeightSDS!U$29*$AM613^2+WeightSDS!V$29*$AM613+WeightSDS!W$29-0.010431*(1-$AM613/210),IF($AM613&lt;123,WeightSDS!M$30*$AM613^10+WeightSDS!N$30*$AM613^9+WeightSDS!O$30*$AM613^8+WeightSDS!P$30*$AM613^7+WeightSDS!Q$30*$AM613^6+WeightSDS!R$30*$AM613^5+WeightSDS!S$30*$AM613^4+WeightSDS!T$30*$AM613^3+WeightSDS!U$30*$AM613^2+WeightSDS!V$30*$AM613+WeightSDS!W$30-0.010431*(1-1/$AM613),WeightSDS!M$32+WeightSDS!N$32/(1+EXP(WeightSDS!O$32+WeightSDS!P$32*$AM613))-0.010431*(1-$AM613/210))))</f>
        <v>2.9500001032655536</v>
      </c>
      <c r="AQ613" s="4">
        <f>IF(D613="M",IF($AM613&lt;162,WeightSDS!P$12*$AM613^7+WeightSDS!Q$12*$AM613^6+WeightSDS!R$12*$AM613^5+WeightSDS!S$12*$AM613^4+WeightSDS!T$12*$AM613^3+WeightSDS!U$12*$AM613^2+WeightSDS!V$12*$AM613+WeightSDS!W$12,WeightSDS!P$14*$AM613^7+WeightSDS!Q$14*$AM613^6+WeightSDS!R$14*$AM613^5+WeightSDS!S$14*$AM613^4+WeightSDS!T$14*$AM613^3+WeightSDS!U$14*$AM613^2+WeightSDS!V$14*$AM613+WeightSDS!W$14),IF($AM613&lt;156,WeightSDS!O$17*$AM613^8+WeightSDS!P$17*$AM613^7+WeightSDS!Q$17*$AM613^6+WeightSDS!R$17*$AM613^5+WeightSDS!S$17*$AM613^4+WeightSDS!T$17*$AM613^3+WeightSDS!U$17*$AM613^2+WeightSDS!V$17*$AM613+WeightSDS!W$17,IF($AM613&lt;186,WeightSDS!$U$18+(WeightSDS!$V$18-WeightSDS!$U$18)/24*($AM613-186)+WeightSDS!$W$18*(-$AM613+186)^2-0.005,WeightSDS!$U$18+(WeightSDS!$V$18-WeightSDS!$U$18)/24*($AM613-186)-0.005)))</f>
        <v>0.14604529399999999</v>
      </c>
      <c r="AT613" s="4">
        <f t="shared" si="196"/>
        <v>0.56299999999999994</v>
      </c>
      <c r="AU613" s="4">
        <f t="shared" si="197"/>
        <v>69</v>
      </c>
      <c r="AV613" s="4">
        <f t="shared" si="198"/>
        <v>0.51</v>
      </c>
    </row>
    <row r="614" spans="1:48" x14ac:dyDescent="0.15">
      <c r="A614" s="4"/>
      <c r="B614" s="21"/>
      <c r="C614" s="21"/>
      <c r="D614" s="21"/>
      <c r="E614" s="22"/>
      <c r="F614" s="22"/>
      <c r="G614" s="23"/>
      <c r="H614" s="23"/>
      <c r="I614" s="181"/>
      <c r="J614" s="8" t="str">
        <f t="shared" si="190"/>
        <v/>
      </c>
      <c r="K614" s="2" t="str">
        <f t="shared" si="199"/>
        <v/>
      </c>
      <c r="L614" s="2" t="str">
        <f t="shared" si="191"/>
        <v/>
      </c>
      <c r="M614" s="2" t="str">
        <f t="shared" si="200"/>
        <v/>
      </c>
      <c r="N614" s="2" t="str">
        <f t="shared" si="208"/>
        <v/>
      </c>
      <c r="O614" s="2" t="str">
        <f t="shared" si="201"/>
        <v/>
      </c>
      <c r="P614" s="8" t="str">
        <f t="shared" si="202"/>
        <v/>
      </c>
      <c r="Q614" s="8" t="str">
        <f t="shared" si="203"/>
        <v/>
      </c>
      <c r="R614" s="111" t="str">
        <f t="shared" si="204"/>
        <v/>
      </c>
      <c r="S614" s="44" t="str">
        <f t="shared" si="205"/>
        <v/>
      </c>
      <c r="T614" s="37" t="str">
        <f t="shared" si="206"/>
        <v/>
      </c>
      <c r="U614" s="44" t="str">
        <f t="shared" si="207"/>
        <v/>
      </c>
      <c r="V614" s="26"/>
      <c r="W614" s="26"/>
      <c r="X614" s="26"/>
      <c r="Y614" s="26"/>
      <c r="Z614" s="24"/>
      <c r="AA614" s="169">
        <f t="shared" si="192"/>
        <v>0</v>
      </c>
      <c r="AB614" s="4">
        <f t="shared" si="193"/>
        <v>0</v>
      </c>
      <c r="AC614" s="170">
        <f t="shared" si="210"/>
        <v>0</v>
      </c>
      <c r="AD614" s="58"/>
      <c r="AE614" s="58"/>
      <c r="AF614" s="58"/>
      <c r="AG614" s="59">
        <f t="shared" si="194"/>
        <v>9.0359999999999996</v>
      </c>
      <c r="AH614" s="59">
        <f t="shared" si="195"/>
        <v>-184.49199999999999</v>
      </c>
      <c r="AJ614" s="4">
        <f>IF(D614="M",IF(AM614&lt;78,BMILMS!$D$5*AM614^3+BMILMS!$E$5*AM614^2+BMILMS!$F$5*AM614+BMILMS!$G$5,IF(AM614&lt;150,BMILMS!$D$6*AM614^3+BMILMS!$E$6*AM614^2+BMILMS!$F$6*AM614+BMILMS!$G$6,BMILMS!$D$7*AM614^3+BMILMS!$E$7*AM614^2+BMILMS!$F$7*AM614+BMILMS!$G$7)),IF(AM614&lt;69,BMILMS!$D$9*AM614^3+BMILMS!$E$9*AM614^2+BMILMS!$F$9*AM614+BMILMS!$G$9,IF(AM614&lt;150,BMILMS!$D$10*AM614^3+BMILMS!$E$10*AM614^2+BMILMS!$F$10*AM614+BMILMS!$G$10,BMILMS!$D$11*AM614^3+BMILMS!$E$11*AM614^2+BMILMS!$F$11*AM614+BMILMS!$G$11)))</f>
        <v>0.79584630099999998</v>
      </c>
      <c r="AK614" s="4">
        <f>IF(D614="M",(IF(AM614&lt;2.5,BMILMS!$D$21*AM614^3+BMILMS!$E$21*AM614^2+BMILMS!$F$21*AM614+BMILMS!$G$21,IF(AM614&lt;9.5,BMILMS!$D$22*AM614^3+BMILMS!$E$22*AM614^2+BMILMS!$F$22*AM614+BMILMS!$G$22,IF(AM614&lt;26.75,BMILMS!$D$23*AM614^3+BMILMS!$E$23*AM614^2+BMILMS!$F$23*AM614+BMILMS!$G$23,IF(AM614&lt;90,BMILMS!$D$24*AM614^3+BMILMS!$E$24*AM614^2+BMILMS!$F$24*AM614+BMILMS!$G$24,BMILMS!$D$25*AM614^3+BMILMS!$E$25*AM614^2+BMILMS!$F$25*AM614+BMILMS!$G$25))))),(IF(AM614&lt;2.5,BMILMS!$D$27*AM614^3+BMILMS!$E$27*AM614^2+BMILMS!$F$27*AM614+BMILMS!$G$27,IF(AM614&lt;9.5,BMILMS!$D$28*AM614^3+BMILMS!$E$28*AM614^2+BMILMS!$F$28*AM614+BMILMS!$G$28,IF(AM614&lt;26.75,BMILMS!$D$29*AM614^3+BMILMS!$E$29*AM614^2+BMILMS!$F$29*AM614+BMILMS!$G$29,IF(AM614&lt;90,BMILMS!$D$30*AM614^3+BMILMS!$E$30*AM614^2+BMILMS!$F$30*AM614+BMILMS!$G$30,IF(AM614&lt;150,BMILMS!$D$31*AM614^3+BMILMS!$E$31*AM614^2+BMILMS!$F$31*AM614+BMILMS!$G$31,BMILMS!$D$32*AM614^3+BMILMS!$E$32*AM614^2+BMILMS!$F$32*AM614+BMILMS!$G$32)))))))</f>
        <v>12.568967990000001</v>
      </c>
      <c r="AL614" s="4">
        <f>IF(D614="M",(IF(AM614&lt;90,BMILMS!$D$14*AM614^3+BMILMS!$E$14*AM614^2+BMILMS!$F$14*AM614+BMILMS!$G$14,BMILMS!$D$15*AM614^3+BMILMS!$E$15*AM614^2+BMILMS!$F$15*AM614+BMILMS!$G$15)),(IF(AM614&lt;90,BMILMS!$D$17*AM614^3+BMILMS!$E$17*AM614^2+BMILMS!$F$17*AM614+BMILMS!$G$17,BMILMS!$D$18*AM614^3+BMILMS!$E$18*AM614^2+BMILMS!$F$18*AM614+BMILMS!$G$18)))</f>
        <v>8.8969350000000003E-2</v>
      </c>
      <c r="AM614" s="4">
        <f t="shared" si="209"/>
        <v>0</v>
      </c>
      <c r="AO614" s="56">
        <f>IF(D614="M",WeightSDS!P$5*$AM614^7+WeightSDS!Q$5*$AM614^6+WeightSDS!R$5*$AM614^5+WeightSDS!S$5*$AM614^4+WeightSDS!T$5*$AM614^3+WeightSDS!U$5*$AM614^2+WeightSDS!V$5*$AM614+WeightSDS!W$5,IF($AM614&lt;186,WeightSDS!P$8*$AM614^7+WeightSDS!Q$8*$AM614^6+WeightSDS!R$8*$AM614^5+WeightSDS!S$8*$AM614^4+WeightSDS!T$8*$AM614^3+WeightSDS!U$8*$AM614^2+WeightSDS!V$8*$AM614+WeightSDS!W$8,WeightSDS!$U$9+WeightSDS!$V$9*($AM614-WeightSDS!$W$9)))</f>
        <v>0.75407122999999998</v>
      </c>
      <c r="AP614" s="4">
        <f>IF(D614="M",IF($AM614&lt;45,WeightSDS!M$23*$AM614^10+WeightSDS!N$23*$AM614^9+WeightSDS!O$23*$AM614^8+WeightSDS!P$23*$AM614^7+WeightSDS!Q$23*$AM614^6+WeightSDS!R$23*$AM614^5+WeightSDS!S$23*$AM614^4+WeightSDS!T$23*$AM614^3+WeightSDS!U$23*$AM614^2+WeightSDS!V$23*$AM614+WeightSDS!W$23,IF($AM614&lt;153,WeightSDS!M$25*$AM614^10+WeightSDS!N$25*$AM614^9+WeightSDS!O$25*$AM614^8+WeightSDS!P$25*$AM614^7+WeightSDS!Q$25*$AM614^6+WeightSDS!R$25*$AM614^5+WeightSDS!S$25*$AM614^4+WeightSDS!T$25*$AM614^3+WeightSDS!U$25*$AM614^2+WeightSDS!V$25*$AM614+WeightSDS!W$25,WeightSDS!M$27+WeightSDS!N$27/(1+EXP(WeightSDS!O$27+WeightSDS!P$27*$AM614)))),IF($AM614&lt;43.8,WeightSDS!M$29*$AM614^10+WeightSDS!N$29*$AM614^9+WeightSDS!O$29*$AM614^8+WeightSDS!P$29*$AM614^7+WeightSDS!Q$29*$AM614^6+WeightSDS!R$29*$AM614^5+WeightSDS!S$29*$AM614^4+WeightSDS!T$29*$AM614^3+WeightSDS!U$29*$AM614^2+WeightSDS!V$29*$AM614+WeightSDS!W$29-0.010431*(1-$AM614/210),IF($AM614&lt;123,WeightSDS!M$30*$AM614^10+WeightSDS!N$30*$AM614^9+WeightSDS!O$30*$AM614^8+WeightSDS!P$30*$AM614^7+WeightSDS!Q$30*$AM614^6+WeightSDS!R$30*$AM614^5+WeightSDS!S$30*$AM614^4+WeightSDS!T$30*$AM614^3+WeightSDS!U$30*$AM614^2+WeightSDS!V$30*$AM614+WeightSDS!W$30-0.010431*(1-1/$AM614),WeightSDS!M$32+WeightSDS!N$32/(1+EXP(WeightSDS!O$32+WeightSDS!P$32*$AM614))-0.010431*(1-$AM614/210))))</f>
        <v>2.9500001032655536</v>
      </c>
      <c r="AQ614" s="4">
        <f>IF(D614="M",IF($AM614&lt;162,WeightSDS!P$12*$AM614^7+WeightSDS!Q$12*$AM614^6+WeightSDS!R$12*$AM614^5+WeightSDS!S$12*$AM614^4+WeightSDS!T$12*$AM614^3+WeightSDS!U$12*$AM614^2+WeightSDS!V$12*$AM614+WeightSDS!W$12,WeightSDS!P$14*$AM614^7+WeightSDS!Q$14*$AM614^6+WeightSDS!R$14*$AM614^5+WeightSDS!S$14*$AM614^4+WeightSDS!T$14*$AM614^3+WeightSDS!U$14*$AM614^2+WeightSDS!V$14*$AM614+WeightSDS!W$14),IF($AM614&lt;156,WeightSDS!O$17*$AM614^8+WeightSDS!P$17*$AM614^7+WeightSDS!Q$17*$AM614^6+WeightSDS!R$17*$AM614^5+WeightSDS!S$17*$AM614^4+WeightSDS!T$17*$AM614^3+WeightSDS!U$17*$AM614^2+WeightSDS!V$17*$AM614+WeightSDS!W$17,IF($AM614&lt;186,WeightSDS!$U$18+(WeightSDS!$V$18-WeightSDS!$U$18)/24*($AM614-186)+WeightSDS!$W$18*(-$AM614+186)^2-0.005,WeightSDS!$U$18+(WeightSDS!$V$18-WeightSDS!$U$18)/24*($AM614-186)-0.005)))</f>
        <v>0.14604529399999999</v>
      </c>
      <c r="AT614" s="4">
        <f t="shared" si="196"/>
        <v>0.56299999999999994</v>
      </c>
      <c r="AU614" s="4">
        <f t="shared" si="197"/>
        <v>69</v>
      </c>
      <c r="AV614" s="4">
        <f t="shared" si="198"/>
        <v>0.51</v>
      </c>
    </row>
    <row r="615" spans="1:48" x14ac:dyDescent="0.15">
      <c r="A615" s="4"/>
      <c r="B615" s="21"/>
      <c r="C615" s="21"/>
      <c r="D615" s="21"/>
      <c r="E615" s="22"/>
      <c r="F615" s="22"/>
      <c r="G615" s="23"/>
      <c r="H615" s="23"/>
      <c r="I615" s="181"/>
      <c r="J615" s="8" t="str">
        <f t="shared" si="190"/>
        <v/>
      </c>
      <c r="K615" s="2" t="str">
        <f t="shared" si="199"/>
        <v/>
      </c>
      <c r="L615" s="2" t="str">
        <f t="shared" si="191"/>
        <v/>
      </c>
      <c r="M615" s="2" t="str">
        <f t="shared" si="200"/>
        <v/>
      </c>
      <c r="N615" s="2" t="str">
        <f t="shared" si="208"/>
        <v/>
      </c>
      <c r="O615" s="2" t="str">
        <f t="shared" si="201"/>
        <v/>
      </c>
      <c r="P615" s="8" t="str">
        <f t="shared" si="202"/>
        <v/>
      </c>
      <c r="Q615" s="8" t="str">
        <f t="shared" si="203"/>
        <v/>
      </c>
      <c r="R615" s="111" t="str">
        <f t="shared" si="204"/>
        <v/>
      </c>
      <c r="S615" s="44" t="str">
        <f t="shared" si="205"/>
        <v/>
      </c>
      <c r="T615" s="37" t="str">
        <f t="shared" si="206"/>
        <v/>
      </c>
      <c r="U615" s="44" t="str">
        <f t="shared" si="207"/>
        <v/>
      </c>
      <c r="V615" s="26"/>
      <c r="W615" s="26"/>
      <c r="X615" s="26"/>
      <c r="Y615" s="26"/>
      <c r="Z615" s="24"/>
      <c r="AA615" s="169">
        <f t="shared" si="192"/>
        <v>0</v>
      </c>
      <c r="AB615" s="4">
        <f t="shared" si="193"/>
        <v>0</v>
      </c>
      <c r="AC615" s="170">
        <f t="shared" si="210"/>
        <v>0</v>
      </c>
      <c r="AD615" s="58"/>
      <c r="AE615" s="58"/>
      <c r="AF615" s="58"/>
      <c r="AG615" s="59">
        <f t="shared" si="194"/>
        <v>9.0359999999999996</v>
      </c>
      <c r="AH615" s="59">
        <f t="shared" si="195"/>
        <v>-184.49199999999999</v>
      </c>
      <c r="AJ615" s="4">
        <f>IF(D615="M",IF(AM615&lt;78,BMILMS!$D$5*AM615^3+BMILMS!$E$5*AM615^2+BMILMS!$F$5*AM615+BMILMS!$G$5,IF(AM615&lt;150,BMILMS!$D$6*AM615^3+BMILMS!$E$6*AM615^2+BMILMS!$F$6*AM615+BMILMS!$G$6,BMILMS!$D$7*AM615^3+BMILMS!$E$7*AM615^2+BMILMS!$F$7*AM615+BMILMS!$G$7)),IF(AM615&lt;69,BMILMS!$D$9*AM615^3+BMILMS!$E$9*AM615^2+BMILMS!$F$9*AM615+BMILMS!$G$9,IF(AM615&lt;150,BMILMS!$D$10*AM615^3+BMILMS!$E$10*AM615^2+BMILMS!$F$10*AM615+BMILMS!$G$10,BMILMS!$D$11*AM615^3+BMILMS!$E$11*AM615^2+BMILMS!$F$11*AM615+BMILMS!$G$11)))</f>
        <v>0.79584630099999998</v>
      </c>
      <c r="AK615" s="4">
        <f>IF(D615="M",(IF(AM615&lt;2.5,BMILMS!$D$21*AM615^3+BMILMS!$E$21*AM615^2+BMILMS!$F$21*AM615+BMILMS!$G$21,IF(AM615&lt;9.5,BMILMS!$D$22*AM615^3+BMILMS!$E$22*AM615^2+BMILMS!$F$22*AM615+BMILMS!$G$22,IF(AM615&lt;26.75,BMILMS!$D$23*AM615^3+BMILMS!$E$23*AM615^2+BMILMS!$F$23*AM615+BMILMS!$G$23,IF(AM615&lt;90,BMILMS!$D$24*AM615^3+BMILMS!$E$24*AM615^2+BMILMS!$F$24*AM615+BMILMS!$G$24,BMILMS!$D$25*AM615^3+BMILMS!$E$25*AM615^2+BMILMS!$F$25*AM615+BMILMS!$G$25))))),(IF(AM615&lt;2.5,BMILMS!$D$27*AM615^3+BMILMS!$E$27*AM615^2+BMILMS!$F$27*AM615+BMILMS!$G$27,IF(AM615&lt;9.5,BMILMS!$D$28*AM615^3+BMILMS!$E$28*AM615^2+BMILMS!$F$28*AM615+BMILMS!$G$28,IF(AM615&lt;26.75,BMILMS!$D$29*AM615^3+BMILMS!$E$29*AM615^2+BMILMS!$F$29*AM615+BMILMS!$G$29,IF(AM615&lt;90,BMILMS!$D$30*AM615^3+BMILMS!$E$30*AM615^2+BMILMS!$F$30*AM615+BMILMS!$G$30,IF(AM615&lt;150,BMILMS!$D$31*AM615^3+BMILMS!$E$31*AM615^2+BMILMS!$F$31*AM615+BMILMS!$G$31,BMILMS!$D$32*AM615^3+BMILMS!$E$32*AM615^2+BMILMS!$F$32*AM615+BMILMS!$G$32)))))))</f>
        <v>12.568967990000001</v>
      </c>
      <c r="AL615" s="4">
        <f>IF(D615="M",(IF(AM615&lt;90,BMILMS!$D$14*AM615^3+BMILMS!$E$14*AM615^2+BMILMS!$F$14*AM615+BMILMS!$G$14,BMILMS!$D$15*AM615^3+BMILMS!$E$15*AM615^2+BMILMS!$F$15*AM615+BMILMS!$G$15)),(IF(AM615&lt;90,BMILMS!$D$17*AM615^3+BMILMS!$E$17*AM615^2+BMILMS!$F$17*AM615+BMILMS!$G$17,BMILMS!$D$18*AM615^3+BMILMS!$E$18*AM615^2+BMILMS!$F$18*AM615+BMILMS!$G$18)))</f>
        <v>8.8969350000000003E-2</v>
      </c>
      <c r="AM615" s="4">
        <f t="shared" si="209"/>
        <v>0</v>
      </c>
      <c r="AO615" s="56">
        <f>IF(D615="M",WeightSDS!P$5*$AM615^7+WeightSDS!Q$5*$AM615^6+WeightSDS!R$5*$AM615^5+WeightSDS!S$5*$AM615^4+WeightSDS!T$5*$AM615^3+WeightSDS!U$5*$AM615^2+WeightSDS!V$5*$AM615+WeightSDS!W$5,IF($AM615&lt;186,WeightSDS!P$8*$AM615^7+WeightSDS!Q$8*$AM615^6+WeightSDS!R$8*$AM615^5+WeightSDS!S$8*$AM615^4+WeightSDS!T$8*$AM615^3+WeightSDS!U$8*$AM615^2+WeightSDS!V$8*$AM615+WeightSDS!W$8,WeightSDS!$U$9+WeightSDS!$V$9*($AM615-WeightSDS!$W$9)))</f>
        <v>0.75407122999999998</v>
      </c>
      <c r="AP615" s="4">
        <f>IF(D615="M",IF($AM615&lt;45,WeightSDS!M$23*$AM615^10+WeightSDS!N$23*$AM615^9+WeightSDS!O$23*$AM615^8+WeightSDS!P$23*$AM615^7+WeightSDS!Q$23*$AM615^6+WeightSDS!R$23*$AM615^5+WeightSDS!S$23*$AM615^4+WeightSDS!T$23*$AM615^3+WeightSDS!U$23*$AM615^2+WeightSDS!V$23*$AM615+WeightSDS!W$23,IF($AM615&lt;153,WeightSDS!M$25*$AM615^10+WeightSDS!N$25*$AM615^9+WeightSDS!O$25*$AM615^8+WeightSDS!P$25*$AM615^7+WeightSDS!Q$25*$AM615^6+WeightSDS!R$25*$AM615^5+WeightSDS!S$25*$AM615^4+WeightSDS!T$25*$AM615^3+WeightSDS!U$25*$AM615^2+WeightSDS!V$25*$AM615+WeightSDS!W$25,WeightSDS!M$27+WeightSDS!N$27/(1+EXP(WeightSDS!O$27+WeightSDS!P$27*$AM615)))),IF($AM615&lt;43.8,WeightSDS!M$29*$AM615^10+WeightSDS!N$29*$AM615^9+WeightSDS!O$29*$AM615^8+WeightSDS!P$29*$AM615^7+WeightSDS!Q$29*$AM615^6+WeightSDS!R$29*$AM615^5+WeightSDS!S$29*$AM615^4+WeightSDS!T$29*$AM615^3+WeightSDS!U$29*$AM615^2+WeightSDS!V$29*$AM615+WeightSDS!W$29-0.010431*(1-$AM615/210),IF($AM615&lt;123,WeightSDS!M$30*$AM615^10+WeightSDS!N$30*$AM615^9+WeightSDS!O$30*$AM615^8+WeightSDS!P$30*$AM615^7+WeightSDS!Q$30*$AM615^6+WeightSDS!R$30*$AM615^5+WeightSDS!S$30*$AM615^4+WeightSDS!T$30*$AM615^3+WeightSDS!U$30*$AM615^2+WeightSDS!V$30*$AM615+WeightSDS!W$30-0.010431*(1-1/$AM615),WeightSDS!M$32+WeightSDS!N$32/(1+EXP(WeightSDS!O$32+WeightSDS!P$32*$AM615))-0.010431*(1-$AM615/210))))</f>
        <v>2.9500001032655536</v>
      </c>
      <c r="AQ615" s="4">
        <f>IF(D615="M",IF($AM615&lt;162,WeightSDS!P$12*$AM615^7+WeightSDS!Q$12*$AM615^6+WeightSDS!R$12*$AM615^5+WeightSDS!S$12*$AM615^4+WeightSDS!T$12*$AM615^3+WeightSDS!U$12*$AM615^2+WeightSDS!V$12*$AM615+WeightSDS!W$12,WeightSDS!P$14*$AM615^7+WeightSDS!Q$14*$AM615^6+WeightSDS!R$14*$AM615^5+WeightSDS!S$14*$AM615^4+WeightSDS!T$14*$AM615^3+WeightSDS!U$14*$AM615^2+WeightSDS!V$14*$AM615+WeightSDS!W$14),IF($AM615&lt;156,WeightSDS!O$17*$AM615^8+WeightSDS!P$17*$AM615^7+WeightSDS!Q$17*$AM615^6+WeightSDS!R$17*$AM615^5+WeightSDS!S$17*$AM615^4+WeightSDS!T$17*$AM615^3+WeightSDS!U$17*$AM615^2+WeightSDS!V$17*$AM615+WeightSDS!W$17,IF($AM615&lt;186,WeightSDS!$U$18+(WeightSDS!$V$18-WeightSDS!$U$18)/24*($AM615-186)+WeightSDS!$W$18*(-$AM615+186)^2-0.005,WeightSDS!$U$18+(WeightSDS!$V$18-WeightSDS!$U$18)/24*($AM615-186)-0.005)))</f>
        <v>0.14604529399999999</v>
      </c>
      <c r="AT615" s="4">
        <f t="shared" si="196"/>
        <v>0.56299999999999994</v>
      </c>
      <c r="AU615" s="4">
        <f t="shared" si="197"/>
        <v>69</v>
      </c>
      <c r="AV615" s="4">
        <f t="shared" si="198"/>
        <v>0.51</v>
      </c>
    </row>
    <row r="616" spans="1:48" x14ac:dyDescent="0.15">
      <c r="A616" s="4"/>
      <c r="B616" s="21"/>
      <c r="C616" s="21"/>
      <c r="D616" s="21"/>
      <c r="E616" s="22"/>
      <c r="F616" s="22"/>
      <c r="G616" s="23"/>
      <c r="H616" s="23"/>
      <c r="I616" s="181"/>
      <c r="J616" s="8" t="str">
        <f t="shared" si="190"/>
        <v/>
      </c>
      <c r="K616" s="2" t="str">
        <f t="shared" si="199"/>
        <v/>
      </c>
      <c r="L616" s="2" t="str">
        <f t="shared" si="191"/>
        <v/>
      </c>
      <c r="M616" s="2" t="str">
        <f t="shared" si="200"/>
        <v/>
      </c>
      <c r="N616" s="2" t="str">
        <f t="shared" si="208"/>
        <v/>
      </c>
      <c r="O616" s="2" t="str">
        <f t="shared" si="201"/>
        <v/>
      </c>
      <c r="P616" s="8" t="str">
        <f t="shared" si="202"/>
        <v/>
      </c>
      <c r="Q616" s="8" t="str">
        <f t="shared" si="203"/>
        <v/>
      </c>
      <c r="R616" s="111" t="str">
        <f t="shared" si="204"/>
        <v/>
      </c>
      <c r="S616" s="44" t="str">
        <f t="shared" si="205"/>
        <v/>
      </c>
      <c r="T616" s="37" t="str">
        <f t="shared" si="206"/>
        <v/>
      </c>
      <c r="U616" s="44" t="str">
        <f t="shared" si="207"/>
        <v/>
      </c>
      <c r="V616" s="26"/>
      <c r="W616" s="26"/>
      <c r="X616" s="26"/>
      <c r="Y616" s="26"/>
      <c r="Z616" s="24"/>
      <c r="AA616" s="169">
        <f t="shared" si="192"/>
        <v>0</v>
      </c>
      <c r="AB616" s="4">
        <f t="shared" si="193"/>
        <v>0</v>
      </c>
      <c r="AC616" s="170">
        <f t="shared" si="210"/>
        <v>0</v>
      </c>
      <c r="AD616" s="58"/>
      <c r="AE616" s="58"/>
      <c r="AF616" s="58"/>
      <c r="AG616" s="59">
        <f t="shared" si="194"/>
        <v>9.0359999999999996</v>
      </c>
      <c r="AH616" s="59">
        <f t="shared" si="195"/>
        <v>-184.49199999999999</v>
      </c>
      <c r="AJ616" s="4">
        <f>IF(D616="M",IF(AM616&lt;78,BMILMS!$D$5*AM616^3+BMILMS!$E$5*AM616^2+BMILMS!$F$5*AM616+BMILMS!$G$5,IF(AM616&lt;150,BMILMS!$D$6*AM616^3+BMILMS!$E$6*AM616^2+BMILMS!$F$6*AM616+BMILMS!$G$6,BMILMS!$D$7*AM616^3+BMILMS!$E$7*AM616^2+BMILMS!$F$7*AM616+BMILMS!$G$7)),IF(AM616&lt;69,BMILMS!$D$9*AM616^3+BMILMS!$E$9*AM616^2+BMILMS!$F$9*AM616+BMILMS!$G$9,IF(AM616&lt;150,BMILMS!$D$10*AM616^3+BMILMS!$E$10*AM616^2+BMILMS!$F$10*AM616+BMILMS!$G$10,BMILMS!$D$11*AM616^3+BMILMS!$E$11*AM616^2+BMILMS!$F$11*AM616+BMILMS!$G$11)))</f>
        <v>0.79584630099999998</v>
      </c>
      <c r="AK616" s="4">
        <f>IF(D616="M",(IF(AM616&lt;2.5,BMILMS!$D$21*AM616^3+BMILMS!$E$21*AM616^2+BMILMS!$F$21*AM616+BMILMS!$G$21,IF(AM616&lt;9.5,BMILMS!$D$22*AM616^3+BMILMS!$E$22*AM616^2+BMILMS!$F$22*AM616+BMILMS!$G$22,IF(AM616&lt;26.75,BMILMS!$D$23*AM616^3+BMILMS!$E$23*AM616^2+BMILMS!$F$23*AM616+BMILMS!$G$23,IF(AM616&lt;90,BMILMS!$D$24*AM616^3+BMILMS!$E$24*AM616^2+BMILMS!$F$24*AM616+BMILMS!$G$24,BMILMS!$D$25*AM616^3+BMILMS!$E$25*AM616^2+BMILMS!$F$25*AM616+BMILMS!$G$25))))),(IF(AM616&lt;2.5,BMILMS!$D$27*AM616^3+BMILMS!$E$27*AM616^2+BMILMS!$F$27*AM616+BMILMS!$G$27,IF(AM616&lt;9.5,BMILMS!$D$28*AM616^3+BMILMS!$E$28*AM616^2+BMILMS!$F$28*AM616+BMILMS!$G$28,IF(AM616&lt;26.75,BMILMS!$D$29*AM616^3+BMILMS!$E$29*AM616^2+BMILMS!$F$29*AM616+BMILMS!$G$29,IF(AM616&lt;90,BMILMS!$D$30*AM616^3+BMILMS!$E$30*AM616^2+BMILMS!$F$30*AM616+BMILMS!$G$30,IF(AM616&lt;150,BMILMS!$D$31*AM616^3+BMILMS!$E$31*AM616^2+BMILMS!$F$31*AM616+BMILMS!$G$31,BMILMS!$D$32*AM616^3+BMILMS!$E$32*AM616^2+BMILMS!$F$32*AM616+BMILMS!$G$32)))))))</f>
        <v>12.568967990000001</v>
      </c>
      <c r="AL616" s="4">
        <f>IF(D616="M",(IF(AM616&lt;90,BMILMS!$D$14*AM616^3+BMILMS!$E$14*AM616^2+BMILMS!$F$14*AM616+BMILMS!$G$14,BMILMS!$D$15*AM616^3+BMILMS!$E$15*AM616^2+BMILMS!$F$15*AM616+BMILMS!$G$15)),(IF(AM616&lt;90,BMILMS!$D$17*AM616^3+BMILMS!$E$17*AM616^2+BMILMS!$F$17*AM616+BMILMS!$G$17,BMILMS!$D$18*AM616^3+BMILMS!$E$18*AM616^2+BMILMS!$F$18*AM616+BMILMS!$G$18)))</f>
        <v>8.8969350000000003E-2</v>
      </c>
      <c r="AM616" s="4">
        <f t="shared" si="209"/>
        <v>0</v>
      </c>
      <c r="AO616" s="56">
        <f>IF(D616="M",WeightSDS!P$5*$AM616^7+WeightSDS!Q$5*$AM616^6+WeightSDS!R$5*$AM616^5+WeightSDS!S$5*$AM616^4+WeightSDS!T$5*$AM616^3+WeightSDS!U$5*$AM616^2+WeightSDS!V$5*$AM616+WeightSDS!W$5,IF($AM616&lt;186,WeightSDS!P$8*$AM616^7+WeightSDS!Q$8*$AM616^6+WeightSDS!R$8*$AM616^5+WeightSDS!S$8*$AM616^4+WeightSDS!T$8*$AM616^3+WeightSDS!U$8*$AM616^2+WeightSDS!V$8*$AM616+WeightSDS!W$8,WeightSDS!$U$9+WeightSDS!$V$9*($AM616-WeightSDS!$W$9)))</f>
        <v>0.75407122999999998</v>
      </c>
      <c r="AP616" s="4">
        <f>IF(D616="M",IF($AM616&lt;45,WeightSDS!M$23*$AM616^10+WeightSDS!N$23*$AM616^9+WeightSDS!O$23*$AM616^8+WeightSDS!P$23*$AM616^7+WeightSDS!Q$23*$AM616^6+WeightSDS!R$23*$AM616^5+WeightSDS!S$23*$AM616^4+WeightSDS!T$23*$AM616^3+WeightSDS!U$23*$AM616^2+WeightSDS!V$23*$AM616+WeightSDS!W$23,IF($AM616&lt;153,WeightSDS!M$25*$AM616^10+WeightSDS!N$25*$AM616^9+WeightSDS!O$25*$AM616^8+WeightSDS!P$25*$AM616^7+WeightSDS!Q$25*$AM616^6+WeightSDS!R$25*$AM616^5+WeightSDS!S$25*$AM616^4+WeightSDS!T$25*$AM616^3+WeightSDS!U$25*$AM616^2+WeightSDS!V$25*$AM616+WeightSDS!W$25,WeightSDS!M$27+WeightSDS!N$27/(1+EXP(WeightSDS!O$27+WeightSDS!P$27*$AM616)))),IF($AM616&lt;43.8,WeightSDS!M$29*$AM616^10+WeightSDS!N$29*$AM616^9+WeightSDS!O$29*$AM616^8+WeightSDS!P$29*$AM616^7+WeightSDS!Q$29*$AM616^6+WeightSDS!R$29*$AM616^5+WeightSDS!S$29*$AM616^4+WeightSDS!T$29*$AM616^3+WeightSDS!U$29*$AM616^2+WeightSDS!V$29*$AM616+WeightSDS!W$29-0.010431*(1-$AM616/210),IF($AM616&lt;123,WeightSDS!M$30*$AM616^10+WeightSDS!N$30*$AM616^9+WeightSDS!O$30*$AM616^8+WeightSDS!P$30*$AM616^7+WeightSDS!Q$30*$AM616^6+WeightSDS!R$30*$AM616^5+WeightSDS!S$30*$AM616^4+WeightSDS!T$30*$AM616^3+WeightSDS!U$30*$AM616^2+WeightSDS!V$30*$AM616+WeightSDS!W$30-0.010431*(1-1/$AM616),WeightSDS!M$32+WeightSDS!N$32/(1+EXP(WeightSDS!O$32+WeightSDS!P$32*$AM616))-0.010431*(1-$AM616/210))))</f>
        <v>2.9500001032655536</v>
      </c>
      <c r="AQ616" s="4">
        <f>IF(D616="M",IF($AM616&lt;162,WeightSDS!P$12*$AM616^7+WeightSDS!Q$12*$AM616^6+WeightSDS!R$12*$AM616^5+WeightSDS!S$12*$AM616^4+WeightSDS!T$12*$AM616^3+WeightSDS!U$12*$AM616^2+WeightSDS!V$12*$AM616+WeightSDS!W$12,WeightSDS!P$14*$AM616^7+WeightSDS!Q$14*$AM616^6+WeightSDS!R$14*$AM616^5+WeightSDS!S$14*$AM616^4+WeightSDS!T$14*$AM616^3+WeightSDS!U$14*$AM616^2+WeightSDS!V$14*$AM616+WeightSDS!W$14),IF($AM616&lt;156,WeightSDS!O$17*$AM616^8+WeightSDS!P$17*$AM616^7+WeightSDS!Q$17*$AM616^6+WeightSDS!R$17*$AM616^5+WeightSDS!S$17*$AM616^4+WeightSDS!T$17*$AM616^3+WeightSDS!U$17*$AM616^2+WeightSDS!V$17*$AM616+WeightSDS!W$17,IF($AM616&lt;186,WeightSDS!$U$18+(WeightSDS!$V$18-WeightSDS!$U$18)/24*($AM616-186)+WeightSDS!$W$18*(-$AM616+186)^2-0.005,WeightSDS!$U$18+(WeightSDS!$V$18-WeightSDS!$U$18)/24*($AM616-186)-0.005)))</f>
        <v>0.14604529399999999</v>
      </c>
      <c r="AT616" s="4">
        <f t="shared" si="196"/>
        <v>0.56299999999999994</v>
      </c>
      <c r="AU616" s="4">
        <f t="shared" si="197"/>
        <v>69</v>
      </c>
      <c r="AV616" s="4">
        <f t="shared" si="198"/>
        <v>0.51</v>
      </c>
    </row>
    <row r="617" spans="1:48" x14ac:dyDescent="0.15">
      <c r="A617" s="4"/>
      <c r="B617" s="21"/>
      <c r="C617" s="21"/>
      <c r="D617" s="21"/>
      <c r="E617" s="22"/>
      <c r="F617" s="22"/>
      <c r="G617" s="23"/>
      <c r="H617" s="23"/>
      <c r="I617" s="181"/>
      <c r="J617" s="8" t="str">
        <f t="shared" si="190"/>
        <v/>
      </c>
      <c r="K617" s="2" t="str">
        <f t="shared" si="199"/>
        <v/>
      </c>
      <c r="L617" s="2" t="str">
        <f t="shared" si="191"/>
        <v/>
      </c>
      <c r="M617" s="2" t="str">
        <f t="shared" si="200"/>
        <v/>
      </c>
      <c r="N617" s="2" t="str">
        <f t="shared" si="208"/>
        <v/>
      </c>
      <c r="O617" s="2" t="str">
        <f t="shared" si="201"/>
        <v/>
      </c>
      <c r="P617" s="8" t="str">
        <f t="shared" si="202"/>
        <v/>
      </c>
      <c r="Q617" s="8" t="str">
        <f t="shared" si="203"/>
        <v/>
      </c>
      <c r="R617" s="111" t="str">
        <f t="shared" si="204"/>
        <v/>
      </c>
      <c r="S617" s="44" t="str">
        <f t="shared" si="205"/>
        <v/>
      </c>
      <c r="T617" s="37" t="str">
        <f t="shared" si="206"/>
        <v/>
      </c>
      <c r="U617" s="44" t="str">
        <f t="shared" si="207"/>
        <v/>
      </c>
      <c r="V617" s="26"/>
      <c r="W617" s="26"/>
      <c r="X617" s="26"/>
      <c r="Y617" s="26"/>
      <c r="Z617" s="24"/>
      <c r="AA617" s="169">
        <f t="shared" si="192"/>
        <v>0</v>
      </c>
      <c r="AB617" s="4">
        <f t="shared" si="193"/>
        <v>0</v>
      </c>
      <c r="AC617" s="170">
        <f t="shared" si="210"/>
        <v>0</v>
      </c>
      <c r="AD617" s="58"/>
      <c r="AE617" s="58"/>
      <c r="AF617" s="58"/>
      <c r="AG617" s="59">
        <f t="shared" si="194"/>
        <v>9.0359999999999996</v>
      </c>
      <c r="AH617" s="59">
        <f t="shared" si="195"/>
        <v>-184.49199999999999</v>
      </c>
      <c r="AJ617" s="4">
        <f>IF(D617="M",IF(AM617&lt;78,BMILMS!$D$5*AM617^3+BMILMS!$E$5*AM617^2+BMILMS!$F$5*AM617+BMILMS!$G$5,IF(AM617&lt;150,BMILMS!$D$6*AM617^3+BMILMS!$E$6*AM617^2+BMILMS!$F$6*AM617+BMILMS!$G$6,BMILMS!$D$7*AM617^3+BMILMS!$E$7*AM617^2+BMILMS!$F$7*AM617+BMILMS!$G$7)),IF(AM617&lt;69,BMILMS!$D$9*AM617^3+BMILMS!$E$9*AM617^2+BMILMS!$F$9*AM617+BMILMS!$G$9,IF(AM617&lt;150,BMILMS!$D$10*AM617^3+BMILMS!$E$10*AM617^2+BMILMS!$F$10*AM617+BMILMS!$G$10,BMILMS!$D$11*AM617^3+BMILMS!$E$11*AM617^2+BMILMS!$F$11*AM617+BMILMS!$G$11)))</f>
        <v>0.79584630099999998</v>
      </c>
      <c r="AK617" s="4">
        <f>IF(D617="M",(IF(AM617&lt;2.5,BMILMS!$D$21*AM617^3+BMILMS!$E$21*AM617^2+BMILMS!$F$21*AM617+BMILMS!$G$21,IF(AM617&lt;9.5,BMILMS!$D$22*AM617^3+BMILMS!$E$22*AM617^2+BMILMS!$F$22*AM617+BMILMS!$G$22,IF(AM617&lt;26.75,BMILMS!$D$23*AM617^3+BMILMS!$E$23*AM617^2+BMILMS!$F$23*AM617+BMILMS!$G$23,IF(AM617&lt;90,BMILMS!$D$24*AM617^3+BMILMS!$E$24*AM617^2+BMILMS!$F$24*AM617+BMILMS!$G$24,BMILMS!$D$25*AM617^3+BMILMS!$E$25*AM617^2+BMILMS!$F$25*AM617+BMILMS!$G$25))))),(IF(AM617&lt;2.5,BMILMS!$D$27*AM617^3+BMILMS!$E$27*AM617^2+BMILMS!$F$27*AM617+BMILMS!$G$27,IF(AM617&lt;9.5,BMILMS!$D$28*AM617^3+BMILMS!$E$28*AM617^2+BMILMS!$F$28*AM617+BMILMS!$G$28,IF(AM617&lt;26.75,BMILMS!$D$29*AM617^3+BMILMS!$E$29*AM617^2+BMILMS!$F$29*AM617+BMILMS!$G$29,IF(AM617&lt;90,BMILMS!$D$30*AM617^3+BMILMS!$E$30*AM617^2+BMILMS!$F$30*AM617+BMILMS!$G$30,IF(AM617&lt;150,BMILMS!$D$31*AM617^3+BMILMS!$E$31*AM617^2+BMILMS!$F$31*AM617+BMILMS!$G$31,BMILMS!$D$32*AM617^3+BMILMS!$E$32*AM617^2+BMILMS!$F$32*AM617+BMILMS!$G$32)))))))</f>
        <v>12.568967990000001</v>
      </c>
      <c r="AL617" s="4">
        <f>IF(D617="M",(IF(AM617&lt;90,BMILMS!$D$14*AM617^3+BMILMS!$E$14*AM617^2+BMILMS!$F$14*AM617+BMILMS!$G$14,BMILMS!$D$15*AM617^3+BMILMS!$E$15*AM617^2+BMILMS!$F$15*AM617+BMILMS!$G$15)),(IF(AM617&lt;90,BMILMS!$D$17*AM617^3+BMILMS!$E$17*AM617^2+BMILMS!$F$17*AM617+BMILMS!$G$17,BMILMS!$D$18*AM617^3+BMILMS!$E$18*AM617^2+BMILMS!$F$18*AM617+BMILMS!$G$18)))</f>
        <v>8.8969350000000003E-2</v>
      </c>
      <c r="AM617" s="4">
        <f t="shared" si="209"/>
        <v>0</v>
      </c>
      <c r="AO617" s="56">
        <f>IF(D617="M",WeightSDS!P$5*$AM617^7+WeightSDS!Q$5*$AM617^6+WeightSDS!R$5*$AM617^5+WeightSDS!S$5*$AM617^4+WeightSDS!T$5*$AM617^3+WeightSDS!U$5*$AM617^2+WeightSDS!V$5*$AM617+WeightSDS!W$5,IF($AM617&lt;186,WeightSDS!P$8*$AM617^7+WeightSDS!Q$8*$AM617^6+WeightSDS!R$8*$AM617^5+WeightSDS!S$8*$AM617^4+WeightSDS!T$8*$AM617^3+WeightSDS!U$8*$AM617^2+WeightSDS!V$8*$AM617+WeightSDS!W$8,WeightSDS!$U$9+WeightSDS!$V$9*($AM617-WeightSDS!$W$9)))</f>
        <v>0.75407122999999998</v>
      </c>
      <c r="AP617" s="4">
        <f>IF(D617="M",IF($AM617&lt;45,WeightSDS!M$23*$AM617^10+WeightSDS!N$23*$AM617^9+WeightSDS!O$23*$AM617^8+WeightSDS!P$23*$AM617^7+WeightSDS!Q$23*$AM617^6+WeightSDS!R$23*$AM617^5+WeightSDS!S$23*$AM617^4+WeightSDS!T$23*$AM617^3+WeightSDS!U$23*$AM617^2+WeightSDS!V$23*$AM617+WeightSDS!W$23,IF($AM617&lt;153,WeightSDS!M$25*$AM617^10+WeightSDS!N$25*$AM617^9+WeightSDS!O$25*$AM617^8+WeightSDS!P$25*$AM617^7+WeightSDS!Q$25*$AM617^6+WeightSDS!R$25*$AM617^5+WeightSDS!S$25*$AM617^4+WeightSDS!T$25*$AM617^3+WeightSDS!U$25*$AM617^2+WeightSDS!V$25*$AM617+WeightSDS!W$25,WeightSDS!M$27+WeightSDS!N$27/(1+EXP(WeightSDS!O$27+WeightSDS!P$27*$AM617)))),IF($AM617&lt;43.8,WeightSDS!M$29*$AM617^10+WeightSDS!N$29*$AM617^9+WeightSDS!O$29*$AM617^8+WeightSDS!P$29*$AM617^7+WeightSDS!Q$29*$AM617^6+WeightSDS!R$29*$AM617^5+WeightSDS!S$29*$AM617^4+WeightSDS!T$29*$AM617^3+WeightSDS!U$29*$AM617^2+WeightSDS!V$29*$AM617+WeightSDS!W$29-0.010431*(1-$AM617/210),IF($AM617&lt;123,WeightSDS!M$30*$AM617^10+WeightSDS!N$30*$AM617^9+WeightSDS!O$30*$AM617^8+WeightSDS!P$30*$AM617^7+WeightSDS!Q$30*$AM617^6+WeightSDS!R$30*$AM617^5+WeightSDS!S$30*$AM617^4+WeightSDS!T$30*$AM617^3+WeightSDS!U$30*$AM617^2+WeightSDS!V$30*$AM617+WeightSDS!W$30-0.010431*(1-1/$AM617),WeightSDS!M$32+WeightSDS!N$32/(1+EXP(WeightSDS!O$32+WeightSDS!P$32*$AM617))-0.010431*(1-$AM617/210))))</f>
        <v>2.9500001032655536</v>
      </c>
      <c r="AQ617" s="4">
        <f>IF(D617="M",IF($AM617&lt;162,WeightSDS!P$12*$AM617^7+WeightSDS!Q$12*$AM617^6+WeightSDS!R$12*$AM617^5+WeightSDS!S$12*$AM617^4+WeightSDS!T$12*$AM617^3+WeightSDS!U$12*$AM617^2+WeightSDS!V$12*$AM617+WeightSDS!W$12,WeightSDS!P$14*$AM617^7+WeightSDS!Q$14*$AM617^6+WeightSDS!R$14*$AM617^5+WeightSDS!S$14*$AM617^4+WeightSDS!T$14*$AM617^3+WeightSDS!U$14*$AM617^2+WeightSDS!V$14*$AM617+WeightSDS!W$14),IF($AM617&lt;156,WeightSDS!O$17*$AM617^8+WeightSDS!P$17*$AM617^7+WeightSDS!Q$17*$AM617^6+WeightSDS!R$17*$AM617^5+WeightSDS!S$17*$AM617^4+WeightSDS!T$17*$AM617^3+WeightSDS!U$17*$AM617^2+WeightSDS!V$17*$AM617+WeightSDS!W$17,IF($AM617&lt;186,WeightSDS!$U$18+(WeightSDS!$V$18-WeightSDS!$U$18)/24*($AM617-186)+WeightSDS!$W$18*(-$AM617+186)^2-0.005,WeightSDS!$U$18+(WeightSDS!$V$18-WeightSDS!$U$18)/24*($AM617-186)-0.005)))</f>
        <v>0.14604529399999999</v>
      </c>
      <c r="AT617" s="4">
        <f t="shared" si="196"/>
        <v>0.56299999999999994</v>
      </c>
      <c r="AU617" s="4">
        <f t="shared" si="197"/>
        <v>69</v>
      </c>
      <c r="AV617" s="4">
        <f t="shared" si="198"/>
        <v>0.51</v>
      </c>
    </row>
    <row r="618" spans="1:48" x14ac:dyDescent="0.15">
      <c r="A618" s="4"/>
      <c r="B618" s="21"/>
      <c r="C618" s="21"/>
      <c r="D618" s="21"/>
      <c r="E618" s="22"/>
      <c r="F618" s="22"/>
      <c r="G618" s="23"/>
      <c r="H618" s="23"/>
      <c r="I618" s="181"/>
      <c r="J618" s="8" t="str">
        <f t="shared" si="190"/>
        <v/>
      </c>
      <c r="K618" s="2" t="str">
        <f t="shared" si="199"/>
        <v/>
      </c>
      <c r="L618" s="2" t="str">
        <f t="shared" si="191"/>
        <v/>
      </c>
      <c r="M618" s="2" t="str">
        <f t="shared" si="200"/>
        <v/>
      </c>
      <c r="N618" s="2" t="str">
        <f t="shared" si="208"/>
        <v/>
      </c>
      <c r="O618" s="2" t="str">
        <f t="shared" si="201"/>
        <v/>
      </c>
      <c r="P618" s="8" t="str">
        <f t="shared" si="202"/>
        <v/>
      </c>
      <c r="Q618" s="8" t="str">
        <f t="shared" si="203"/>
        <v/>
      </c>
      <c r="R618" s="111" t="str">
        <f t="shared" si="204"/>
        <v/>
      </c>
      <c r="S618" s="44" t="str">
        <f t="shared" si="205"/>
        <v/>
      </c>
      <c r="T618" s="37" t="str">
        <f t="shared" si="206"/>
        <v/>
      </c>
      <c r="U618" s="44" t="str">
        <f t="shared" si="207"/>
        <v/>
      </c>
      <c r="V618" s="26"/>
      <c r="W618" s="26"/>
      <c r="X618" s="26"/>
      <c r="Y618" s="26"/>
      <c r="Z618" s="24"/>
      <c r="AA618" s="169">
        <f t="shared" si="192"/>
        <v>0</v>
      </c>
      <c r="AB618" s="4">
        <f t="shared" si="193"/>
        <v>0</v>
      </c>
      <c r="AC618" s="170">
        <f t="shared" si="210"/>
        <v>0</v>
      </c>
      <c r="AD618" s="58"/>
      <c r="AE618" s="58"/>
      <c r="AF618" s="58"/>
      <c r="AG618" s="59">
        <f t="shared" si="194"/>
        <v>9.0359999999999996</v>
      </c>
      <c r="AH618" s="59">
        <f t="shared" si="195"/>
        <v>-184.49199999999999</v>
      </c>
      <c r="AJ618" s="4">
        <f>IF(D618="M",IF(AM618&lt;78,BMILMS!$D$5*AM618^3+BMILMS!$E$5*AM618^2+BMILMS!$F$5*AM618+BMILMS!$G$5,IF(AM618&lt;150,BMILMS!$D$6*AM618^3+BMILMS!$E$6*AM618^2+BMILMS!$F$6*AM618+BMILMS!$G$6,BMILMS!$D$7*AM618^3+BMILMS!$E$7*AM618^2+BMILMS!$F$7*AM618+BMILMS!$G$7)),IF(AM618&lt;69,BMILMS!$D$9*AM618^3+BMILMS!$E$9*AM618^2+BMILMS!$F$9*AM618+BMILMS!$G$9,IF(AM618&lt;150,BMILMS!$D$10*AM618^3+BMILMS!$E$10*AM618^2+BMILMS!$F$10*AM618+BMILMS!$G$10,BMILMS!$D$11*AM618^3+BMILMS!$E$11*AM618^2+BMILMS!$F$11*AM618+BMILMS!$G$11)))</f>
        <v>0.79584630099999998</v>
      </c>
      <c r="AK618" s="4">
        <f>IF(D618="M",(IF(AM618&lt;2.5,BMILMS!$D$21*AM618^3+BMILMS!$E$21*AM618^2+BMILMS!$F$21*AM618+BMILMS!$G$21,IF(AM618&lt;9.5,BMILMS!$D$22*AM618^3+BMILMS!$E$22*AM618^2+BMILMS!$F$22*AM618+BMILMS!$G$22,IF(AM618&lt;26.75,BMILMS!$D$23*AM618^3+BMILMS!$E$23*AM618^2+BMILMS!$F$23*AM618+BMILMS!$G$23,IF(AM618&lt;90,BMILMS!$D$24*AM618^3+BMILMS!$E$24*AM618^2+BMILMS!$F$24*AM618+BMILMS!$G$24,BMILMS!$D$25*AM618^3+BMILMS!$E$25*AM618^2+BMILMS!$F$25*AM618+BMILMS!$G$25))))),(IF(AM618&lt;2.5,BMILMS!$D$27*AM618^3+BMILMS!$E$27*AM618^2+BMILMS!$F$27*AM618+BMILMS!$G$27,IF(AM618&lt;9.5,BMILMS!$D$28*AM618^3+BMILMS!$E$28*AM618^2+BMILMS!$F$28*AM618+BMILMS!$G$28,IF(AM618&lt;26.75,BMILMS!$D$29*AM618^3+BMILMS!$E$29*AM618^2+BMILMS!$F$29*AM618+BMILMS!$G$29,IF(AM618&lt;90,BMILMS!$D$30*AM618^3+BMILMS!$E$30*AM618^2+BMILMS!$F$30*AM618+BMILMS!$G$30,IF(AM618&lt;150,BMILMS!$D$31*AM618^3+BMILMS!$E$31*AM618^2+BMILMS!$F$31*AM618+BMILMS!$G$31,BMILMS!$D$32*AM618^3+BMILMS!$E$32*AM618^2+BMILMS!$F$32*AM618+BMILMS!$G$32)))))))</f>
        <v>12.568967990000001</v>
      </c>
      <c r="AL618" s="4">
        <f>IF(D618="M",(IF(AM618&lt;90,BMILMS!$D$14*AM618^3+BMILMS!$E$14*AM618^2+BMILMS!$F$14*AM618+BMILMS!$G$14,BMILMS!$D$15*AM618^3+BMILMS!$E$15*AM618^2+BMILMS!$F$15*AM618+BMILMS!$G$15)),(IF(AM618&lt;90,BMILMS!$D$17*AM618^3+BMILMS!$E$17*AM618^2+BMILMS!$F$17*AM618+BMILMS!$G$17,BMILMS!$D$18*AM618^3+BMILMS!$E$18*AM618^2+BMILMS!$F$18*AM618+BMILMS!$G$18)))</f>
        <v>8.8969350000000003E-2</v>
      </c>
      <c r="AM618" s="4">
        <f t="shared" si="209"/>
        <v>0</v>
      </c>
      <c r="AO618" s="56">
        <f>IF(D618="M",WeightSDS!P$5*$AM618^7+WeightSDS!Q$5*$AM618^6+WeightSDS!R$5*$AM618^5+WeightSDS!S$5*$AM618^4+WeightSDS!T$5*$AM618^3+WeightSDS!U$5*$AM618^2+WeightSDS!V$5*$AM618+WeightSDS!W$5,IF($AM618&lt;186,WeightSDS!P$8*$AM618^7+WeightSDS!Q$8*$AM618^6+WeightSDS!R$8*$AM618^5+WeightSDS!S$8*$AM618^4+WeightSDS!T$8*$AM618^3+WeightSDS!U$8*$AM618^2+WeightSDS!V$8*$AM618+WeightSDS!W$8,WeightSDS!$U$9+WeightSDS!$V$9*($AM618-WeightSDS!$W$9)))</f>
        <v>0.75407122999999998</v>
      </c>
      <c r="AP618" s="4">
        <f>IF(D618="M",IF($AM618&lt;45,WeightSDS!M$23*$AM618^10+WeightSDS!N$23*$AM618^9+WeightSDS!O$23*$AM618^8+WeightSDS!P$23*$AM618^7+WeightSDS!Q$23*$AM618^6+WeightSDS!R$23*$AM618^5+WeightSDS!S$23*$AM618^4+WeightSDS!T$23*$AM618^3+WeightSDS!U$23*$AM618^2+WeightSDS!V$23*$AM618+WeightSDS!W$23,IF($AM618&lt;153,WeightSDS!M$25*$AM618^10+WeightSDS!N$25*$AM618^9+WeightSDS!O$25*$AM618^8+WeightSDS!P$25*$AM618^7+WeightSDS!Q$25*$AM618^6+WeightSDS!R$25*$AM618^5+WeightSDS!S$25*$AM618^4+WeightSDS!T$25*$AM618^3+WeightSDS!U$25*$AM618^2+WeightSDS!V$25*$AM618+WeightSDS!W$25,WeightSDS!M$27+WeightSDS!N$27/(1+EXP(WeightSDS!O$27+WeightSDS!P$27*$AM618)))),IF($AM618&lt;43.8,WeightSDS!M$29*$AM618^10+WeightSDS!N$29*$AM618^9+WeightSDS!O$29*$AM618^8+WeightSDS!P$29*$AM618^7+WeightSDS!Q$29*$AM618^6+WeightSDS!R$29*$AM618^5+WeightSDS!S$29*$AM618^4+WeightSDS!T$29*$AM618^3+WeightSDS!U$29*$AM618^2+WeightSDS!V$29*$AM618+WeightSDS!W$29-0.010431*(1-$AM618/210),IF($AM618&lt;123,WeightSDS!M$30*$AM618^10+WeightSDS!N$30*$AM618^9+WeightSDS!O$30*$AM618^8+WeightSDS!P$30*$AM618^7+WeightSDS!Q$30*$AM618^6+WeightSDS!R$30*$AM618^5+WeightSDS!S$30*$AM618^4+WeightSDS!T$30*$AM618^3+WeightSDS!U$30*$AM618^2+WeightSDS!V$30*$AM618+WeightSDS!W$30-0.010431*(1-1/$AM618),WeightSDS!M$32+WeightSDS!N$32/(1+EXP(WeightSDS!O$32+WeightSDS!P$32*$AM618))-0.010431*(1-$AM618/210))))</f>
        <v>2.9500001032655536</v>
      </c>
      <c r="AQ618" s="4">
        <f>IF(D618="M",IF($AM618&lt;162,WeightSDS!P$12*$AM618^7+WeightSDS!Q$12*$AM618^6+WeightSDS!R$12*$AM618^5+WeightSDS!S$12*$AM618^4+WeightSDS!T$12*$AM618^3+WeightSDS!U$12*$AM618^2+WeightSDS!V$12*$AM618+WeightSDS!W$12,WeightSDS!P$14*$AM618^7+WeightSDS!Q$14*$AM618^6+WeightSDS!R$14*$AM618^5+WeightSDS!S$14*$AM618^4+WeightSDS!T$14*$AM618^3+WeightSDS!U$14*$AM618^2+WeightSDS!V$14*$AM618+WeightSDS!W$14),IF($AM618&lt;156,WeightSDS!O$17*$AM618^8+WeightSDS!P$17*$AM618^7+WeightSDS!Q$17*$AM618^6+WeightSDS!R$17*$AM618^5+WeightSDS!S$17*$AM618^4+WeightSDS!T$17*$AM618^3+WeightSDS!U$17*$AM618^2+WeightSDS!V$17*$AM618+WeightSDS!W$17,IF($AM618&lt;186,WeightSDS!$U$18+(WeightSDS!$V$18-WeightSDS!$U$18)/24*($AM618-186)+WeightSDS!$W$18*(-$AM618+186)^2-0.005,WeightSDS!$U$18+(WeightSDS!$V$18-WeightSDS!$U$18)/24*($AM618-186)-0.005)))</f>
        <v>0.14604529399999999</v>
      </c>
      <c r="AT618" s="4">
        <f t="shared" si="196"/>
        <v>0.56299999999999994</v>
      </c>
      <c r="AU618" s="4">
        <f t="shared" si="197"/>
        <v>69</v>
      </c>
      <c r="AV618" s="4">
        <f t="shared" si="198"/>
        <v>0.51</v>
      </c>
    </row>
    <row r="619" spans="1:48" x14ac:dyDescent="0.15">
      <c r="A619" s="4"/>
      <c r="B619" s="21"/>
      <c r="C619" s="21"/>
      <c r="D619" s="21"/>
      <c r="E619" s="22"/>
      <c r="F619" s="22"/>
      <c r="G619" s="23"/>
      <c r="H619" s="23"/>
      <c r="I619" s="181"/>
      <c r="J619" s="8" t="str">
        <f t="shared" si="190"/>
        <v/>
      </c>
      <c r="K619" s="2" t="str">
        <f t="shared" si="199"/>
        <v/>
      </c>
      <c r="L619" s="2" t="str">
        <f t="shared" si="191"/>
        <v/>
      </c>
      <c r="M619" s="2" t="str">
        <f t="shared" si="200"/>
        <v/>
      </c>
      <c r="N619" s="2" t="str">
        <f t="shared" si="208"/>
        <v/>
      </c>
      <c r="O619" s="2" t="str">
        <f t="shared" si="201"/>
        <v/>
      </c>
      <c r="P619" s="8" t="str">
        <f t="shared" si="202"/>
        <v/>
      </c>
      <c r="Q619" s="8" t="str">
        <f t="shared" si="203"/>
        <v/>
      </c>
      <c r="R619" s="111" t="str">
        <f t="shared" si="204"/>
        <v/>
      </c>
      <c r="S619" s="44" t="str">
        <f t="shared" si="205"/>
        <v/>
      </c>
      <c r="T619" s="37" t="str">
        <f t="shared" si="206"/>
        <v/>
      </c>
      <c r="U619" s="44" t="str">
        <f t="shared" si="207"/>
        <v/>
      </c>
      <c r="V619" s="26"/>
      <c r="W619" s="26"/>
      <c r="X619" s="26"/>
      <c r="Y619" s="26"/>
      <c r="Z619" s="24"/>
      <c r="AA619" s="169">
        <f t="shared" si="192"/>
        <v>0</v>
      </c>
      <c r="AB619" s="4">
        <f t="shared" si="193"/>
        <v>0</v>
      </c>
      <c r="AC619" s="170">
        <f t="shared" si="210"/>
        <v>0</v>
      </c>
      <c r="AD619" s="58"/>
      <c r="AE619" s="58"/>
      <c r="AF619" s="58"/>
      <c r="AG619" s="59">
        <f t="shared" si="194"/>
        <v>9.0359999999999996</v>
      </c>
      <c r="AH619" s="59">
        <f t="shared" si="195"/>
        <v>-184.49199999999999</v>
      </c>
      <c r="AJ619" s="4">
        <f>IF(D619="M",IF(AM619&lt;78,BMILMS!$D$5*AM619^3+BMILMS!$E$5*AM619^2+BMILMS!$F$5*AM619+BMILMS!$G$5,IF(AM619&lt;150,BMILMS!$D$6*AM619^3+BMILMS!$E$6*AM619^2+BMILMS!$F$6*AM619+BMILMS!$G$6,BMILMS!$D$7*AM619^3+BMILMS!$E$7*AM619^2+BMILMS!$F$7*AM619+BMILMS!$G$7)),IF(AM619&lt;69,BMILMS!$D$9*AM619^3+BMILMS!$E$9*AM619^2+BMILMS!$F$9*AM619+BMILMS!$G$9,IF(AM619&lt;150,BMILMS!$D$10*AM619^3+BMILMS!$E$10*AM619^2+BMILMS!$F$10*AM619+BMILMS!$G$10,BMILMS!$D$11*AM619^3+BMILMS!$E$11*AM619^2+BMILMS!$F$11*AM619+BMILMS!$G$11)))</f>
        <v>0.79584630099999998</v>
      </c>
      <c r="AK619" s="4">
        <f>IF(D619="M",(IF(AM619&lt;2.5,BMILMS!$D$21*AM619^3+BMILMS!$E$21*AM619^2+BMILMS!$F$21*AM619+BMILMS!$G$21,IF(AM619&lt;9.5,BMILMS!$D$22*AM619^3+BMILMS!$E$22*AM619^2+BMILMS!$F$22*AM619+BMILMS!$G$22,IF(AM619&lt;26.75,BMILMS!$D$23*AM619^3+BMILMS!$E$23*AM619^2+BMILMS!$F$23*AM619+BMILMS!$G$23,IF(AM619&lt;90,BMILMS!$D$24*AM619^3+BMILMS!$E$24*AM619^2+BMILMS!$F$24*AM619+BMILMS!$G$24,BMILMS!$D$25*AM619^3+BMILMS!$E$25*AM619^2+BMILMS!$F$25*AM619+BMILMS!$G$25))))),(IF(AM619&lt;2.5,BMILMS!$D$27*AM619^3+BMILMS!$E$27*AM619^2+BMILMS!$F$27*AM619+BMILMS!$G$27,IF(AM619&lt;9.5,BMILMS!$D$28*AM619^3+BMILMS!$E$28*AM619^2+BMILMS!$F$28*AM619+BMILMS!$G$28,IF(AM619&lt;26.75,BMILMS!$D$29*AM619^3+BMILMS!$E$29*AM619^2+BMILMS!$F$29*AM619+BMILMS!$G$29,IF(AM619&lt;90,BMILMS!$D$30*AM619^3+BMILMS!$E$30*AM619^2+BMILMS!$F$30*AM619+BMILMS!$G$30,IF(AM619&lt;150,BMILMS!$D$31*AM619^3+BMILMS!$E$31*AM619^2+BMILMS!$F$31*AM619+BMILMS!$G$31,BMILMS!$D$32*AM619^3+BMILMS!$E$32*AM619^2+BMILMS!$F$32*AM619+BMILMS!$G$32)))))))</f>
        <v>12.568967990000001</v>
      </c>
      <c r="AL619" s="4">
        <f>IF(D619="M",(IF(AM619&lt;90,BMILMS!$D$14*AM619^3+BMILMS!$E$14*AM619^2+BMILMS!$F$14*AM619+BMILMS!$G$14,BMILMS!$D$15*AM619^3+BMILMS!$E$15*AM619^2+BMILMS!$F$15*AM619+BMILMS!$G$15)),(IF(AM619&lt;90,BMILMS!$D$17*AM619^3+BMILMS!$E$17*AM619^2+BMILMS!$F$17*AM619+BMILMS!$G$17,BMILMS!$D$18*AM619^3+BMILMS!$E$18*AM619^2+BMILMS!$F$18*AM619+BMILMS!$G$18)))</f>
        <v>8.8969350000000003E-2</v>
      </c>
      <c r="AM619" s="4">
        <f t="shared" si="209"/>
        <v>0</v>
      </c>
      <c r="AO619" s="56">
        <f>IF(D619="M",WeightSDS!P$5*$AM619^7+WeightSDS!Q$5*$AM619^6+WeightSDS!R$5*$AM619^5+WeightSDS!S$5*$AM619^4+WeightSDS!T$5*$AM619^3+WeightSDS!U$5*$AM619^2+WeightSDS!V$5*$AM619+WeightSDS!W$5,IF($AM619&lt;186,WeightSDS!P$8*$AM619^7+WeightSDS!Q$8*$AM619^6+WeightSDS!R$8*$AM619^5+WeightSDS!S$8*$AM619^4+WeightSDS!T$8*$AM619^3+WeightSDS!U$8*$AM619^2+WeightSDS!V$8*$AM619+WeightSDS!W$8,WeightSDS!$U$9+WeightSDS!$V$9*($AM619-WeightSDS!$W$9)))</f>
        <v>0.75407122999999998</v>
      </c>
      <c r="AP619" s="4">
        <f>IF(D619="M",IF($AM619&lt;45,WeightSDS!M$23*$AM619^10+WeightSDS!N$23*$AM619^9+WeightSDS!O$23*$AM619^8+WeightSDS!P$23*$AM619^7+WeightSDS!Q$23*$AM619^6+WeightSDS!R$23*$AM619^5+WeightSDS!S$23*$AM619^4+WeightSDS!T$23*$AM619^3+WeightSDS!U$23*$AM619^2+WeightSDS!V$23*$AM619+WeightSDS!W$23,IF($AM619&lt;153,WeightSDS!M$25*$AM619^10+WeightSDS!N$25*$AM619^9+WeightSDS!O$25*$AM619^8+WeightSDS!P$25*$AM619^7+WeightSDS!Q$25*$AM619^6+WeightSDS!R$25*$AM619^5+WeightSDS!S$25*$AM619^4+WeightSDS!T$25*$AM619^3+WeightSDS!U$25*$AM619^2+WeightSDS!V$25*$AM619+WeightSDS!W$25,WeightSDS!M$27+WeightSDS!N$27/(1+EXP(WeightSDS!O$27+WeightSDS!P$27*$AM619)))),IF($AM619&lt;43.8,WeightSDS!M$29*$AM619^10+WeightSDS!N$29*$AM619^9+WeightSDS!O$29*$AM619^8+WeightSDS!P$29*$AM619^7+WeightSDS!Q$29*$AM619^6+WeightSDS!R$29*$AM619^5+WeightSDS!S$29*$AM619^4+WeightSDS!T$29*$AM619^3+WeightSDS!U$29*$AM619^2+WeightSDS!V$29*$AM619+WeightSDS!W$29-0.010431*(1-$AM619/210),IF($AM619&lt;123,WeightSDS!M$30*$AM619^10+WeightSDS!N$30*$AM619^9+WeightSDS!O$30*$AM619^8+WeightSDS!P$30*$AM619^7+WeightSDS!Q$30*$AM619^6+WeightSDS!R$30*$AM619^5+WeightSDS!S$30*$AM619^4+WeightSDS!T$30*$AM619^3+WeightSDS!U$30*$AM619^2+WeightSDS!V$30*$AM619+WeightSDS!W$30-0.010431*(1-1/$AM619),WeightSDS!M$32+WeightSDS!N$32/(1+EXP(WeightSDS!O$32+WeightSDS!P$32*$AM619))-0.010431*(1-$AM619/210))))</f>
        <v>2.9500001032655536</v>
      </c>
      <c r="AQ619" s="4">
        <f>IF(D619="M",IF($AM619&lt;162,WeightSDS!P$12*$AM619^7+WeightSDS!Q$12*$AM619^6+WeightSDS!R$12*$AM619^5+WeightSDS!S$12*$AM619^4+WeightSDS!T$12*$AM619^3+WeightSDS!U$12*$AM619^2+WeightSDS!V$12*$AM619+WeightSDS!W$12,WeightSDS!P$14*$AM619^7+WeightSDS!Q$14*$AM619^6+WeightSDS!R$14*$AM619^5+WeightSDS!S$14*$AM619^4+WeightSDS!T$14*$AM619^3+WeightSDS!U$14*$AM619^2+WeightSDS!V$14*$AM619+WeightSDS!W$14),IF($AM619&lt;156,WeightSDS!O$17*$AM619^8+WeightSDS!P$17*$AM619^7+WeightSDS!Q$17*$AM619^6+WeightSDS!R$17*$AM619^5+WeightSDS!S$17*$AM619^4+WeightSDS!T$17*$AM619^3+WeightSDS!U$17*$AM619^2+WeightSDS!V$17*$AM619+WeightSDS!W$17,IF($AM619&lt;186,WeightSDS!$U$18+(WeightSDS!$V$18-WeightSDS!$U$18)/24*($AM619-186)+WeightSDS!$W$18*(-$AM619+186)^2-0.005,WeightSDS!$U$18+(WeightSDS!$V$18-WeightSDS!$U$18)/24*($AM619-186)-0.005)))</f>
        <v>0.14604529399999999</v>
      </c>
      <c r="AT619" s="4">
        <f t="shared" si="196"/>
        <v>0.56299999999999994</v>
      </c>
      <c r="AU619" s="4">
        <f t="shared" si="197"/>
        <v>69</v>
      </c>
      <c r="AV619" s="4">
        <f t="shared" si="198"/>
        <v>0.51</v>
      </c>
    </row>
    <row r="620" spans="1:48" x14ac:dyDescent="0.15">
      <c r="A620" s="4"/>
      <c r="B620" s="21"/>
      <c r="C620" s="21"/>
      <c r="D620" s="21"/>
      <c r="E620" s="22"/>
      <c r="F620" s="22"/>
      <c r="G620" s="23"/>
      <c r="H620" s="23"/>
      <c r="I620" s="181"/>
      <c r="J620" s="8" t="str">
        <f t="shared" si="190"/>
        <v/>
      </c>
      <c r="K620" s="2" t="str">
        <f t="shared" si="199"/>
        <v/>
      </c>
      <c r="L620" s="2" t="str">
        <f t="shared" si="191"/>
        <v/>
      </c>
      <c r="M620" s="2" t="str">
        <f t="shared" si="200"/>
        <v/>
      </c>
      <c r="N620" s="2" t="str">
        <f t="shared" si="208"/>
        <v/>
      </c>
      <c r="O620" s="2" t="str">
        <f t="shared" si="201"/>
        <v/>
      </c>
      <c r="P620" s="8" t="str">
        <f t="shared" si="202"/>
        <v/>
      </c>
      <c r="Q620" s="8" t="str">
        <f t="shared" si="203"/>
        <v/>
      </c>
      <c r="R620" s="111" t="str">
        <f t="shared" si="204"/>
        <v/>
      </c>
      <c r="S620" s="44" t="str">
        <f t="shared" si="205"/>
        <v/>
      </c>
      <c r="T620" s="37" t="str">
        <f t="shared" si="206"/>
        <v/>
      </c>
      <c r="U620" s="44" t="str">
        <f t="shared" si="207"/>
        <v/>
      </c>
      <c r="V620" s="26"/>
      <c r="W620" s="26"/>
      <c r="X620" s="26"/>
      <c r="Y620" s="26"/>
      <c r="Z620" s="24"/>
      <c r="AA620" s="169">
        <f t="shared" si="192"/>
        <v>0</v>
      </c>
      <c r="AB620" s="4">
        <f t="shared" si="193"/>
        <v>0</v>
      </c>
      <c r="AC620" s="170">
        <f t="shared" si="210"/>
        <v>0</v>
      </c>
      <c r="AD620" s="58"/>
      <c r="AE620" s="58"/>
      <c r="AF620" s="58"/>
      <c r="AG620" s="59">
        <f t="shared" si="194"/>
        <v>9.0359999999999996</v>
      </c>
      <c r="AH620" s="59">
        <f t="shared" si="195"/>
        <v>-184.49199999999999</v>
      </c>
      <c r="AJ620" s="4">
        <f>IF(D620="M",IF(AM620&lt;78,BMILMS!$D$5*AM620^3+BMILMS!$E$5*AM620^2+BMILMS!$F$5*AM620+BMILMS!$G$5,IF(AM620&lt;150,BMILMS!$D$6*AM620^3+BMILMS!$E$6*AM620^2+BMILMS!$F$6*AM620+BMILMS!$G$6,BMILMS!$D$7*AM620^3+BMILMS!$E$7*AM620^2+BMILMS!$F$7*AM620+BMILMS!$G$7)),IF(AM620&lt;69,BMILMS!$D$9*AM620^3+BMILMS!$E$9*AM620^2+BMILMS!$F$9*AM620+BMILMS!$G$9,IF(AM620&lt;150,BMILMS!$D$10*AM620^3+BMILMS!$E$10*AM620^2+BMILMS!$F$10*AM620+BMILMS!$G$10,BMILMS!$D$11*AM620^3+BMILMS!$E$11*AM620^2+BMILMS!$F$11*AM620+BMILMS!$G$11)))</f>
        <v>0.79584630099999998</v>
      </c>
      <c r="AK620" s="4">
        <f>IF(D620="M",(IF(AM620&lt;2.5,BMILMS!$D$21*AM620^3+BMILMS!$E$21*AM620^2+BMILMS!$F$21*AM620+BMILMS!$G$21,IF(AM620&lt;9.5,BMILMS!$D$22*AM620^3+BMILMS!$E$22*AM620^2+BMILMS!$F$22*AM620+BMILMS!$G$22,IF(AM620&lt;26.75,BMILMS!$D$23*AM620^3+BMILMS!$E$23*AM620^2+BMILMS!$F$23*AM620+BMILMS!$G$23,IF(AM620&lt;90,BMILMS!$D$24*AM620^3+BMILMS!$E$24*AM620^2+BMILMS!$F$24*AM620+BMILMS!$G$24,BMILMS!$D$25*AM620^3+BMILMS!$E$25*AM620^2+BMILMS!$F$25*AM620+BMILMS!$G$25))))),(IF(AM620&lt;2.5,BMILMS!$D$27*AM620^3+BMILMS!$E$27*AM620^2+BMILMS!$F$27*AM620+BMILMS!$G$27,IF(AM620&lt;9.5,BMILMS!$D$28*AM620^3+BMILMS!$E$28*AM620^2+BMILMS!$F$28*AM620+BMILMS!$G$28,IF(AM620&lt;26.75,BMILMS!$D$29*AM620^3+BMILMS!$E$29*AM620^2+BMILMS!$F$29*AM620+BMILMS!$G$29,IF(AM620&lt;90,BMILMS!$D$30*AM620^3+BMILMS!$E$30*AM620^2+BMILMS!$F$30*AM620+BMILMS!$G$30,IF(AM620&lt;150,BMILMS!$D$31*AM620^3+BMILMS!$E$31*AM620^2+BMILMS!$F$31*AM620+BMILMS!$G$31,BMILMS!$D$32*AM620^3+BMILMS!$E$32*AM620^2+BMILMS!$F$32*AM620+BMILMS!$G$32)))))))</f>
        <v>12.568967990000001</v>
      </c>
      <c r="AL620" s="4">
        <f>IF(D620="M",(IF(AM620&lt;90,BMILMS!$D$14*AM620^3+BMILMS!$E$14*AM620^2+BMILMS!$F$14*AM620+BMILMS!$G$14,BMILMS!$D$15*AM620^3+BMILMS!$E$15*AM620^2+BMILMS!$F$15*AM620+BMILMS!$G$15)),(IF(AM620&lt;90,BMILMS!$D$17*AM620^3+BMILMS!$E$17*AM620^2+BMILMS!$F$17*AM620+BMILMS!$G$17,BMILMS!$D$18*AM620^3+BMILMS!$E$18*AM620^2+BMILMS!$F$18*AM620+BMILMS!$G$18)))</f>
        <v>8.8969350000000003E-2</v>
      </c>
      <c r="AM620" s="4">
        <f t="shared" si="209"/>
        <v>0</v>
      </c>
      <c r="AO620" s="56">
        <f>IF(D620="M",WeightSDS!P$5*$AM620^7+WeightSDS!Q$5*$AM620^6+WeightSDS!R$5*$AM620^5+WeightSDS!S$5*$AM620^4+WeightSDS!T$5*$AM620^3+WeightSDS!U$5*$AM620^2+WeightSDS!V$5*$AM620+WeightSDS!W$5,IF($AM620&lt;186,WeightSDS!P$8*$AM620^7+WeightSDS!Q$8*$AM620^6+WeightSDS!R$8*$AM620^5+WeightSDS!S$8*$AM620^4+WeightSDS!T$8*$AM620^3+WeightSDS!U$8*$AM620^2+WeightSDS!V$8*$AM620+WeightSDS!W$8,WeightSDS!$U$9+WeightSDS!$V$9*($AM620-WeightSDS!$W$9)))</f>
        <v>0.75407122999999998</v>
      </c>
      <c r="AP620" s="4">
        <f>IF(D620="M",IF($AM620&lt;45,WeightSDS!M$23*$AM620^10+WeightSDS!N$23*$AM620^9+WeightSDS!O$23*$AM620^8+WeightSDS!P$23*$AM620^7+WeightSDS!Q$23*$AM620^6+WeightSDS!R$23*$AM620^5+WeightSDS!S$23*$AM620^4+WeightSDS!T$23*$AM620^3+WeightSDS!U$23*$AM620^2+WeightSDS!V$23*$AM620+WeightSDS!W$23,IF($AM620&lt;153,WeightSDS!M$25*$AM620^10+WeightSDS!N$25*$AM620^9+WeightSDS!O$25*$AM620^8+WeightSDS!P$25*$AM620^7+WeightSDS!Q$25*$AM620^6+WeightSDS!R$25*$AM620^5+WeightSDS!S$25*$AM620^4+WeightSDS!T$25*$AM620^3+WeightSDS!U$25*$AM620^2+WeightSDS!V$25*$AM620+WeightSDS!W$25,WeightSDS!M$27+WeightSDS!N$27/(1+EXP(WeightSDS!O$27+WeightSDS!P$27*$AM620)))),IF($AM620&lt;43.8,WeightSDS!M$29*$AM620^10+WeightSDS!N$29*$AM620^9+WeightSDS!O$29*$AM620^8+WeightSDS!P$29*$AM620^7+WeightSDS!Q$29*$AM620^6+WeightSDS!R$29*$AM620^5+WeightSDS!S$29*$AM620^4+WeightSDS!T$29*$AM620^3+WeightSDS!U$29*$AM620^2+WeightSDS!V$29*$AM620+WeightSDS!W$29-0.010431*(1-$AM620/210),IF($AM620&lt;123,WeightSDS!M$30*$AM620^10+WeightSDS!N$30*$AM620^9+WeightSDS!O$30*$AM620^8+WeightSDS!P$30*$AM620^7+WeightSDS!Q$30*$AM620^6+WeightSDS!R$30*$AM620^5+WeightSDS!S$30*$AM620^4+WeightSDS!T$30*$AM620^3+WeightSDS!U$30*$AM620^2+WeightSDS!V$30*$AM620+WeightSDS!W$30-0.010431*(1-1/$AM620),WeightSDS!M$32+WeightSDS!N$32/(1+EXP(WeightSDS!O$32+WeightSDS!P$32*$AM620))-0.010431*(1-$AM620/210))))</f>
        <v>2.9500001032655536</v>
      </c>
      <c r="AQ620" s="4">
        <f>IF(D620="M",IF($AM620&lt;162,WeightSDS!P$12*$AM620^7+WeightSDS!Q$12*$AM620^6+WeightSDS!R$12*$AM620^5+WeightSDS!S$12*$AM620^4+WeightSDS!T$12*$AM620^3+WeightSDS!U$12*$AM620^2+WeightSDS!V$12*$AM620+WeightSDS!W$12,WeightSDS!P$14*$AM620^7+WeightSDS!Q$14*$AM620^6+WeightSDS!R$14*$AM620^5+WeightSDS!S$14*$AM620^4+WeightSDS!T$14*$AM620^3+WeightSDS!U$14*$AM620^2+WeightSDS!V$14*$AM620+WeightSDS!W$14),IF($AM620&lt;156,WeightSDS!O$17*$AM620^8+WeightSDS!P$17*$AM620^7+WeightSDS!Q$17*$AM620^6+WeightSDS!R$17*$AM620^5+WeightSDS!S$17*$AM620^4+WeightSDS!T$17*$AM620^3+WeightSDS!U$17*$AM620^2+WeightSDS!V$17*$AM620+WeightSDS!W$17,IF($AM620&lt;186,WeightSDS!$U$18+(WeightSDS!$V$18-WeightSDS!$U$18)/24*($AM620-186)+WeightSDS!$W$18*(-$AM620+186)^2-0.005,WeightSDS!$U$18+(WeightSDS!$V$18-WeightSDS!$U$18)/24*($AM620-186)-0.005)))</f>
        <v>0.14604529399999999</v>
      </c>
      <c r="AT620" s="4">
        <f t="shared" si="196"/>
        <v>0.56299999999999994</v>
      </c>
      <c r="AU620" s="4">
        <f t="shared" si="197"/>
        <v>69</v>
      </c>
      <c r="AV620" s="4">
        <f t="shared" si="198"/>
        <v>0.51</v>
      </c>
    </row>
    <row r="621" spans="1:48" x14ac:dyDescent="0.15">
      <c r="A621" s="4"/>
      <c r="B621" s="21"/>
      <c r="C621" s="21"/>
      <c r="D621" s="21"/>
      <c r="E621" s="22"/>
      <c r="F621" s="22"/>
      <c r="G621" s="23"/>
      <c r="H621" s="23"/>
      <c r="I621" s="181"/>
      <c r="J621" s="8" t="str">
        <f t="shared" si="190"/>
        <v/>
      </c>
      <c r="K621" s="2" t="str">
        <f t="shared" si="199"/>
        <v/>
      </c>
      <c r="L621" s="2" t="str">
        <f t="shared" si="191"/>
        <v/>
      </c>
      <c r="M621" s="2" t="str">
        <f t="shared" si="200"/>
        <v/>
      </c>
      <c r="N621" s="2" t="str">
        <f t="shared" si="208"/>
        <v/>
      </c>
      <c r="O621" s="2" t="str">
        <f t="shared" si="201"/>
        <v/>
      </c>
      <c r="P621" s="8" t="str">
        <f t="shared" si="202"/>
        <v/>
      </c>
      <c r="Q621" s="8" t="str">
        <f t="shared" si="203"/>
        <v/>
      </c>
      <c r="R621" s="111" t="str">
        <f t="shared" si="204"/>
        <v/>
      </c>
      <c r="S621" s="44" t="str">
        <f t="shared" si="205"/>
        <v/>
      </c>
      <c r="T621" s="37" t="str">
        <f t="shared" si="206"/>
        <v/>
      </c>
      <c r="U621" s="44" t="str">
        <f t="shared" si="207"/>
        <v/>
      </c>
      <c r="V621" s="26"/>
      <c r="W621" s="26"/>
      <c r="X621" s="26"/>
      <c r="Y621" s="26"/>
      <c r="Z621" s="24"/>
      <c r="AA621" s="169">
        <f t="shared" si="192"/>
        <v>0</v>
      </c>
      <c r="AB621" s="4">
        <f t="shared" si="193"/>
        <v>0</v>
      </c>
      <c r="AC621" s="170">
        <f t="shared" si="210"/>
        <v>0</v>
      </c>
      <c r="AD621" s="58"/>
      <c r="AE621" s="58"/>
      <c r="AF621" s="58"/>
      <c r="AG621" s="59">
        <f t="shared" si="194"/>
        <v>9.0359999999999996</v>
      </c>
      <c r="AH621" s="59">
        <f t="shared" si="195"/>
        <v>-184.49199999999999</v>
      </c>
      <c r="AJ621" s="4">
        <f>IF(D621="M",IF(AM621&lt;78,BMILMS!$D$5*AM621^3+BMILMS!$E$5*AM621^2+BMILMS!$F$5*AM621+BMILMS!$G$5,IF(AM621&lt;150,BMILMS!$D$6*AM621^3+BMILMS!$E$6*AM621^2+BMILMS!$F$6*AM621+BMILMS!$G$6,BMILMS!$D$7*AM621^3+BMILMS!$E$7*AM621^2+BMILMS!$F$7*AM621+BMILMS!$G$7)),IF(AM621&lt;69,BMILMS!$D$9*AM621^3+BMILMS!$E$9*AM621^2+BMILMS!$F$9*AM621+BMILMS!$G$9,IF(AM621&lt;150,BMILMS!$D$10*AM621^3+BMILMS!$E$10*AM621^2+BMILMS!$F$10*AM621+BMILMS!$G$10,BMILMS!$D$11*AM621^3+BMILMS!$E$11*AM621^2+BMILMS!$F$11*AM621+BMILMS!$G$11)))</f>
        <v>0.79584630099999998</v>
      </c>
      <c r="AK621" s="4">
        <f>IF(D621="M",(IF(AM621&lt;2.5,BMILMS!$D$21*AM621^3+BMILMS!$E$21*AM621^2+BMILMS!$F$21*AM621+BMILMS!$G$21,IF(AM621&lt;9.5,BMILMS!$D$22*AM621^3+BMILMS!$E$22*AM621^2+BMILMS!$F$22*AM621+BMILMS!$G$22,IF(AM621&lt;26.75,BMILMS!$D$23*AM621^3+BMILMS!$E$23*AM621^2+BMILMS!$F$23*AM621+BMILMS!$G$23,IF(AM621&lt;90,BMILMS!$D$24*AM621^3+BMILMS!$E$24*AM621^2+BMILMS!$F$24*AM621+BMILMS!$G$24,BMILMS!$D$25*AM621^3+BMILMS!$E$25*AM621^2+BMILMS!$F$25*AM621+BMILMS!$G$25))))),(IF(AM621&lt;2.5,BMILMS!$D$27*AM621^3+BMILMS!$E$27*AM621^2+BMILMS!$F$27*AM621+BMILMS!$G$27,IF(AM621&lt;9.5,BMILMS!$D$28*AM621^3+BMILMS!$E$28*AM621^2+BMILMS!$F$28*AM621+BMILMS!$G$28,IF(AM621&lt;26.75,BMILMS!$D$29*AM621^3+BMILMS!$E$29*AM621^2+BMILMS!$F$29*AM621+BMILMS!$G$29,IF(AM621&lt;90,BMILMS!$D$30*AM621^3+BMILMS!$E$30*AM621^2+BMILMS!$F$30*AM621+BMILMS!$G$30,IF(AM621&lt;150,BMILMS!$D$31*AM621^3+BMILMS!$E$31*AM621^2+BMILMS!$F$31*AM621+BMILMS!$G$31,BMILMS!$D$32*AM621^3+BMILMS!$E$32*AM621^2+BMILMS!$F$32*AM621+BMILMS!$G$32)))))))</f>
        <v>12.568967990000001</v>
      </c>
      <c r="AL621" s="4">
        <f>IF(D621="M",(IF(AM621&lt;90,BMILMS!$D$14*AM621^3+BMILMS!$E$14*AM621^2+BMILMS!$F$14*AM621+BMILMS!$G$14,BMILMS!$D$15*AM621^3+BMILMS!$E$15*AM621^2+BMILMS!$F$15*AM621+BMILMS!$G$15)),(IF(AM621&lt;90,BMILMS!$D$17*AM621^3+BMILMS!$E$17*AM621^2+BMILMS!$F$17*AM621+BMILMS!$G$17,BMILMS!$D$18*AM621^3+BMILMS!$E$18*AM621^2+BMILMS!$F$18*AM621+BMILMS!$G$18)))</f>
        <v>8.8969350000000003E-2</v>
      </c>
      <c r="AM621" s="4">
        <f t="shared" si="209"/>
        <v>0</v>
      </c>
      <c r="AO621" s="56">
        <f>IF(D621="M",WeightSDS!P$5*$AM621^7+WeightSDS!Q$5*$AM621^6+WeightSDS!R$5*$AM621^5+WeightSDS!S$5*$AM621^4+WeightSDS!T$5*$AM621^3+WeightSDS!U$5*$AM621^2+WeightSDS!V$5*$AM621+WeightSDS!W$5,IF($AM621&lt;186,WeightSDS!P$8*$AM621^7+WeightSDS!Q$8*$AM621^6+WeightSDS!R$8*$AM621^5+WeightSDS!S$8*$AM621^4+WeightSDS!T$8*$AM621^3+WeightSDS!U$8*$AM621^2+WeightSDS!V$8*$AM621+WeightSDS!W$8,WeightSDS!$U$9+WeightSDS!$V$9*($AM621-WeightSDS!$W$9)))</f>
        <v>0.75407122999999998</v>
      </c>
      <c r="AP621" s="4">
        <f>IF(D621="M",IF($AM621&lt;45,WeightSDS!M$23*$AM621^10+WeightSDS!N$23*$AM621^9+WeightSDS!O$23*$AM621^8+WeightSDS!P$23*$AM621^7+WeightSDS!Q$23*$AM621^6+WeightSDS!R$23*$AM621^5+WeightSDS!S$23*$AM621^4+WeightSDS!T$23*$AM621^3+WeightSDS!U$23*$AM621^2+WeightSDS!V$23*$AM621+WeightSDS!W$23,IF($AM621&lt;153,WeightSDS!M$25*$AM621^10+WeightSDS!N$25*$AM621^9+WeightSDS!O$25*$AM621^8+WeightSDS!P$25*$AM621^7+WeightSDS!Q$25*$AM621^6+WeightSDS!R$25*$AM621^5+WeightSDS!S$25*$AM621^4+WeightSDS!T$25*$AM621^3+WeightSDS!U$25*$AM621^2+WeightSDS!V$25*$AM621+WeightSDS!W$25,WeightSDS!M$27+WeightSDS!N$27/(1+EXP(WeightSDS!O$27+WeightSDS!P$27*$AM621)))),IF($AM621&lt;43.8,WeightSDS!M$29*$AM621^10+WeightSDS!N$29*$AM621^9+WeightSDS!O$29*$AM621^8+WeightSDS!P$29*$AM621^7+WeightSDS!Q$29*$AM621^6+WeightSDS!R$29*$AM621^5+WeightSDS!S$29*$AM621^4+WeightSDS!T$29*$AM621^3+WeightSDS!U$29*$AM621^2+WeightSDS!V$29*$AM621+WeightSDS!W$29-0.010431*(1-$AM621/210),IF($AM621&lt;123,WeightSDS!M$30*$AM621^10+WeightSDS!N$30*$AM621^9+WeightSDS!O$30*$AM621^8+WeightSDS!P$30*$AM621^7+WeightSDS!Q$30*$AM621^6+WeightSDS!R$30*$AM621^5+WeightSDS!S$30*$AM621^4+WeightSDS!T$30*$AM621^3+WeightSDS!U$30*$AM621^2+WeightSDS!V$30*$AM621+WeightSDS!W$30-0.010431*(1-1/$AM621),WeightSDS!M$32+WeightSDS!N$32/(1+EXP(WeightSDS!O$32+WeightSDS!P$32*$AM621))-0.010431*(1-$AM621/210))))</f>
        <v>2.9500001032655536</v>
      </c>
      <c r="AQ621" s="4">
        <f>IF(D621="M",IF($AM621&lt;162,WeightSDS!P$12*$AM621^7+WeightSDS!Q$12*$AM621^6+WeightSDS!R$12*$AM621^5+WeightSDS!S$12*$AM621^4+WeightSDS!T$12*$AM621^3+WeightSDS!U$12*$AM621^2+WeightSDS!V$12*$AM621+WeightSDS!W$12,WeightSDS!P$14*$AM621^7+WeightSDS!Q$14*$AM621^6+WeightSDS!R$14*$AM621^5+WeightSDS!S$14*$AM621^4+WeightSDS!T$14*$AM621^3+WeightSDS!U$14*$AM621^2+WeightSDS!V$14*$AM621+WeightSDS!W$14),IF($AM621&lt;156,WeightSDS!O$17*$AM621^8+WeightSDS!P$17*$AM621^7+WeightSDS!Q$17*$AM621^6+WeightSDS!R$17*$AM621^5+WeightSDS!S$17*$AM621^4+WeightSDS!T$17*$AM621^3+WeightSDS!U$17*$AM621^2+WeightSDS!V$17*$AM621+WeightSDS!W$17,IF($AM621&lt;186,WeightSDS!$U$18+(WeightSDS!$V$18-WeightSDS!$U$18)/24*($AM621-186)+WeightSDS!$W$18*(-$AM621+186)^2-0.005,WeightSDS!$U$18+(WeightSDS!$V$18-WeightSDS!$U$18)/24*($AM621-186)-0.005)))</f>
        <v>0.14604529399999999</v>
      </c>
      <c r="AT621" s="4">
        <f t="shared" si="196"/>
        <v>0.56299999999999994</v>
      </c>
      <c r="AU621" s="4">
        <f t="shared" si="197"/>
        <v>69</v>
      </c>
      <c r="AV621" s="4">
        <f t="shared" si="198"/>
        <v>0.51</v>
      </c>
    </row>
    <row r="622" spans="1:48" x14ac:dyDescent="0.15">
      <c r="A622" s="4"/>
      <c r="B622" s="21"/>
      <c r="C622" s="21"/>
      <c r="D622" s="21"/>
      <c r="E622" s="22"/>
      <c r="F622" s="22"/>
      <c r="G622" s="23"/>
      <c r="H622" s="23"/>
      <c r="I622" s="181"/>
      <c r="J622" s="8" t="str">
        <f t="shared" si="190"/>
        <v/>
      </c>
      <c r="K622" s="2" t="str">
        <f t="shared" si="199"/>
        <v/>
      </c>
      <c r="L622" s="2" t="str">
        <f t="shared" si="191"/>
        <v/>
      </c>
      <c r="M622" s="2" t="str">
        <f t="shared" si="200"/>
        <v/>
      </c>
      <c r="N622" s="2" t="str">
        <f t="shared" si="208"/>
        <v/>
      </c>
      <c r="O622" s="2" t="str">
        <f t="shared" si="201"/>
        <v/>
      </c>
      <c r="P622" s="8" t="str">
        <f t="shared" si="202"/>
        <v/>
      </c>
      <c r="Q622" s="8" t="str">
        <f t="shared" si="203"/>
        <v/>
      </c>
      <c r="R622" s="111" t="str">
        <f t="shared" si="204"/>
        <v/>
      </c>
      <c r="S622" s="44" t="str">
        <f t="shared" si="205"/>
        <v/>
      </c>
      <c r="T622" s="37" t="str">
        <f t="shared" si="206"/>
        <v/>
      </c>
      <c r="U622" s="44" t="str">
        <f t="shared" si="207"/>
        <v/>
      </c>
      <c r="V622" s="26"/>
      <c r="W622" s="26"/>
      <c r="X622" s="26"/>
      <c r="Y622" s="26"/>
      <c r="Z622" s="24"/>
      <c r="AA622" s="169">
        <f t="shared" si="192"/>
        <v>0</v>
      </c>
      <c r="AB622" s="4">
        <f t="shared" si="193"/>
        <v>0</v>
      </c>
      <c r="AC622" s="170">
        <f t="shared" si="210"/>
        <v>0</v>
      </c>
      <c r="AD622" s="58"/>
      <c r="AE622" s="58"/>
      <c r="AF622" s="58"/>
      <c r="AG622" s="59">
        <f t="shared" si="194"/>
        <v>9.0359999999999996</v>
      </c>
      <c r="AH622" s="59">
        <f t="shared" si="195"/>
        <v>-184.49199999999999</v>
      </c>
      <c r="AJ622" s="4">
        <f>IF(D622="M",IF(AM622&lt;78,BMILMS!$D$5*AM622^3+BMILMS!$E$5*AM622^2+BMILMS!$F$5*AM622+BMILMS!$G$5,IF(AM622&lt;150,BMILMS!$D$6*AM622^3+BMILMS!$E$6*AM622^2+BMILMS!$F$6*AM622+BMILMS!$G$6,BMILMS!$D$7*AM622^3+BMILMS!$E$7*AM622^2+BMILMS!$F$7*AM622+BMILMS!$G$7)),IF(AM622&lt;69,BMILMS!$D$9*AM622^3+BMILMS!$E$9*AM622^2+BMILMS!$F$9*AM622+BMILMS!$G$9,IF(AM622&lt;150,BMILMS!$D$10*AM622^3+BMILMS!$E$10*AM622^2+BMILMS!$F$10*AM622+BMILMS!$G$10,BMILMS!$D$11*AM622^3+BMILMS!$E$11*AM622^2+BMILMS!$F$11*AM622+BMILMS!$G$11)))</f>
        <v>0.79584630099999998</v>
      </c>
      <c r="AK622" s="4">
        <f>IF(D622="M",(IF(AM622&lt;2.5,BMILMS!$D$21*AM622^3+BMILMS!$E$21*AM622^2+BMILMS!$F$21*AM622+BMILMS!$G$21,IF(AM622&lt;9.5,BMILMS!$D$22*AM622^3+BMILMS!$E$22*AM622^2+BMILMS!$F$22*AM622+BMILMS!$G$22,IF(AM622&lt;26.75,BMILMS!$D$23*AM622^3+BMILMS!$E$23*AM622^2+BMILMS!$F$23*AM622+BMILMS!$G$23,IF(AM622&lt;90,BMILMS!$D$24*AM622^3+BMILMS!$E$24*AM622^2+BMILMS!$F$24*AM622+BMILMS!$G$24,BMILMS!$D$25*AM622^3+BMILMS!$E$25*AM622^2+BMILMS!$F$25*AM622+BMILMS!$G$25))))),(IF(AM622&lt;2.5,BMILMS!$D$27*AM622^3+BMILMS!$E$27*AM622^2+BMILMS!$F$27*AM622+BMILMS!$G$27,IF(AM622&lt;9.5,BMILMS!$D$28*AM622^3+BMILMS!$E$28*AM622^2+BMILMS!$F$28*AM622+BMILMS!$G$28,IF(AM622&lt;26.75,BMILMS!$D$29*AM622^3+BMILMS!$E$29*AM622^2+BMILMS!$F$29*AM622+BMILMS!$G$29,IF(AM622&lt;90,BMILMS!$D$30*AM622^3+BMILMS!$E$30*AM622^2+BMILMS!$F$30*AM622+BMILMS!$G$30,IF(AM622&lt;150,BMILMS!$D$31*AM622^3+BMILMS!$E$31*AM622^2+BMILMS!$F$31*AM622+BMILMS!$G$31,BMILMS!$D$32*AM622^3+BMILMS!$E$32*AM622^2+BMILMS!$F$32*AM622+BMILMS!$G$32)))))))</f>
        <v>12.568967990000001</v>
      </c>
      <c r="AL622" s="4">
        <f>IF(D622="M",(IF(AM622&lt;90,BMILMS!$D$14*AM622^3+BMILMS!$E$14*AM622^2+BMILMS!$F$14*AM622+BMILMS!$G$14,BMILMS!$D$15*AM622^3+BMILMS!$E$15*AM622^2+BMILMS!$F$15*AM622+BMILMS!$G$15)),(IF(AM622&lt;90,BMILMS!$D$17*AM622^3+BMILMS!$E$17*AM622^2+BMILMS!$F$17*AM622+BMILMS!$G$17,BMILMS!$D$18*AM622^3+BMILMS!$E$18*AM622^2+BMILMS!$F$18*AM622+BMILMS!$G$18)))</f>
        <v>8.8969350000000003E-2</v>
      </c>
      <c r="AM622" s="4">
        <f t="shared" si="209"/>
        <v>0</v>
      </c>
      <c r="AO622" s="56">
        <f>IF(D622="M",WeightSDS!P$5*$AM622^7+WeightSDS!Q$5*$AM622^6+WeightSDS!R$5*$AM622^5+WeightSDS!S$5*$AM622^4+WeightSDS!T$5*$AM622^3+WeightSDS!U$5*$AM622^2+WeightSDS!V$5*$AM622+WeightSDS!W$5,IF($AM622&lt;186,WeightSDS!P$8*$AM622^7+WeightSDS!Q$8*$AM622^6+WeightSDS!R$8*$AM622^5+WeightSDS!S$8*$AM622^4+WeightSDS!T$8*$AM622^3+WeightSDS!U$8*$AM622^2+WeightSDS!V$8*$AM622+WeightSDS!W$8,WeightSDS!$U$9+WeightSDS!$V$9*($AM622-WeightSDS!$W$9)))</f>
        <v>0.75407122999999998</v>
      </c>
      <c r="AP622" s="4">
        <f>IF(D622="M",IF($AM622&lt;45,WeightSDS!M$23*$AM622^10+WeightSDS!N$23*$AM622^9+WeightSDS!O$23*$AM622^8+WeightSDS!P$23*$AM622^7+WeightSDS!Q$23*$AM622^6+WeightSDS!R$23*$AM622^5+WeightSDS!S$23*$AM622^4+WeightSDS!T$23*$AM622^3+WeightSDS!U$23*$AM622^2+WeightSDS!V$23*$AM622+WeightSDS!W$23,IF($AM622&lt;153,WeightSDS!M$25*$AM622^10+WeightSDS!N$25*$AM622^9+WeightSDS!O$25*$AM622^8+WeightSDS!P$25*$AM622^7+WeightSDS!Q$25*$AM622^6+WeightSDS!R$25*$AM622^5+WeightSDS!S$25*$AM622^4+WeightSDS!T$25*$AM622^3+WeightSDS!U$25*$AM622^2+WeightSDS!V$25*$AM622+WeightSDS!W$25,WeightSDS!M$27+WeightSDS!N$27/(1+EXP(WeightSDS!O$27+WeightSDS!P$27*$AM622)))),IF($AM622&lt;43.8,WeightSDS!M$29*$AM622^10+WeightSDS!N$29*$AM622^9+WeightSDS!O$29*$AM622^8+WeightSDS!P$29*$AM622^7+WeightSDS!Q$29*$AM622^6+WeightSDS!R$29*$AM622^5+WeightSDS!S$29*$AM622^4+WeightSDS!T$29*$AM622^3+WeightSDS!U$29*$AM622^2+WeightSDS!V$29*$AM622+WeightSDS!W$29-0.010431*(1-$AM622/210),IF($AM622&lt;123,WeightSDS!M$30*$AM622^10+WeightSDS!N$30*$AM622^9+WeightSDS!O$30*$AM622^8+WeightSDS!P$30*$AM622^7+WeightSDS!Q$30*$AM622^6+WeightSDS!R$30*$AM622^5+WeightSDS!S$30*$AM622^4+WeightSDS!T$30*$AM622^3+WeightSDS!U$30*$AM622^2+WeightSDS!V$30*$AM622+WeightSDS!W$30-0.010431*(1-1/$AM622),WeightSDS!M$32+WeightSDS!N$32/(1+EXP(WeightSDS!O$32+WeightSDS!P$32*$AM622))-0.010431*(1-$AM622/210))))</f>
        <v>2.9500001032655536</v>
      </c>
      <c r="AQ622" s="4">
        <f>IF(D622="M",IF($AM622&lt;162,WeightSDS!P$12*$AM622^7+WeightSDS!Q$12*$AM622^6+WeightSDS!R$12*$AM622^5+WeightSDS!S$12*$AM622^4+WeightSDS!T$12*$AM622^3+WeightSDS!U$12*$AM622^2+WeightSDS!V$12*$AM622+WeightSDS!W$12,WeightSDS!P$14*$AM622^7+WeightSDS!Q$14*$AM622^6+WeightSDS!R$14*$AM622^5+WeightSDS!S$14*$AM622^4+WeightSDS!T$14*$AM622^3+WeightSDS!U$14*$AM622^2+WeightSDS!V$14*$AM622+WeightSDS!W$14),IF($AM622&lt;156,WeightSDS!O$17*$AM622^8+WeightSDS!P$17*$AM622^7+WeightSDS!Q$17*$AM622^6+WeightSDS!R$17*$AM622^5+WeightSDS!S$17*$AM622^4+WeightSDS!T$17*$AM622^3+WeightSDS!U$17*$AM622^2+WeightSDS!V$17*$AM622+WeightSDS!W$17,IF($AM622&lt;186,WeightSDS!$U$18+(WeightSDS!$V$18-WeightSDS!$U$18)/24*($AM622-186)+WeightSDS!$W$18*(-$AM622+186)^2-0.005,WeightSDS!$U$18+(WeightSDS!$V$18-WeightSDS!$U$18)/24*($AM622-186)-0.005)))</f>
        <v>0.14604529399999999</v>
      </c>
      <c r="AT622" s="4">
        <f t="shared" si="196"/>
        <v>0.56299999999999994</v>
      </c>
      <c r="AU622" s="4">
        <f t="shared" si="197"/>
        <v>69</v>
      </c>
      <c r="AV622" s="4">
        <f t="shared" si="198"/>
        <v>0.51</v>
      </c>
    </row>
    <row r="623" spans="1:48" x14ac:dyDescent="0.15">
      <c r="A623" s="4"/>
      <c r="B623" s="21"/>
      <c r="C623" s="21"/>
      <c r="D623" s="21"/>
      <c r="E623" s="22"/>
      <c r="F623" s="22"/>
      <c r="G623" s="23"/>
      <c r="H623" s="23"/>
      <c r="I623" s="181"/>
      <c r="J623" s="8" t="str">
        <f t="shared" si="190"/>
        <v/>
      </c>
      <c r="K623" s="2" t="str">
        <f t="shared" si="199"/>
        <v/>
      </c>
      <c r="L623" s="2" t="str">
        <f t="shared" si="191"/>
        <v/>
      </c>
      <c r="M623" s="2" t="str">
        <f t="shared" si="200"/>
        <v/>
      </c>
      <c r="N623" s="2" t="str">
        <f t="shared" si="208"/>
        <v/>
      </c>
      <c r="O623" s="2" t="str">
        <f t="shared" si="201"/>
        <v/>
      </c>
      <c r="P623" s="8" t="str">
        <f t="shared" si="202"/>
        <v/>
      </c>
      <c r="Q623" s="8" t="str">
        <f t="shared" si="203"/>
        <v/>
      </c>
      <c r="R623" s="111" t="str">
        <f t="shared" si="204"/>
        <v/>
      </c>
      <c r="S623" s="44" t="str">
        <f t="shared" si="205"/>
        <v/>
      </c>
      <c r="T623" s="37" t="str">
        <f t="shared" si="206"/>
        <v/>
      </c>
      <c r="U623" s="44" t="str">
        <f t="shared" si="207"/>
        <v/>
      </c>
      <c r="V623" s="26"/>
      <c r="W623" s="26"/>
      <c r="X623" s="26"/>
      <c r="Y623" s="26"/>
      <c r="Z623" s="24"/>
      <c r="AA623" s="169">
        <f t="shared" si="192"/>
        <v>0</v>
      </c>
      <c r="AB623" s="4">
        <f t="shared" si="193"/>
        <v>0</v>
      </c>
      <c r="AC623" s="170">
        <f t="shared" si="210"/>
        <v>0</v>
      </c>
      <c r="AD623" s="58"/>
      <c r="AE623" s="58"/>
      <c r="AF623" s="58"/>
      <c r="AG623" s="59">
        <f t="shared" si="194"/>
        <v>9.0359999999999996</v>
      </c>
      <c r="AH623" s="59">
        <f t="shared" si="195"/>
        <v>-184.49199999999999</v>
      </c>
      <c r="AJ623" s="4">
        <f>IF(D623="M",IF(AM623&lt;78,BMILMS!$D$5*AM623^3+BMILMS!$E$5*AM623^2+BMILMS!$F$5*AM623+BMILMS!$G$5,IF(AM623&lt;150,BMILMS!$D$6*AM623^3+BMILMS!$E$6*AM623^2+BMILMS!$F$6*AM623+BMILMS!$G$6,BMILMS!$D$7*AM623^3+BMILMS!$E$7*AM623^2+BMILMS!$F$7*AM623+BMILMS!$G$7)),IF(AM623&lt;69,BMILMS!$D$9*AM623^3+BMILMS!$E$9*AM623^2+BMILMS!$F$9*AM623+BMILMS!$G$9,IF(AM623&lt;150,BMILMS!$D$10*AM623^3+BMILMS!$E$10*AM623^2+BMILMS!$F$10*AM623+BMILMS!$G$10,BMILMS!$D$11*AM623^3+BMILMS!$E$11*AM623^2+BMILMS!$F$11*AM623+BMILMS!$G$11)))</f>
        <v>0.79584630099999998</v>
      </c>
      <c r="AK623" s="4">
        <f>IF(D623="M",(IF(AM623&lt;2.5,BMILMS!$D$21*AM623^3+BMILMS!$E$21*AM623^2+BMILMS!$F$21*AM623+BMILMS!$G$21,IF(AM623&lt;9.5,BMILMS!$D$22*AM623^3+BMILMS!$E$22*AM623^2+BMILMS!$F$22*AM623+BMILMS!$G$22,IF(AM623&lt;26.75,BMILMS!$D$23*AM623^3+BMILMS!$E$23*AM623^2+BMILMS!$F$23*AM623+BMILMS!$G$23,IF(AM623&lt;90,BMILMS!$D$24*AM623^3+BMILMS!$E$24*AM623^2+BMILMS!$F$24*AM623+BMILMS!$G$24,BMILMS!$D$25*AM623^3+BMILMS!$E$25*AM623^2+BMILMS!$F$25*AM623+BMILMS!$G$25))))),(IF(AM623&lt;2.5,BMILMS!$D$27*AM623^3+BMILMS!$E$27*AM623^2+BMILMS!$F$27*AM623+BMILMS!$G$27,IF(AM623&lt;9.5,BMILMS!$D$28*AM623^3+BMILMS!$E$28*AM623^2+BMILMS!$F$28*AM623+BMILMS!$G$28,IF(AM623&lt;26.75,BMILMS!$D$29*AM623^3+BMILMS!$E$29*AM623^2+BMILMS!$F$29*AM623+BMILMS!$G$29,IF(AM623&lt;90,BMILMS!$D$30*AM623^3+BMILMS!$E$30*AM623^2+BMILMS!$F$30*AM623+BMILMS!$G$30,IF(AM623&lt;150,BMILMS!$D$31*AM623^3+BMILMS!$E$31*AM623^2+BMILMS!$F$31*AM623+BMILMS!$G$31,BMILMS!$D$32*AM623^3+BMILMS!$E$32*AM623^2+BMILMS!$F$32*AM623+BMILMS!$G$32)))))))</f>
        <v>12.568967990000001</v>
      </c>
      <c r="AL623" s="4">
        <f>IF(D623="M",(IF(AM623&lt;90,BMILMS!$D$14*AM623^3+BMILMS!$E$14*AM623^2+BMILMS!$F$14*AM623+BMILMS!$G$14,BMILMS!$D$15*AM623^3+BMILMS!$E$15*AM623^2+BMILMS!$F$15*AM623+BMILMS!$G$15)),(IF(AM623&lt;90,BMILMS!$D$17*AM623^3+BMILMS!$E$17*AM623^2+BMILMS!$F$17*AM623+BMILMS!$G$17,BMILMS!$D$18*AM623^3+BMILMS!$E$18*AM623^2+BMILMS!$F$18*AM623+BMILMS!$G$18)))</f>
        <v>8.8969350000000003E-2</v>
      </c>
      <c r="AM623" s="4">
        <f t="shared" si="209"/>
        <v>0</v>
      </c>
      <c r="AO623" s="56">
        <f>IF(D623="M",WeightSDS!P$5*$AM623^7+WeightSDS!Q$5*$AM623^6+WeightSDS!R$5*$AM623^5+WeightSDS!S$5*$AM623^4+WeightSDS!T$5*$AM623^3+WeightSDS!U$5*$AM623^2+WeightSDS!V$5*$AM623+WeightSDS!W$5,IF($AM623&lt;186,WeightSDS!P$8*$AM623^7+WeightSDS!Q$8*$AM623^6+WeightSDS!R$8*$AM623^5+WeightSDS!S$8*$AM623^4+WeightSDS!T$8*$AM623^3+WeightSDS!U$8*$AM623^2+WeightSDS!V$8*$AM623+WeightSDS!W$8,WeightSDS!$U$9+WeightSDS!$V$9*($AM623-WeightSDS!$W$9)))</f>
        <v>0.75407122999999998</v>
      </c>
      <c r="AP623" s="4">
        <f>IF(D623="M",IF($AM623&lt;45,WeightSDS!M$23*$AM623^10+WeightSDS!N$23*$AM623^9+WeightSDS!O$23*$AM623^8+WeightSDS!P$23*$AM623^7+WeightSDS!Q$23*$AM623^6+WeightSDS!R$23*$AM623^5+WeightSDS!S$23*$AM623^4+WeightSDS!T$23*$AM623^3+WeightSDS!U$23*$AM623^2+WeightSDS!V$23*$AM623+WeightSDS!W$23,IF($AM623&lt;153,WeightSDS!M$25*$AM623^10+WeightSDS!N$25*$AM623^9+WeightSDS!O$25*$AM623^8+WeightSDS!P$25*$AM623^7+WeightSDS!Q$25*$AM623^6+WeightSDS!R$25*$AM623^5+WeightSDS!S$25*$AM623^4+WeightSDS!T$25*$AM623^3+WeightSDS!U$25*$AM623^2+WeightSDS!V$25*$AM623+WeightSDS!W$25,WeightSDS!M$27+WeightSDS!N$27/(1+EXP(WeightSDS!O$27+WeightSDS!P$27*$AM623)))),IF($AM623&lt;43.8,WeightSDS!M$29*$AM623^10+WeightSDS!N$29*$AM623^9+WeightSDS!O$29*$AM623^8+WeightSDS!P$29*$AM623^7+WeightSDS!Q$29*$AM623^6+WeightSDS!R$29*$AM623^5+WeightSDS!S$29*$AM623^4+WeightSDS!T$29*$AM623^3+WeightSDS!U$29*$AM623^2+WeightSDS!V$29*$AM623+WeightSDS!W$29-0.010431*(1-$AM623/210),IF($AM623&lt;123,WeightSDS!M$30*$AM623^10+WeightSDS!N$30*$AM623^9+WeightSDS!O$30*$AM623^8+WeightSDS!P$30*$AM623^7+WeightSDS!Q$30*$AM623^6+WeightSDS!R$30*$AM623^5+WeightSDS!S$30*$AM623^4+WeightSDS!T$30*$AM623^3+WeightSDS!U$30*$AM623^2+WeightSDS!V$30*$AM623+WeightSDS!W$30-0.010431*(1-1/$AM623),WeightSDS!M$32+WeightSDS!N$32/(1+EXP(WeightSDS!O$32+WeightSDS!P$32*$AM623))-0.010431*(1-$AM623/210))))</f>
        <v>2.9500001032655536</v>
      </c>
      <c r="AQ623" s="4">
        <f>IF(D623="M",IF($AM623&lt;162,WeightSDS!P$12*$AM623^7+WeightSDS!Q$12*$AM623^6+WeightSDS!R$12*$AM623^5+WeightSDS!S$12*$AM623^4+WeightSDS!T$12*$AM623^3+WeightSDS!U$12*$AM623^2+WeightSDS!V$12*$AM623+WeightSDS!W$12,WeightSDS!P$14*$AM623^7+WeightSDS!Q$14*$AM623^6+WeightSDS!R$14*$AM623^5+WeightSDS!S$14*$AM623^4+WeightSDS!T$14*$AM623^3+WeightSDS!U$14*$AM623^2+WeightSDS!V$14*$AM623+WeightSDS!W$14),IF($AM623&lt;156,WeightSDS!O$17*$AM623^8+WeightSDS!P$17*$AM623^7+WeightSDS!Q$17*$AM623^6+WeightSDS!R$17*$AM623^5+WeightSDS!S$17*$AM623^4+WeightSDS!T$17*$AM623^3+WeightSDS!U$17*$AM623^2+WeightSDS!V$17*$AM623+WeightSDS!W$17,IF($AM623&lt;186,WeightSDS!$U$18+(WeightSDS!$V$18-WeightSDS!$U$18)/24*($AM623-186)+WeightSDS!$W$18*(-$AM623+186)^2-0.005,WeightSDS!$U$18+(WeightSDS!$V$18-WeightSDS!$U$18)/24*($AM623-186)-0.005)))</f>
        <v>0.14604529399999999</v>
      </c>
      <c r="AT623" s="4">
        <f t="shared" si="196"/>
        <v>0.56299999999999994</v>
      </c>
      <c r="AU623" s="4">
        <f t="shared" si="197"/>
        <v>69</v>
      </c>
      <c r="AV623" s="4">
        <f t="shared" si="198"/>
        <v>0.51</v>
      </c>
    </row>
    <row r="624" spans="1:48" x14ac:dyDescent="0.15">
      <c r="A624" s="4"/>
      <c r="B624" s="21"/>
      <c r="C624" s="21"/>
      <c r="D624" s="21"/>
      <c r="E624" s="22"/>
      <c r="F624" s="22"/>
      <c r="G624" s="23"/>
      <c r="H624" s="23"/>
      <c r="I624" s="181"/>
      <c r="J624" s="8" t="str">
        <f t="shared" si="190"/>
        <v/>
      </c>
      <c r="K624" s="2" t="str">
        <f t="shared" si="199"/>
        <v/>
      </c>
      <c r="L624" s="2" t="str">
        <f t="shared" si="191"/>
        <v/>
      </c>
      <c r="M624" s="2" t="str">
        <f t="shared" si="200"/>
        <v/>
      </c>
      <c r="N624" s="2" t="str">
        <f t="shared" si="208"/>
        <v/>
      </c>
      <c r="O624" s="2" t="str">
        <f t="shared" si="201"/>
        <v/>
      </c>
      <c r="P624" s="8" t="str">
        <f t="shared" si="202"/>
        <v/>
      </c>
      <c r="Q624" s="8" t="str">
        <f t="shared" si="203"/>
        <v/>
      </c>
      <c r="R624" s="111" t="str">
        <f t="shared" si="204"/>
        <v/>
      </c>
      <c r="S624" s="44" t="str">
        <f t="shared" si="205"/>
        <v/>
      </c>
      <c r="T624" s="37" t="str">
        <f t="shared" si="206"/>
        <v/>
      </c>
      <c r="U624" s="44" t="str">
        <f t="shared" si="207"/>
        <v/>
      </c>
      <c r="V624" s="26"/>
      <c r="W624" s="26"/>
      <c r="X624" s="26"/>
      <c r="Y624" s="26"/>
      <c r="Z624" s="24"/>
      <c r="AA624" s="169">
        <f t="shared" si="192"/>
        <v>0</v>
      </c>
      <c r="AB624" s="4">
        <f t="shared" si="193"/>
        <v>0</v>
      </c>
      <c r="AC624" s="170">
        <f t="shared" si="210"/>
        <v>0</v>
      </c>
      <c r="AD624" s="58"/>
      <c r="AE624" s="58"/>
      <c r="AF624" s="58"/>
      <c r="AG624" s="59">
        <f t="shared" si="194"/>
        <v>9.0359999999999996</v>
      </c>
      <c r="AH624" s="59">
        <f t="shared" si="195"/>
        <v>-184.49199999999999</v>
      </c>
      <c r="AJ624" s="4">
        <f>IF(D624="M",IF(AM624&lt;78,BMILMS!$D$5*AM624^3+BMILMS!$E$5*AM624^2+BMILMS!$F$5*AM624+BMILMS!$G$5,IF(AM624&lt;150,BMILMS!$D$6*AM624^3+BMILMS!$E$6*AM624^2+BMILMS!$F$6*AM624+BMILMS!$G$6,BMILMS!$D$7*AM624^3+BMILMS!$E$7*AM624^2+BMILMS!$F$7*AM624+BMILMS!$G$7)),IF(AM624&lt;69,BMILMS!$D$9*AM624^3+BMILMS!$E$9*AM624^2+BMILMS!$F$9*AM624+BMILMS!$G$9,IF(AM624&lt;150,BMILMS!$D$10*AM624^3+BMILMS!$E$10*AM624^2+BMILMS!$F$10*AM624+BMILMS!$G$10,BMILMS!$D$11*AM624^3+BMILMS!$E$11*AM624^2+BMILMS!$F$11*AM624+BMILMS!$G$11)))</f>
        <v>0.79584630099999998</v>
      </c>
      <c r="AK624" s="4">
        <f>IF(D624="M",(IF(AM624&lt;2.5,BMILMS!$D$21*AM624^3+BMILMS!$E$21*AM624^2+BMILMS!$F$21*AM624+BMILMS!$G$21,IF(AM624&lt;9.5,BMILMS!$D$22*AM624^3+BMILMS!$E$22*AM624^2+BMILMS!$F$22*AM624+BMILMS!$G$22,IF(AM624&lt;26.75,BMILMS!$D$23*AM624^3+BMILMS!$E$23*AM624^2+BMILMS!$F$23*AM624+BMILMS!$G$23,IF(AM624&lt;90,BMILMS!$D$24*AM624^3+BMILMS!$E$24*AM624^2+BMILMS!$F$24*AM624+BMILMS!$G$24,BMILMS!$D$25*AM624^3+BMILMS!$E$25*AM624^2+BMILMS!$F$25*AM624+BMILMS!$G$25))))),(IF(AM624&lt;2.5,BMILMS!$D$27*AM624^3+BMILMS!$E$27*AM624^2+BMILMS!$F$27*AM624+BMILMS!$G$27,IF(AM624&lt;9.5,BMILMS!$D$28*AM624^3+BMILMS!$E$28*AM624^2+BMILMS!$F$28*AM624+BMILMS!$G$28,IF(AM624&lt;26.75,BMILMS!$D$29*AM624^3+BMILMS!$E$29*AM624^2+BMILMS!$F$29*AM624+BMILMS!$G$29,IF(AM624&lt;90,BMILMS!$D$30*AM624^3+BMILMS!$E$30*AM624^2+BMILMS!$F$30*AM624+BMILMS!$G$30,IF(AM624&lt;150,BMILMS!$D$31*AM624^3+BMILMS!$E$31*AM624^2+BMILMS!$F$31*AM624+BMILMS!$G$31,BMILMS!$D$32*AM624^3+BMILMS!$E$32*AM624^2+BMILMS!$F$32*AM624+BMILMS!$G$32)))))))</f>
        <v>12.568967990000001</v>
      </c>
      <c r="AL624" s="4">
        <f>IF(D624="M",(IF(AM624&lt;90,BMILMS!$D$14*AM624^3+BMILMS!$E$14*AM624^2+BMILMS!$F$14*AM624+BMILMS!$G$14,BMILMS!$D$15*AM624^3+BMILMS!$E$15*AM624^2+BMILMS!$F$15*AM624+BMILMS!$G$15)),(IF(AM624&lt;90,BMILMS!$D$17*AM624^3+BMILMS!$E$17*AM624^2+BMILMS!$F$17*AM624+BMILMS!$G$17,BMILMS!$D$18*AM624^3+BMILMS!$E$18*AM624^2+BMILMS!$F$18*AM624+BMILMS!$G$18)))</f>
        <v>8.8969350000000003E-2</v>
      </c>
      <c r="AM624" s="4">
        <f t="shared" si="209"/>
        <v>0</v>
      </c>
      <c r="AO624" s="56">
        <f>IF(D624="M",WeightSDS!P$5*$AM624^7+WeightSDS!Q$5*$AM624^6+WeightSDS!R$5*$AM624^5+WeightSDS!S$5*$AM624^4+WeightSDS!T$5*$AM624^3+WeightSDS!U$5*$AM624^2+WeightSDS!V$5*$AM624+WeightSDS!W$5,IF($AM624&lt;186,WeightSDS!P$8*$AM624^7+WeightSDS!Q$8*$AM624^6+WeightSDS!R$8*$AM624^5+WeightSDS!S$8*$AM624^4+WeightSDS!T$8*$AM624^3+WeightSDS!U$8*$AM624^2+WeightSDS!V$8*$AM624+WeightSDS!W$8,WeightSDS!$U$9+WeightSDS!$V$9*($AM624-WeightSDS!$W$9)))</f>
        <v>0.75407122999999998</v>
      </c>
      <c r="AP624" s="4">
        <f>IF(D624="M",IF($AM624&lt;45,WeightSDS!M$23*$AM624^10+WeightSDS!N$23*$AM624^9+WeightSDS!O$23*$AM624^8+WeightSDS!P$23*$AM624^7+WeightSDS!Q$23*$AM624^6+WeightSDS!R$23*$AM624^5+WeightSDS!S$23*$AM624^4+WeightSDS!T$23*$AM624^3+WeightSDS!U$23*$AM624^2+WeightSDS!V$23*$AM624+WeightSDS!W$23,IF($AM624&lt;153,WeightSDS!M$25*$AM624^10+WeightSDS!N$25*$AM624^9+WeightSDS!O$25*$AM624^8+WeightSDS!P$25*$AM624^7+WeightSDS!Q$25*$AM624^6+WeightSDS!R$25*$AM624^5+WeightSDS!S$25*$AM624^4+WeightSDS!T$25*$AM624^3+WeightSDS!U$25*$AM624^2+WeightSDS!V$25*$AM624+WeightSDS!W$25,WeightSDS!M$27+WeightSDS!N$27/(1+EXP(WeightSDS!O$27+WeightSDS!P$27*$AM624)))),IF($AM624&lt;43.8,WeightSDS!M$29*$AM624^10+WeightSDS!N$29*$AM624^9+WeightSDS!O$29*$AM624^8+WeightSDS!P$29*$AM624^7+WeightSDS!Q$29*$AM624^6+WeightSDS!R$29*$AM624^5+WeightSDS!S$29*$AM624^4+WeightSDS!T$29*$AM624^3+WeightSDS!U$29*$AM624^2+WeightSDS!V$29*$AM624+WeightSDS!W$29-0.010431*(1-$AM624/210),IF($AM624&lt;123,WeightSDS!M$30*$AM624^10+WeightSDS!N$30*$AM624^9+WeightSDS!O$30*$AM624^8+WeightSDS!P$30*$AM624^7+WeightSDS!Q$30*$AM624^6+WeightSDS!R$30*$AM624^5+WeightSDS!S$30*$AM624^4+WeightSDS!T$30*$AM624^3+WeightSDS!U$30*$AM624^2+WeightSDS!V$30*$AM624+WeightSDS!W$30-0.010431*(1-1/$AM624),WeightSDS!M$32+WeightSDS!N$32/(1+EXP(WeightSDS!O$32+WeightSDS!P$32*$AM624))-0.010431*(1-$AM624/210))))</f>
        <v>2.9500001032655536</v>
      </c>
      <c r="AQ624" s="4">
        <f>IF(D624="M",IF($AM624&lt;162,WeightSDS!P$12*$AM624^7+WeightSDS!Q$12*$AM624^6+WeightSDS!R$12*$AM624^5+WeightSDS!S$12*$AM624^4+WeightSDS!T$12*$AM624^3+WeightSDS!U$12*$AM624^2+WeightSDS!V$12*$AM624+WeightSDS!W$12,WeightSDS!P$14*$AM624^7+WeightSDS!Q$14*$AM624^6+WeightSDS!R$14*$AM624^5+WeightSDS!S$14*$AM624^4+WeightSDS!T$14*$AM624^3+WeightSDS!U$14*$AM624^2+WeightSDS!V$14*$AM624+WeightSDS!W$14),IF($AM624&lt;156,WeightSDS!O$17*$AM624^8+WeightSDS!P$17*$AM624^7+WeightSDS!Q$17*$AM624^6+WeightSDS!R$17*$AM624^5+WeightSDS!S$17*$AM624^4+WeightSDS!T$17*$AM624^3+WeightSDS!U$17*$AM624^2+WeightSDS!V$17*$AM624+WeightSDS!W$17,IF($AM624&lt;186,WeightSDS!$U$18+(WeightSDS!$V$18-WeightSDS!$U$18)/24*($AM624-186)+WeightSDS!$W$18*(-$AM624+186)^2-0.005,WeightSDS!$U$18+(WeightSDS!$V$18-WeightSDS!$U$18)/24*($AM624-186)-0.005)))</f>
        <v>0.14604529399999999</v>
      </c>
      <c r="AT624" s="4">
        <f t="shared" si="196"/>
        <v>0.56299999999999994</v>
      </c>
      <c r="AU624" s="4">
        <f t="shared" si="197"/>
        <v>69</v>
      </c>
      <c r="AV624" s="4">
        <f t="shared" si="198"/>
        <v>0.51</v>
      </c>
    </row>
    <row r="625" spans="1:48" x14ac:dyDescent="0.15">
      <c r="A625" s="4"/>
      <c r="B625" s="21"/>
      <c r="C625" s="21"/>
      <c r="D625" s="21"/>
      <c r="E625" s="22"/>
      <c r="F625" s="22"/>
      <c r="G625" s="23"/>
      <c r="H625" s="23"/>
      <c r="I625" s="181"/>
      <c r="J625" s="8" t="str">
        <f t="shared" si="190"/>
        <v/>
      </c>
      <c r="K625" s="2" t="str">
        <f t="shared" si="199"/>
        <v/>
      </c>
      <c r="L625" s="2" t="str">
        <f t="shared" si="191"/>
        <v/>
      </c>
      <c r="M625" s="2" t="str">
        <f t="shared" si="200"/>
        <v/>
      </c>
      <c r="N625" s="2" t="str">
        <f t="shared" si="208"/>
        <v/>
      </c>
      <c r="O625" s="2" t="str">
        <f t="shared" si="201"/>
        <v/>
      </c>
      <c r="P625" s="8" t="str">
        <f t="shared" si="202"/>
        <v/>
      </c>
      <c r="Q625" s="8" t="str">
        <f t="shared" si="203"/>
        <v/>
      </c>
      <c r="R625" s="111" t="str">
        <f t="shared" si="204"/>
        <v/>
      </c>
      <c r="S625" s="44" t="str">
        <f t="shared" si="205"/>
        <v/>
      </c>
      <c r="T625" s="37" t="str">
        <f t="shared" si="206"/>
        <v/>
      </c>
      <c r="U625" s="44" t="str">
        <f t="shared" si="207"/>
        <v/>
      </c>
      <c r="V625" s="26"/>
      <c r="W625" s="26"/>
      <c r="X625" s="26"/>
      <c r="Y625" s="26"/>
      <c r="Z625" s="24"/>
      <c r="AA625" s="169">
        <f t="shared" si="192"/>
        <v>0</v>
      </c>
      <c r="AB625" s="4">
        <f t="shared" si="193"/>
        <v>0</v>
      </c>
      <c r="AC625" s="170">
        <f t="shared" si="210"/>
        <v>0</v>
      </c>
      <c r="AD625" s="58"/>
      <c r="AE625" s="58"/>
      <c r="AF625" s="58"/>
      <c r="AG625" s="59">
        <f t="shared" si="194"/>
        <v>9.0359999999999996</v>
      </c>
      <c r="AH625" s="59">
        <f t="shared" si="195"/>
        <v>-184.49199999999999</v>
      </c>
      <c r="AJ625" s="4">
        <f>IF(D625="M",IF(AM625&lt;78,BMILMS!$D$5*AM625^3+BMILMS!$E$5*AM625^2+BMILMS!$F$5*AM625+BMILMS!$G$5,IF(AM625&lt;150,BMILMS!$D$6*AM625^3+BMILMS!$E$6*AM625^2+BMILMS!$F$6*AM625+BMILMS!$G$6,BMILMS!$D$7*AM625^3+BMILMS!$E$7*AM625^2+BMILMS!$F$7*AM625+BMILMS!$G$7)),IF(AM625&lt;69,BMILMS!$D$9*AM625^3+BMILMS!$E$9*AM625^2+BMILMS!$F$9*AM625+BMILMS!$G$9,IF(AM625&lt;150,BMILMS!$D$10*AM625^3+BMILMS!$E$10*AM625^2+BMILMS!$F$10*AM625+BMILMS!$G$10,BMILMS!$D$11*AM625^3+BMILMS!$E$11*AM625^2+BMILMS!$F$11*AM625+BMILMS!$G$11)))</f>
        <v>0.79584630099999998</v>
      </c>
      <c r="AK625" s="4">
        <f>IF(D625="M",(IF(AM625&lt;2.5,BMILMS!$D$21*AM625^3+BMILMS!$E$21*AM625^2+BMILMS!$F$21*AM625+BMILMS!$G$21,IF(AM625&lt;9.5,BMILMS!$D$22*AM625^3+BMILMS!$E$22*AM625^2+BMILMS!$F$22*AM625+BMILMS!$G$22,IF(AM625&lt;26.75,BMILMS!$D$23*AM625^3+BMILMS!$E$23*AM625^2+BMILMS!$F$23*AM625+BMILMS!$G$23,IF(AM625&lt;90,BMILMS!$D$24*AM625^3+BMILMS!$E$24*AM625^2+BMILMS!$F$24*AM625+BMILMS!$G$24,BMILMS!$D$25*AM625^3+BMILMS!$E$25*AM625^2+BMILMS!$F$25*AM625+BMILMS!$G$25))))),(IF(AM625&lt;2.5,BMILMS!$D$27*AM625^3+BMILMS!$E$27*AM625^2+BMILMS!$F$27*AM625+BMILMS!$G$27,IF(AM625&lt;9.5,BMILMS!$D$28*AM625^3+BMILMS!$E$28*AM625^2+BMILMS!$F$28*AM625+BMILMS!$G$28,IF(AM625&lt;26.75,BMILMS!$D$29*AM625^3+BMILMS!$E$29*AM625^2+BMILMS!$F$29*AM625+BMILMS!$G$29,IF(AM625&lt;90,BMILMS!$D$30*AM625^3+BMILMS!$E$30*AM625^2+BMILMS!$F$30*AM625+BMILMS!$G$30,IF(AM625&lt;150,BMILMS!$D$31*AM625^3+BMILMS!$E$31*AM625^2+BMILMS!$F$31*AM625+BMILMS!$G$31,BMILMS!$D$32*AM625^3+BMILMS!$E$32*AM625^2+BMILMS!$F$32*AM625+BMILMS!$G$32)))))))</f>
        <v>12.568967990000001</v>
      </c>
      <c r="AL625" s="4">
        <f>IF(D625="M",(IF(AM625&lt;90,BMILMS!$D$14*AM625^3+BMILMS!$E$14*AM625^2+BMILMS!$F$14*AM625+BMILMS!$G$14,BMILMS!$D$15*AM625^3+BMILMS!$E$15*AM625^2+BMILMS!$F$15*AM625+BMILMS!$G$15)),(IF(AM625&lt;90,BMILMS!$D$17*AM625^3+BMILMS!$E$17*AM625^2+BMILMS!$F$17*AM625+BMILMS!$G$17,BMILMS!$D$18*AM625^3+BMILMS!$E$18*AM625^2+BMILMS!$F$18*AM625+BMILMS!$G$18)))</f>
        <v>8.8969350000000003E-2</v>
      </c>
      <c r="AM625" s="4">
        <f t="shared" si="209"/>
        <v>0</v>
      </c>
      <c r="AO625" s="56">
        <f>IF(D625="M",WeightSDS!P$5*$AM625^7+WeightSDS!Q$5*$AM625^6+WeightSDS!R$5*$AM625^5+WeightSDS!S$5*$AM625^4+WeightSDS!T$5*$AM625^3+WeightSDS!U$5*$AM625^2+WeightSDS!V$5*$AM625+WeightSDS!W$5,IF($AM625&lt;186,WeightSDS!P$8*$AM625^7+WeightSDS!Q$8*$AM625^6+WeightSDS!R$8*$AM625^5+WeightSDS!S$8*$AM625^4+WeightSDS!T$8*$AM625^3+WeightSDS!U$8*$AM625^2+WeightSDS!V$8*$AM625+WeightSDS!W$8,WeightSDS!$U$9+WeightSDS!$V$9*($AM625-WeightSDS!$W$9)))</f>
        <v>0.75407122999999998</v>
      </c>
      <c r="AP625" s="4">
        <f>IF(D625="M",IF($AM625&lt;45,WeightSDS!M$23*$AM625^10+WeightSDS!N$23*$AM625^9+WeightSDS!O$23*$AM625^8+WeightSDS!P$23*$AM625^7+WeightSDS!Q$23*$AM625^6+WeightSDS!R$23*$AM625^5+WeightSDS!S$23*$AM625^4+WeightSDS!T$23*$AM625^3+WeightSDS!U$23*$AM625^2+WeightSDS!V$23*$AM625+WeightSDS!W$23,IF($AM625&lt;153,WeightSDS!M$25*$AM625^10+WeightSDS!N$25*$AM625^9+WeightSDS!O$25*$AM625^8+WeightSDS!P$25*$AM625^7+WeightSDS!Q$25*$AM625^6+WeightSDS!R$25*$AM625^5+WeightSDS!S$25*$AM625^4+WeightSDS!T$25*$AM625^3+WeightSDS!U$25*$AM625^2+WeightSDS!V$25*$AM625+WeightSDS!W$25,WeightSDS!M$27+WeightSDS!N$27/(1+EXP(WeightSDS!O$27+WeightSDS!P$27*$AM625)))),IF($AM625&lt;43.8,WeightSDS!M$29*$AM625^10+WeightSDS!N$29*$AM625^9+WeightSDS!O$29*$AM625^8+WeightSDS!P$29*$AM625^7+WeightSDS!Q$29*$AM625^6+WeightSDS!R$29*$AM625^5+WeightSDS!S$29*$AM625^4+WeightSDS!T$29*$AM625^3+WeightSDS!U$29*$AM625^2+WeightSDS!V$29*$AM625+WeightSDS!W$29-0.010431*(1-$AM625/210),IF($AM625&lt;123,WeightSDS!M$30*$AM625^10+WeightSDS!N$30*$AM625^9+WeightSDS!O$30*$AM625^8+WeightSDS!P$30*$AM625^7+WeightSDS!Q$30*$AM625^6+WeightSDS!R$30*$AM625^5+WeightSDS!S$30*$AM625^4+WeightSDS!T$30*$AM625^3+WeightSDS!U$30*$AM625^2+WeightSDS!V$30*$AM625+WeightSDS!W$30-0.010431*(1-1/$AM625),WeightSDS!M$32+WeightSDS!N$32/(1+EXP(WeightSDS!O$32+WeightSDS!P$32*$AM625))-0.010431*(1-$AM625/210))))</f>
        <v>2.9500001032655536</v>
      </c>
      <c r="AQ625" s="4">
        <f>IF(D625="M",IF($AM625&lt;162,WeightSDS!P$12*$AM625^7+WeightSDS!Q$12*$AM625^6+WeightSDS!R$12*$AM625^5+WeightSDS!S$12*$AM625^4+WeightSDS!T$12*$AM625^3+WeightSDS!U$12*$AM625^2+WeightSDS!V$12*$AM625+WeightSDS!W$12,WeightSDS!P$14*$AM625^7+WeightSDS!Q$14*$AM625^6+WeightSDS!R$14*$AM625^5+WeightSDS!S$14*$AM625^4+WeightSDS!T$14*$AM625^3+WeightSDS!U$14*$AM625^2+WeightSDS!V$14*$AM625+WeightSDS!W$14),IF($AM625&lt;156,WeightSDS!O$17*$AM625^8+WeightSDS!P$17*$AM625^7+WeightSDS!Q$17*$AM625^6+WeightSDS!R$17*$AM625^5+WeightSDS!S$17*$AM625^4+WeightSDS!T$17*$AM625^3+WeightSDS!U$17*$AM625^2+WeightSDS!V$17*$AM625+WeightSDS!W$17,IF($AM625&lt;186,WeightSDS!$U$18+(WeightSDS!$V$18-WeightSDS!$U$18)/24*($AM625-186)+WeightSDS!$W$18*(-$AM625+186)^2-0.005,WeightSDS!$U$18+(WeightSDS!$V$18-WeightSDS!$U$18)/24*($AM625-186)-0.005)))</f>
        <v>0.14604529399999999</v>
      </c>
      <c r="AT625" s="4">
        <f t="shared" si="196"/>
        <v>0.56299999999999994</v>
      </c>
      <c r="AU625" s="4">
        <f t="shared" si="197"/>
        <v>69</v>
      </c>
      <c r="AV625" s="4">
        <f t="shared" si="198"/>
        <v>0.51</v>
      </c>
    </row>
    <row r="626" spans="1:48" x14ac:dyDescent="0.15">
      <c r="A626" s="4"/>
      <c r="B626" s="21"/>
      <c r="C626" s="21"/>
      <c r="D626" s="21"/>
      <c r="E626" s="22"/>
      <c r="F626" s="22"/>
      <c r="G626" s="23"/>
      <c r="H626" s="23"/>
      <c r="I626" s="181"/>
      <c r="J626" s="8" t="str">
        <f t="shared" si="190"/>
        <v/>
      </c>
      <c r="K626" s="2" t="str">
        <f t="shared" si="199"/>
        <v/>
      </c>
      <c r="L626" s="2" t="str">
        <f t="shared" si="191"/>
        <v/>
      </c>
      <c r="M626" s="2" t="str">
        <f t="shared" si="200"/>
        <v/>
      </c>
      <c r="N626" s="2" t="str">
        <f t="shared" si="208"/>
        <v/>
      </c>
      <c r="O626" s="2" t="str">
        <f t="shared" si="201"/>
        <v/>
      </c>
      <c r="P626" s="8" t="str">
        <f t="shared" si="202"/>
        <v/>
      </c>
      <c r="Q626" s="8" t="str">
        <f t="shared" si="203"/>
        <v/>
      </c>
      <c r="R626" s="111" t="str">
        <f t="shared" si="204"/>
        <v/>
      </c>
      <c r="S626" s="44" t="str">
        <f t="shared" si="205"/>
        <v/>
      </c>
      <c r="T626" s="37" t="str">
        <f t="shared" si="206"/>
        <v/>
      </c>
      <c r="U626" s="44" t="str">
        <f t="shared" si="207"/>
        <v/>
      </c>
      <c r="V626" s="26"/>
      <c r="W626" s="26"/>
      <c r="X626" s="26"/>
      <c r="Y626" s="26"/>
      <c r="Z626" s="24"/>
      <c r="AA626" s="169">
        <f t="shared" si="192"/>
        <v>0</v>
      </c>
      <c r="AB626" s="4">
        <f t="shared" si="193"/>
        <v>0</v>
      </c>
      <c r="AC626" s="170">
        <f t="shared" si="210"/>
        <v>0</v>
      </c>
      <c r="AD626" s="58"/>
      <c r="AE626" s="58"/>
      <c r="AF626" s="58"/>
      <c r="AG626" s="59">
        <f t="shared" si="194"/>
        <v>9.0359999999999996</v>
      </c>
      <c r="AH626" s="59">
        <f t="shared" si="195"/>
        <v>-184.49199999999999</v>
      </c>
      <c r="AJ626" s="4">
        <f>IF(D626="M",IF(AM626&lt;78,BMILMS!$D$5*AM626^3+BMILMS!$E$5*AM626^2+BMILMS!$F$5*AM626+BMILMS!$G$5,IF(AM626&lt;150,BMILMS!$D$6*AM626^3+BMILMS!$E$6*AM626^2+BMILMS!$F$6*AM626+BMILMS!$G$6,BMILMS!$D$7*AM626^3+BMILMS!$E$7*AM626^2+BMILMS!$F$7*AM626+BMILMS!$G$7)),IF(AM626&lt;69,BMILMS!$D$9*AM626^3+BMILMS!$E$9*AM626^2+BMILMS!$F$9*AM626+BMILMS!$G$9,IF(AM626&lt;150,BMILMS!$D$10*AM626^3+BMILMS!$E$10*AM626^2+BMILMS!$F$10*AM626+BMILMS!$G$10,BMILMS!$D$11*AM626^3+BMILMS!$E$11*AM626^2+BMILMS!$F$11*AM626+BMILMS!$G$11)))</f>
        <v>0.79584630099999998</v>
      </c>
      <c r="AK626" s="4">
        <f>IF(D626="M",(IF(AM626&lt;2.5,BMILMS!$D$21*AM626^3+BMILMS!$E$21*AM626^2+BMILMS!$F$21*AM626+BMILMS!$G$21,IF(AM626&lt;9.5,BMILMS!$D$22*AM626^3+BMILMS!$E$22*AM626^2+BMILMS!$F$22*AM626+BMILMS!$G$22,IF(AM626&lt;26.75,BMILMS!$D$23*AM626^3+BMILMS!$E$23*AM626^2+BMILMS!$F$23*AM626+BMILMS!$G$23,IF(AM626&lt;90,BMILMS!$D$24*AM626^3+BMILMS!$E$24*AM626^2+BMILMS!$F$24*AM626+BMILMS!$G$24,BMILMS!$D$25*AM626^3+BMILMS!$E$25*AM626^2+BMILMS!$F$25*AM626+BMILMS!$G$25))))),(IF(AM626&lt;2.5,BMILMS!$D$27*AM626^3+BMILMS!$E$27*AM626^2+BMILMS!$F$27*AM626+BMILMS!$G$27,IF(AM626&lt;9.5,BMILMS!$D$28*AM626^3+BMILMS!$E$28*AM626^2+BMILMS!$F$28*AM626+BMILMS!$G$28,IF(AM626&lt;26.75,BMILMS!$D$29*AM626^3+BMILMS!$E$29*AM626^2+BMILMS!$F$29*AM626+BMILMS!$G$29,IF(AM626&lt;90,BMILMS!$D$30*AM626^3+BMILMS!$E$30*AM626^2+BMILMS!$F$30*AM626+BMILMS!$G$30,IF(AM626&lt;150,BMILMS!$D$31*AM626^3+BMILMS!$E$31*AM626^2+BMILMS!$F$31*AM626+BMILMS!$G$31,BMILMS!$D$32*AM626^3+BMILMS!$E$32*AM626^2+BMILMS!$F$32*AM626+BMILMS!$G$32)))))))</f>
        <v>12.568967990000001</v>
      </c>
      <c r="AL626" s="4">
        <f>IF(D626="M",(IF(AM626&lt;90,BMILMS!$D$14*AM626^3+BMILMS!$E$14*AM626^2+BMILMS!$F$14*AM626+BMILMS!$G$14,BMILMS!$D$15*AM626^3+BMILMS!$E$15*AM626^2+BMILMS!$F$15*AM626+BMILMS!$G$15)),(IF(AM626&lt;90,BMILMS!$D$17*AM626^3+BMILMS!$E$17*AM626^2+BMILMS!$F$17*AM626+BMILMS!$G$17,BMILMS!$D$18*AM626^3+BMILMS!$E$18*AM626^2+BMILMS!$F$18*AM626+BMILMS!$G$18)))</f>
        <v>8.8969350000000003E-2</v>
      </c>
      <c r="AM626" s="4">
        <f t="shared" si="209"/>
        <v>0</v>
      </c>
      <c r="AO626" s="56">
        <f>IF(D626="M",WeightSDS!P$5*$AM626^7+WeightSDS!Q$5*$AM626^6+WeightSDS!R$5*$AM626^5+WeightSDS!S$5*$AM626^4+WeightSDS!T$5*$AM626^3+WeightSDS!U$5*$AM626^2+WeightSDS!V$5*$AM626+WeightSDS!W$5,IF($AM626&lt;186,WeightSDS!P$8*$AM626^7+WeightSDS!Q$8*$AM626^6+WeightSDS!R$8*$AM626^5+WeightSDS!S$8*$AM626^4+WeightSDS!T$8*$AM626^3+WeightSDS!U$8*$AM626^2+WeightSDS!V$8*$AM626+WeightSDS!W$8,WeightSDS!$U$9+WeightSDS!$V$9*($AM626-WeightSDS!$W$9)))</f>
        <v>0.75407122999999998</v>
      </c>
      <c r="AP626" s="4">
        <f>IF(D626="M",IF($AM626&lt;45,WeightSDS!M$23*$AM626^10+WeightSDS!N$23*$AM626^9+WeightSDS!O$23*$AM626^8+WeightSDS!P$23*$AM626^7+WeightSDS!Q$23*$AM626^6+WeightSDS!R$23*$AM626^5+WeightSDS!S$23*$AM626^4+WeightSDS!T$23*$AM626^3+WeightSDS!U$23*$AM626^2+WeightSDS!V$23*$AM626+WeightSDS!W$23,IF($AM626&lt;153,WeightSDS!M$25*$AM626^10+WeightSDS!N$25*$AM626^9+WeightSDS!O$25*$AM626^8+WeightSDS!P$25*$AM626^7+WeightSDS!Q$25*$AM626^6+WeightSDS!R$25*$AM626^5+WeightSDS!S$25*$AM626^4+WeightSDS!T$25*$AM626^3+WeightSDS!U$25*$AM626^2+WeightSDS!V$25*$AM626+WeightSDS!W$25,WeightSDS!M$27+WeightSDS!N$27/(1+EXP(WeightSDS!O$27+WeightSDS!P$27*$AM626)))),IF($AM626&lt;43.8,WeightSDS!M$29*$AM626^10+WeightSDS!N$29*$AM626^9+WeightSDS!O$29*$AM626^8+WeightSDS!P$29*$AM626^7+WeightSDS!Q$29*$AM626^6+WeightSDS!R$29*$AM626^5+WeightSDS!S$29*$AM626^4+WeightSDS!T$29*$AM626^3+WeightSDS!U$29*$AM626^2+WeightSDS!V$29*$AM626+WeightSDS!W$29-0.010431*(1-$AM626/210),IF($AM626&lt;123,WeightSDS!M$30*$AM626^10+WeightSDS!N$30*$AM626^9+WeightSDS!O$30*$AM626^8+WeightSDS!P$30*$AM626^7+WeightSDS!Q$30*$AM626^6+WeightSDS!R$30*$AM626^5+WeightSDS!S$30*$AM626^4+WeightSDS!T$30*$AM626^3+WeightSDS!U$30*$AM626^2+WeightSDS!V$30*$AM626+WeightSDS!W$30-0.010431*(1-1/$AM626),WeightSDS!M$32+WeightSDS!N$32/(1+EXP(WeightSDS!O$32+WeightSDS!P$32*$AM626))-0.010431*(1-$AM626/210))))</f>
        <v>2.9500001032655536</v>
      </c>
      <c r="AQ626" s="4">
        <f>IF(D626="M",IF($AM626&lt;162,WeightSDS!P$12*$AM626^7+WeightSDS!Q$12*$AM626^6+WeightSDS!R$12*$AM626^5+WeightSDS!S$12*$AM626^4+WeightSDS!T$12*$AM626^3+WeightSDS!U$12*$AM626^2+WeightSDS!V$12*$AM626+WeightSDS!W$12,WeightSDS!P$14*$AM626^7+WeightSDS!Q$14*$AM626^6+WeightSDS!R$14*$AM626^5+WeightSDS!S$14*$AM626^4+WeightSDS!T$14*$AM626^3+WeightSDS!U$14*$AM626^2+WeightSDS!V$14*$AM626+WeightSDS!W$14),IF($AM626&lt;156,WeightSDS!O$17*$AM626^8+WeightSDS!P$17*$AM626^7+WeightSDS!Q$17*$AM626^6+WeightSDS!R$17*$AM626^5+WeightSDS!S$17*$AM626^4+WeightSDS!T$17*$AM626^3+WeightSDS!U$17*$AM626^2+WeightSDS!V$17*$AM626+WeightSDS!W$17,IF($AM626&lt;186,WeightSDS!$U$18+(WeightSDS!$V$18-WeightSDS!$U$18)/24*($AM626-186)+WeightSDS!$W$18*(-$AM626+186)^2-0.005,WeightSDS!$U$18+(WeightSDS!$V$18-WeightSDS!$U$18)/24*($AM626-186)-0.005)))</f>
        <v>0.14604529399999999</v>
      </c>
      <c r="AT626" s="4">
        <f t="shared" si="196"/>
        <v>0.56299999999999994</v>
      </c>
      <c r="AU626" s="4">
        <f t="shared" si="197"/>
        <v>69</v>
      </c>
      <c r="AV626" s="4">
        <f t="shared" si="198"/>
        <v>0.51</v>
      </c>
    </row>
    <row r="627" spans="1:48" x14ac:dyDescent="0.15">
      <c r="A627" s="4"/>
      <c r="B627" s="21"/>
      <c r="C627" s="21"/>
      <c r="D627" s="21"/>
      <c r="E627" s="22"/>
      <c r="F627" s="22"/>
      <c r="G627" s="23"/>
      <c r="H627" s="23"/>
      <c r="I627" s="181"/>
      <c r="J627" s="8" t="str">
        <f t="shared" si="190"/>
        <v/>
      </c>
      <c r="K627" s="2" t="str">
        <f t="shared" si="199"/>
        <v/>
      </c>
      <c r="L627" s="2" t="str">
        <f t="shared" si="191"/>
        <v/>
      </c>
      <c r="M627" s="2" t="str">
        <f t="shared" si="200"/>
        <v/>
      </c>
      <c r="N627" s="2" t="str">
        <f t="shared" si="208"/>
        <v/>
      </c>
      <c r="O627" s="2" t="str">
        <f t="shared" si="201"/>
        <v/>
      </c>
      <c r="P627" s="8" t="str">
        <f t="shared" si="202"/>
        <v/>
      </c>
      <c r="Q627" s="8" t="str">
        <f t="shared" si="203"/>
        <v/>
      </c>
      <c r="R627" s="111" t="str">
        <f t="shared" si="204"/>
        <v/>
      </c>
      <c r="S627" s="44" t="str">
        <f t="shared" si="205"/>
        <v/>
      </c>
      <c r="T627" s="37" t="str">
        <f t="shared" si="206"/>
        <v/>
      </c>
      <c r="U627" s="44" t="str">
        <f t="shared" si="207"/>
        <v/>
      </c>
      <c r="V627" s="26"/>
      <c r="W627" s="26"/>
      <c r="X627" s="26"/>
      <c r="Y627" s="26"/>
      <c r="Z627" s="24"/>
      <c r="AA627" s="169">
        <f t="shared" si="192"/>
        <v>0</v>
      </c>
      <c r="AB627" s="4">
        <f t="shared" si="193"/>
        <v>0</v>
      </c>
      <c r="AC627" s="170">
        <f t="shared" si="210"/>
        <v>0</v>
      </c>
      <c r="AD627" s="58"/>
      <c r="AE627" s="58"/>
      <c r="AF627" s="58"/>
      <c r="AG627" s="59">
        <f t="shared" si="194"/>
        <v>9.0359999999999996</v>
      </c>
      <c r="AH627" s="59">
        <f t="shared" si="195"/>
        <v>-184.49199999999999</v>
      </c>
      <c r="AJ627" s="4">
        <f>IF(D627="M",IF(AM627&lt;78,BMILMS!$D$5*AM627^3+BMILMS!$E$5*AM627^2+BMILMS!$F$5*AM627+BMILMS!$G$5,IF(AM627&lt;150,BMILMS!$D$6*AM627^3+BMILMS!$E$6*AM627^2+BMILMS!$F$6*AM627+BMILMS!$G$6,BMILMS!$D$7*AM627^3+BMILMS!$E$7*AM627^2+BMILMS!$F$7*AM627+BMILMS!$G$7)),IF(AM627&lt;69,BMILMS!$D$9*AM627^3+BMILMS!$E$9*AM627^2+BMILMS!$F$9*AM627+BMILMS!$G$9,IF(AM627&lt;150,BMILMS!$D$10*AM627^3+BMILMS!$E$10*AM627^2+BMILMS!$F$10*AM627+BMILMS!$G$10,BMILMS!$D$11*AM627^3+BMILMS!$E$11*AM627^2+BMILMS!$F$11*AM627+BMILMS!$G$11)))</f>
        <v>0.79584630099999998</v>
      </c>
      <c r="AK627" s="4">
        <f>IF(D627="M",(IF(AM627&lt;2.5,BMILMS!$D$21*AM627^3+BMILMS!$E$21*AM627^2+BMILMS!$F$21*AM627+BMILMS!$G$21,IF(AM627&lt;9.5,BMILMS!$D$22*AM627^3+BMILMS!$E$22*AM627^2+BMILMS!$F$22*AM627+BMILMS!$G$22,IF(AM627&lt;26.75,BMILMS!$D$23*AM627^3+BMILMS!$E$23*AM627^2+BMILMS!$F$23*AM627+BMILMS!$G$23,IF(AM627&lt;90,BMILMS!$D$24*AM627^3+BMILMS!$E$24*AM627^2+BMILMS!$F$24*AM627+BMILMS!$G$24,BMILMS!$D$25*AM627^3+BMILMS!$E$25*AM627^2+BMILMS!$F$25*AM627+BMILMS!$G$25))))),(IF(AM627&lt;2.5,BMILMS!$D$27*AM627^3+BMILMS!$E$27*AM627^2+BMILMS!$F$27*AM627+BMILMS!$G$27,IF(AM627&lt;9.5,BMILMS!$D$28*AM627^3+BMILMS!$E$28*AM627^2+BMILMS!$F$28*AM627+BMILMS!$G$28,IF(AM627&lt;26.75,BMILMS!$D$29*AM627^3+BMILMS!$E$29*AM627^2+BMILMS!$F$29*AM627+BMILMS!$G$29,IF(AM627&lt;90,BMILMS!$D$30*AM627^3+BMILMS!$E$30*AM627^2+BMILMS!$F$30*AM627+BMILMS!$G$30,IF(AM627&lt;150,BMILMS!$D$31*AM627^3+BMILMS!$E$31*AM627^2+BMILMS!$F$31*AM627+BMILMS!$G$31,BMILMS!$D$32*AM627^3+BMILMS!$E$32*AM627^2+BMILMS!$F$32*AM627+BMILMS!$G$32)))))))</f>
        <v>12.568967990000001</v>
      </c>
      <c r="AL627" s="4">
        <f>IF(D627="M",(IF(AM627&lt;90,BMILMS!$D$14*AM627^3+BMILMS!$E$14*AM627^2+BMILMS!$F$14*AM627+BMILMS!$G$14,BMILMS!$D$15*AM627^3+BMILMS!$E$15*AM627^2+BMILMS!$F$15*AM627+BMILMS!$G$15)),(IF(AM627&lt;90,BMILMS!$D$17*AM627^3+BMILMS!$E$17*AM627^2+BMILMS!$F$17*AM627+BMILMS!$G$17,BMILMS!$D$18*AM627^3+BMILMS!$E$18*AM627^2+BMILMS!$F$18*AM627+BMILMS!$G$18)))</f>
        <v>8.8969350000000003E-2</v>
      </c>
      <c r="AM627" s="4">
        <f t="shared" si="209"/>
        <v>0</v>
      </c>
      <c r="AO627" s="56">
        <f>IF(D627="M",WeightSDS!P$5*$AM627^7+WeightSDS!Q$5*$AM627^6+WeightSDS!R$5*$AM627^5+WeightSDS!S$5*$AM627^4+WeightSDS!T$5*$AM627^3+WeightSDS!U$5*$AM627^2+WeightSDS!V$5*$AM627+WeightSDS!W$5,IF($AM627&lt;186,WeightSDS!P$8*$AM627^7+WeightSDS!Q$8*$AM627^6+WeightSDS!R$8*$AM627^5+WeightSDS!S$8*$AM627^4+WeightSDS!T$8*$AM627^3+WeightSDS!U$8*$AM627^2+WeightSDS!V$8*$AM627+WeightSDS!W$8,WeightSDS!$U$9+WeightSDS!$V$9*($AM627-WeightSDS!$W$9)))</f>
        <v>0.75407122999999998</v>
      </c>
      <c r="AP627" s="4">
        <f>IF(D627="M",IF($AM627&lt;45,WeightSDS!M$23*$AM627^10+WeightSDS!N$23*$AM627^9+WeightSDS!O$23*$AM627^8+WeightSDS!P$23*$AM627^7+WeightSDS!Q$23*$AM627^6+WeightSDS!R$23*$AM627^5+WeightSDS!S$23*$AM627^4+WeightSDS!T$23*$AM627^3+WeightSDS!U$23*$AM627^2+WeightSDS!V$23*$AM627+WeightSDS!W$23,IF($AM627&lt;153,WeightSDS!M$25*$AM627^10+WeightSDS!N$25*$AM627^9+WeightSDS!O$25*$AM627^8+WeightSDS!P$25*$AM627^7+WeightSDS!Q$25*$AM627^6+WeightSDS!R$25*$AM627^5+WeightSDS!S$25*$AM627^4+WeightSDS!T$25*$AM627^3+WeightSDS!U$25*$AM627^2+WeightSDS!V$25*$AM627+WeightSDS!W$25,WeightSDS!M$27+WeightSDS!N$27/(1+EXP(WeightSDS!O$27+WeightSDS!P$27*$AM627)))),IF($AM627&lt;43.8,WeightSDS!M$29*$AM627^10+WeightSDS!N$29*$AM627^9+WeightSDS!O$29*$AM627^8+WeightSDS!P$29*$AM627^7+WeightSDS!Q$29*$AM627^6+WeightSDS!R$29*$AM627^5+WeightSDS!S$29*$AM627^4+WeightSDS!T$29*$AM627^3+WeightSDS!U$29*$AM627^2+WeightSDS!V$29*$AM627+WeightSDS!W$29-0.010431*(1-$AM627/210),IF($AM627&lt;123,WeightSDS!M$30*$AM627^10+WeightSDS!N$30*$AM627^9+WeightSDS!O$30*$AM627^8+WeightSDS!P$30*$AM627^7+WeightSDS!Q$30*$AM627^6+WeightSDS!R$30*$AM627^5+WeightSDS!S$30*$AM627^4+WeightSDS!T$30*$AM627^3+WeightSDS!U$30*$AM627^2+WeightSDS!V$30*$AM627+WeightSDS!W$30-0.010431*(1-1/$AM627),WeightSDS!M$32+WeightSDS!N$32/(1+EXP(WeightSDS!O$32+WeightSDS!P$32*$AM627))-0.010431*(1-$AM627/210))))</f>
        <v>2.9500001032655536</v>
      </c>
      <c r="AQ627" s="4">
        <f>IF(D627="M",IF($AM627&lt;162,WeightSDS!P$12*$AM627^7+WeightSDS!Q$12*$AM627^6+WeightSDS!R$12*$AM627^5+WeightSDS!S$12*$AM627^4+WeightSDS!T$12*$AM627^3+WeightSDS!U$12*$AM627^2+WeightSDS!V$12*$AM627+WeightSDS!W$12,WeightSDS!P$14*$AM627^7+WeightSDS!Q$14*$AM627^6+WeightSDS!R$14*$AM627^5+WeightSDS!S$14*$AM627^4+WeightSDS!T$14*$AM627^3+WeightSDS!U$14*$AM627^2+WeightSDS!V$14*$AM627+WeightSDS!W$14),IF($AM627&lt;156,WeightSDS!O$17*$AM627^8+WeightSDS!P$17*$AM627^7+WeightSDS!Q$17*$AM627^6+WeightSDS!R$17*$AM627^5+WeightSDS!S$17*$AM627^4+WeightSDS!T$17*$AM627^3+WeightSDS!U$17*$AM627^2+WeightSDS!V$17*$AM627+WeightSDS!W$17,IF($AM627&lt;186,WeightSDS!$U$18+(WeightSDS!$V$18-WeightSDS!$U$18)/24*($AM627-186)+WeightSDS!$W$18*(-$AM627+186)^2-0.005,WeightSDS!$U$18+(WeightSDS!$V$18-WeightSDS!$U$18)/24*($AM627-186)-0.005)))</f>
        <v>0.14604529399999999</v>
      </c>
      <c r="AT627" s="4">
        <f t="shared" si="196"/>
        <v>0.56299999999999994</v>
      </c>
      <c r="AU627" s="4">
        <f t="shared" si="197"/>
        <v>69</v>
      </c>
      <c r="AV627" s="4">
        <f t="shared" si="198"/>
        <v>0.51</v>
      </c>
    </row>
    <row r="628" spans="1:48" x14ac:dyDescent="0.15">
      <c r="A628" s="4"/>
      <c r="B628" s="21"/>
      <c r="C628" s="21"/>
      <c r="D628" s="21"/>
      <c r="E628" s="22"/>
      <c r="F628" s="22"/>
      <c r="G628" s="23"/>
      <c r="H628" s="23"/>
      <c r="I628" s="181"/>
      <c r="J628" s="8" t="str">
        <f t="shared" si="190"/>
        <v/>
      </c>
      <c r="K628" s="2" t="str">
        <f t="shared" si="199"/>
        <v/>
      </c>
      <c r="L628" s="2" t="str">
        <f t="shared" si="191"/>
        <v/>
      </c>
      <c r="M628" s="2" t="str">
        <f t="shared" si="200"/>
        <v/>
      </c>
      <c r="N628" s="2" t="str">
        <f t="shared" si="208"/>
        <v/>
      </c>
      <c r="O628" s="2" t="str">
        <f t="shared" si="201"/>
        <v/>
      </c>
      <c r="P628" s="8" t="str">
        <f t="shared" si="202"/>
        <v/>
      </c>
      <c r="Q628" s="8" t="str">
        <f t="shared" si="203"/>
        <v/>
      </c>
      <c r="R628" s="111" t="str">
        <f t="shared" si="204"/>
        <v/>
      </c>
      <c r="S628" s="44" t="str">
        <f t="shared" si="205"/>
        <v/>
      </c>
      <c r="T628" s="37" t="str">
        <f t="shared" si="206"/>
        <v/>
      </c>
      <c r="U628" s="44" t="str">
        <f t="shared" si="207"/>
        <v/>
      </c>
      <c r="V628" s="26"/>
      <c r="W628" s="26"/>
      <c r="X628" s="26"/>
      <c r="Y628" s="26"/>
      <c r="Z628" s="24"/>
      <c r="AA628" s="169">
        <f t="shared" si="192"/>
        <v>0</v>
      </c>
      <c r="AB628" s="4">
        <f t="shared" si="193"/>
        <v>0</v>
      </c>
      <c r="AC628" s="170">
        <f t="shared" si="210"/>
        <v>0</v>
      </c>
      <c r="AD628" s="58"/>
      <c r="AE628" s="58"/>
      <c r="AF628" s="58"/>
      <c r="AG628" s="59">
        <f t="shared" si="194"/>
        <v>9.0359999999999996</v>
      </c>
      <c r="AH628" s="59">
        <f t="shared" si="195"/>
        <v>-184.49199999999999</v>
      </c>
      <c r="AJ628" s="4">
        <f>IF(D628="M",IF(AM628&lt;78,BMILMS!$D$5*AM628^3+BMILMS!$E$5*AM628^2+BMILMS!$F$5*AM628+BMILMS!$G$5,IF(AM628&lt;150,BMILMS!$D$6*AM628^3+BMILMS!$E$6*AM628^2+BMILMS!$F$6*AM628+BMILMS!$G$6,BMILMS!$D$7*AM628^3+BMILMS!$E$7*AM628^2+BMILMS!$F$7*AM628+BMILMS!$G$7)),IF(AM628&lt;69,BMILMS!$D$9*AM628^3+BMILMS!$E$9*AM628^2+BMILMS!$F$9*AM628+BMILMS!$G$9,IF(AM628&lt;150,BMILMS!$D$10*AM628^3+BMILMS!$E$10*AM628^2+BMILMS!$F$10*AM628+BMILMS!$G$10,BMILMS!$D$11*AM628^3+BMILMS!$E$11*AM628^2+BMILMS!$F$11*AM628+BMILMS!$G$11)))</f>
        <v>0.79584630099999998</v>
      </c>
      <c r="AK628" s="4">
        <f>IF(D628="M",(IF(AM628&lt;2.5,BMILMS!$D$21*AM628^3+BMILMS!$E$21*AM628^2+BMILMS!$F$21*AM628+BMILMS!$G$21,IF(AM628&lt;9.5,BMILMS!$D$22*AM628^3+BMILMS!$E$22*AM628^2+BMILMS!$F$22*AM628+BMILMS!$G$22,IF(AM628&lt;26.75,BMILMS!$D$23*AM628^3+BMILMS!$E$23*AM628^2+BMILMS!$F$23*AM628+BMILMS!$G$23,IF(AM628&lt;90,BMILMS!$D$24*AM628^3+BMILMS!$E$24*AM628^2+BMILMS!$F$24*AM628+BMILMS!$G$24,BMILMS!$D$25*AM628^3+BMILMS!$E$25*AM628^2+BMILMS!$F$25*AM628+BMILMS!$G$25))))),(IF(AM628&lt;2.5,BMILMS!$D$27*AM628^3+BMILMS!$E$27*AM628^2+BMILMS!$F$27*AM628+BMILMS!$G$27,IF(AM628&lt;9.5,BMILMS!$D$28*AM628^3+BMILMS!$E$28*AM628^2+BMILMS!$F$28*AM628+BMILMS!$G$28,IF(AM628&lt;26.75,BMILMS!$D$29*AM628^3+BMILMS!$E$29*AM628^2+BMILMS!$F$29*AM628+BMILMS!$G$29,IF(AM628&lt;90,BMILMS!$D$30*AM628^3+BMILMS!$E$30*AM628^2+BMILMS!$F$30*AM628+BMILMS!$G$30,IF(AM628&lt;150,BMILMS!$D$31*AM628^3+BMILMS!$E$31*AM628^2+BMILMS!$F$31*AM628+BMILMS!$G$31,BMILMS!$D$32*AM628^3+BMILMS!$E$32*AM628^2+BMILMS!$F$32*AM628+BMILMS!$G$32)))))))</f>
        <v>12.568967990000001</v>
      </c>
      <c r="AL628" s="4">
        <f>IF(D628="M",(IF(AM628&lt;90,BMILMS!$D$14*AM628^3+BMILMS!$E$14*AM628^2+BMILMS!$F$14*AM628+BMILMS!$G$14,BMILMS!$D$15*AM628^3+BMILMS!$E$15*AM628^2+BMILMS!$F$15*AM628+BMILMS!$G$15)),(IF(AM628&lt;90,BMILMS!$D$17*AM628^3+BMILMS!$E$17*AM628^2+BMILMS!$F$17*AM628+BMILMS!$G$17,BMILMS!$D$18*AM628^3+BMILMS!$E$18*AM628^2+BMILMS!$F$18*AM628+BMILMS!$G$18)))</f>
        <v>8.8969350000000003E-2</v>
      </c>
      <c r="AM628" s="4">
        <f t="shared" si="209"/>
        <v>0</v>
      </c>
      <c r="AO628" s="56">
        <f>IF(D628="M",WeightSDS!P$5*$AM628^7+WeightSDS!Q$5*$AM628^6+WeightSDS!R$5*$AM628^5+WeightSDS!S$5*$AM628^4+WeightSDS!T$5*$AM628^3+WeightSDS!U$5*$AM628^2+WeightSDS!V$5*$AM628+WeightSDS!W$5,IF($AM628&lt;186,WeightSDS!P$8*$AM628^7+WeightSDS!Q$8*$AM628^6+WeightSDS!R$8*$AM628^5+WeightSDS!S$8*$AM628^4+WeightSDS!T$8*$AM628^3+WeightSDS!U$8*$AM628^2+WeightSDS!V$8*$AM628+WeightSDS!W$8,WeightSDS!$U$9+WeightSDS!$V$9*($AM628-WeightSDS!$W$9)))</f>
        <v>0.75407122999999998</v>
      </c>
      <c r="AP628" s="4">
        <f>IF(D628="M",IF($AM628&lt;45,WeightSDS!M$23*$AM628^10+WeightSDS!N$23*$AM628^9+WeightSDS!O$23*$AM628^8+WeightSDS!P$23*$AM628^7+WeightSDS!Q$23*$AM628^6+WeightSDS!R$23*$AM628^5+WeightSDS!S$23*$AM628^4+WeightSDS!T$23*$AM628^3+WeightSDS!U$23*$AM628^2+WeightSDS!V$23*$AM628+WeightSDS!W$23,IF($AM628&lt;153,WeightSDS!M$25*$AM628^10+WeightSDS!N$25*$AM628^9+WeightSDS!O$25*$AM628^8+WeightSDS!P$25*$AM628^7+WeightSDS!Q$25*$AM628^6+WeightSDS!R$25*$AM628^5+WeightSDS!S$25*$AM628^4+WeightSDS!T$25*$AM628^3+WeightSDS!U$25*$AM628^2+WeightSDS!V$25*$AM628+WeightSDS!W$25,WeightSDS!M$27+WeightSDS!N$27/(1+EXP(WeightSDS!O$27+WeightSDS!P$27*$AM628)))),IF($AM628&lt;43.8,WeightSDS!M$29*$AM628^10+WeightSDS!N$29*$AM628^9+WeightSDS!O$29*$AM628^8+WeightSDS!P$29*$AM628^7+WeightSDS!Q$29*$AM628^6+WeightSDS!R$29*$AM628^5+WeightSDS!S$29*$AM628^4+WeightSDS!T$29*$AM628^3+WeightSDS!U$29*$AM628^2+WeightSDS!V$29*$AM628+WeightSDS!W$29-0.010431*(1-$AM628/210),IF($AM628&lt;123,WeightSDS!M$30*$AM628^10+WeightSDS!N$30*$AM628^9+WeightSDS!O$30*$AM628^8+WeightSDS!P$30*$AM628^7+WeightSDS!Q$30*$AM628^6+WeightSDS!R$30*$AM628^5+WeightSDS!S$30*$AM628^4+WeightSDS!T$30*$AM628^3+WeightSDS!U$30*$AM628^2+WeightSDS!V$30*$AM628+WeightSDS!W$30-0.010431*(1-1/$AM628),WeightSDS!M$32+WeightSDS!N$32/(1+EXP(WeightSDS!O$32+WeightSDS!P$32*$AM628))-0.010431*(1-$AM628/210))))</f>
        <v>2.9500001032655536</v>
      </c>
      <c r="AQ628" s="4">
        <f>IF(D628="M",IF($AM628&lt;162,WeightSDS!P$12*$AM628^7+WeightSDS!Q$12*$AM628^6+WeightSDS!R$12*$AM628^5+WeightSDS!S$12*$AM628^4+WeightSDS!T$12*$AM628^3+WeightSDS!U$12*$AM628^2+WeightSDS!V$12*$AM628+WeightSDS!W$12,WeightSDS!P$14*$AM628^7+WeightSDS!Q$14*$AM628^6+WeightSDS!R$14*$AM628^5+WeightSDS!S$14*$AM628^4+WeightSDS!T$14*$AM628^3+WeightSDS!U$14*$AM628^2+WeightSDS!V$14*$AM628+WeightSDS!W$14),IF($AM628&lt;156,WeightSDS!O$17*$AM628^8+WeightSDS!P$17*$AM628^7+WeightSDS!Q$17*$AM628^6+WeightSDS!R$17*$AM628^5+WeightSDS!S$17*$AM628^4+WeightSDS!T$17*$AM628^3+WeightSDS!U$17*$AM628^2+WeightSDS!V$17*$AM628+WeightSDS!W$17,IF($AM628&lt;186,WeightSDS!$U$18+(WeightSDS!$V$18-WeightSDS!$U$18)/24*($AM628-186)+WeightSDS!$W$18*(-$AM628+186)^2-0.005,WeightSDS!$U$18+(WeightSDS!$V$18-WeightSDS!$U$18)/24*($AM628-186)-0.005)))</f>
        <v>0.14604529399999999</v>
      </c>
      <c r="AT628" s="4">
        <f t="shared" si="196"/>
        <v>0.56299999999999994</v>
      </c>
      <c r="AU628" s="4">
        <f t="shared" si="197"/>
        <v>69</v>
      </c>
      <c r="AV628" s="4">
        <f t="shared" si="198"/>
        <v>0.51</v>
      </c>
    </row>
    <row r="629" spans="1:48" x14ac:dyDescent="0.15">
      <c r="A629" s="4"/>
      <c r="B629" s="21"/>
      <c r="C629" s="21"/>
      <c r="D629" s="21"/>
      <c r="E629" s="22"/>
      <c r="F629" s="22"/>
      <c r="G629" s="23"/>
      <c r="H629" s="23"/>
      <c r="I629" s="181"/>
      <c r="J629" s="8" t="str">
        <f t="shared" si="190"/>
        <v/>
      </c>
      <c r="K629" s="2" t="str">
        <f t="shared" si="199"/>
        <v/>
      </c>
      <c r="L629" s="2" t="str">
        <f t="shared" si="191"/>
        <v/>
      </c>
      <c r="M629" s="2" t="str">
        <f t="shared" si="200"/>
        <v/>
      </c>
      <c r="N629" s="2" t="str">
        <f t="shared" si="208"/>
        <v/>
      </c>
      <c r="O629" s="2" t="str">
        <f t="shared" si="201"/>
        <v/>
      </c>
      <c r="P629" s="8" t="str">
        <f t="shared" si="202"/>
        <v/>
      </c>
      <c r="Q629" s="8" t="str">
        <f t="shared" si="203"/>
        <v/>
      </c>
      <c r="R629" s="111" t="str">
        <f t="shared" si="204"/>
        <v/>
      </c>
      <c r="S629" s="44" t="str">
        <f t="shared" si="205"/>
        <v/>
      </c>
      <c r="T629" s="37" t="str">
        <f t="shared" si="206"/>
        <v/>
      </c>
      <c r="U629" s="44" t="str">
        <f t="shared" si="207"/>
        <v/>
      </c>
      <c r="V629" s="26"/>
      <c r="W629" s="26"/>
      <c r="X629" s="26"/>
      <c r="Y629" s="26"/>
      <c r="Z629" s="24"/>
      <c r="AA629" s="169">
        <f t="shared" si="192"/>
        <v>0</v>
      </c>
      <c r="AB629" s="4">
        <f t="shared" si="193"/>
        <v>0</v>
      </c>
      <c r="AC629" s="170">
        <f t="shared" si="210"/>
        <v>0</v>
      </c>
      <c r="AD629" s="58"/>
      <c r="AE629" s="58"/>
      <c r="AF629" s="58"/>
      <c r="AG629" s="59">
        <f t="shared" si="194"/>
        <v>9.0359999999999996</v>
      </c>
      <c r="AH629" s="59">
        <f t="shared" si="195"/>
        <v>-184.49199999999999</v>
      </c>
      <c r="AJ629" s="4">
        <f>IF(D629="M",IF(AM629&lt;78,BMILMS!$D$5*AM629^3+BMILMS!$E$5*AM629^2+BMILMS!$F$5*AM629+BMILMS!$G$5,IF(AM629&lt;150,BMILMS!$D$6*AM629^3+BMILMS!$E$6*AM629^2+BMILMS!$F$6*AM629+BMILMS!$G$6,BMILMS!$D$7*AM629^3+BMILMS!$E$7*AM629^2+BMILMS!$F$7*AM629+BMILMS!$G$7)),IF(AM629&lt;69,BMILMS!$D$9*AM629^3+BMILMS!$E$9*AM629^2+BMILMS!$F$9*AM629+BMILMS!$G$9,IF(AM629&lt;150,BMILMS!$D$10*AM629^3+BMILMS!$E$10*AM629^2+BMILMS!$F$10*AM629+BMILMS!$G$10,BMILMS!$D$11*AM629^3+BMILMS!$E$11*AM629^2+BMILMS!$F$11*AM629+BMILMS!$G$11)))</f>
        <v>0.79584630099999998</v>
      </c>
      <c r="AK629" s="4">
        <f>IF(D629="M",(IF(AM629&lt;2.5,BMILMS!$D$21*AM629^3+BMILMS!$E$21*AM629^2+BMILMS!$F$21*AM629+BMILMS!$G$21,IF(AM629&lt;9.5,BMILMS!$D$22*AM629^3+BMILMS!$E$22*AM629^2+BMILMS!$F$22*AM629+BMILMS!$G$22,IF(AM629&lt;26.75,BMILMS!$D$23*AM629^3+BMILMS!$E$23*AM629^2+BMILMS!$F$23*AM629+BMILMS!$G$23,IF(AM629&lt;90,BMILMS!$D$24*AM629^3+BMILMS!$E$24*AM629^2+BMILMS!$F$24*AM629+BMILMS!$G$24,BMILMS!$D$25*AM629^3+BMILMS!$E$25*AM629^2+BMILMS!$F$25*AM629+BMILMS!$G$25))))),(IF(AM629&lt;2.5,BMILMS!$D$27*AM629^3+BMILMS!$E$27*AM629^2+BMILMS!$F$27*AM629+BMILMS!$G$27,IF(AM629&lt;9.5,BMILMS!$D$28*AM629^3+BMILMS!$E$28*AM629^2+BMILMS!$F$28*AM629+BMILMS!$G$28,IF(AM629&lt;26.75,BMILMS!$D$29*AM629^3+BMILMS!$E$29*AM629^2+BMILMS!$F$29*AM629+BMILMS!$G$29,IF(AM629&lt;90,BMILMS!$D$30*AM629^3+BMILMS!$E$30*AM629^2+BMILMS!$F$30*AM629+BMILMS!$G$30,IF(AM629&lt;150,BMILMS!$D$31*AM629^3+BMILMS!$E$31*AM629^2+BMILMS!$F$31*AM629+BMILMS!$G$31,BMILMS!$D$32*AM629^3+BMILMS!$E$32*AM629^2+BMILMS!$F$32*AM629+BMILMS!$G$32)))))))</f>
        <v>12.568967990000001</v>
      </c>
      <c r="AL629" s="4">
        <f>IF(D629="M",(IF(AM629&lt;90,BMILMS!$D$14*AM629^3+BMILMS!$E$14*AM629^2+BMILMS!$F$14*AM629+BMILMS!$G$14,BMILMS!$D$15*AM629^3+BMILMS!$E$15*AM629^2+BMILMS!$F$15*AM629+BMILMS!$G$15)),(IF(AM629&lt;90,BMILMS!$D$17*AM629^3+BMILMS!$E$17*AM629^2+BMILMS!$F$17*AM629+BMILMS!$G$17,BMILMS!$D$18*AM629^3+BMILMS!$E$18*AM629^2+BMILMS!$F$18*AM629+BMILMS!$G$18)))</f>
        <v>8.8969350000000003E-2</v>
      </c>
      <c r="AM629" s="4">
        <f t="shared" si="209"/>
        <v>0</v>
      </c>
      <c r="AO629" s="56">
        <f>IF(D629="M",WeightSDS!P$5*$AM629^7+WeightSDS!Q$5*$AM629^6+WeightSDS!R$5*$AM629^5+WeightSDS!S$5*$AM629^4+WeightSDS!T$5*$AM629^3+WeightSDS!U$5*$AM629^2+WeightSDS!V$5*$AM629+WeightSDS!W$5,IF($AM629&lt;186,WeightSDS!P$8*$AM629^7+WeightSDS!Q$8*$AM629^6+WeightSDS!R$8*$AM629^5+WeightSDS!S$8*$AM629^4+WeightSDS!T$8*$AM629^3+WeightSDS!U$8*$AM629^2+WeightSDS!V$8*$AM629+WeightSDS!W$8,WeightSDS!$U$9+WeightSDS!$V$9*($AM629-WeightSDS!$W$9)))</f>
        <v>0.75407122999999998</v>
      </c>
      <c r="AP629" s="4">
        <f>IF(D629="M",IF($AM629&lt;45,WeightSDS!M$23*$AM629^10+WeightSDS!N$23*$AM629^9+WeightSDS!O$23*$AM629^8+WeightSDS!P$23*$AM629^7+WeightSDS!Q$23*$AM629^6+WeightSDS!R$23*$AM629^5+WeightSDS!S$23*$AM629^4+WeightSDS!T$23*$AM629^3+WeightSDS!U$23*$AM629^2+WeightSDS!V$23*$AM629+WeightSDS!W$23,IF($AM629&lt;153,WeightSDS!M$25*$AM629^10+WeightSDS!N$25*$AM629^9+WeightSDS!O$25*$AM629^8+WeightSDS!P$25*$AM629^7+WeightSDS!Q$25*$AM629^6+WeightSDS!R$25*$AM629^5+WeightSDS!S$25*$AM629^4+WeightSDS!T$25*$AM629^3+WeightSDS!U$25*$AM629^2+WeightSDS!V$25*$AM629+WeightSDS!W$25,WeightSDS!M$27+WeightSDS!N$27/(1+EXP(WeightSDS!O$27+WeightSDS!P$27*$AM629)))),IF($AM629&lt;43.8,WeightSDS!M$29*$AM629^10+WeightSDS!N$29*$AM629^9+WeightSDS!O$29*$AM629^8+WeightSDS!P$29*$AM629^7+WeightSDS!Q$29*$AM629^6+WeightSDS!R$29*$AM629^5+WeightSDS!S$29*$AM629^4+WeightSDS!T$29*$AM629^3+WeightSDS!U$29*$AM629^2+WeightSDS!V$29*$AM629+WeightSDS!W$29-0.010431*(1-$AM629/210),IF($AM629&lt;123,WeightSDS!M$30*$AM629^10+WeightSDS!N$30*$AM629^9+WeightSDS!O$30*$AM629^8+WeightSDS!P$30*$AM629^7+WeightSDS!Q$30*$AM629^6+WeightSDS!R$30*$AM629^5+WeightSDS!S$30*$AM629^4+WeightSDS!T$30*$AM629^3+WeightSDS!U$30*$AM629^2+WeightSDS!V$30*$AM629+WeightSDS!W$30-0.010431*(1-1/$AM629),WeightSDS!M$32+WeightSDS!N$32/(1+EXP(WeightSDS!O$32+WeightSDS!P$32*$AM629))-0.010431*(1-$AM629/210))))</f>
        <v>2.9500001032655536</v>
      </c>
      <c r="AQ629" s="4">
        <f>IF(D629="M",IF($AM629&lt;162,WeightSDS!P$12*$AM629^7+WeightSDS!Q$12*$AM629^6+WeightSDS!R$12*$AM629^5+WeightSDS!S$12*$AM629^4+WeightSDS!T$12*$AM629^3+WeightSDS!U$12*$AM629^2+WeightSDS!V$12*$AM629+WeightSDS!W$12,WeightSDS!P$14*$AM629^7+WeightSDS!Q$14*$AM629^6+WeightSDS!R$14*$AM629^5+WeightSDS!S$14*$AM629^4+WeightSDS!T$14*$AM629^3+WeightSDS!U$14*$AM629^2+WeightSDS!V$14*$AM629+WeightSDS!W$14),IF($AM629&lt;156,WeightSDS!O$17*$AM629^8+WeightSDS!P$17*$AM629^7+WeightSDS!Q$17*$AM629^6+WeightSDS!R$17*$AM629^5+WeightSDS!S$17*$AM629^4+WeightSDS!T$17*$AM629^3+WeightSDS!U$17*$AM629^2+WeightSDS!V$17*$AM629+WeightSDS!W$17,IF($AM629&lt;186,WeightSDS!$U$18+(WeightSDS!$V$18-WeightSDS!$U$18)/24*($AM629-186)+WeightSDS!$W$18*(-$AM629+186)^2-0.005,WeightSDS!$U$18+(WeightSDS!$V$18-WeightSDS!$U$18)/24*($AM629-186)-0.005)))</f>
        <v>0.14604529399999999</v>
      </c>
      <c r="AT629" s="4">
        <f t="shared" si="196"/>
        <v>0.56299999999999994</v>
      </c>
      <c r="AU629" s="4">
        <f t="shared" si="197"/>
        <v>69</v>
      </c>
      <c r="AV629" s="4">
        <f t="shared" si="198"/>
        <v>0.51</v>
      </c>
    </row>
    <row r="630" spans="1:48" x14ac:dyDescent="0.15">
      <c r="A630" s="4"/>
      <c r="B630" s="21"/>
      <c r="C630" s="21"/>
      <c r="D630" s="21"/>
      <c r="E630" s="22"/>
      <c r="F630" s="22"/>
      <c r="G630" s="23"/>
      <c r="H630" s="23"/>
      <c r="I630" s="181"/>
      <c r="J630" s="8" t="str">
        <f t="shared" si="190"/>
        <v/>
      </c>
      <c r="K630" s="2" t="str">
        <f t="shared" si="199"/>
        <v/>
      </c>
      <c r="L630" s="2" t="str">
        <f t="shared" si="191"/>
        <v/>
      </c>
      <c r="M630" s="2" t="str">
        <f t="shared" si="200"/>
        <v/>
      </c>
      <c r="N630" s="2" t="str">
        <f t="shared" si="208"/>
        <v/>
      </c>
      <c r="O630" s="2" t="str">
        <f t="shared" si="201"/>
        <v/>
      </c>
      <c r="P630" s="8" t="str">
        <f t="shared" si="202"/>
        <v/>
      </c>
      <c r="Q630" s="8" t="str">
        <f t="shared" si="203"/>
        <v/>
      </c>
      <c r="R630" s="111" t="str">
        <f t="shared" si="204"/>
        <v/>
      </c>
      <c r="S630" s="44" t="str">
        <f t="shared" si="205"/>
        <v/>
      </c>
      <c r="T630" s="37" t="str">
        <f t="shared" si="206"/>
        <v/>
      </c>
      <c r="U630" s="44" t="str">
        <f t="shared" si="207"/>
        <v/>
      </c>
      <c r="V630" s="26"/>
      <c r="W630" s="26"/>
      <c r="X630" s="26"/>
      <c r="Y630" s="26"/>
      <c r="Z630" s="24"/>
      <c r="AA630" s="169">
        <f t="shared" si="192"/>
        <v>0</v>
      </c>
      <c r="AB630" s="4">
        <f t="shared" si="193"/>
        <v>0</v>
      </c>
      <c r="AC630" s="170">
        <f t="shared" si="210"/>
        <v>0</v>
      </c>
      <c r="AD630" s="58"/>
      <c r="AE630" s="58"/>
      <c r="AF630" s="58"/>
      <c r="AG630" s="59">
        <f t="shared" si="194"/>
        <v>9.0359999999999996</v>
      </c>
      <c r="AH630" s="59">
        <f t="shared" si="195"/>
        <v>-184.49199999999999</v>
      </c>
      <c r="AJ630" s="4">
        <f>IF(D630="M",IF(AM630&lt;78,BMILMS!$D$5*AM630^3+BMILMS!$E$5*AM630^2+BMILMS!$F$5*AM630+BMILMS!$G$5,IF(AM630&lt;150,BMILMS!$D$6*AM630^3+BMILMS!$E$6*AM630^2+BMILMS!$F$6*AM630+BMILMS!$G$6,BMILMS!$D$7*AM630^3+BMILMS!$E$7*AM630^2+BMILMS!$F$7*AM630+BMILMS!$G$7)),IF(AM630&lt;69,BMILMS!$D$9*AM630^3+BMILMS!$E$9*AM630^2+BMILMS!$F$9*AM630+BMILMS!$G$9,IF(AM630&lt;150,BMILMS!$D$10*AM630^3+BMILMS!$E$10*AM630^2+BMILMS!$F$10*AM630+BMILMS!$G$10,BMILMS!$D$11*AM630^3+BMILMS!$E$11*AM630^2+BMILMS!$F$11*AM630+BMILMS!$G$11)))</f>
        <v>0.79584630099999998</v>
      </c>
      <c r="AK630" s="4">
        <f>IF(D630="M",(IF(AM630&lt;2.5,BMILMS!$D$21*AM630^3+BMILMS!$E$21*AM630^2+BMILMS!$F$21*AM630+BMILMS!$G$21,IF(AM630&lt;9.5,BMILMS!$D$22*AM630^3+BMILMS!$E$22*AM630^2+BMILMS!$F$22*AM630+BMILMS!$G$22,IF(AM630&lt;26.75,BMILMS!$D$23*AM630^3+BMILMS!$E$23*AM630^2+BMILMS!$F$23*AM630+BMILMS!$G$23,IF(AM630&lt;90,BMILMS!$D$24*AM630^3+BMILMS!$E$24*AM630^2+BMILMS!$F$24*AM630+BMILMS!$G$24,BMILMS!$D$25*AM630^3+BMILMS!$E$25*AM630^2+BMILMS!$F$25*AM630+BMILMS!$G$25))))),(IF(AM630&lt;2.5,BMILMS!$D$27*AM630^3+BMILMS!$E$27*AM630^2+BMILMS!$F$27*AM630+BMILMS!$G$27,IF(AM630&lt;9.5,BMILMS!$D$28*AM630^3+BMILMS!$E$28*AM630^2+BMILMS!$F$28*AM630+BMILMS!$G$28,IF(AM630&lt;26.75,BMILMS!$D$29*AM630^3+BMILMS!$E$29*AM630^2+BMILMS!$F$29*AM630+BMILMS!$G$29,IF(AM630&lt;90,BMILMS!$D$30*AM630^3+BMILMS!$E$30*AM630^2+BMILMS!$F$30*AM630+BMILMS!$G$30,IF(AM630&lt;150,BMILMS!$D$31*AM630^3+BMILMS!$E$31*AM630^2+BMILMS!$F$31*AM630+BMILMS!$G$31,BMILMS!$D$32*AM630^3+BMILMS!$E$32*AM630^2+BMILMS!$F$32*AM630+BMILMS!$G$32)))))))</f>
        <v>12.568967990000001</v>
      </c>
      <c r="AL630" s="4">
        <f>IF(D630="M",(IF(AM630&lt;90,BMILMS!$D$14*AM630^3+BMILMS!$E$14*AM630^2+BMILMS!$F$14*AM630+BMILMS!$G$14,BMILMS!$D$15*AM630^3+BMILMS!$E$15*AM630^2+BMILMS!$F$15*AM630+BMILMS!$G$15)),(IF(AM630&lt;90,BMILMS!$D$17*AM630^3+BMILMS!$E$17*AM630^2+BMILMS!$F$17*AM630+BMILMS!$G$17,BMILMS!$D$18*AM630^3+BMILMS!$E$18*AM630^2+BMILMS!$F$18*AM630+BMILMS!$G$18)))</f>
        <v>8.8969350000000003E-2</v>
      </c>
      <c r="AM630" s="4">
        <f t="shared" si="209"/>
        <v>0</v>
      </c>
      <c r="AO630" s="56">
        <f>IF(D630="M",WeightSDS!P$5*$AM630^7+WeightSDS!Q$5*$AM630^6+WeightSDS!R$5*$AM630^5+WeightSDS!S$5*$AM630^4+WeightSDS!T$5*$AM630^3+WeightSDS!U$5*$AM630^2+WeightSDS!V$5*$AM630+WeightSDS!W$5,IF($AM630&lt;186,WeightSDS!P$8*$AM630^7+WeightSDS!Q$8*$AM630^6+WeightSDS!R$8*$AM630^5+WeightSDS!S$8*$AM630^4+WeightSDS!T$8*$AM630^3+WeightSDS!U$8*$AM630^2+WeightSDS!V$8*$AM630+WeightSDS!W$8,WeightSDS!$U$9+WeightSDS!$V$9*($AM630-WeightSDS!$W$9)))</f>
        <v>0.75407122999999998</v>
      </c>
      <c r="AP630" s="4">
        <f>IF(D630="M",IF($AM630&lt;45,WeightSDS!M$23*$AM630^10+WeightSDS!N$23*$AM630^9+WeightSDS!O$23*$AM630^8+WeightSDS!P$23*$AM630^7+WeightSDS!Q$23*$AM630^6+WeightSDS!R$23*$AM630^5+WeightSDS!S$23*$AM630^4+WeightSDS!T$23*$AM630^3+WeightSDS!U$23*$AM630^2+WeightSDS!V$23*$AM630+WeightSDS!W$23,IF($AM630&lt;153,WeightSDS!M$25*$AM630^10+WeightSDS!N$25*$AM630^9+WeightSDS!O$25*$AM630^8+WeightSDS!P$25*$AM630^7+WeightSDS!Q$25*$AM630^6+WeightSDS!R$25*$AM630^5+WeightSDS!S$25*$AM630^4+WeightSDS!T$25*$AM630^3+WeightSDS!U$25*$AM630^2+WeightSDS!V$25*$AM630+WeightSDS!W$25,WeightSDS!M$27+WeightSDS!N$27/(1+EXP(WeightSDS!O$27+WeightSDS!P$27*$AM630)))),IF($AM630&lt;43.8,WeightSDS!M$29*$AM630^10+WeightSDS!N$29*$AM630^9+WeightSDS!O$29*$AM630^8+WeightSDS!P$29*$AM630^7+WeightSDS!Q$29*$AM630^6+WeightSDS!R$29*$AM630^5+WeightSDS!S$29*$AM630^4+WeightSDS!T$29*$AM630^3+WeightSDS!U$29*$AM630^2+WeightSDS!V$29*$AM630+WeightSDS!W$29-0.010431*(1-$AM630/210),IF($AM630&lt;123,WeightSDS!M$30*$AM630^10+WeightSDS!N$30*$AM630^9+WeightSDS!O$30*$AM630^8+WeightSDS!P$30*$AM630^7+WeightSDS!Q$30*$AM630^6+WeightSDS!R$30*$AM630^5+WeightSDS!S$30*$AM630^4+WeightSDS!T$30*$AM630^3+WeightSDS!U$30*$AM630^2+WeightSDS!V$30*$AM630+WeightSDS!W$30-0.010431*(1-1/$AM630),WeightSDS!M$32+WeightSDS!N$32/(1+EXP(WeightSDS!O$32+WeightSDS!P$32*$AM630))-0.010431*(1-$AM630/210))))</f>
        <v>2.9500001032655536</v>
      </c>
      <c r="AQ630" s="4">
        <f>IF(D630="M",IF($AM630&lt;162,WeightSDS!P$12*$AM630^7+WeightSDS!Q$12*$AM630^6+WeightSDS!R$12*$AM630^5+WeightSDS!S$12*$AM630^4+WeightSDS!T$12*$AM630^3+WeightSDS!U$12*$AM630^2+WeightSDS!V$12*$AM630+WeightSDS!W$12,WeightSDS!P$14*$AM630^7+WeightSDS!Q$14*$AM630^6+WeightSDS!R$14*$AM630^5+WeightSDS!S$14*$AM630^4+WeightSDS!T$14*$AM630^3+WeightSDS!U$14*$AM630^2+WeightSDS!V$14*$AM630+WeightSDS!W$14),IF($AM630&lt;156,WeightSDS!O$17*$AM630^8+WeightSDS!P$17*$AM630^7+WeightSDS!Q$17*$AM630^6+WeightSDS!R$17*$AM630^5+WeightSDS!S$17*$AM630^4+WeightSDS!T$17*$AM630^3+WeightSDS!U$17*$AM630^2+WeightSDS!V$17*$AM630+WeightSDS!W$17,IF($AM630&lt;186,WeightSDS!$U$18+(WeightSDS!$V$18-WeightSDS!$U$18)/24*($AM630-186)+WeightSDS!$W$18*(-$AM630+186)^2-0.005,WeightSDS!$U$18+(WeightSDS!$V$18-WeightSDS!$U$18)/24*($AM630-186)-0.005)))</f>
        <v>0.14604529399999999</v>
      </c>
      <c r="AT630" s="4">
        <f t="shared" si="196"/>
        <v>0.56299999999999994</v>
      </c>
      <c r="AU630" s="4">
        <f t="shared" si="197"/>
        <v>69</v>
      </c>
      <c r="AV630" s="4">
        <f t="shared" si="198"/>
        <v>0.51</v>
      </c>
    </row>
    <row r="631" spans="1:48" x14ac:dyDescent="0.15">
      <c r="A631" s="4"/>
      <c r="B631" s="21"/>
      <c r="C631" s="21"/>
      <c r="D631" s="21"/>
      <c r="E631" s="22"/>
      <c r="F631" s="22"/>
      <c r="G631" s="23"/>
      <c r="H631" s="23"/>
      <c r="I631" s="181"/>
      <c r="J631" s="8" t="str">
        <f t="shared" si="190"/>
        <v/>
      </c>
      <c r="K631" s="2" t="str">
        <f t="shared" si="199"/>
        <v/>
      </c>
      <c r="L631" s="2" t="str">
        <f t="shared" si="191"/>
        <v/>
      </c>
      <c r="M631" s="2" t="str">
        <f t="shared" si="200"/>
        <v/>
      </c>
      <c r="N631" s="2" t="str">
        <f t="shared" si="208"/>
        <v/>
      </c>
      <c r="O631" s="2" t="str">
        <f t="shared" si="201"/>
        <v/>
      </c>
      <c r="P631" s="8" t="str">
        <f t="shared" si="202"/>
        <v/>
      </c>
      <c r="Q631" s="8" t="str">
        <f t="shared" si="203"/>
        <v/>
      </c>
      <c r="R631" s="111" t="str">
        <f t="shared" si="204"/>
        <v/>
      </c>
      <c r="S631" s="44" t="str">
        <f t="shared" si="205"/>
        <v/>
      </c>
      <c r="T631" s="37" t="str">
        <f t="shared" si="206"/>
        <v/>
      </c>
      <c r="U631" s="44" t="str">
        <f t="shared" si="207"/>
        <v/>
      </c>
      <c r="V631" s="26"/>
      <c r="W631" s="26"/>
      <c r="X631" s="26"/>
      <c r="Y631" s="26"/>
      <c r="Z631" s="24"/>
      <c r="AA631" s="169">
        <f t="shared" si="192"/>
        <v>0</v>
      </c>
      <c r="AB631" s="4">
        <f t="shared" si="193"/>
        <v>0</v>
      </c>
      <c r="AC631" s="170">
        <f t="shared" si="210"/>
        <v>0</v>
      </c>
      <c r="AD631" s="58"/>
      <c r="AE631" s="58"/>
      <c r="AF631" s="58"/>
      <c r="AG631" s="59">
        <f t="shared" si="194"/>
        <v>9.0359999999999996</v>
      </c>
      <c r="AH631" s="59">
        <f t="shared" si="195"/>
        <v>-184.49199999999999</v>
      </c>
      <c r="AJ631" s="4">
        <f>IF(D631="M",IF(AM631&lt;78,BMILMS!$D$5*AM631^3+BMILMS!$E$5*AM631^2+BMILMS!$F$5*AM631+BMILMS!$G$5,IF(AM631&lt;150,BMILMS!$D$6*AM631^3+BMILMS!$E$6*AM631^2+BMILMS!$F$6*AM631+BMILMS!$G$6,BMILMS!$D$7*AM631^3+BMILMS!$E$7*AM631^2+BMILMS!$F$7*AM631+BMILMS!$G$7)),IF(AM631&lt;69,BMILMS!$D$9*AM631^3+BMILMS!$E$9*AM631^2+BMILMS!$F$9*AM631+BMILMS!$G$9,IF(AM631&lt;150,BMILMS!$D$10*AM631^3+BMILMS!$E$10*AM631^2+BMILMS!$F$10*AM631+BMILMS!$G$10,BMILMS!$D$11*AM631^3+BMILMS!$E$11*AM631^2+BMILMS!$F$11*AM631+BMILMS!$G$11)))</f>
        <v>0.79584630099999998</v>
      </c>
      <c r="AK631" s="4">
        <f>IF(D631="M",(IF(AM631&lt;2.5,BMILMS!$D$21*AM631^3+BMILMS!$E$21*AM631^2+BMILMS!$F$21*AM631+BMILMS!$G$21,IF(AM631&lt;9.5,BMILMS!$D$22*AM631^3+BMILMS!$E$22*AM631^2+BMILMS!$F$22*AM631+BMILMS!$G$22,IF(AM631&lt;26.75,BMILMS!$D$23*AM631^3+BMILMS!$E$23*AM631^2+BMILMS!$F$23*AM631+BMILMS!$G$23,IF(AM631&lt;90,BMILMS!$D$24*AM631^3+BMILMS!$E$24*AM631^2+BMILMS!$F$24*AM631+BMILMS!$G$24,BMILMS!$D$25*AM631^3+BMILMS!$E$25*AM631^2+BMILMS!$F$25*AM631+BMILMS!$G$25))))),(IF(AM631&lt;2.5,BMILMS!$D$27*AM631^3+BMILMS!$E$27*AM631^2+BMILMS!$F$27*AM631+BMILMS!$G$27,IF(AM631&lt;9.5,BMILMS!$D$28*AM631^3+BMILMS!$E$28*AM631^2+BMILMS!$F$28*AM631+BMILMS!$G$28,IF(AM631&lt;26.75,BMILMS!$D$29*AM631^3+BMILMS!$E$29*AM631^2+BMILMS!$F$29*AM631+BMILMS!$G$29,IF(AM631&lt;90,BMILMS!$D$30*AM631^3+BMILMS!$E$30*AM631^2+BMILMS!$F$30*AM631+BMILMS!$G$30,IF(AM631&lt;150,BMILMS!$D$31*AM631^3+BMILMS!$E$31*AM631^2+BMILMS!$F$31*AM631+BMILMS!$G$31,BMILMS!$D$32*AM631^3+BMILMS!$E$32*AM631^2+BMILMS!$F$32*AM631+BMILMS!$G$32)))))))</f>
        <v>12.568967990000001</v>
      </c>
      <c r="AL631" s="4">
        <f>IF(D631="M",(IF(AM631&lt;90,BMILMS!$D$14*AM631^3+BMILMS!$E$14*AM631^2+BMILMS!$F$14*AM631+BMILMS!$G$14,BMILMS!$D$15*AM631^3+BMILMS!$E$15*AM631^2+BMILMS!$F$15*AM631+BMILMS!$G$15)),(IF(AM631&lt;90,BMILMS!$D$17*AM631^3+BMILMS!$E$17*AM631^2+BMILMS!$F$17*AM631+BMILMS!$G$17,BMILMS!$D$18*AM631^3+BMILMS!$E$18*AM631^2+BMILMS!$F$18*AM631+BMILMS!$G$18)))</f>
        <v>8.8969350000000003E-2</v>
      </c>
      <c r="AM631" s="4">
        <f t="shared" si="209"/>
        <v>0</v>
      </c>
      <c r="AO631" s="56">
        <f>IF(D631="M",WeightSDS!P$5*$AM631^7+WeightSDS!Q$5*$AM631^6+WeightSDS!R$5*$AM631^5+WeightSDS!S$5*$AM631^4+WeightSDS!T$5*$AM631^3+WeightSDS!U$5*$AM631^2+WeightSDS!V$5*$AM631+WeightSDS!W$5,IF($AM631&lt;186,WeightSDS!P$8*$AM631^7+WeightSDS!Q$8*$AM631^6+WeightSDS!R$8*$AM631^5+WeightSDS!S$8*$AM631^4+WeightSDS!T$8*$AM631^3+WeightSDS!U$8*$AM631^2+WeightSDS!V$8*$AM631+WeightSDS!W$8,WeightSDS!$U$9+WeightSDS!$V$9*($AM631-WeightSDS!$W$9)))</f>
        <v>0.75407122999999998</v>
      </c>
      <c r="AP631" s="4">
        <f>IF(D631="M",IF($AM631&lt;45,WeightSDS!M$23*$AM631^10+WeightSDS!N$23*$AM631^9+WeightSDS!O$23*$AM631^8+WeightSDS!P$23*$AM631^7+WeightSDS!Q$23*$AM631^6+WeightSDS!R$23*$AM631^5+WeightSDS!S$23*$AM631^4+WeightSDS!T$23*$AM631^3+WeightSDS!U$23*$AM631^2+WeightSDS!V$23*$AM631+WeightSDS!W$23,IF($AM631&lt;153,WeightSDS!M$25*$AM631^10+WeightSDS!N$25*$AM631^9+WeightSDS!O$25*$AM631^8+WeightSDS!P$25*$AM631^7+WeightSDS!Q$25*$AM631^6+WeightSDS!R$25*$AM631^5+WeightSDS!S$25*$AM631^4+WeightSDS!T$25*$AM631^3+WeightSDS!U$25*$AM631^2+WeightSDS!V$25*$AM631+WeightSDS!W$25,WeightSDS!M$27+WeightSDS!N$27/(1+EXP(WeightSDS!O$27+WeightSDS!P$27*$AM631)))),IF($AM631&lt;43.8,WeightSDS!M$29*$AM631^10+WeightSDS!N$29*$AM631^9+WeightSDS!O$29*$AM631^8+WeightSDS!P$29*$AM631^7+WeightSDS!Q$29*$AM631^6+WeightSDS!R$29*$AM631^5+WeightSDS!S$29*$AM631^4+WeightSDS!T$29*$AM631^3+WeightSDS!U$29*$AM631^2+WeightSDS!V$29*$AM631+WeightSDS!W$29-0.010431*(1-$AM631/210),IF($AM631&lt;123,WeightSDS!M$30*$AM631^10+WeightSDS!N$30*$AM631^9+WeightSDS!O$30*$AM631^8+WeightSDS!P$30*$AM631^7+WeightSDS!Q$30*$AM631^6+WeightSDS!R$30*$AM631^5+WeightSDS!S$30*$AM631^4+WeightSDS!T$30*$AM631^3+WeightSDS!U$30*$AM631^2+WeightSDS!V$30*$AM631+WeightSDS!W$30-0.010431*(1-1/$AM631),WeightSDS!M$32+WeightSDS!N$32/(1+EXP(WeightSDS!O$32+WeightSDS!P$32*$AM631))-0.010431*(1-$AM631/210))))</f>
        <v>2.9500001032655536</v>
      </c>
      <c r="AQ631" s="4">
        <f>IF(D631="M",IF($AM631&lt;162,WeightSDS!P$12*$AM631^7+WeightSDS!Q$12*$AM631^6+WeightSDS!R$12*$AM631^5+WeightSDS!S$12*$AM631^4+WeightSDS!T$12*$AM631^3+WeightSDS!U$12*$AM631^2+WeightSDS!V$12*$AM631+WeightSDS!W$12,WeightSDS!P$14*$AM631^7+WeightSDS!Q$14*$AM631^6+WeightSDS!R$14*$AM631^5+WeightSDS!S$14*$AM631^4+WeightSDS!T$14*$AM631^3+WeightSDS!U$14*$AM631^2+WeightSDS!V$14*$AM631+WeightSDS!W$14),IF($AM631&lt;156,WeightSDS!O$17*$AM631^8+WeightSDS!P$17*$AM631^7+WeightSDS!Q$17*$AM631^6+WeightSDS!R$17*$AM631^5+WeightSDS!S$17*$AM631^4+WeightSDS!T$17*$AM631^3+WeightSDS!U$17*$AM631^2+WeightSDS!V$17*$AM631+WeightSDS!W$17,IF($AM631&lt;186,WeightSDS!$U$18+(WeightSDS!$V$18-WeightSDS!$U$18)/24*($AM631-186)+WeightSDS!$W$18*(-$AM631+186)^2-0.005,WeightSDS!$U$18+(WeightSDS!$V$18-WeightSDS!$U$18)/24*($AM631-186)-0.005)))</f>
        <v>0.14604529399999999</v>
      </c>
      <c r="AT631" s="4">
        <f t="shared" si="196"/>
        <v>0.56299999999999994</v>
      </c>
      <c r="AU631" s="4">
        <f t="shared" si="197"/>
        <v>69</v>
      </c>
      <c r="AV631" s="4">
        <f t="shared" si="198"/>
        <v>0.51</v>
      </c>
    </row>
    <row r="632" spans="1:48" x14ac:dyDescent="0.15">
      <c r="A632" s="4"/>
      <c r="B632" s="21"/>
      <c r="C632" s="21"/>
      <c r="D632" s="21"/>
      <c r="E632" s="22"/>
      <c r="F632" s="22"/>
      <c r="G632" s="23"/>
      <c r="H632" s="23"/>
      <c r="I632" s="181"/>
      <c r="J632" s="8" t="str">
        <f t="shared" si="190"/>
        <v/>
      </c>
      <c r="K632" s="2" t="str">
        <f t="shared" si="199"/>
        <v/>
      </c>
      <c r="L632" s="2" t="str">
        <f t="shared" si="191"/>
        <v/>
      </c>
      <c r="M632" s="2" t="str">
        <f t="shared" si="200"/>
        <v/>
      </c>
      <c r="N632" s="2" t="str">
        <f t="shared" si="208"/>
        <v/>
      </c>
      <c r="O632" s="2" t="str">
        <f t="shared" si="201"/>
        <v/>
      </c>
      <c r="P632" s="8" t="str">
        <f t="shared" si="202"/>
        <v/>
      </c>
      <c r="Q632" s="8" t="str">
        <f t="shared" si="203"/>
        <v/>
      </c>
      <c r="R632" s="111" t="str">
        <f t="shared" si="204"/>
        <v/>
      </c>
      <c r="S632" s="44" t="str">
        <f t="shared" si="205"/>
        <v/>
      </c>
      <c r="T632" s="37" t="str">
        <f t="shared" si="206"/>
        <v/>
      </c>
      <c r="U632" s="44" t="str">
        <f t="shared" si="207"/>
        <v/>
      </c>
      <c r="V632" s="26"/>
      <c r="W632" s="26"/>
      <c r="X632" s="26"/>
      <c r="Y632" s="26"/>
      <c r="Z632" s="24"/>
      <c r="AA632" s="169">
        <f t="shared" si="192"/>
        <v>0</v>
      </c>
      <c r="AB632" s="4">
        <f t="shared" si="193"/>
        <v>0</v>
      </c>
      <c r="AC632" s="170">
        <f t="shared" si="210"/>
        <v>0</v>
      </c>
      <c r="AD632" s="58"/>
      <c r="AE632" s="58"/>
      <c r="AF632" s="58"/>
      <c r="AG632" s="59">
        <f t="shared" si="194"/>
        <v>9.0359999999999996</v>
      </c>
      <c r="AH632" s="59">
        <f t="shared" si="195"/>
        <v>-184.49199999999999</v>
      </c>
      <c r="AJ632" s="4">
        <f>IF(D632="M",IF(AM632&lt;78,BMILMS!$D$5*AM632^3+BMILMS!$E$5*AM632^2+BMILMS!$F$5*AM632+BMILMS!$G$5,IF(AM632&lt;150,BMILMS!$D$6*AM632^3+BMILMS!$E$6*AM632^2+BMILMS!$F$6*AM632+BMILMS!$G$6,BMILMS!$D$7*AM632^3+BMILMS!$E$7*AM632^2+BMILMS!$F$7*AM632+BMILMS!$G$7)),IF(AM632&lt;69,BMILMS!$D$9*AM632^3+BMILMS!$E$9*AM632^2+BMILMS!$F$9*AM632+BMILMS!$G$9,IF(AM632&lt;150,BMILMS!$D$10*AM632^3+BMILMS!$E$10*AM632^2+BMILMS!$F$10*AM632+BMILMS!$G$10,BMILMS!$D$11*AM632^3+BMILMS!$E$11*AM632^2+BMILMS!$F$11*AM632+BMILMS!$G$11)))</f>
        <v>0.79584630099999998</v>
      </c>
      <c r="AK632" s="4">
        <f>IF(D632="M",(IF(AM632&lt;2.5,BMILMS!$D$21*AM632^3+BMILMS!$E$21*AM632^2+BMILMS!$F$21*AM632+BMILMS!$G$21,IF(AM632&lt;9.5,BMILMS!$D$22*AM632^3+BMILMS!$E$22*AM632^2+BMILMS!$F$22*AM632+BMILMS!$G$22,IF(AM632&lt;26.75,BMILMS!$D$23*AM632^3+BMILMS!$E$23*AM632^2+BMILMS!$F$23*AM632+BMILMS!$G$23,IF(AM632&lt;90,BMILMS!$D$24*AM632^3+BMILMS!$E$24*AM632^2+BMILMS!$F$24*AM632+BMILMS!$G$24,BMILMS!$D$25*AM632^3+BMILMS!$E$25*AM632^2+BMILMS!$F$25*AM632+BMILMS!$G$25))))),(IF(AM632&lt;2.5,BMILMS!$D$27*AM632^3+BMILMS!$E$27*AM632^2+BMILMS!$F$27*AM632+BMILMS!$G$27,IF(AM632&lt;9.5,BMILMS!$D$28*AM632^3+BMILMS!$E$28*AM632^2+BMILMS!$F$28*AM632+BMILMS!$G$28,IF(AM632&lt;26.75,BMILMS!$D$29*AM632^3+BMILMS!$E$29*AM632^2+BMILMS!$F$29*AM632+BMILMS!$G$29,IF(AM632&lt;90,BMILMS!$D$30*AM632^3+BMILMS!$E$30*AM632^2+BMILMS!$F$30*AM632+BMILMS!$G$30,IF(AM632&lt;150,BMILMS!$D$31*AM632^3+BMILMS!$E$31*AM632^2+BMILMS!$F$31*AM632+BMILMS!$G$31,BMILMS!$D$32*AM632^3+BMILMS!$E$32*AM632^2+BMILMS!$F$32*AM632+BMILMS!$G$32)))))))</f>
        <v>12.568967990000001</v>
      </c>
      <c r="AL632" s="4">
        <f>IF(D632="M",(IF(AM632&lt;90,BMILMS!$D$14*AM632^3+BMILMS!$E$14*AM632^2+BMILMS!$F$14*AM632+BMILMS!$G$14,BMILMS!$D$15*AM632^3+BMILMS!$E$15*AM632^2+BMILMS!$F$15*AM632+BMILMS!$G$15)),(IF(AM632&lt;90,BMILMS!$D$17*AM632^3+BMILMS!$E$17*AM632^2+BMILMS!$F$17*AM632+BMILMS!$G$17,BMILMS!$D$18*AM632^3+BMILMS!$E$18*AM632^2+BMILMS!$F$18*AM632+BMILMS!$G$18)))</f>
        <v>8.8969350000000003E-2</v>
      </c>
      <c r="AM632" s="4">
        <f t="shared" si="209"/>
        <v>0</v>
      </c>
      <c r="AO632" s="56">
        <f>IF(D632="M",WeightSDS!P$5*$AM632^7+WeightSDS!Q$5*$AM632^6+WeightSDS!R$5*$AM632^5+WeightSDS!S$5*$AM632^4+WeightSDS!T$5*$AM632^3+WeightSDS!U$5*$AM632^2+WeightSDS!V$5*$AM632+WeightSDS!W$5,IF($AM632&lt;186,WeightSDS!P$8*$AM632^7+WeightSDS!Q$8*$AM632^6+WeightSDS!R$8*$AM632^5+WeightSDS!S$8*$AM632^4+WeightSDS!T$8*$AM632^3+WeightSDS!U$8*$AM632^2+WeightSDS!V$8*$AM632+WeightSDS!W$8,WeightSDS!$U$9+WeightSDS!$V$9*($AM632-WeightSDS!$W$9)))</f>
        <v>0.75407122999999998</v>
      </c>
      <c r="AP632" s="4">
        <f>IF(D632="M",IF($AM632&lt;45,WeightSDS!M$23*$AM632^10+WeightSDS!N$23*$AM632^9+WeightSDS!O$23*$AM632^8+WeightSDS!P$23*$AM632^7+WeightSDS!Q$23*$AM632^6+WeightSDS!R$23*$AM632^5+WeightSDS!S$23*$AM632^4+WeightSDS!T$23*$AM632^3+WeightSDS!U$23*$AM632^2+WeightSDS!V$23*$AM632+WeightSDS!W$23,IF($AM632&lt;153,WeightSDS!M$25*$AM632^10+WeightSDS!N$25*$AM632^9+WeightSDS!O$25*$AM632^8+WeightSDS!P$25*$AM632^7+WeightSDS!Q$25*$AM632^6+WeightSDS!R$25*$AM632^5+WeightSDS!S$25*$AM632^4+WeightSDS!T$25*$AM632^3+WeightSDS!U$25*$AM632^2+WeightSDS!V$25*$AM632+WeightSDS!W$25,WeightSDS!M$27+WeightSDS!N$27/(1+EXP(WeightSDS!O$27+WeightSDS!P$27*$AM632)))),IF($AM632&lt;43.8,WeightSDS!M$29*$AM632^10+WeightSDS!N$29*$AM632^9+WeightSDS!O$29*$AM632^8+WeightSDS!P$29*$AM632^7+WeightSDS!Q$29*$AM632^6+WeightSDS!R$29*$AM632^5+WeightSDS!S$29*$AM632^4+WeightSDS!T$29*$AM632^3+WeightSDS!U$29*$AM632^2+WeightSDS!V$29*$AM632+WeightSDS!W$29-0.010431*(1-$AM632/210),IF($AM632&lt;123,WeightSDS!M$30*$AM632^10+WeightSDS!N$30*$AM632^9+WeightSDS!O$30*$AM632^8+WeightSDS!P$30*$AM632^7+WeightSDS!Q$30*$AM632^6+WeightSDS!R$30*$AM632^5+WeightSDS!S$30*$AM632^4+WeightSDS!T$30*$AM632^3+WeightSDS!U$30*$AM632^2+WeightSDS!V$30*$AM632+WeightSDS!W$30-0.010431*(1-1/$AM632),WeightSDS!M$32+WeightSDS!N$32/(1+EXP(WeightSDS!O$32+WeightSDS!P$32*$AM632))-0.010431*(1-$AM632/210))))</f>
        <v>2.9500001032655536</v>
      </c>
      <c r="AQ632" s="4">
        <f>IF(D632="M",IF($AM632&lt;162,WeightSDS!P$12*$AM632^7+WeightSDS!Q$12*$AM632^6+WeightSDS!R$12*$AM632^5+WeightSDS!S$12*$AM632^4+WeightSDS!T$12*$AM632^3+WeightSDS!U$12*$AM632^2+WeightSDS!V$12*$AM632+WeightSDS!W$12,WeightSDS!P$14*$AM632^7+WeightSDS!Q$14*$AM632^6+WeightSDS!R$14*$AM632^5+WeightSDS!S$14*$AM632^4+WeightSDS!T$14*$AM632^3+WeightSDS!U$14*$AM632^2+WeightSDS!V$14*$AM632+WeightSDS!W$14),IF($AM632&lt;156,WeightSDS!O$17*$AM632^8+WeightSDS!P$17*$AM632^7+WeightSDS!Q$17*$AM632^6+WeightSDS!R$17*$AM632^5+WeightSDS!S$17*$AM632^4+WeightSDS!T$17*$AM632^3+WeightSDS!U$17*$AM632^2+WeightSDS!V$17*$AM632+WeightSDS!W$17,IF($AM632&lt;186,WeightSDS!$U$18+(WeightSDS!$V$18-WeightSDS!$U$18)/24*($AM632-186)+WeightSDS!$W$18*(-$AM632+186)^2-0.005,WeightSDS!$U$18+(WeightSDS!$V$18-WeightSDS!$U$18)/24*($AM632-186)-0.005)))</f>
        <v>0.14604529399999999</v>
      </c>
      <c r="AT632" s="4">
        <f t="shared" si="196"/>
        <v>0.56299999999999994</v>
      </c>
      <c r="AU632" s="4">
        <f t="shared" si="197"/>
        <v>69</v>
      </c>
      <c r="AV632" s="4">
        <f t="shared" si="198"/>
        <v>0.51</v>
      </c>
    </row>
    <row r="633" spans="1:48" x14ac:dyDescent="0.15">
      <c r="A633" s="4"/>
      <c r="B633" s="21"/>
      <c r="C633" s="21"/>
      <c r="D633" s="21"/>
      <c r="E633" s="22"/>
      <c r="F633" s="22"/>
      <c r="G633" s="23"/>
      <c r="H633" s="23"/>
      <c r="I633" s="181"/>
      <c r="J633" s="8" t="str">
        <f t="shared" si="190"/>
        <v/>
      </c>
      <c r="K633" s="2" t="str">
        <f t="shared" si="199"/>
        <v/>
      </c>
      <c r="L633" s="2" t="str">
        <f t="shared" si="191"/>
        <v/>
      </c>
      <c r="M633" s="2" t="str">
        <f t="shared" si="200"/>
        <v/>
      </c>
      <c r="N633" s="2" t="str">
        <f t="shared" si="208"/>
        <v/>
      </c>
      <c r="O633" s="2" t="str">
        <f t="shared" si="201"/>
        <v/>
      </c>
      <c r="P633" s="8" t="str">
        <f t="shared" si="202"/>
        <v/>
      </c>
      <c r="Q633" s="8" t="str">
        <f t="shared" si="203"/>
        <v/>
      </c>
      <c r="R633" s="111" t="str">
        <f t="shared" si="204"/>
        <v/>
      </c>
      <c r="S633" s="44" t="str">
        <f t="shared" si="205"/>
        <v/>
      </c>
      <c r="T633" s="37" t="str">
        <f t="shared" si="206"/>
        <v/>
      </c>
      <c r="U633" s="44" t="str">
        <f t="shared" si="207"/>
        <v/>
      </c>
      <c r="V633" s="26"/>
      <c r="W633" s="26"/>
      <c r="X633" s="26"/>
      <c r="Y633" s="26"/>
      <c r="Z633" s="24"/>
      <c r="AA633" s="169">
        <f t="shared" si="192"/>
        <v>0</v>
      </c>
      <c r="AB633" s="4">
        <f t="shared" si="193"/>
        <v>0</v>
      </c>
      <c r="AC633" s="170">
        <f t="shared" si="210"/>
        <v>0</v>
      </c>
      <c r="AD633" s="58"/>
      <c r="AE633" s="58"/>
      <c r="AF633" s="58"/>
      <c r="AG633" s="59">
        <f t="shared" si="194"/>
        <v>9.0359999999999996</v>
      </c>
      <c r="AH633" s="59">
        <f t="shared" si="195"/>
        <v>-184.49199999999999</v>
      </c>
      <c r="AJ633" s="4">
        <f>IF(D633="M",IF(AM633&lt;78,BMILMS!$D$5*AM633^3+BMILMS!$E$5*AM633^2+BMILMS!$F$5*AM633+BMILMS!$G$5,IF(AM633&lt;150,BMILMS!$D$6*AM633^3+BMILMS!$E$6*AM633^2+BMILMS!$F$6*AM633+BMILMS!$G$6,BMILMS!$D$7*AM633^3+BMILMS!$E$7*AM633^2+BMILMS!$F$7*AM633+BMILMS!$G$7)),IF(AM633&lt;69,BMILMS!$D$9*AM633^3+BMILMS!$E$9*AM633^2+BMILMS!$F$9*AM633+BMILMS!$G$9,IF(AM633&lt;150,BMILMS!$D$10*AM633^3+BMILMS!$E$10*AM633^2+BMILMS!$F$10*AM633+BMILMS!$G$10,BMILMS!$D$11*AM633^3+BMILMS!$E$11*AM633^2+BMILMS!$F$11*AM633+BMILMS!$G$11)))</f>
        <v>0.79584630099999998</v>
      </c>
      <c r="AK633" s="4">
        <f>IF(D633="M",(IF(AM633&lt;2.5,BMILMS!$D$21*AM633^3+BMILMS!$E$21*AM633^2+BMILMS!$F$21*AM633+BMILMS!$G$21,IF(AM633&lt;9.5,BMILMS!$D$22*AM633^3+BMILMS!$E$22*AM633^2+BMILMS!$F$22*AM633+BMILMS!$G$22,IF(AM633&lt;26.75,BMILMS!$D$23*AM633^3+BMILMS!$E$23*AM633^2+BMILMS!$F$23*AM633+BMILMS!$G$23,IF(AM633&lt;90,BMILMS!$D$24*AM633^3+BMILMS!$E$24*AM633^2+BMILMS!$F$24*AM633+BMILMS!$G$24,BMILMS!$D$25*AM633^3+BMILMS!$E$25*AM633^2+BMILMS!$F$25*AM633+BMILMS!$G$25))))),(IF(AM633&lt;2.5,BMILMS!$D$27*AM633^3+BMILMS!$E$27*AM633^2+BMILMS!$F$27*AM633+BMILMS!$G$27,IF(AM633&lt;9.5,BMILMS!$D$28*AM633^3+BMILMS!$E$28*AM633^2+BMILMS!$F$28*AM633+BMILMS!$G$28,IF(AM633&lt;26.75,BMILMS!$D$29*AM633^3+BMILMS!$E$29*AM633^2+BMILMS!$F$29*AM633+BMILMS!$G$29,IF(AM633&lt;90,BMILMS!$D$30*AM633^3+BMILMS!$E$30*AM633^2+BMILMS!$F$30*AM633+BMILMS!$G$30,IF(AM633&lt;150,BMILMS!$D$31*AM633^3+BMILMS!$E$31*AM633^2+BMILMS!$F$31*AM633+BMILMS!$G$31,BMILMS!$D$32*AM633^3+BMILMS!$E$32*AM633^2+BMILMS!$F$32*AM633+BMILMS!$G$32)))))))</f>
        <v>12.568967990000001</v>
      </c>
      <c r="AL633" s="4">
        <f>IF(D633="M",(IF(AM633&lt;90,BMILMS!$D$14*AM633^3+BMILMS!$E$14*AM633^2+BMILMS!$F$14*AM633+BMILMS!$G$14,BMILMS!$D$15*AM633^3+BMILMS!$E$15*AM633^2+BMILMS!$F$15*AM633+BMILMS!$G$15)),(IF(AM633&lt;90,BMILMS!$D$17*AM633^3+BMILMS!$E$17*AM633^2+BMILMS!$F$17*AM633+BMILMS!$G$17,BMILMS!$D$18*AM633^3+BMILMS!$E$18*AM633^2+BMILMS!$F$18*AM633+BMILMS!$G$18)))</f>
        <v>8.8969350000000003E-2</v>
      </c>
      <c r="AM633" s="4">
        <f t="shared" si="209"/>
        <v>0</v>
      </c>
      <c r="AO633" s="56">
        <f>IF(D633="M",WeightSDS!P$5*$AM633^7+WeightSDS!Q$5*$AM633^6+WeightSDS!R$5*$AM633^5+WeightSDS!S$5*$AM633^4+WeightSDS!T$5*$AM633^3+WeightSDS!U$5*$AM633^2+WeightSDS!V$5*$AM633+WeightSDS!W$5,IF($AM633&lt;186,WeightSDS!P$8*$AM633^7+WeightSDS!Q$8*$AM633^6+WeightSDS!R$8*$AM633^5+WeightSDS!S$8*$AM633^4+WeightSDS!T$8*$AM633^3+WeightSDS!U$8*$AM633^2+WeightSDS!V$8*$AM633+WeightSDS!W$8,WeightSDS!$U$9+WeightSDS!$V$9*($AM633-WeightSDS!$W$9)))</f>
        <v>0.75407122999999998</v>
      </c>
      <c r="AP633" s="4">
        <f>IF(D633="M",IF($AM633&lt;45,WeightSDS!M$23*$AM633^10+WeightSDS!N$23*$AM633^9+WeightSDS!O$23*$AM633^8+WeightSDS!P$23*$AM633^7+WeightSDS!Q$23*$AM633^6+WeightSDS!R$23*$AM633^5+WeightSDS!S$23*$AM633^4+WeightSDS!T$23*$AM633^3+WeightSDS!U$23*$AM633^2+WeightSDS!V$23*$AM633+WeightSDS!W$23,IF($AM633&lt;153,WeightSDS!M$25*$AM633^10+WeightSDS!N$25*$AM633^9+WeightSDS!O$25*$AM633^8+WeightSDS!P$25*$AM633^7+WeightSDS!Q$25*$AM633^6+WeightSDS!R$25*$AM633^5+WeightSDS!S$25*$AM633^4+WeightSDS!T$25*$AM633^3+WeightSDS!U$25*$AM633^2+WeightSDS!V$25*$AM633+WeightSDS!W$25,WeightSDS!M$27+WeightSDS!N$27/(1+EXP(WeightSDS!O$27+WeightSDS!P$27*$AM633)))),IF($AM633&lt;43.8,WeightSDS!M$29*$AM633^10+WeightSDS!N$29*$AM633^9+WeightSDS!O$29*$AM633^8+WeightSDS!P$29*$AM633^7+WeightSDS!Q$29*$AM633^6+WeightSDS!R$29*$AM633^5+WeightSDS!S$29*$AM633^4+WeightSDS!T$29*$AM633^3+WeightSDS!U$29*$AM633^2+WeightSDS!V$29*$AM633+WeightSDS!W$29-0.010431*(1-$AM633/210),IF($AM633&lt;123,WeightSDS!M$30*$AM633^10+WeightSDS!N$30*$AM633^9+WeightSDS!O$30*$AM633^8+WeightSDS!P$30*$AM633^7+WeightSDS!Q$30*$AM633^6+WeightSDS!R$30*$AM633^5+WeightSDS!S$30*$AM633^4+WeightSDS!T$30*$AM633^3+WeightSDS!U$30*$AM633^2+WeightSDS!V$30*$AM633+WeightSDS!W$30-0.010431*(1-1/$AM633),WeightSDS!M$32+WeightSDS!N$32/(1+EXP(WeightSDS!O$32+WeightSDS!P$32*$AM633))-0.010431*(1-$AM633/210))))</f>
        <v>2.9500001032655536</v>
      </c>
      <c r="AQ633" s="4">
        <f>IF(D633="M",IF($AM633&lt;162,WeightSDS!P$12*$AM633^7+WeightSDS!Q$12*$AM633^6+WeightSDS!R$12*$AM633^5+WeightSDS!S$12*$AM633^4+WeightSDS!T$12*$AM633^3+WeightSDS!U$12*$AM633^2+WeightSDS!V$12*$AM633+WeightSDS!W$12,WeightSDS!P$14*$AM633^7+WeightSDS!Q$14*$AM633^6+WeightSDS!R$14*$AM633^5+WeightSDS!S$14*$AM633^4+WeightSDS!T$14*$AM633^3+WeightSDS!U$14*$AM633^2+WeightSDS!V$14*$AM633+WeightSDS!W$14),IF($AM633&lt;156,WeightSDS!O$17*$AM633^8+WeightSDS!P$17*$AM633^7+WeightSDS!Q$17*$AM633^6+WeightSDS!R$17*$AM633^5+WeightSDS!S$17*$AM633^4+WeightSDS!T$17*$AM633^3+WeightSDS!U$17*$AM633^2+WeightSDS!V$17*$AM633+WeightSDS!W$17,IF($AM633&lt;186,WeightSDS!$U$18+(WeightSDS!$V$18-WeightSDS!$U$18)/24*($AM633-186)+WeightSDS!$W$18*(-$AM633+186)^2-0.005,WeightSDS!$U$18+(WeightSDS!$V$18-WeightSDS!$U$18)/24*($AM633-186)-0.005)))</f>
        <v>0.14604529399999999</v>
      </c>
      <c r="AT633" s="4">
        <f t="shared" si="196"/>
        <v>0.56299999999999994</v>
      </c>
      <c r="AU633" s="4">
        <f t="shared" si="197"/>
        <v>69</v>
      </c>
      <c r="AV633" s="4">
        <f t="shared" si="198"/>
        <v>0.51</v>
      </c>
    </row>
    <row r="634" spans="1:48" x14ac:dyDescent="0.15">
      <c r="A634" s="4"/>
      <c r="B634" s="21"/>
      <c r="C634" s="21"/>
      <c r="D634" s="21"/>
      <c r="E634" s="22"/>
      <c r="F634" s="22"/>
      <c r="G634" s="23"/>
      <c r="H634" s="23"/>
      <c r="I634" s="181"/>
      <c r="J634" s="8" t="str">
        <f t="shared" si="190"/>
        <v/>
      </c>
      <c r="K634" s="2" t="str">
        <f t="shared" si="199"/>
        <v/>
      </c>
      <c r="L634" s="2" t="str">
        <f t="shared" si="191"/>
        <v/>
      </c>
      <c r="M634" s="2" t="str">
        <f t="shared" si="200"/>
        <v/>
      </c>
      <c r="N634" s="2" t="str">
        <f t="shared" si="208"/>
        <v/>
      </c>
      <c r="O634" s="2" t="str">
        <f t="shared" si="201"/>
        <v/>
      </c>
      <c r="P634" s="8" t="str">
        <f t="shared" si="202"/>
        <v/>
      </c>
      <c r="Q634" s="8" t="str">
        <f t="shared" si="203"/>
        <v/>
      </c>
      <c r="R634" s="111" t="str">
        <f t="shared" si="204"/>
        <v/>
      </c>
      <c r="S634" s="44" t="str">
        <f t="shared" si="205"/>
        <v/>
      </c>
      <c r="T634" s="37" t="str">
        <f t="shared" si="206"/>
        <v/>
      </c>
      <c r="U634" s="44" t="str">
        <f t="shared" si="207"/>
        <v/>
      </c>
      <c r="V634" s="26"/>
      <c r="W634" s="26"/>
      <c r="X634" s="26"/>
      <c r="Y634" s="26"/>
      <c r="Z634" s="24"/>
      <c r="AA634" s="169">
        <f t="shared" si="192"/>
        <v>0</v>
      </c>
      <c r="AB634" s="4">
        <f t="shared" si="193"/>
        <v>0</v>
      </c>
      <c r="AC634" s="170">
        <f t="shared" si="210"/>
        <v>0</v>
      </c>
      <c r="AD634" s="58"/>
      <c r="AE634" s="58"/>
      <c r="AF634" s="58"/>
      <c r="AG634" s="59">
        <f t="shared" si="194"/>
        <v>9.0359999999999996</v>
      </c>
      <c r="AH634" s="59">
        <f t="shared" si="195"/>
        <v>-184.49199999999999</v>
      </c>
      <c r="AJ634" s="4">
        <f>IF(D634="M",IF(AM634&lt;78,BMILMS!$D$5*AM634^3+BMILMS!$E$5*AM634^2+BMILMS!$F$5*AM634+BMILMS!$G$5,IF(AM634&lt;150,BMILMS!$D$6*AM634^3+BMILMS!$E$6*AM634^2+BMILMS!$F$6*AM634+BMILMS!$G$6,BMILMS!$D$7*AM634^3+BMILMS!$E$7*AM634^2+BMILMS!$F$7*AM634+BMILMS!$G$7)),IF(AM634&lt;69,BMILMS!$D$9*AM634^3+BMILMS!$E$9*AM634^2+BMILMS!$F$9*AM634+BMILMS!$G$9,IF(AM634&lt;150,BMILMS!$D$10*AM634^3+BMILMS!$E$10*AM634^2+BMILMS!$F$10*AM634+BMILMS!$G$10,BMILMS!$D$11*AM634^3+BMILMS!$E$11*AM634^2+BMILMS!$F$11*AM634+BMILMS!$G$11)))</f>
        <v>0.79584630099999998</v>
      </c>
      <c r="AK634" s="4">
        <f>IF(D634="M",(IF(AM634&lt;2.5,BMILMS!$D$21*AM634^3+BMILMS!$E$21*AM634^2+BMILMS!$F$21*AM634+BMILMS!$G$21,IF(AM634&lt;9.5,BMILMS!$D$22*AM634^3+BMILMS!$E$22*AM634^2+BMILMS!$F$22*AM634+BMILMS!$G$22,IF(AM634&lt;26.75,BMILMS!$D$23*AM634^3+BMILMS!$E$23*AM634^2+BMILMS!$F$23*AM634+BMILMS!$G$23,IF(AM634&lt;90,BMILMS!$D$24*AM634^3+BMILMS!$E$24*AM634^2+BMILMS!$F$24*AM634+BMILMS!$G$24,BMILMS!$D$25*AM634^3+BMILMS!$E$25*AM634^2+BMILMS!$F$25*AM634+BMILMS!$G$25))))),(IF(AM634&lt;2.5,BMILMS!$D$27*AM634^3+BMILMS!$E$27*AM634^2+BMILMS!$F$27*AM634+BMILMS!$G$27,IF(AM634&lt;9.5,BMILMS!$D$28*AM634^3+BMILMS!$E$28*AM634^2+BMILMS!$F$28*AM634+BMILMS!$G$28,IF(AM634&lt;26.75,BMILMS!$D$29*AM634^3+BMILMS!$E$29*AM634^2+BMILMS!$F$29*AM634+BMILMS!$G$29,IF(AM634&lt;90,BMILMS!$D$30*AM634^3+BMILMS!$E$30*AM634^2+BMILMS!$F$30*AM634+BMILMS!$G$30,IF(AM634&lt;150,BMILMS!$D$31*AM634^3+BMILMS!$E$31*AM634^2+BMILMS!$F$31*AM634+BMILMS!$G$31,BMILMS!$D$32*AM634^3+BMILMS!$E$32*AM634^2+BMILMS!$F$32*AM634+BMILMS!$G$32)))))))</f>
        <v>12.568967990000001</v>
      </c>
      <c r="AL634" s="4">
        <f>IF(D634="M",(IF(AM634&lt;90,BMILMS!$D$14*AM634^3+BMILMS!$E$14*AM634^2+BMILMS!$F$14*AM634+BMILMS!$G$14,BMILMS!$D$15*AM634^3+BMILMS!$E$15*AM634^2+BMILMS!$F$15*AM634+BMILMS!$G$15)),(IF(AM634&lt;90,BMILMS!$D$17*AM634^3+BMILMS!$E$17*AM634^2+BMILMS!$F$17*AM634+BMILMS!$G$17,BMILMS!$D$18*AM634^3+BMILMS!$E$18*AM634^2+BMILMS!$F$18*AM634+BMILMS!$G$18)))</f>
        <v>8.8969350000000003E-2</v>
      </c>
      <c r="AM634" s="4">
        <f t="shared" si="209"/>
        <v>0</v>
      </c>
      <c r="AO634" s="56">
        <f>IF(D634="M",WeightSDS!P$5*$AM634^7+WeightSDS!Q$5*$AM634^6+WeightSDS!R$5*$AM634^5+WeightSDS!S$5*$AM634^4+WeightSDS!T$5*$AM634^3+WeightSDS!U$5*$AM634^2+WeightSDS!V$5*$AM634+WeightSDS!W$5,IF($AM634&lt;186,WeightSDS!P$8*$AM634^7+WeightSDS!Q$8*$AM634^6+WeightSDS!R$8*$AM634^5+WeightSDS!S$8*$AM634^4+WeightSDS!T$8*$AM634^3+WeightSDS!U$8*$AM634^2+WeightSDS!V$8*$AM634+WeightSDS!W$8,WeightSDS!$U$9+WeightSDS!$V$9*($AM634-WeightSDS!$W$9)))</f>
        <v>0.75407122999999998</v>
      </c>
      <c r="AP634" s="4">
        <f>IF(D634="M",IF($AM634&lt;45,WeightSDS!M$23*$AM634^10+WeightSDS!N$23*$AM634^9+WeightSDS!O$23*$AM634^8+WeightSDS!P$23*$AM634^7+WeightSDS!Q$23*$AM634^6+WeightSDS!R$23*$AM634^5+WeightSDS!S$23*$AM634^4+WeightSDS!T$23*$AM634^3+WeightSDS!U$23*$AM634^2+WeightSDS!V$23*$AM634+WeightSDS!W$23,IF($AM634&lt;153,WeightSDS!M$25*$AM634^10+WeightSDS!N$25*$AM634^9+WeightSDS!O$25*$AM634^8+WeightSDS!P$25*$AM634^7+WeightSDS!Q$25*$AM634^6+WeightSDS!R$25*$AM634^5+WeightSDS!S$25*$AM634^4+WeightSDS!T$25*$AM634^3+WeightSDS!U$25*$AM634^2+WeightSDS!V$25*$AM634+WeightSDS!W$25,WeightSDS!M$27+WeightSDS!N$27/(1+EXP(WeightSDS!O$27+WeightSDS!P$27*$AM634)))),IF($AM634&lt;43.8,WeightSDS!M$29*$AM634^10+WeightSDS!N$29*$AM634^9+WeightSDS!O$29*$AM634^8+WeightSDS!P$29*$AM634^7+WeightSDS!Q$29*$AM634^6+WeightSDS!R$29*$AM634^5+WeightSDS!S$29*$AM634^4+WeightSDS!T$29*$AM634^3+WeightSDS!U$29*$AM634^2+WeightSDS!V$29*$AM634+WeightSDS!W$29-0.010431*(1-$AM634/210),IF($AM634&lt;123,WeightSDS!M$30*$AM634^10+WeightSDS!N$30*$AM634^9+WeightSDS!O$30*$AM634^8+WeightSDS!P$30*$AM634^7+WeightSDS!Q$30*$AM634^6+WeightSDS!R$30*$AM634^5+WeightSDS!S$30*$AM634^4+WeightSDS!T$30*$AM634^3+WeightSDS!U$30*$AM634^2+WeightSDS!V$30*$AM634+WeightSDS!W$30-0.010431*(1-1/$AM634),WeightSDS!M$32+WeightSDS!N$32/(1+EXP(WeightSDS!O$32+WeightSDS!P$32*$AM634))-0.010431*(1-$AM634/210))))</f>
        <v>2.9500001032655536</v>
      </c>
      <c r="AQ634" s="4">
        <f>IF(D634="M",IF($AM634&lt;162,WeightSDS!P$12*$AM634^7+WeightSDS!Q$12*$AM634^6+WeightSDS!R$12*$AM634^5+WeightSDS!S$12*$AM634^4+WeightSDS!T$12*$AM634^3+WeightSDS!U$12*$AM634^2+WeightSDS!V$12*$AM634+WeightSDS!W$12,WeightSDS!P$14*$AM634^7+WeightSDS!Q$14*$AM634^6+WeightSDS!R$14*$AM634^5+WeightSDS!S$14*$AM634^4+WeightSDS!T$14*$AM634^3+WeightSDS!U$14*$AM634^2+WeightSDS!V$14*$AM634+WeightSDS!W$14),IF($AM634&lt;156,WeightSDS!O$17*$AM634^8+WeightSDS!P$17*$AM634^7+WeightSDS!Q$17*$AM634^6+WeightSDS!R$17*$AM634^5+WeightSDS!S$17*$AM634^4+WeightSDS!T$17*$AM634^3+WeightSDS!U$17*$AM634^2+WeightSDS!V$17*$AM634+WeightSDS!W$17,IF($AM634&lt;186,WeightSDS!$U$18+(WeightSDS!$V$18-WeightSDS!$U$18)/24*($AM634-186)+WeightSDS!$W$18*(-$AM634+186)^2-0.005,WeightSDS!$U$18+(WeightSDS!$V$18-WeightSDS!$U$18)/24*($AM634-186)-0.005)))</f>
        <v>0.14604529399999999</v>
      </c>
      <c r="AT634" s="4">
        <f t="shared" si="196"/>
        <v>0.56299999999999994</v>
      </c>
      <c r="AU634" s="4">
        <f t="shared" si="197"/>
        <v>69</v>
      </c>
      <c r="AV634" s="4">
        <f t="shared" si="198"/>
        <v>0.51</v>
      </c>
    </row>
    <row r="635" spans="1:48" x14ac:dyDescent="0.15">
      <c r="A635" s="4"/>
      <c r="B635" s="21"/>
      <c r="C635" s="21"/>
      <c r="D635" s="21"/>
      <c r="E635" s="22"/>
      <c r="F635" s="22"/>
      <c r="G635" s="23"/>
      <c r="H635" s="23"/>
      <c r="I635" s="181"/>
      <c r="J635" s="8" t="str">
        <f t="shared" si="190"/>
        <v/>
      </c>
      <c r="K635" s="2" t="str">
        <f t="shared" si="199"/>
        <v/>
      </c>
      <c r="L635" s="2" t="str">
        <f t="shared" si="191"/>
        <v/>
      </c>
      <c r="M635" s="2" t="str">
        <f t="shared" si="200"/>
        <v/>
      </c>
      <c r="N635" s="2" t="str">
        <f t="shared" si="208"/>
        <v/>
      </c>
      <c r="O635" s="2" t="str">
        <f t="shared" si="201"/>
        <v/>
      </c>
      <c r="P635" s="8" t="str">
        <f t="shared" si="202"/>
        <v/>
      </c>
      <c r="Q635" s="8" t="str">
        <f t="shared" si="203"/>
        <v/>
      </c>
      <c r="R635" s="111" t="str">
        <f t="shared" si="204"/>
        <v/>
      </c>
      <c r="S635" s="44" t="str">
        <f t="shared" si="205"/>
        <v/>
      </c>
      <c r="T635" s="37" t="str">
        <f t="shared" si="206"/>
        <v/>
      </c>
      <c r="U635" s="44" t="str">
        <f t="shared" si="207"/>
        <v/>
      </c>
      <c r="V635" s="26"/>
      <c r="W635" s="26"/>
      <c r="X635" s="26"/>
      <c r="Y635" s="26"/>
      <c r="Z635" s="24"/>
      <c r="AA635" s="169">
        <f t="shared" si="192"/>
        <v>0</v>
      </c>
      <c r="AB635" s="4">
        <f t="shared" si="193"/>
        <v>0</v>
      </c>
      <c r="AC635" s="170">
        <f t="shared" si="210"/>
        <v>0</v>
      </c>
      <c r="AD635" s="58"/>
      <c r="AE635" s="58"/>
      <c r="AF635" s="58"/>
      <c r="AG635" s="59">
        <f t="shared" si="194"/>
        <v>9.0359999999999996</v>
      </c>
      <c r="AH635" s="59">
        <f t="shared" si="195"/>
        <v>-184.49199999999999</v>
      </c>
      <c r="AJ635" s="4">
        <f>IF(D635="M",IF(AM635&lt;78,BMILMS!$D$5*AM635^3+BMILMS!$E$5*AM635^2+BMILMS!$F$5*AM635+BMILMS!$G$5,IF(AM635&lt;150,BMILMS!$D$6*AM635^3+BMILMS!$E$6*AM635^2+BMILMS!$F$6*AM635+BMILMS!$G$6,BMILMS!$D$7*AM635^3+BMILMS!$E$7*AM635^2+BMILMS!$F$7*AM635+BMILMS!$G$7)),IF(AM635&lt;69,BMILMS!$D$9*AM635^3+BMILMS!$E$9*AM635^2+BMILMS!$F$9*AM635+BMILMS!$G$9,IF(AM635&lt;150,BMILMS!$D$10*AM635^3+BMILMS!$E$10*AM635^2+BMILMS!$F$10*AM635+BMILMS!$G$10,BMILMS!$D$11*AM635^3+BMILMS!$E$11*AM635^2+BMILMS!$F$11*AM635+BMILMS!$G$11)))</f>
        <v>0.79584630099999998</v>
      </c>
      <c r="AK635" s="4">
        <f>IF(D635="M",(IF(AM635&lt;2.5,BMILMS!$D$21*AM635^3+BMILMS!$E$21*AM635^2+BMILMS!$F$21*AM635+BMILMS!$G$21,IF(AM635&lt;9.5,BMILMS!$D$22*AM635^3+BMILMS!$E$22*AM635^2+BMILMS!$F$22*AM635+BMILMS!$G$22,IF(AM635&lt;26.75,BMILMS!$D$23*AM635^3+BMILMS!$E$23*AM635^2+BMILMS!$F$23*AM635+BMILMS!$G$23,IF(AM635&lt;90,BMILMS!$D$24*AM635^3+BMILMS!$E$24*AM635^2+BMILMS!$F$24*AM635+BMILMS!$G$24,BMILMS!$D$25*AM635^3+BMILMS!$E$25*AM635^2+BMILMS!$F$25*AM635+BMILMS!$G$25))))),(IF(AM635&lt;2.5,BMILMS!$D$27*AM635^3+BMILMS!$E$27*AM635^2+BMILMS!$F$27*AM635+BMILMS!$G$27,IF(AM635&lt;9.5,BMILMS!$D$28*AM635^3+BMILMS!$E$28*AM635^2+BMILMS!$F$28*AM635+BMILMS!$G$28,IF(AM635&lt;26.75,BMILMS!$D$29*AM635^3+BMILMS!$E$29*AM635^2+BMILMS!$F$29*AM635+BMILMS!$G$29,IF(AM635&lt;90,BMILMS!$D$30*AM635^3+BMILMS!$E$30*AM635^2+BMILMS!$F$30*AM635+BMILMS!$G$30,IF(AM635&lt;150,BMILMS!$D$31*AM635^3+BMILMS!$E$31*AM635^2+BMILMS!$F$31*AM635+BMILMS!$G$31,BMILMS!$D$32*AM635^3+BMILMS!$E$32*AM635^2+BMILMS!$F$32*AM635+BMILMS!$G$32)))))))</f>
        <v>12.568967990000001</v>
      </c>
      <c r="AL635" s="4">
        <f>IF(D635="M",(IF(AM635&lt;90,BMILMS!$D$14*AM635^3+BMILMS!$E$14*AM635^2+BMILMS!$F$14*AM635+BMILMS!$G$14,BMILMS!$D$15*AM635^3+BMILMS!$E$15*AM635^2+BMILMS!$F$15*AM635+BMILMS!$G$15)),(IF(AM635&lt;90,BMILMS!$D$17*AM635^3+BMILMS!$E$17*AM635^2+BMILMS!$F$17*AM635+BMILMS!$G$17,BMILMS!$D$18*AM635^3+BMILMS!$E$18*AM635^2+BMILMS!$F$18*AM635+BMILMS!$G$18)))</f>
        <v>8.8969350000000003E-2</v>
      </c>
      <c r="AM635" s="4">
        <f t="shared" si="209"/>
        <v>0</v>
      </c>
      <c r="AO635" s="56">
        <f>IF(D635="M",WeightSDS!P$5*$AM635^7+WeightSDS!Q$5*$AM635^6+WeightSDS!R$5*$AM635^5+WeightSDS!S$5*$AM635^4+WeightSDS!T$5*$AM635^3+WeightSDS!U$5*$AM635^2+WeightSDS!V$5*$AM635+WeightSDS!W$5,IF($AM635&lt;186,WeightSDS!P$8*$AM635^7+WeightSDS!Q$8*$AM635^6+WeightSDS!R$8*$AM635^5+WeightSDS!S$8*$AM635^4+WeightSDS!T$8*$AM635^3+WeightSDS!U$8*$AM635^2+WeightSDS!V$8*$AM635+WeightSDS!W$8,WeightSDS!$U$9+WeightSDS!$V$9*($AM635-WeightSDS!$W$9)))</f>
        <v>0.75407122999999998</v>
      </c>
      <c r="AP635" s="4">
        <f>IF(D635="M",IF($AM635&lt;45,WeightSDS!M$23*$AM635^10+WeightSDS!N$23*$AM635^9+WeightSDS!O$23*$AM635^8+WeightSDS!P$23*$AM635^7+WeightSDS!Q$23*$AM635^6+WeightSDS!R$23*$AM635^5+WeightSDS!S$23*$AM635^4+WeightSDS!T$23*$AM635^3+WeightSDS!U$23*$AM635^2+WeightSDS!V$23*$AM635+WeightSDS!W$23,IF($AM635&lt;153,WeightSDS!M$25*$AM635^10+WeightSDS!N$25*$AM635^9+WeightSDS!O$25*$AM635^8+WeightSDS!P$25*$AM635^7+WeightSDS!Q$25*$AM635^6+WeightSDS!R$25*$AM635^5+WeightSDS!S$25*$AM635^4+WeightSDS!T$25*$AM635^3+WeightSDS!U$25*$AM635^2+WeightSDS!V$25*$AM635+WeightSDS!W$25,WeightSDS!M$27+WeightSDS!N$27/(1+EXP(WeightSDS!O$27+WeightSDS!P$27*$AM635)))),IF($AM635&lt;43.8,WeightSDS!M$29*$AM635^10+WeightSDS!N$29*$AM635^9+WeightSDS!O$29*$AM635^8+WeightSDS!P$29*$AM635^7+WeightSDS!Q$29*$AM635^6+WeightSDS!R$29*$AM635^5+WeightSDS!S$29*$AM635^4+WeightSDS!T$29*$AM635^3+WeightSDS!U$29*$AM635^2+WeightSDS!V$29*$AM635+WeightSDS!W$29-0.010431*(1-$AM635/210),IF($AM635&lt;123,WeightSDS!M$30*$AM635^10+WeightSDS!N$30*$AM635^9+WeightSDS!O$30*$AM635^8+WeightSDS!P$30*$AM635^7+WeightSDS!Q$30*$AM635^6+WeightSDS!R$30*$AM635^5+WeightSDS!S$30*$AM635^4+WeightSDS!T$30*$AM635^3+WeightSDS!U$30*$AM635^2+WeightSDS!V$30*$AM635+WeightSDS!W$30-0.010431*(1-1/$AM635),WeightSDS!M$32+WeightSDS!N$32/(1+EXP(WeightSDS!O$32+WeightSDS!P$32*$AM635))-0.010431*(1-$AM635/210))))</f>
        <v>2.9500001032655536</v>
      </c>
      <c r="AQ635" s="4">
        <f>IF(D635="M",IF($AM635&lt;162,WeightSDS!P$12*$AM635^7+WeightSDS!Q$12*$AM635^6+WeightSDS!R$12*$AM635^5+WeightSDS!S$12*$AM635^4+WeightSDS!T$12*$AM635^3+WeightSDS!U$12*$AM635^2+WeightSDS!V$12*$AM635+WeightSDS!W$12,WeightSDS!P$14*$AM635^7+WeightSDS!Q$14*$AM635^6+WeightSDS!R$14*$AM635^5+WeightSDS!S$14*$AM635^4+WeightSDS!T$14*$AM635^3+WeightSDS!U$14*$AM635^2+WeightSDS!V$14*$AM635+WeightSDS!W$14),IF($AM635&lt;156,WeightSDS!O$17*$AM635^8+WeightSDS!P$17*$AM635^7+WeightSDS!Q$17*$AM635^6+WeightSDS!R$17*$AM635^5+WeightSDS!S$17*$AM635^4+WeightSDS!T$17*$AM635^3+WeightSDS!U$17*$AM635^2+WeightSDS!V$17*$AM635+WeightSDS!W$17,IF($AM635&lt;186,WeightSDS!$U$18+(WeightSDS!$V$18-WeightSDS!$U$18)/24*($AM635-186)+WeightSDS!$W$18*(-$AM635+186)^2-0.005,WeightSDS!$U$18+(WeightSDS!$V$18-WeightSDS!$U$18)/24*($AM635-186)-0.005)))</f>
        <v>0.14604529399999999</v>
      </c>
      <c r="AT635" s="4">
        <f t="shared" si="196"/>
        <v>0.56299999999999994</v>
      </c>
      <c r="AU635" s="4">
        <f t="shared" si="197"/>
        <v>69</v>
      </c>
      <c r="AV635" s="4">
        <f t="shared" si="198"/>
        <v>0.51</v>
      </c>
    </row>
    <row r="636" spans="1:48" x14ac:dyDescent="0.15">
      <c r="A636" s="4"/>
      <c r="B636" s="21"/>
      <c r="C636" s="21"/>
      <c r="D636" s="21"/>
      <c r="E636" s="22"/>
      <c r="F636" s="22"/>
      <c r="G636" s="23"/>
      <c r="H636" s="23"/>
      <c r="I636" s="181"/>
      <c r="J636" s="8" t="str">
        <f t="shared" si="190"/>
        <v/>
      </c>
      <c r="K636" s="2" t="str">
        <f t="shared" si="199"/>
        <v/>
      </c>
      <c r="L636" s="2" t="str">
        <f t="shared" si="191"/>
        <v/>
      </c>
      <c r="M636" s="2" t="str">
        <f t="shared" si="200"/>
        <v/>
      </c>
      <c r="N636" s="2" t="str">
        <f t="shared" si="208"/>
        <v/>
      </c>
      <c r="O636" s="2" t="str">
        <f t="shared" si="201"/>
        <v/>
      </c>
      <c r="P636" s="8" t="str">
        <f t="shared" si="202"/>
        <v/>
      </c>
      <c r="Q636" s="8" t="str">
        <f t="shared" si="203"/>
        <v/>
      </c>
      <c r="R636" s="111" t="str">
        <f t="shared" si="204"/>
        <v/>
      </c>
      <c r="S636" s="44" t="str">
        <f t="shared" si="205"/>
        <v/>
      </c>
      <c r="T636" s="37" t="str">
        <f t="shared" si="206"/>
        <v/>
      </c>
      <c r="U636" s="44" t="str">
        <f t="shared" si="207"/>
        <v/>
      </c>
      <c r="V636" s="26"/>
      <c r="W636" s="26"/>
      <c r="X636" s="26"/>
      <c r="Y636" s="26"/>
      <c r="Z636" s="24"/>
      <c r="AA636" s="169">
        <f t="shared" si="192"/>
        <v>0</v>
      </c>
      <c r="AB636" s="4">
        <f t="shared" si="193"/>
        <v>0</v>
      </c>
      <c r="AC636" s="170">
        <f t="shared" si="210"/>
        <v>0</v>
      </c>
      <c r="AD636" s="58"/>
      <c r="AE636" s="58"/>
      <c r="AF636" s="58"/>
      <c r="AG636" s="59">
        <f t="shared" si="194"/>
        <v>9.0359999999999996</v>
      </c>
      <c r="AH636" s="59">
        <f t="shared" si="195"/>
        <v>-184.49199999999999</v>
      </c>
      <c r="AJ636" s="4">
        <f>IF(D636="M",IF(AM636&lt;78,BMILMS!$D$5*AM636^3+BMILMS!$E$5*AM636^2+BMILMS!$F$5*AM636+BMILMS!$G$5,IF(AM636&lt;150,BMILMS!$D$6*AM636^3+BMILMS!$E$6*AM636^2+BMILMS!$F$6*AM636+BMILMS!$G$6,BMILMS!$D$7*AM636^3+BMILMS!$E$7*AM636^2+BMILMS!$F$7*AM636+BMILMS!$G$7)),IF(AM636&lt;69,BMILMS!$D$9*AM636^3+BMILMS!$E$9*AM636^2+BMILMS!$F$9*AM636+BMILMS!$G$9,IF(AM636&lt;150,BMILMS!$D$10*AM636^3+BMILMS!$E$10*AM636^2+BMILMS!$F$10*AM636+BMILMS!$G$10,BMILMS!$D$11*AM636^3+BMILMS!$E$11*AM636^2+BMILMS!$F$11*AM636+BMILMS!$G$11)))</f>
        <v>0.79584630099999998</v>
      </c>
      <c r="AK636" s="4">
        <f>IF(D636="M",(IF(AM636&lt;2.5,BMILMS!$D$21*AM636^3+BMILMS!$E$21*AM636^2+BMILMS!$F$21*AM636+BMILMS!$G$21,IF(AM636&lt;9.5,BMILMS!$D$22*AM636^3+BMILMS!$E$22*AM636^2+BMILMS!$F$22*AM636+BMILMS!$G$22,IF(AM636&lt;26.75,BMILMS!$D$23*AM636^3+BMILMS!$E$23*AM636^2+BMILMS!$F$23*AM636+BMILMS!$G$23,IF(AM636&lt;90,BMILMS!$D$24*AM636^3+BMILMS!$E$24*AM636^2+BMILMS!$F$24*AM636+BMILMS!$G$24,BMILMS!$D$25*AM636^3+BMILMS!$E$25*AM636^2+BMILMS!$F$25*AM636+BMILMS!$G$25))))),(IF(AM636&lt;2.5,BMILMS!$D$27*AM636^3+BMILMS!$E$27*AM636^2+BMILMS!$F$27*AM636+BMILMS!$G$27,IF(AM636&lt;9.5,BMILMS!$D$28*AM636^3+BMILMS!$E$28*AM636^2+BMILMS!$F$28*AM636+BMILMS!$G$28,IF(AM636&lt;26.75,BMILMS!$D$29*AM636^3+BMILMS!$E$29*AM636^2+BMILMS!$F$29*AM636+BMILMS!$G$29,IF(AM636&lt;90,BMILMS!$D$30*AM636^3+BMILMS!$E$30*AM636^2+BMILMS!$F$30*AM636+BMILMS!$G$30,IF(AM636&lt;150,BMILMS!$D$31*AM636^3+BMILMS!$E$31*AM636^2+BMILMS!$F$31*AM636+BMILMS!$G$31,BMILMS!$D$32*AM636^3+BMILMS!$E$32*AM636^2+BMILMS!$F$32*AM636+BMILMS!$G$32)))))))</f>
        <v>12.568967990000001</v>
      </c>
      <c r="AL636" s="4">
        <f>IF(D636="M",(IF(AM636&lt;90,BMILMS!$D$14*AM636^3+BMILMS!$E$14*AM636^2+BMILMS!$F$14*AM636+BMILMS!$G$14,BMILMS!$D$15*AM636^3+BMILMS!$E$15*AM636^2+BMILMS!$F$15*AM636+BMILMS!$G$15)),(IF(AM636&lt;90,BMILMS!$D$17*AM636^3+BMILMS!$E$17*AM636^2+BMILMS!$F$17*AM636+BMILMS!$G$17,BMILMS!$D$18*AM636^3+BMILMS!$E$18*AM636^2+BMILMS!$F$18*AM636+BMILMS!$G$18)))</f>
        <v>8.8969350000000003E-2</v>
      </c>
      <c r="AM636" s="4">
        <f t="shared" si="209"/>
        <v>0</v>
      </c>
      <c r="AO636" s="56">
        <f>IF(D636="M",WeightSDS!P$5*$AM636^7+WeightSDS!Q$5*$AM636^6+WeightSDS!R$5*$AM636^5+WeightSDS!S$5*$AM636^4+WeightSDS!T$5*$AM636^3+WeightSDS!U$5*$AM636^2+WeightSDS!V$5*$AM636+WeightSDS!W$5,IF($AM636&lt;186,WeightSDS!P$8*$AM636^7+WeightSDS!Q$8*$AM636^6+WeightSDS!R$8*$AM636^5+WeightSDS!S$8*$AM636^4+WeightSDS!T$8*$AM636^3+WeightSDS!U$8*$AM636^2+WeightSDS!V$8*$AM636+WeightSDS!W$8,WeightSDS!$U$9+WeightSDS!$V$9*($AM636-WeightSDS!$W$9)))</f>
        <v>0.75407122999999998</v>
      </c>
      <c r="AP636" s="4">
        <f>IF(D636="M",IF($AM636&lt;45,WeightSDS!M$23*$AM636^10+WeightSDS!N$23*$AM636^9+WeightSDS!O$23*$AM636^8+WeightSDS!P$23*$AM636^7+WeightSDS!Q$23*$AM636^6+WeightSDS!R$23*$AM636^5+WeightSDS!S$23*$AM636^4+WeightSDS!T$23*$AM636^3+WeightSDS!U$23*$AM636^2+WeightSDS!V$23*$AM636+WeightSDS!W$23,IF($AM636&lt;153,WeightSDS!M$25*$AM636^10+WeightSDS!N$25*$AM636^9+WeightSDS!O$25*$AM636^8+WeightSDS!P$25*$AM636^7+WeightSDS!Q$25*$AM636^6+WeightSDS!R$25*$AM636^5+WeightSDS!S$25*$AM636^4+WeightSDS!T$25*$AM636^3+WeightSDS!U$25*$AM636^2+WeightSDS!V$25*$AM636+WeightSDS!W$25,WeightSDS!M$27+WeightSDS!N$27/(1+EXP(WeightSDS!O$27+WeightSDS!P$27*$AM636)))),IF($AM636&lt;43.8,WeightSDS!M$29*$AM636^10+WeightSDS!N$29*$AM636^9+WeightSDS!O$29*$AM636^8+WeightSDS!P$29*$AM636^7+WeightSDS!Q$29*$AM636^6+WeightSDS!R$29*$AM636^5+WeightSDS!S$29*$AM636^4+WeightSDS!T$29*$AM636^3+WeightSDS!U$29*$AM636^2+WeightSDS!V$29*$AM636+WeightSDS!W$29-0.010431*(1-$AM636/210),IF($AM636&lt;123,WeightSDS!M$30*$AM636^10+WeightSDS!N$30*$AM636^9+WeightSDS!O$30*$AM636^8+WeightSDS!P$30*$AM636^7+WeightSDS!Q$30*$AM636^6+WeightSDS!R$30*$AM636^5+WeightSDS!S$30*$AM636^4+WeightSDS!T$30*$AM636^3+WeightSDS!U$30*$AM636^2+WeightSDS!V$30*$AM636+WeightSDS!W$30-0.010431*(1-1/$AM636),WeightSDS!M$32+WeightSDS!N$32/(1+EXP(WeightSDS!O$32+WeightSDS!P$32*$AM636))-0.010431*(1-$AM636/210))))</f>
        <v>2.9500001032655536</v>
      </c>
      <c r="AQ636" s="4">
        <f>IF(D636="M",IF($AM636&lt;162,WeightSDS!P$12*$AM636^7+WeightSDS!Q$12*$AM636^6+WeightSDS!R$12*$AM636^5+WeightSDS!S$12*$AM636^4+WeightSDS!T$12*$AM636^3+WeightSDS!U$12*$AM636^2+WeightSDS!V$12*$AM636+WeightSDS!W$12,WeightSDS!P$14*$AM636^7+WeightSDS!Q$14*$AM636^6+WeightSDS!R$14*$AM636^5+WeightSDS!S$14*$AM636^4+WeightSDS!T$14*$AM636^3+WeightSDS!U$14*$AM636^2+WeightSDS!V$14*$AM636+WeightSDS!W$14),IF($AM636&lt;156,WeightSDS!O$17*$AM636^8+WeightSDS!P$17*$AM636^7+WeightSDS!Q$17*$AM636^6+WeightSDS!R$17*$AM636^5+WeightSDS!S$17*$AM636^4+WeightSDS!T$17*$AM636^3+WeightSDS!U$17*$AM636^2+WeightSDS!V$17*$AM636+WeightSDS!W$17,IF($AM636&lt;186,WeightSDS!$U$18+(WeightSDS!$V$18-WeightSDS!$U$18)/24*($AM636-186)+WeightSDS!$W$18*(-$AM636+186)^2-0.005,WeightSDS!$U$18+(WeightSDS!$V$18-WeightSDS!$U$18)/24*($AM636-186)-0.005)))</f>
        <v>0.14604529399999999</v>
      </c>
      <c r="AT636" s="4">
        <f t="shared" si="196"/>
        <v>0.56299999999999994</v>
      </c>
      <c r="AU636" s="4">
        <f t="shared" si="197"/>
        <v>69</v>
      </c>
      <c r="AV636" s="4">
        <f t="shared" si="198"/>
        <v>0.51</v>
      </c>
    </row>
    <row r="637" spans="1:48" x14ac:dyDescent="0.15">
      <c r="A637" s="4"/>
      <c r="B637" s="21"/>
      <c r="C637" s="21"/>
      <c r="D637" s="21"/>
      <c r="E637" s="22"/>
      <c r="F637" s="22"/>
      <c r="G637" s="23"/>
      <c r="H637" s="23"/>
      <c r="I637" s="181"/>
      <c r="J637" s="8" t="str">
        <f t="shared" si="190"/>
        <v/>
      </c>
      <c r="K637" s="2" t="str">
        <f t="shared" si="199"/>
        <v/>
      </c>
      <c r="L637" s="2" t="str">
        <f t="shared" si="191"/>
        <v/>
      </c>
      <c r="M637" s="2" t="str">
        <f t="shared" si="200"/>
        <v/>
      </c>
      <c r="N637" s="2" t="str">
        <f t="shared" si="208"/>
        <v/>
      </c>
      <c r="O637" s="2" t="str">
        <f t="shared" si="201"/>
        <v/>
      </c>
      <c r="P637" s="8" t="str">
        <f t="shared" si="202"/>
        <v/>
      </c>
      <c r="Q637" s="8" t="str">
        <f t="shared" si="203"/>
        <v/>
      </c>
      <c r="R637" s="111" t="str">
        <f t="shared" si="204"/>
        <v/>
      </c>
      <c r="S637" s="44" t="str">
        <f t="shared" si="205"/>
        <v/>
      </c>
      <c r="T637" s="37" t="str">
        <f t="shared" si="206"/>
        <v/>
      </c>
      <c r="U637" s="44" t="str">
        <f t="shared" si="207"/>
        <v/>
      </c>
      <c r="V637" s="26"/>
      <c r="W637" s="26"/>
      <c r="X637" s="26"/>
      <c r="Y637" s="26"/>
      <c r="Z637" s="24"/>
      <c r="AA637" s="169">
        <f t="shared" si="192"/>
        <v>0</v>
      </c>
      <c r="AB637" s="4">
        <f t="shared" si="193"/>
        <v>0</v>
      </c>
      <c r="AC637" s="170">
        <f t="shared" si="210"/>
        <v>0</v>
      </c>
      <c r="AD637" s="58"/>
      <c r="AE637" s="58"/>
      <c r="AF637" s="58"/>
      <c r="AG637" s="59">
        <f t="shared" si="194"/>
        <v>9.0359999999999996</v>
      </c>
      <c r="AH637" s="59">
        <f t="shared" si="195"/>
        <v>-184.49199999999999</v>
      </c>
      <c r="AJ637" s="4">
        <f>IF(D637="M",IF(AM637&lt;78,BMILMS!$D$5*AM637^3+BMILMS!$E$5*AM637^2+BMILMS!$F$5*AM637+BMILMS!$G$5,IF(AM637&lt;150,BMILMS!$D$6*AM637^3+BMILMS!$E$6*AM637^2+BMILMS!$F$6*AM637+BMILMS!$G$6,BMILMS!$D$7*AM637^3+BMILMS!$E$7*AM637^2+BMILMS!$F$7*AM637+BMILMS!$G$7)),IF(AM637&lt;69,BMILMS!$D$9*AM637^3+BMILMS!$E$9*AM637^2+BMILMS!$F$9*AM637+BMILMS!$G$9,IF(AM637&lt;150,BMILMS!$D$10*AM637^3+BMILMS!$E$10*AM637^2+BMILMS!$F$10*AM637+BMILMS!$G$10,BMILMS!$D$11*AM637^3+BMILMS!$E$11*AM637^2+BMILMS!$F$11*AM637+BMILMS!$G$11)))</f>
        <v>0.79584630099999998</v>
      </c>
      <c r="AK637" s="4">
        <f>IF(D637="M",(IF(AM637&lt;2.5,BMILMS!$D$21*AM637^3+BMILMS!$E$21*AM637^2+BMILMS!$F$21*AM637+BMILMS!$G$21,IF(AM637&lt;9.5,BMILMS!$D$22*AM637^3+BMILMS!$E$22*AM637^2+BMILMS!$F$22*AM637+BMILMS!$G$22,IF(AM637&lt;26.75,BMILMS!$D$23*AM637^3+BMILMS!$E$23*AM637^2+BMILMS!$F$23*AM637+BMILMS!$G$23,IF(AM637&lt;90,BMILMS!$D$24*AM637^3+BMILMS!$E$24*AM637^2+BMILMS!$F$24*AM637+BMILMS!$G$24,BMILMS!$D$25*AM637^3+BMILMS!$E$25*AM637^2+BMILMS!$F$25*AM637+BMILMS!$G$25))))),(IF(AM637&lt;2.5,BMILMS!$D$27*AM637^3+BMILMS!$E$27*AM637^2+BMILMS!$F$27*AM637+BMILMS!$G$27,IF(AM637&lt;9.5,BMILMS!$D$28*AM637^3+BMILMS!$E$28*AM637^2+BMILMS!$F$28*AM637+BMILMS!$G$28,IF(AM637&lt;26.75,BMILMS!$D$29*AM637^3+BMILMS!$E$29*AM637^2+BMILMS!$F$29*AM637+BMILMS!$G$29,IF(AM637&lt;90,BMILMS!$D$30*AM637^3+BMILMS!$E$30*AM637^2+BMILMS!$F$30*AM637+BMILMS!$G$30,IF(AM637&lt;150,BMILMS!$D$31*AM637^3+BMILMS!$E$31*AM637^2+BMILMS!$F$31*AM637+BMILMS!$G$31,BMILMS!$D$32*AM637^3+BMILMS!$E$32*AM637^2+BMILMS!$F$32*AM637+BMILMS!$G$32)))))))</f>
        <v>12.568967990000001</v>
      </c>
      <c r="AL637" s="4">
        <f>IF(D637="M",(IF(AM637&lt;90,BMILMS!$D$14*AM637^3+BMILMS!$E$14*AM637^2+BMILMS!$F$14*AM637+BMILMS!$G$14,BMILMS!$D$15*AM637^3+BMILMS!$E$15*AM637^2+BMILMS!$F$15*AM637+BMILMS!$G$15)),(IF(AM637&lt;90,BMILMS!$D$17*AM637^3+BMILMS!$E$17*AM637^2+BMILMS!$F$17*AM637+BMILMS!$G$17,BMILMS!$D$18*AM637^3+BMILMS!$E$18*AM637^2+BMILMS!$F$18*AM637+BMILMS!$G$18)))</f>
        <v>8.8969350000000003E-2</v>
      </c>
      <c r="AM637" s="4">
        <f t="shared" si="209"/>
        <v>0</v>
      </c>
      <c r="AO637" s="56">
        <f>IF(D637="M",WeightSDS!P$5*$AM637^7+WeightSDS!Q$5*$AM637^6+WeightSDS!R$5*$AM637^5+WeightSDS!S$5*$AM637^4+WeightSDS!T$5*$AM637^3+WeightSDS!U$5*$AM637^2+WeightSDS!V$5*$AM637+WeightSDS!W$5,IF($AM637&lt;186,WeightSDS!P$8*$AM637^7+WeightSDS!Q$8*$AM637^6+WeightSDS!R$8*$AM637^5+WeightSDS!S$8*$AM637^4+WeightSDS!T$8*$AM637^3+WeightSDS!U$8*$AM637^2+WeightSDS!V$8*$AM637+WeightSDS!W$8,WeightSDS!$U$9+WeightSDS!$V$9*($AM637-WeightSDS!$W$9)))</f>
        <v>0.75407122999999998</v>
      </c>
      <c r="AP637" s="4">
        <f>IF(D637="M",IF($AM637&lt;45,WeightSDS!M$23*$AM637^10+WeightSDS!N$23*$AM637^9+WeightSDS!O$23*$AM637^8+WeightSDS!P$23*$AM637^7+WeightSDS!Q$23*$AM637^6+WeightSDS!R$23*$AM637^5+WeightSDS!S$23*$AM637^4+WeightSDS!T$23*$AM637^3+WeightSDS!U$23*$AM637^2+WeightSDS!V$23*$AM637+WeightSDS!W$23,IF($AM637&lt;153,WeightSDS!M$25*$AM637^10+WeightSDS!N$25*$AM637^9+WeightSDS!O$25*$AM637^8+WeightSDS!P$25*$AM637^7+WeightSDS!Q$25*$AM637^6+WeightSDS!R$25*$AM637^5+WeightSDS!S$25*$AM637^4+WeightSDS!T$25*$AM637^3+WeightSDS!U$25*$AM637^2+WeightSDS!V$25*$AM637+WeightSDS!W$25,WeightSDS!M$27+WeightSDS!N$27/(1+EXP(WeightSDS!O$27+WeightSDS!P$27*$AM637)))),IF($AM637&lt;43.8,WeightSDS!M$29*$AM637^10+WeightSDS!N$29*$AM637^9+WeightSDS!O$29*$AM637^8+WeightSDS!P$29*$AM637^7+WeightSDS!Q$29*$AM637^6+WeightSDS!R$29*$AM637^5+WeightSDS!S$29*$AM637^4+WeightSDS!T$29*$AM637^3+WeightSDS!U$29*$AM637^2+WeightSDS!V$29*$AM637+WeightSDS!W$29-0.010431*(1-$AM637/210),IF($AM637&lt;123,WeightSDS!M$30*$AM637^10+WeightSDS!N$30*$AM637^9+WeightSDS!O$30*$AM637^8+WeightSDS!P$30*$AM637^7+WeightSDS!Q$30*$AM637^6+WeightSDS!R$30*$AM637^5+WeightSDS!S$30*$AM637^4+WeightSDS!T$30*$AM637^3+WeightSDS!U$30*$AM637^2+WeightSDS!V$30*$AM637+WeightSDS!W$30-0.010431*(1-1/$AM637),WeightSDS!M$32+WeightSDS!N$32/(1+EXP(WeightSDS!O$32+WeightSDS!P$32*$AM637))-0.010431*(1-$AM637/210))))</f>
        <v>2.9500001032655536</v>
      </c>
      <c r="AQ637" s="4">
        <f>IF(D637="M",IF($AM637&lt;162,WeightSDS!P$12*$AM637^7+WeightSDS!Q$12*$AM637^6+WeightSDS!R$12*$AM637^5+WeightSDS!S$12*$AM637^4+WeightSDS!T$12*$AM637^3+WeightSDS!U$12*$AM637^2+WeightSDS!V$12*$AM637+WeightSDS!W$12,WeightSDS!P$14*$AM637^7+WeightSDS!Q$14*$AM637^6+WeightSDS!R$14*$AM637^5+WeightSDS!S$14*$AM637^4+WeightSDS!T$14*$AM637^3+WeightSDS!U$14*$AM637^2+WeightSDS!V$14*$AM637+WeightSDS!W$14),IF($AM637&lt;156,WeightSDS!O$17*$AM637^8+WeightSDS!P$17*$AM637^7+WeightSDS!Q$17*$AM637^6+WeightSDS!R$17*$AM637^5+WeightSDS!S$17*$AM637^4+WeightSDS!T$17*$AM637^3+WeightSDS!U$17*$AM637^2+WeightSDS!V$17*$AM637+WeightSDS!W$17,IF($AM637&lt;186,WeightSDS!$U$18+(WeightSDS!$V$18-WeightSDS!$U$18)/24*($AM637-186)+WeightSDS!$W$18*(-$AM637+186)^2-0.005,WeightSDS!$U$18+(WeightSDS!$V$18-WeightSDS!$U$18)/24*($AM637-186)-0.005)))</f>
        <v>0.14604529399999999</v>
      </c>
      <c r="AT637" s="4">
        <f t="shared" si="196"/>
        <v>0.56299999999999994</v>
      </c>
      <c r="AU637" s="4">
        <f t="shared" si="197"/>
        <v>69</v>
      </c>
      <c r="AV637" s="4">
        <f t="shared" si="198"/>
        <v>0.51</v>
      </c>
    </row>
    <row r="638" spans="1:48" x14ac:dyDescent="0.15">
      <c r="A638" s="4"/>
      <c r="B638" s="21"/>
      <c r="C638" s="21"/>
      <c r="D638" s="21"/>
      <c r="E638" s="22"/>
      <c r="F638" s="22"/>
      <c r="G638" s="23"/>
      <c r="H638" s="23"/>
      <c r="I638" s="181"/>
      <c r="J638" s="8" t="str">
        <f t="shared" si="190"/>
        <v/>
      </c>
      <c r="K638" s="2" t="str">
        <f t="shared" si="199"/>
        <v/>
      </c>
      <c r="L638" s="2" t="str">
        <f t="shared" si="191"/>
        <v/>
      </c>
      <c r="M638" s="2" t="str">
        <f t="shared" si="200"/>
        <v/>
      </c>
      <c r="N638" s="2" t="str">
        <f t="shared" si="208"/>
        <v/>
      </c>
      <c r="O638" s="2" t="str">
        <f t="shared" si="201"/>
        <v/>
      </c>
      <c r="P638" s="8" t="str">
        <f t="shared" si="202"/>
        <v/>
      </c>
      <c r="Q638" s="8" t="str">
        <f t="shared" si="203"/>
        <v/>
      </c>
      <c r="R638" s="111" t="str">
        <f t="shared" si="204"/>
        <v/>
      </c>
      <c r="S638" s="44" t="str">
        <f t="shared" si="205"/>
        <v/>
      </c>
      <c r="T638" s="37" t="str">
        <f t="shared" si="206"/>
        <v/>
      </c>
      <c r="U638" s="44" t="str">
        <f t="shared" si="207"/>
        <v/>
      </c>
      <c r="V638" s="26"/>
      <c r="W638" s="26"/>
      <c r="X638" s="26"/>
      <c r="Y638" s="26"/>
      <c r="Z638" s="24"/>
      <c r="AA638" s="169">
        <f t="shared" si="192"/>
        <v>0</v>
      </c>
      <c r="AB638" s="4">
        <f t="shared" si="193"/>
        <v>0</v>
      </c>
      <c r="AC638" s="170">
        <f t="shared" si="210"/>
        <v>0</v>
      </c>
      <c r="AD638" s="58"/>
      <c r="AE638" s="58"/>
      <c r="AF638" s="58"/>
      <c r="AG638" s="59">
        <f t="shared" si="194"/>
        <v>9.0359999999999996</v>
      </c>
      <c r="AH638" s="59">
        <f t="shared" si="195"/>
        <v>-184.49199999999999</v>
      </c>
      <c r="AJ638" s="4">
        <f>IF(D638="M",IF(AM638&lt;78,BMILMS!$D$5*AM638^3+BMILMS!$E$5*AM638^2+BMILMS!$F$5*AM638+BMILMS!$G$5,IF(AM638&lt;150,BMILMS!$D$6*AM638^3+BMILMS!$E$6*AM638^2+BMILMS!$F$6*AM638+BMILMS!$G$6,BMILMS!$D$7*AM638^3+BMILMS!$E$7*AM638^2+BMILMS!$F$7*AM638+BMILMS!$G$7)),IF(AM638&lt;69,BMILMS!$D$9*AM638^3+BMILMS!$E$9*AM638^2+BMILMS!$F$9*AM638+BMILMS!$G$9,IF(AM638&lt;150,BMILMS!$D$10*AM638^3+BMILMS!$E$10*AM638^2+BMILMS!$F$10*AM638+BMILMS!$G$10,BMILMS!$D$11*AM638^3+BMILMS!$E$11*AM638^2+BMILMS!$F$11*AM638+BMILMS!$G$11)))</f>
        <v>0.79584630099999998</v>
      </c>
      <c r="AK638" s="4">
        <f>IF(D638="M",(IF(AM638&lt;2.5,BMILMS!$D$21*AM638^3+BMILMS!$E$21*AM638^2+BMILMS!$F$21*AM638+BMILMS!$G$21,IF(AM638&lt;9.5,BMILMS!$D$22*AM638^3+BMILMS!$E$22*AM638^2+BMILMS!$F$22*AM638+BMILMS!$G$22,IF(AM638&lt;26.75,BMILMS!$D$23*AM638^3+BMILMS!$E$23*AM638^2+BMILMS!$F$23*AM638+BMILMS!$G$23,IF(AM638&lt;90,BMILMS!$D$24*AM638^3+BMILMS!$E$24*AM638^2+BMILMS!$F$24*AM638+BMILMS!$G$24,BMILMS!$D$25*AM638^3+BMILMS!$E$25*AM638^2+BMILMS!$F$25*AM638+BMILMS!$G$25))))),(IF(AM638&lt;2.5,BMILMS!$D$27*AM638^3+BMILMS!$E$27*AM638^2+BMILMS!$F$27*AM638+BMILMS!$G$27,IF(AM638&lt;9.5,BMILMS!$D$28*AM638^3+BMILMS!$E$28*AM638^2+BMILMS!$F$28*AM638+BMILMS!$G$28,IF(AM638&lt;26.75,BMILMS!$D$29*AM638^3+BMILMS!$E$29*AM638^2+BMILMS!$F$29*AM638+BMILMS!$G$29,IF(AM638&lt;90,BMILMS!$D$30*AM638^3+BMILMS!$E$30*AM638^2+BMILMS!$F$30*AM638+BMILMS!$G$30,IF(AM638&lt;150,BMILMS!$D$31*AM638^3+BMILMS!$E$31*AM638^2+BMILMS!$F$31*AM638+BMILMS!$G$31,BMILMS!$D$32*AM638^3+BMILMS!$E$32*AM638^2+BMILMS!$F$32*AM638+BMILMS!$G$32)))))))</f>
        <v>12.568967990000001</v>
      </c>
      <c r="AL638" s="4">
        <f>IF(D638="M",(IF(AM638&lt;90,BMILMS!$D$14*AM638^3+BMILMS!$E$14*AM638^2+BMILMS!$F$14*AM638+BMILMS!$G$14,BMILMS!$D$15*AM638^3+BMILMS!$E$15*AM638^2+BMILMS!$F$15*AM638+BMILMS!$G$15)),(IF(AM638&lt;90,BMILMS!$D$17*AM638^3+BMILMS!$E$17*AM638^2+BMILMS!$F$17*AM638+BMILMS!$G$17,BMILMS!$D$18*AM638^3+BMILMS!$E$18*AM638^2+BMILMS!$F$18*AM638+BMILMS!$G$18)))</f>
        <v>8.8969350000000003E-2</v>
      </c>
      <c r="AM638" s="4">
        <f t="shared" si="209"/>
        <v>0</v>
      </c>
      <c r="AO638" s="56">
        <f>IF(D638="M",WeightSDS!P$5*$AM638^7+WeightSDS!Q$5*$AM638^6+WeightSDS!R$5*$AM638^5+WeightSDS!S$5*$AM638^4+WeightSDS!T$5*$AM638^3+WeightSDS!U$5*$AM638^2+WeightSDS!V$5*$AM638+WeightSDS!W$5,IF($AM638&lt;186,WeightSDS!P$8*$AM638^7+WeightSDS!Q$8*$AM638^6+WeightSDS!R$8*$AM638^5+WeightSDS!S$8*$AM638^4+WeightSDS!T$8*$AM638^3+WeightSDS!U$8*$AM638^2+WeightSDS!V$8*$AM638+WeightSDS!W$8,WeightSDS!$U$9+WeightSDS!$V$9*($AM638-WeightSDS!$W$9)))</f>
        <v>0.75407122999999998</v>
      </c>
      <c r="AP638" s="4">
        <f>IF(D638="M",IF($AM638&lt;45,WeightSDS!M$23*$AM638^10+WeightSDS!N$23*$AM638^9+WeightSDS!O$23*$AM638^8+WeightSDS!P$23*$AM638^7+WeightSDS!Q$23*$AM638^6+WeightSDS!R$23*$AM638^5+WeightSDS!S$23*$AM638^4+WeightSDS!T$23*$AM638^3+WeightSDS!U$23*$AM638^2+WeightSDS!V$23*$AM638+WeightSDS!W$23,IF($AM638&lt;153,WeightSDS!M$25*$AM638^10+WeightSDS!N$25*$AM638^9+WeightSDS!O$25*$AM638^8+WeightSDS!P$25*$AM638^7+WeightSDS!Q$25*$AM638^6+WeightSDS!R$25*$AM638^5+WeightSDS!S$25*$AM638^4+WeightSDS!T$25*$AM638^3+WeightSDS!U$25*$AM638^2+WeightSDS!V$25*$AM638+WeightSDS!W$25,WeightSDS!M$27+WeightSDS!N$27/(1+EXP(WeightSDS!O$27+WeightSDS!P$27*$AM638)))),IF($AM638&lt;43.8,WeightSDS!M$29*$AM638^10+WeightSDS!N$29*$AM638^9+WeightSDS!O$29*$AM638^8+WeightSDS!P$29*$AM638^7+WeightSDS!Q$29*$AM638^6+WeightSDS!R$29*$AM638^5+WeightSDS!S$29*$AM638^4+WeightSDS!T$29*$AM638^3+WeightSDS!U$29*$AM638^2+WeightSDS!V$29*$AM638+WeightSDS!W$29-0.010431*(1-$AM638/210),IF($AM638&lt;123,WeightSDS!M$30*$AM638^10+WeightSDS!N$30*$AM638^9+WeightSDS!O$30*$AM638^8+WeightSDS!P$30*$AM638^7+WeightSDS!Q$30*$AM638^6+WeightSDS!R$30*$AM638^5+WeightSDS!S$30*$AM638^4+WeightSDS!T$30*$AM638^3+WeightSDS!U$30*$AM638^2+WeightSDS!V$30*$AM638+WeightSDS!W$30-0.010431*(1-1/$AM638),WeightSDS!M$32+WeightSDS!N$32/(1+EXP(WeightSDS!O$32+WeightSDS!P$32*$AM638))-0.010431*(1-$AM638/210))))</f>
        <v>2.9500001032655536</v>
      </c>
      <c r="AQ638" s="4">
        <f>IF(D638="M",IF($AM638&lt;162,WeightSDS!P$12*$AM638^7+WeightSDS!Q$12*$AM638^6+WeightSDS!R$12*$AM638^5+WeightSDS!S$12*$AM638^4+WeightSDS!T$12*$AM638^3+WeightSDS!U$12*$AM638^2+WeightSDS!V$12*$AM638+WeightSDS!W$12,WeightSDS!P$14*$AM638^7+WeightSDS!Q$14*$AM638^6+WeightSDS!R$14*$AM638^5+WeightSDS!S$14*$AM638^4+WeightSDS!T$14*$AM638^3+WeightSDS!U$14*$AM638^2+WeightSDS!V$14*$AM638+WeightSDS!W$14),IF($AM638&lt;156,WeightSDS!O$17*$AM638^8+WeightSDS!P$17*$AM638^7+WeightSDS!Q$17*$AM638^6+WeightSDS!R$17*$AM638^5+WeightSDS!S$17*$AM638^4+WeightSDS!T$17*$AM638^3+WeightSDS!U$17*$AM638^2+WeightSDS!V$17*$AM638+WeightSDS!W$17,IF($AM638&lt;186,WeightSDS!$U$18+(WeightSDS!$V$18-WeightSDS!$U$18)/24*($AM638-186)+WeightSDS!$W$18*(-$AM638+186)^2-0.005,WeightSDS!$U$18+(WeightSDS!$V$18-WeightSDS!$U$18)/24*($AM638-186)-0.005)))</f>
        <v>0.14604529399999999</v>
      </c>
      <c r="AT638" s="4">
        <f t="shared" si="196"/>
        <v>0.56299999999999994</v>
      </c>
      <c r="AU638" s="4">
        <f t="shared" si="197"/>
        <v>69</v>
      </c>
      <c r="AV638" s="4">
        <f t="shared" si="198"/>
        <v>0.51</v>
      </c>
    </row>
    <row r="639" spans="1:48" x14ac:dyDescent="0.15">
      <c r="A639" s="4"/>
      <c r="B639" s="21"/>
      <c r="C639" s="21"/>
      <c r="D639" s="21"/>
      <c r="E639" s="22"/>
      <c r="F639" s="22"/>
      <c r="G639" s="23"/>
      <c r="H639" s="23"/>
      <c r="I639" s="181"/>
      <c r="J639" s="8" t="str">
        <f t="shared" si="190"/>
        <v/>
      </c>
      <c r="K639" s="2" t="str">
        <f t="shared" si="199"/>
        <v/>
      </c>
      <c r="L639" s="2" t="str">
        <f t="shared" si="191"/>
        <v/>
      </c>
      <c r="M639" s="2" t="str">
        <f t="shared" si="200"/>
        <v/>
      </c>
      <c r="N639" s="2" t="str">
        <f t="shared" si="208"/>
        <v/>
      </c>
      <c r="O639" s="2" t="str">
        <f t="shared" si="201"/>
        <v/>
      </c>
      <c r="P639" s="8" t="str">
        <f t="shared" si="202"/>
        <v/>
      </c>
      <c r="Q639" s="8" t="str">
        <f t="shared" si="203"/>
        <v/>
      </c>
      <c r="R639" s="111" t="str">
        <f t="shared" si="204"/>
        <v/>
      </c>
      <c r="S639" s="44" t="str">
        <f t="shared" si="205"/>
        <v/>
      </c>
      <c r="T639" s="37" t="str">
        <f t="shared" si="206"/>
        <v/>
      </c>
      <c r="U639" s="44" t="str">
        <f t="shared" si="207"/>
        <v/>
      </c>
      <c r="V639" s="26"/>
      <c r="W639" s="26"/>
      <c r="X639" s="26"/>
      <c r="Y639" s="26"/>
      <c r="Z639" s="24"/>
      <c r="AA639" s="169">
        <f t="shared" si="192"/>
        <v>0</v>
      </c>
      <c r="AB639" s="4">
        <f t="shared" si="193"/>
        <v>0</v>
      </c>
      <c r="AC639" s="170">
        <f t="shared" si="210"/>
        <v>0</v>
      </c>
      <c r="AD639" s="58"/>
      <c r="AE639" s="58"/>
      <c r="AF639" s="58"/>
      <c r="AG639" s="59">
        <f t="shared" si="194"/>
        <v>9.0359999999999996</v>
      </c>
      <c r="AH639" s="59">
        <f t="shared" si="195"/>
        <v>-184.49199999999999</v>
      </c>
      <c r="AJ639" s="4">
        <f>IF(D639="M",IF(AM639&lt;78,BMILMS!$D$5*AM639^3+BMILMS!$E$5*AM639^2+BMILMS!$F$5*AM639+BMILMS!$G$5,IF(AM639&lt;150,BMILMS!$D$6*AM639^3+BMILMS!$E$6*AM639^2+BMILMS!$F$6*AM639+BMILMS!$G$6,BMILMS!$D$7*AM639^3+BMILMS!$E$7*AM639^2+BMILMS!$F$7*AM639+BMILMS!$G$7)),IF(AM639&lt;69,BMILMS!$D$9*AM639^3+BMILMS!$E$9*AM639^2+BMILMS!$F$9*AM639+BMILMS!$G$9,IF(AM639&lt;150,BMILMS!$D$10*AM639^3+BMILMS!$E$10*AM639^2+BMILMS!$F$10*AM639+BMILMS!$G$10,BMILMS!$D$11*AM639^3+BMILMS!$E$11*AM639^2+BMILMS!$F$11*AM639+BMILMS!$G$11)))</f>
        <v>0.79584630099999998</v>
      </c>
      <c r="AK639" s="4">
        <f>IF(D639="M",(IF(AM639&lt;2.5,BMILMS!$D$21*AM639^3+BMILMS!$E$21*AM639^2+BMILMS!$F$21*AM639+BMILMS!$G$21,IF(AM639&lt;9.5,BMILMS!$D$22*AM639^3+BMILMS!$E$22*AM639^2+BMILMS!$F$22*AM639+BMILMS!$G$22,IF(AM639&lt;26.75,BMILMS!$D$23*AM639^3+BMILMS!$E$23*AM639^2+BMILMS!$F$23*AM639+BMILMS!$G$23,IF(AM639&lt;90,BMILMS!$D$24*AM639^3+BMILMS!$E$24*AM639^2+BMILMS!$F$24*AM639+BMILMS!$G$24,BMILMS!$D$25*AM639^3+BMILMS!$E$25*AM639^2+BMILMS!$F$25*AM639+BMILMS!$G$25))))),(IF(AM639&lt;2.5,BMILMS!$D$27*AM639^3+BMILMS!$E$27*AM639^2+BMILMS!$F$27*AM639+BMILMS!$G$27,IF(AM639&lt;9.5,BMILMS!$D$28*AM639^3+BMILMS!$E$28*AM639^2+BMILMS!$F$28*AM639+BMILMS!$G$28,IF(AM639&lt;26.75,BMILMS!$D$29*AM639^3+BMILMS!$E$29*AM639^2+BMILMS!$F$29*AM639+BMILMS!$G$29,IF(AM639&lt;90,BMILMS!$D$30*AM639^3+BMILMS!$E$30*AM639^2+BMILMS!$F$30*AM639+BMILMS!$G$30,IF(AM639&lt;150,BMILMS!$D$31*AM639^3+BMILMS!$E$31*AM639^2+BMILMS!$F$31*AM639+BMILMS!$G$31,BMILMS!$D$32*AM639^3+BMILMS!$E$32*AM639^2+BMILMS!$F$32*AM639+BMILMS!$G$32)))))))</f>
        <v>12.568967990000001</v>
      </c>
      <c r="AL639" s="4">
        <f>IF(D639="M",(IF(AM639&lt;90,BMILMS!$D$14*AM639^3+BMILMS!$E$14*AM639^2+BMILMS!$F$14*AM639+BMILMS!$G$14,BMILMS!$D$15*AM639^3+BMILMS!$E$15*AM639^2+BMILMS!$F$15*AM639+BMILMS!$G$15)),(IF(AM639&lt;90,BMILMS!$D$17*AM639^3+BMILMS!$E$17*AM639^2+BMILMS!$F$17*AM639+BMILMS!$G$17,BMILMS!$D$18*AM639^3+BMILMS!$E$18*AM639^2+BMILMS!$F$18*AM639+BMILMS!$G$18)))</f>
        <v>8.8969350000000003E-2</v>
      </c>
      <c r="AM639" s="4">
        <f t="shared" si="209"/>
        <v>0</v>
      </c>
      <c r="AO639" s="56">
        <f>IF(D639="M",WeightSDS!P$5*$AM639^7+WeightSDS!Q$5*$AM639^6+WeightSDS!R$5*$AM639^5+WeightSDS!S$5*$AM639^4+WeightSDS!T$5*$AM639^3+WeightSDS!U$5*$AM639^2+WeightSDS!V$5*$AM639+WeightSDS!W$5,IF($AM639&lt;186,WeightSDS!P$8*$AM639^7+WeightSDS!Q$8*$AM639^6+WeightSDS!R$8*$AM639^5+WeightSDS!S$8*$AM639^4+WeightSDS!T$8*$AM639^3+WeightSDS!U$8*$AM639^2+WeightSDS!V$8*$AM639+WeightSDS!W$8,WeightSDS!$U$9+WeightSDS!$V$9*($AM639-WeightSDS!$W$9)))</f>
        <v>0.75407122999999998</v>
      </c>
      <c r="AP639" s="4">
        <f>IF(D639="M",IF($AM639&lt;45,WeightSDS!M$23*$AM639^10+WeightSDS!N$23*$AM639^9+WeightSDS!O$23*$AM639^8+WeightSDS!P$23*$AM639^7+WeightSDS!Q$23*$AM639^6+WeightSDS!R$23*$AM639^5+WeightSDS!S$23*$AM639^4+WeightSDS!T$23*$AM639^3+WeightSDS!U$23*$AM639^2+WeightSDS!V$23*$AM639+WeightSDS!W$23,IF($AM639&lt;153,WeightSDS!M$25*$AM639^10+WeightSDS!N$25*$AM639^9+WeightSDS!O$25*$AM639^8+WeightSDS!P$25*$AM639^7+WeightSDS!Q$25*$AM639^6+WeightSDS!R$25*$AM639^5+WeightSDS!S$25*$AM639^4+WeightSDS!T$25*$AM639^3+WeightSDS!U$25*$AM639^2+WeightSDS!V$25*$AM639+WeightSDS!W$25,WeightSDS!M$27+WeightSDS!N$27/(1+EXP(WeightSDS!O$27+WeightSDS!P$27*$AM639)))),IF($AM639&lt;43.8,WeightSDS!M$29*$AM639^10+WeightSDS!N$29*$AM639^9+WeightSDS!O$29*$AM639^8+WeightSDS!P$29*$AM639^7+WeightSDS!Q$29*$AM639^6+WeightSDS!R$29*$AM639^5+WeightSDS!S$29*$AM639^4+WeightSDS!T$29*$AM639^3+WeightSDS!U$29*$AM639^2+WeightSDS!V$29*$AM639+WeightSDS!W$29-0.010431*(1-$AM639/210),IF($AM639&lt;123,WeightSDS!M$30*$AM639^10+WeightSDS!N$30*$AM639^9+WeightSDS!O$30*$AM639^8+WeightSDS!P$30*$AM639^7+WeightSDS!Q$30*$AM639^6+WeightSDS!R$30*$AM639^5+WeightSDS!S$30*$AM639^4+WeightSDS!T$30*$AM639^3+WeightSDS!U$30*$AM639^2+WeightSDS!V$30*$AM639+WeightSDS!W$30-0.010431*(1-1/$AM639),WeightSDS!M$32+WeightSDS!N$32/(1+EXP(WeightSDS!O$32+WeightSDS!P$32*$AM639))-0.010431*(1-$AM639/210))))</f>
        <v>2.9500001032655536</v>
      </c>
      <c r="AQ639" s="4">
        <f>IF(D639="M",IF($AM639&lt;162,WeightSDS!P$12*$AM639^7+WeightSDS!Q$12*$AM639^6+WeightSDS!R$12*$AM639^5+WeightSDS!S$12*$AM639^4+WeightSDS!T$12*$AM639^3+WeightSDS!U$12*$AM639^2+WeightSDS!V$12*$AM639+WeightSDS!W$12,WeightSDS!P$14*$AM639^7+WeightSDS!Q$14*$AM639^6+WeightSDS!R$14*$AM639^5+WeightSDS!S$14*$AM639^4+WeightSDS!T$14*$AM639^3+WeightSDS!U$14*$AM639^2+WeightSDS!V$14*$AM639+WeightSDS!W$14),IF($AM639&lt;156,WeightSDS!O$17*$AM639^8+WeightSDS!P$17*$AM639^7+WeightSDS!Q$17*$AM639^6+WeightSDS!R$17*$AM639^5+WeightSDS!S$17*$AM639^4+WeightSDS!T$17*$AM639^3+WeightSDS!U$17*$AM639^2+WeightSDS!V$17*$AM639+WeightSDS!W$17,IF($AM639&lt;186,WeightSDS!$U$18+(WeightSDS!$V$18-WeightSDS!$U$18)/24*($AM639-186)+WeightSDS!$W$18*(-$AM639+186)^2-0.005,WeightSDS!$U$18+(WeightSDS!$V$18-WeightSDS!$U$18)/24*($AM639-186)-0.005)))</f>
        <v>0.14604529399999999</v>
      </c>
      <c r="AT639" s="4">
        <f t="shared" si="196"/>
        <v>0.56299999999999994</v>
      </c>
      <c r="AU639" s="4">
        <f t="shared" si="197"/>
        <v>69</v>
      </c>
      <c r="AV639" s="4">
        <f t="shared" si="198"/>
        <v>0.51</v>
      </c>
    </row>
    <row r="640" spans="1:48" x14ac:dyDescent="0.15">
      <c r="A640" s="4"/>
      <c r="B640" s="21"/>
      <c r="C640" s="21"/>
      <c r="D640" s="21"/>
      <c r="E640" s="22"/>
      <c r="F640" s="22"/>
      <c r="G640" s="23"/>
      <c r="H640" s="23"/>
      <c r="I640" s="181"/>
      <c r="J640" s="8" t="str">
        <f t="shared" si="190"/>
        <v/>
      </c>
      <c r="K640" s="2" t="str">
        <f t="shared" si="199"/>
        <v/>
      </c>
      <c r="L640" s="2" t="str">
        <f t="shared" si="191"/>
        <v/>
      </c>
      <c r="M640" s="2" t="str">
        <f t="shared" si="200"/>
        <v/>
      </c>
      <c r="N640" s="2" t="str">
        <f t="shared" si="208"/>
        <v/>
      </c>
      <c r="O640" s="2" t="str">
        <f t="shared" si="201"/>
        <v/>
      </c>
      <c r="P640" s="8" t="str">
        <f t="shared" si="202"/>
        <v/>
      </c>
      <c r="Q640" s="8" t="str">
        <f t="shared" si="203"/>
        <v/>
      </c>
      <c r="R640" s="111" t="str">
        <f t="shared" si="204"/>
        <v/>
      </c>
      <c r="S640" s="44" t="str">
        <f t="shared" si="205"/>
        <v/>
      </c>
      <c r="T640" s="37" t="str">
        <f t="shared" si="206"/>
        <v/>
      </c>
      <c r="U640" s="44" t="str">
        <f t="shared" si="207"/>
        <v/>
      </c>
      <c r="V640" s="26"/>
      <c r="W640" s="26"/>
      <c r="X640" s="26"/>
      <c r="Y640" s="26"/>
      <c r="Z640" s="24"/>
      <c r="AA640" s="169">
        <f t="shared" si="192"/>
        <v>0</v>
      </c>
      <c r="AB640" s="4">
        <f t="shared" si="193"/>
        <v>0</v>
      </c>
      <c r="AC640" s="170">
        <f t="shared" si="210"/>
        <v>0</v>
      </c>
      <c r="AD640" s="58"/>
      <c r="AE640" s="58"/>
      <c r="AF640" s="58"/>
      <c r="AG640" s="59">
        <f t="shared" si="194"/>
        <v>9.0359999999999996</v>
      </c>
      <c r="AH640" s="59">
        <f t="shared" si="195"/>
        <v>-184.49199999999999</v>
      </c>
      <c r="AJ640" s="4">
        <f>IF(D640="M",IF(AM640&lt;78,BMILMS!$D$5*AM640^3+BMILMS!$E$5*AM640^2+BMILMS!$F$5*AM640+BMILMS!$G$5,IF(AM640&lt;150,BMILMS!$D$6*AM640^3+BMILMS!$E$6*AM640^2+BMILMS!$F$6*AM640+BMILMS!$G$6,BMILMS!$D$7*AM640^3+BMILMS!$E$7*AM640^2+BMILMS!$F$7*AM640+BMILMS!$G$7)),IF(AM640&lt;69,BMILMS!$D$9*AM640^3+BMILMS!$E$9*AM640^2+BMILMS!$F$9*AM640+BMILMS!$G$9,IF(AM640&lt;150,BMILMS!$D$10*AM640^3+BMILMS!$E$10*AM640^2+BMILMS!$F$10*AM640+BMILMS!$G$10,BMILMS!$D$11*AM640^3+BMILMS!$E$11*AM640^2+BMILMS!$F$11*AM640+BMILMS!$G$11)))</f>
        <v>0.79584630099999998</v>
      </c>
      <c r="AK640" s="4">
        <f>IF(D640="M",(IF(AM640&lt;2.5,BMILMS!$D$21*AM640^3+BMILMS!$E$21*AM640^2+BMILMS!$F$21*AM640+BMILMS!$G$21,IF(AM640&lt;9.5,BMILMS!$D$22*AM640^3+BMILMS!$E$22*AM640^2+BMILMS!$F$22*AM640+BMILMS!$G$22,IF(AM640&lt;26.75,BMILMS!$D$23*AM640^3+BMILMS!$E$23*AM640^2+BMILMS!$F$23*AM640+BMILMS!$G$23,IF(AM640&lt;90,BMILMS!$D$24*AM640^3+BMILMS!$E$24*AM640^2+BMILMS!$F$24*AM640+BMILMS!$G$24,BMILMS!$D$25*AM640^3+BMILMS!$E$25*AM640^2+BMILMS!$F$25*AM640+BMILMS!$G$25))))),(IF(AM640&lt;2.5,BMILMS!$D$27*AM640^3+BMILMS!$E$27*AM640^2+BMILMS!$F$27*AM640+BMILMS!$G$27,IF(AM640&lt;9.5,BMILMS!$D$28*AM640^3+BMILMS!$E$28*AM640^2+BMILMS!$F$28*AM640+BMILMS!$G$28,IF(AM640&lt;26.75,BMILMS!$D$29*AM640^3+BMILMS!$E$29*AM640^2+BMILMS!$F$29*AM640+BMILMS!$G$29,IF(AM640&lt;90,BMILMS!$D$30*AM640^3+BMILMS!$E$30*AM640^2+BMILMS!$F$30*AM640+BMILMS!$G$30,IF(AM640&lt;150,BMILMS!$D$31*AM640^3+BMILMS!$E$31*AM640^2+BMILMS!$F$31*AM640+BMILMS!$G$31,BMILMS!$D$32*AM640^3+BMILMS!$E$32*AM640^2+BMILMS!$F$32*AM640+BMILMS!$G$32)))))))</f>
        <v>12.568967990000001</v>
      </c>
      <c r="AL640" s="4">
        <f>IF(D640="M",(IF(AM640&lt;90,BMILMS!$D$14*AM640^3+BMILMS!$E$14*AM640^2+BMILMS!$F$14*AM640+BMILMS!$G$14,BMILMS!$D$15*AM640^3+BMILMS!$E$15*AM640^2+BMILMS!$F$15*AM640+BMILMS!$G$15)),(IF(AM640&lt;90,BMILMS!$D$17*AM640^3+BMILMS!$E$17*AM640^2+BMILMS!$F$17*AM640+BMILMS!$G$17,BMILMS!$D$18*AM640^3+BMILMS!$E$18*AM640^2+BMILMS!$F$18*AM640+BMILMS!$G$18)))</f>
        <v>8.8969350000000003E-2</v>
      </c>
      <c r="AM640" s="4">
        <f t="shared" si="209"/>
        <v>0</v>
      </c>
      <c r="AO640" s="56">
        <f>IF(D640="M",WeightSDS!P$5*$AM640^7+WeightSDS!Q$5*$AM640^6+WeightSDS!R$5*$AM640^5+WeightSDS!S$5*$AM640^4+WeightSDS!T$5*$AM640^3+WeightSDS!U$5*$AM640^2+WeightSDS!V$5*$AM640+WeightSDS!W$5,IF($AM640&lt;186,WeightSDS!P$8*$AM640^7+WeightSDS!Q$8*$AM640^6+WeightSDS!R$8*$AM640^5+WeightSDS!S$8*$AM640^4+WeightSDS!T$8*$AM640^3+WeightSDS!U$8*$AM640^2+WeightSDS!V$8*$AM640+WeightSDS!W$8,WeightSDS!$U$9+WeightSDS!$V$9*($AM640-WeightSDS!$W$9)))</f>
        <v>0.75407122999999998</v>
      </c>
      <c r="AP640" s="4">
        <f>IF(D640="M",IF($AM640&lt;45,WeightSDS!M$23*$AM640^10+WeightSDS!N$23*$AM640^9+WeightSDS!O$23*$AM640^8+WeightSDS!P$23*$AM640^7+WeightSDS!Q$23*$AM640^6+WeightSDS!R$23*$AM640^5+WeightSDS!S$23*$AM640^4+WeightSDS!T$23*$AM640^3+WeightSDS!U$23*$AM640^2+WeightSDS!V$23*$AM640+WeightSDS!W$23,IF($AM640&lt;153,WeightSDS!M$25*$AM640^10+WeightSDS!N$25*$AM640^9+WeightSDS!O$25*$AM640^8+WeightSDS!P$25*$AM640^7+WeightSDS!Q$25*$AM640^6+WeightSDS!R$25*$AM640^5+WeightSDS!S$25*$AM640^4+WeightSDS!T$25*$AM640^3+WeightSDS!U$25*$AM640^2+WeightSDS!V$25*$AM640+WeightSDS!W$25,WeightSDS!M$27+WeightSDS!N$27/(1+EXP(WeightSDS!O$27+WeightSDS!P$27*$AM640)))),IF($AM640&lt;43.8,WeightSDS!M$29*$AM640^10+WeightSDS!N$29*$AM640^9+WeightSDS!O$29*$AM640^8+WeightSDS!P$29*$AM640^7+WeightSDS!Q$29*$AM640^6+WeightSDS!R$29*$AM640^5+WeightSDS!S$29*$AM640^4+WeightSDS!T$29*$AM640^3+WeightSDS!U$29*$AM640^2+WeightSDS!V$29*$AM640+WeightSDS!W$29-0.010431*(1-$AM640/210),IF($AM640&lt;123,WeightSDS!M$30*$AM640^10+WeightSDS!N$30*$AM640^9+WeightSDS!O$30*$AM640^8+WeightSDS!P$30*$AM640^7+WeightSDS!Q$30*$AM640^6+WeightSDS!R$30*$AM640^5+WeightSDS!S$30*$AM640^4+WeightSDS!T$30*$AM640^3+WeightSDS!U$30*$AM640^2+WeightSDS!V$30*$AM640+WeightSDS!W$30-0.010431*(1-1/$AM640),WeightSDS!M$32+WeightSDS!N$32/(1+EXP(WeightSDS!O$32+WeightSDS!P$32*$AM640))-0.010431*(1-$AM640/210))))</f>
        <v>2.9500001032655536</v>
      </c>
      <c r="AQ640" s="4">
        <f>IF(D640="M",IF($AM640&lt;162,WeightSDS!P$12*$AM640^7+WeightSDS!Q$12*$AM640^6+WeightSDS!R$12*$AM640^5+WeightSDS!S$12*$AM640^4+WeightSDS!T$12*$AM640^3+WeightSDS!U$12*$AM640^2+WeightSDS!V$12*$AM640+WeightSDS!W$12,WeightSDS!P$14*$AM640^7+WeightSDS!Q$14*$AM640^6+WeightSDS!R$14*$AM640^5+WeightSDS!S$14*$AM640^4+WeightSDS!T$14*$AM640^3+WeightSDS!U$14*$AM640^2+WeightSDS!V$14*$AM640+WeightSDS!W$14),IF($AM640&lt;156,WeightSDS!O$17*$AM640^8+WeightSDS!P$17*$AM640^7+WeightSDS!Q$17*$AM640^6+WeightSDS!R$17*$AM640^5+WeightSDS!S$17*$AM640^4+WeightSDS!T$17*$AM640^3+WeightSDS!U$17*$AM640^2+WeightSDS!V$17*$AM640+WeightSDS!W$17,IF($AM640&lt;186,WeightSDS!$U$18+(WeightSDS!$V$18-WeightSDS!$U$18)/24*($AM640-186)+WeightSDS!$W$18*(-$AM640+186)^2-0.005,WeightSDS!$U$18+(WeightSDS!$V$18-WeightSDS!$U$18)/24*($AM640-186)-0.005)))</f>
        <v>0.14604529399999999</v>
      </c>
      <c r="AT640" s="4">
        <f t="shared" si="196"/>
        <v>0.56299999999999994</v>
      </c>
      <c r="AU640" s="4">
        <f t="shared" si="197"/>
        <v>69</v>
      </c>
      <c r="AV640" s="4">
        <f t="shared" si="198"/>
        <v>0.51</v>
      </c>
    </row>
    <row r="641" spans="1:48" x14ac:dyDescent="0.15">
      <c r="A641" s="4"/>
      <c r="B641" s="21"/>
      <c r="C641" s="21"/>
      <c r="D641" s="21"/>
      <c r="E641" s="22"/>
      <c r="F641" s="22"/>
      <c r="G641" s="23"/>
      <c r="H641" s="23"/>
      <c r="I641" s="181"/>
      <c r="J641" s="8" t="str">
        <f t="shared" si="190"/>
        <v/>
      </c>
      <c r="K641" s="2" t="str">
        <f t="shared" si="199"/>
        <v/>
      </c>
      <c r="L641" s="2" t="str">
        <f t="shared" si="191"/>
        <v/>
      </c>
      <c r="M641" s="2" t="str">
        <f t="shared" si="200"/>
        <v/>
      </c>
      <c r="N641" s="2" t="str">
        <f t="shared" si="208"/>
        <v/>
      </c>
      <c r="O641" s="2" t="str">
        <f t="shared" si="201"/>
        <v/>
      </c>
      <c r="P641" s="8" t="str">
        <f t="shared" si="202"/>
        <v/>
      </c>
      <c r="Q641" s="8" t="str">
        <f t="shared" si="203"/>
        <v/>
      </c>
      <c r="R641" s="111" t="str">
        <f t="shared" si="204"/>
        <v/>
      </c>
      <c r="S641" s="44" t="str">
        <f t="shared" si="205"/>
        <v/>
      </c>
      <c r="T641" s="37" t="str">
        <f t="shared" si="206"/>
        <v/>
      </c>
      <c r="U641" s="44" t="str">
        <f t="shared" si="207"/>
        <v/>
      </c>
      <c r="V641" s="26"/>
      <c r="W641" s="26"/>
      <c r="X641" s="26"/>
      <c r="Y641" s="26"/>
      <c r="Z641" s="24"/>
      <c r="AA641" s="169">
        <f t="shared" si="192"/>
        <v>0</v>
      </c>
      <c r="AB641" s="4">
        <f t="shared" si="193"/>
        <v>0</v>
      </c>
      <c r="AC641" s="170">
        <f t="shared" si="210"/>
        <v>0</v>
      </c>
      <c r="AD641" s="58"/>
      <c r="AE641" s="58"/>
      <c r="AF641" s="58"/>
      <c r="AG641" s="59">
        <f t="shared" si="194"/>
        <v>9.0359999999999996</v>
      </c>
      <c r="AH641" s="59">
        <f t="shared" si="195"/>
        <v>-184.49199999999999</v>
      </c>
      <c r="AJ641" s="4">
        <f>IF(D641="M",IF(AM641&lt;78,BMILMS!$D$5*AM641^3+BMILMS!$E$5*AM641^2+BMILMS!$F$5*AM641+BMILMS!$G$5,IF(AM641&lt;150,BMILMS!$D$6*AM641^3+BMILMS!$E$6*AM641^2+BMILMS!$F$6*AM641+BMILMS!$G$6,BMILMS!$D$7*AM641^3+BMILMS!$E$7*AM641^2+BMILMS!$F$7*AM641+BMILMS!$G$7)),IF(AM641&lt;69,BMILMS!$D$9*AM641^3+BMILMS!$E$9*AM641^2+BMILMS!$F$9*AM641+BMILMS!$G$9,IF(AM641&lt;150,BMILMS!$D$10*AM641^3+BMILMS!$E$10*AM641^2+BMILMS!$F$10*AM641+BMILMS!$G$10,BMILMS!$D$11*AM641^3+BMILMS!$E$11*AM641^2+BMILMS!$F$11*AM641+BMILMS!$G$11)))</f>
        <v>0.79584630099999998</v>
      </c>
      <c r="AK641" s="4">
        <f>IF(D641="M",(IF(AM641&lt;2.5,BMILMS!$D$21*AM641^3+BMILMS!$E$21*AM641^2+BMILMS!$F$21*AM641+BMILMS!$G$21,IF(AM641&lt;9.5,BMILMS!$D$22*AM641^3+BMILMS!$E$22*AM641^2+BMILMS!$F$22*AM641+BMILMS!$G$22,IF(AM641&lt;26.75,BMILMS!$D$23*AM641^3+BMILMS!$E$23*AM641^2+BMILMS!$F$23*AM641+BMILMS!$G$23,IF(AM641&lt;90,BMILMS!$D$24*AM641^3+BMILMS!$E$24*AM641^2+BMILMS!$F$24*AM641+BMILMS!$G$24,BMILMS!$D$25*AM641^3+BMILMS!$E$25*AM641^2+BMILMS!$F$25*AM641+BMILMS!$G$25))))),(IF(AM641&lt;2.5,BMILMS!$D$27*AM641^3+BMILMS!$E$27*AM641^2+BMILMS!$F$27*AM641+BMILMS!$G$27,IF(AM641&lt;9.5,BMILMS!$D$28*AM641^3+BMILMS!$E$28*AM641^2+BMILMS!$F$28*AM641+BMILMS!$G$28,IF(AM641&lt;26.75,BMILMS!$D$29*AM641^3+BMILMS!$E$29*AM641^2+BMILMS!$F$29*AM641+BMILMS!$G$29,IF(AM641&lt;90,BMILMS!$D$30*AM641^3+BMILMS!$E$30*AM641^2+BMILMS!$F$30*AM641+BMILMS!$G$30,IF(AM641&lt;150,BMILMS!$D$31*AM641^3+BMILMS!$E$31*AM641^2+BMILMS!$F$31*AM641+BMILMS!$G$31,BMILMS!$D$32*AM641^3+BMILMS!$E$32*AM641^2+BMILMS!$F$32*AM641+BMILMS!$G$32)))))))</f>
        <v>12.568967990000001</v>
      </c>
      <c r="AL641" s="4">
        <f>IF(D641="M",(IF(AM641&lt;90,BMILMS!$D$14*AM641^3+BMILMS!$E$14*AM641^2+BMILMS!$F$14*AM641+BMILMS!$G$14,BMILMS!$D$15*AM641^3+BMILMS!$E$15*AM641^2+BMILMS!$F$15*AM641+BMILMS!$G$15)),(IF(AM641&lt;90,BMILMS!$D$17*AM641^3+BMILMS!$E$17*AM641^2+BMILMS!$F$17*AM641+BMILMS!$G$17,BMILMS!$D$18*AM641^3+BMILMS!$E$18*AM641^2+BMILMS!$F$18*AM641+BMILMS!$G$18)))</f>
        <v>8.8969350000000003E-2</v>
      </c>
      <c r="AM641" s="4">
        <f t="shared" si="209"/>
        <v>0</v>
      </c>
      <c r="AO641" s="56">
        <f>IF(D641="M",WeightSDS!P$5*$AM641^7+WeightSDS!Q$5*$AM641^6+WeightSDS!R$5*$AM641^5+WeightSDS!S$5*$AM641^4+WeightSDS!T$5*$AM641^3+WeightSDS!U$5*$AM641^2+WeightSDS!V$5*$AM641+WeightSDS!W$5,IF($AM641&lt;186,WeightSDS!P$8*$AM641^7+WeightSDS!Q$8*$AM641^6+WeightSDS!R$8*$AM641^5+WeightSDS!S$8*$AM641^4+WeightSDS!T$8*$AM641^3+WeightSDS!U$8*$AM641^2+WeightSDS!V$8*$AM641+WeightSDS!W$8,WeightSDS!$U$9+WeightSDS!$V$9*($AM641-WeightSDS!$W$9)))</f>
        <v>0.75407122999999998</v>
      </c>
      <c r="AP641" s="4">
        <f>IF(D641="M",IF($AM641&lt;45,WeightSDS!M$23*$AM641^10+WeightSDS!N$23*$AM641^9+WeightSDS!O$23*$AM641^8+WeightSDS!P$23*$AM641^7+WeightSDS!Q$23*$AM641^6+WeightSDS!R$23*$AM641^5+WeightSDS!S$23*$AM641^4+WeightSDS!T$23*$AM641^3+WeightSDS!U$23*$AM641^2+WeightSDS!V$23*$AM641+WeightSDS!W$23,IF($AM641&lt;153,WeightSDS!M$25*$AM641^10+WeightSDS!N$25*$AM641^9+WeightSDS!O$25*$AM641^8+WeightSDS!P$25*$AM641^7+WeightSDS!Q$25*$AM641^6+WeightSDS!R$25*$AM641^5+WeightSDS!S$25*$AM641^4+WeightSDS!T$25*$AM641^3+WeightSDS!U$25*$AM641^2+WeightSDS!V$25*$AM641+WeightSDS!W$25,WeightSDS!M$27+WeightSDS!N$27/(1+EXP(WeightSDS!O$27+WeightSDS!P$27*$AM641)))),IF($AM641&lt;43.8,WeightSDS!M$29*$AM641^10+WeightSDS!N$29*$AM641^9+WeightSDS!O$29*$AM641^8+WeightSDS!P$29*$AM641^7+WeightSDS!Q$29*$AM641^6+WeightSDS!R$29*$AM641^5+WeightSDS!S$29*$AM641^4+WeightSDS!T$29*$AM641^3+WeightSDS!U$29*$AM641^2+WeightSDS!V$29*$AM641+WeightSDS!W$29-0.010431*(1-$AM641/210),IF($AM641&lt;123,WeightSDS!M$30*$AM641^10+WeightSDS!N$30*$AM641^9+WeightSDS!O$30*$AM641^8+WeightSDS!P$30*$AM641^7+WeightSDS!Q$30*$AM641^6+WeightSDS!R$30*$AM641^5+WeightSDS!S$30*$AM641^4+WeightSDS!T$30*$AM641^3+WeightSDS!U$30*$AM641^2+WeightSDS!V$30*$AM641+WeightSDS!W$30-0.010431*(1-1/$AM641),WeightSDS!M$32+WeightSDS!N$32/(1+EXP(WeightSDS!O$32+WeightSDS!P$32*$AM641))-0.010431*(1-$AM641/210))))</f>
        <v>2.9500001032655536</v>
      </c>
      <c r="AQ641" s="4">
        <f>IF(D641="M",IF($AM641&lt;162,WeightSDS!P$12*$AM641^7+WeightSDS!Q$12*$AM641^6+WeightSDS!R$12*$AM641^5+WeightSDS!S$12*$AM641^4+WeightSDS!T$12*$AM641^3+WeightSDS!U$12*$AM641^2+WeightSDS!V$12*$AM641+WeightSDS!W$12,WeightSDS!P$14*$AM641^7+WeightSDS!Q$14*$AM641^6+WeightSDS!R$14*$AM641^5+WeightSDS!S$14*$AM641^4+WeightSDS!T$14*$AM641^3+WeightSDS!U$14*$AM641^2+WeightSDS!V$14*$AM641+WeightSDS!W$14),IF($AM641&lt;156,WeightSDS!O$17*$AM641^8+WeightSDS!P$17*$AM641^7+WeightSDS!Q$17*$AM641^6+WeightSDS!R$17*$AM641^5+WeightSDS!S$17*$AM641^4+WeightSDS!T$17*$AM641^3+WeightSDS!U$17*$AM641^2+WeightSDS!V$17*$AM641+WeightSDS!W$17,IF($AM641&lt;186,WeightSDS!$U$18+(WeightSDS!$V$18-WeightSDS!$U$18)/24*($AM641-186)+WeightSDS!$W$18*(-$AM641+186)^2-0.005,WeightSDS!$U$18+(WeightSDS!$V$18-WeightSDS!$U$18)/24*($AM641-186)-0.005)))</f>
        <v>0.14604529399999999</v>
      </c>
      <c r="AT641" s="4">
        <f t="shared" si="196"/>
        <v>0.56299999999999994</v>
      </c>
      <c r="AU641" s="4">
        <f t="shared" si="197"/>
        <v>69</v>
      </c>
      <c r="AV641" s="4">
        <f t="shared" si="198"/>
        <v>0.51</v>
      </c>
    </row>
    <row r="642" spans="1:48" x14ac:dyDescent="0.15">
      <c r="A642" s="4"/>
      <c r="B642" s="21"/>
      <c r="C642" s="21"/>
      <c r="D642" s="21"/>
      <c r="E642" s="22"/>
      <c r="F642" s="22"/>
      <c r="G642" s="23"/>
      <c r="H642" s="23"/>
      <c r="I642" s="181"/>
      <c r="J642" s="8" t="str">
        <f t="shared" si="190"/>
        <v/>
      </c>
      <c r="K642" s="2" t="str">
        <f t="shared" si="199"/>
        <v/>
      </c>
      <c r="L642" s="2" t="str">
        <f t="shared" si="191"/>
        <v/>
      </c>
      <c r="M642" s="2" t="str">
        <f t="shared" si="200"/>
        <v/>
      </c>
      <c r="N642" s="2" t="str">
        <f t="shared" si="208"/>
        <v/>
      </c>
      <c r="O642" s="2" t="str">
        <f t="shared" si="201"/>
        <v/>
      </c>
      <c r="P642" s="8" t="str">
        <f t="shared" si="202"/>
        <v/>
      </c>
      <c r="Q642" s="8" t="str">
        <f t="shared" si="203"/>
        <v/>
      </c>
      <c r="R642" s="111" t="str">
        <f t="shared" si="204"/>
        <v/>
      </c>
      <c r="S642" s="44" t="str">
        <f t="shared" si="205"/>
        <v/>
      </c>
      <c r="T642" s="37" t="str">
        <f t="shared" si="206"/>
        <v/>
      </c>
      <c r="U642" s="44" t="str">
        <f t="shared" si="207"/>
        <v/>
      </c>
      <c r="V642" s="26"/>
      <c r="W642" s="26"/>
      <c r="X642" s="26"/>
      <c r="Y642" s="26"/>
      <c r="Z642" s="24"/>
      <c r="AA642" s="169">
        <f t="shared" si="192"/>
        <v>0</v>
      </c>
      <c r="AB642" s="4">
        <f t="shared" si="193"/>
        <v>0</v>
      </c>
      <c r="AC642" s="170">
        <f t="shared" si="210"/>
        <v>0</v>
      </c>
      <c r="AD642" s="58"/>
      <c r="AE642" s="58"/>
      <c r="AF642" s="58"/>
      <c r="AG642" s="59">
        <f t="shared" si="194"/>
        <v>9.0359999999999996</v>
      </c>
      <c r="AH642" s="59">
        <f t="shared" si="195"/>
        <v>-184.49199999999999</v>
      </c>
      <c r="AJ642" s="4">
        <f>IF(D642="M",IF(AM642&lt;78,BMILMS!$D$5*AM642^3+BMILMS!$E$5*AM642^2+BMILMS!$F$5*AM642+BMILMS!$G$5,IF(AM642&lt;150,BMILMS!$D$6*AM642^3+BMILMS!$E$6*AM642^2+BMILMS!$F$6*AM642+BMILMS!$G$6,BMILMS!$D$7*AM642^3+BMILMS!$E$7*AM642^2+BMILMS!$F$7*AM642+BMILMS!$G$7)),IF(AM642&lt;69,BMILMS!$D$9*AM642^3+BMILMS!$E$9*AM642^2+BMILMS!$F$9*AM642+BMILMS!$G$9,IF(AM642&lt;150,BMILMS!$D$10*AM642^3+BMILMS!$E$10*AM642^2+BMILMS!$F$10*AM642+BMILMS!$G$10,BMILMS!$D$11*AM642^3+BMILMS!$E$11*AM642^2+BMILMS!$F$11*AM642+BMILMS!$G$11)))</f>
        <v>0.79584630099999998</v>
      </c>
      <c r="AK642" s="4">
        <f>IF(D642="M",(IF(AM642&lt;2.5,BMILMS!$D$21*AM642^3+BMILMS!$E$21*AM642^2+BMILMS!$F$21*AM642+BMILMS!$G$21,IF(AM642&lt;9.5,BMILMS!$D$22*AM642^3+BMILMS!$E$22*AM642^2+BMILMS!$F$22*AM642+BMILMS!$G$22,IF(AM642&lt;26.75,BMILMS!$D$23*AM642^3+BMILMS!$E$23*AM642^2+BMILMS!$F$23*AM642+BMILMS!$G$23,IF(AM642&lt;90,BMILMS!$D$24*AM642^3+BMILMS!$E$24*AM642^2+BMILMS!$F$24*AM642+BMILMS!$G$24,BMILMS!$D$25*AM642^3+BMILMS!$E$25*AM642^2+BMILMS!$F$25*AM642+BMILMS!$G$25))))),(IF(AM642&lt;2.5,BMILMS!$D$27*AM642^3+BMILMS!$E$27*AM642^2+BMILMS!$F$27*AM642+BMILMS!$G$27,IF(AM642&lt;9.5,BMILMS!$D$28*AM642^3+BMILMS!$E$28*AM642^2+BMILMS!$F$28*AM642+BMILMS!$G$28,IF(AM642&lt;26.75,BMILMS!$D$29*AM642^3+BMILMS!$E$29*AM642^2+BMILMS!$F$29*AM642+BMILMS!$G$29,IF(AM642&lt;90,BMILMS!$D$30*AM642^3+BMILMS!$E$30*AM642^2+BMILMS!$F$30*AM642+BMILMS!$G$30,IF(AM642&lt;150,BMILMS!$D$31*AM642^3+BMILMS!$E$31*AM642^2+BMILMS!$F$31*AM642+BMILMS!$G$31,BMILMS!$D$32*AM642^3+BMILMS!$E$32*AM642^2+BMILMS!$F$32*AM642+BMILMS!$G$32)))))))</f>
        <v>12.568967990000001</v>
      </c>
      <c r="AL642" s="4">
        <f>IF(D642="M",(IF(AM642&lt;90,BMILMS!$D$14*AM642^3+BMILMS!$E$14*AM642^2+BMILMS!$F$14*AM642+BMILMS!$G$14,BMILMS!$D$15*AM642^3+BMILMS!$E$15*AM642^2+BMILMS!$F$15*AM642+BMILMS!$G$15)),(IF(AM642&lt;90,BMILMS!$D$17*AM642^3+BMILMS!$E$17*AM642^2+BMILMS!$F$17*AM642+BMILMS!$G$17,BMILMS!$D$18*AM642^3+BMILMS!$E$18*AM642^2+BMILMS!$F$18*AM642+BMILMS!$G$18)))</f>
        <v>8.8969350000000003E-2</v>
      </c>
      <c r="AM642" s="4">
        <f t="shared" si="209"/>
        <v>0</v>
      </c>
      <c r="AO642" s="56">
        <f>IF(D642="M",WeightSDS!P$5*$AM642^7+WeightSDS!Q$5*$AM642^6+WeightSDS!R$5*$AM642^5+WeightSDS!S$5*$AM642^4+WeightSDS!T$5*$AM642^3+WeightSDS!U$5*$AM642^2+WeightSDS!V$5*$AM642+WeightSDS!W$5,IF($AM642&lt;186,WeightSDS!P$8*$AM642^7+WeightSDS!Q$8*$AM642^6+WeightSDS!R$8*$AM642^5+WeightSDS!S$8*$AM642^4+WeightSDS!T$8*$AM642^3+WeightSDS!U$8*$AM642^2+WeightSDS!V$8*$AM642+WeightSDS!W$8,WeightSDS!$U$9+WeightSDS!$V$9*($AM642-WeightSDS!$W$9)))</f>
        <v>0.75407122999999998</v>
      </c>
      <c r="AP642" s="4">
        <f>IF(D642="M",IF($AM642&lt;45,WeightSDS!M$23*$AM642^10+WeightSDS!N$23*$AM642^9+WeightSDS!O$23*$AM642^8+WeightSDS!P$23*$AM642^7+WeightSDS!Q$23*$AM642^6+WeightSDS!R$23*$AM642^5+WeightSDS!S$23*$AM642^4+WeightSDS!T$23*$AM642^3+WeightSDS!U$23*$AM642^2+WeightSDS!V$23*$AM642+WeightSDS!W$23,IF($AM642&lt;153,WeightSDS!M$25*$AM642^10+WeightSDS!N$25*$AM642^9+WeightSDS!O$25*$AM642^8+WeightSDS!P$25*$AM642^7+WeightSDS!Q$25*$AM642^6+WeightSDS!R$25*$AM642^5+WeightSDS!S$25*$AM642^4+WeightSDS!T$25*$AM642^3+WeightSDS!U$25*$AM642^2+WeightSDS!V$25*$AM642+WeightSDS!W$25,WeightSDS!M$27+WeightSDS!N$27/(1+EXP(WeightSDS!O$27+WeightSDS!P$27*$AM642)))),IF($AM642&lt;43.8,WeightSDS!M$29*$AM642^10+WeightSDS!N$29*$AM642^9+WeightSDS!O$29*$AM642^8+WeightSDS!P$29*$AM642^7+WeightSDS!Q$29*$AM642^6+WeightSDS!R$29*$AM642^5+WeightSDS!S$29*$AM642^4+WeightSDS!T$29*$AM642^3+WeightSDS!U$29*$AM642^2+WeightSDS!V$29*$AM642+WeightSDS!W$29-0.010431*(1-$AM642/210),IF($AM642&lt;123,WeightSDS!M$30*$AM642^10+WeightSDS!N$30*$AM642^9+WeightSDS!O$30*$AM642^8+WeightSDS!P$30*$AM642^7+WeightSDS!Q$30*$AM642^6+WeightSDS!R$30*$AM642^5+WeightSDS!S$30*$AM642^4+WeightSDS!T$30*$AM642^3+WeightSDS!U$30*$AM642^2+WeightSDS!V$30*$AM642+WeightSDS!W$30-0.010431*(1-1/$AM642),WeightSDS!M$32+WeightSDS!N$32/(1+EXP(WeightSDS!O$32+WeightSDS!P$32*$AM642))-0.010431*(1-$AM642/210))))</f>
        <v>2.9500001032655536</v>
      </c>
      <c r="AQ642" s="4">
        <f>IF(D642="M",IF($AM642&lt;162,WeightSDS!P$12*$AM642^7+WeightSDS!Q$12*$AM642^6+WeightSDS!R$12*$AM642^5+WeightSDS!S$12*$AM642^4+WeightSDS!T$12*$AM642^3+WeightSDS!U$12*$AM642^2+WeightSDS!V$12*$AM642+WeightSDS!W$12,WeightSDS!P$14*$AM642^7+WeightSDS!Q$14*$AM642^6+WeightSDS!R$14*$AM642^5+WeightSDS!S$14*$AM642^4+WeightSDS!T$14*$AM642^3+WeightSDS!U$14*$AM642^2+WeightSDS!V$14*$AM642+WeightSDS!W$14),IF($AM642&lt;156,WeightSDS!O$17*$AM642^8+WeightSDS!P$17*$AM642^7+WeightSDS!Q$17*$AM642^6+WeightSDS!R$17*$AM642^5+WeightSDS!S$17*$AM642^4+WeightSDS!T$17*$AM642^3+WeightSDS!U$17*$AM642^2+WeightSDS!V$17*$AM642+WeightSDS!W$17,IF($AM642&lt;186,WeightSDS!$U$18+(WeightSDS!$V$18-WeightSDS!$U$18)/24*($AM642-186)+WeightSDS!$W$18*(-$AM642+186)^2-0.005,WeightSDS!$U$18+(WeightSDS!$V$18-WeightSDS!$U$18)/24*($AM642-186)-0.005)))</f>
        <v>0.14604529399999999</v>
      </c>
      <c r="AT642" s="4">
        <f t="shared" si="196"/>
        <v>0.56299999999999994</v>
      </c>
      <c r="AU642" s="4">
        <f t="shared" si="197"/>
        <v>69</v>
      </c>
      <c r="AV642" s="4">
        <f t="shared" si="198"/>
        <v>0.51</v>
      </c>
    </row>
    <row r="643" spans="1:48" x14ac:dyDescent="0.15">
      <c r="A643" s="4"/>
      <c r="B643" s="21"/>
      <c r="C643" s="21"/>
      <c r="D643" s="21"/>
      <c r="E643" s="22"/>
      <c r="F643" s="22"/>
      <c r="G643" s="23"/>
      <c r="H643" s="23"/>
      <c r="I643" s="181"/>
      <c r="J643" s="8" t="str">
        <f t="shared" ref="J643:J706" si="211">IF(COUNTA(D643,E643,F643,G643)=4,IF(AA643+AB643/12&gt;17.583,"       *",(G643-(INDEX(IF(D643="F",Hfemalemean,Hmalemean),AB643+1,AA643+1)))/(INDEX(IF(D643="F",Hfemalesd,Hmalesd),AB643+1,AA643+1))),"")</f>
        <v/>
      </c>
      <c r="K643" s="2" t="str">
        <f t="shared" si="199"/>
        <v/>
      </c>
      <c r="L643" s="2" t="str">
        <f t="shared" ref="L643:L706" si="212">IF(COUNTA(D643,E643,F643,G643,H643)&lt;5,"",IF(T643&lt;6,"       *",IF(AA643+AB643/12&gt;=17.583,"       *",(H643-G643*INDEX(IF(D643="F",muratafemale,muratamale),AA643-4,1)-INDEX(IF(D643="F",muratafemale,muratamale),AA643-4,2))/(G643*INDEX(IF(D643="F",muratafemale,muratamale),AA643-4,1)+INDEX(IF(D643="F",muratafemale,muratamale),AA643-4,2))*100)))</f>
        <v/>
      </c>
      <c r="M643" s="2" t="str">
        <f t="shared" si="200"/>
        <v/>
      </c>
      <c r="N643" s="2" t="str">
        <f t="shared" si="208"/>
        <v/>
      </c>
      <c r="O643" s="2" t="str">
        <f t="shared" si="201"/>
        <v/>
      </c>
      <c r="P643" s="8" t="str">
        <f t="shared" si="202"/>
        <v/>
      </c>
      <c r="Q643" s="8" t="str">
        <f t="shared" si="203"/>
        <v/>
      </c>
      <c r="R643" s="111" t="str">
        <f t="shared" si="204"/>
        <v/>
      </c>
      <c r="S643" s="44" t="str">
        <f t="shared" si="205"/>
        <v/>
      </c>
      <c r="T643" s="37" t="str">
        <f t="shared" si="206"/>
        <v/>
      </c>
      <c r="U643" s="44" t="str">
        <f t="shared" si="207"/>
        <v/>
      </c>
      <c r="V643" s="26"/>
      <c r="W643" s="26"/>
      <c r="X643" s="26"/>
      <c r="Y643" s="26"/>
      <c r="Z643" s="24"/>
      <c r="AA643" s="169">
        <f t="shared" ref="AA643:AA706" si="213">DATEDIF(E643,F643,"Y")</f>
        <v>0</v>
      </c>
      <c r="AB643" s="4">
        <f t="shared" ref="AB643:AB706" si="214">DATEDIF(E643,F643,"YM")</f>
        <v>0</v>
      </c>
      <c r="AC643" s="170">
        <f t="shared" si="210"/>
        <v>0</v>
      </c>
      <c r="AD643" s="58"/>
      <c r="AE643" s="58"/>
      <c r="AF643" s="58"/>
      <c r="AG643" s="59">
        <f t="shared" ref="AG643:AG706" si="215">IF(D643="M",2.06*10^-3*G643^2-0.1166*G643+6.5273,2.49*10^-3*G643^2-0.1858*G643+9.036)</f>
        <v>9.0359999999999996</v>
      </c>
      <c r="AH643" s="59">
        <f t="shared" ref="AH643:AH706" si="216">((G643/100)^3*INDEX(itoOI,IF(D643="M",0,3)+IF(G643&lt;140,1,IF(G643&lt;=149,2,3)),1)+(G643/100)^2*INDEX(itoOI,IF(D643="M",0,3)+IF(G643&lt;140,1,IF(G643&lt;=149,2,3)),2)+(G643/100)*INDEX(itoOI,IF(D643="M",0,3)+IF(G643&lt;140,1,IF(G643&lt;=149,2,3)),3)+INDEX(itoOI,IF(D643="M",0,3)+IF(G643&lt;140,1,IF(G643&lt;=149,2,3)),4))</f>
        <v>-184.49199999999999</v>
      </c>
      <c r="AJ643" s="4">
        <f>IF(D643="M",IF(AM643&lt;78,BMILMS!$D$5*AM643^3+BMILMS!$E$5*AM643^2+BMILMS!$F$5*AM643+BMILMS!$G$5,IF(AM643&lt;150,BMILMS!$D$6*AM643^3+BMILMS!$E$6*AM643^2+BMILMS!$F$6*AM643+BMILMS!$G$6,BMILMS!$D$7*AM643^3+BMILMS!$E$7*AM643^2+BMILMS!$F$7*AM643+BMILMS!$G$7)),IF(AM643&lt;69,BMILMS!$D$9*AM643^3+BMILMS!$E$9*AM643^2+BMILMS!$F$9*AM643+BMILMS!$G$9,IF(AM643&lt;150,BMILMS!$D$10*AM643^3+BMILMS!$E$10*AM643^2+BMILMS!$F$10*AM643+BMILMS!$G$10,BMILMS!$D$11*AM643^3+BMILMS!$E$11*AM643^2+BMILMS!$F$11*AM643+BMILMS!$G$11)))</f>
        <v>0.79584630099999998</v>
      </c>
      <c r="AK643" s="4">
        <f>IF(D643="M",(IF(AM643&lt;2.5,BMILMS!$D$21*AM643^3+BMILMS!$E$21*AM643^2+BMILMS!$F$21*AM643+BMILMS!$G$21,IF(AM643&lt;9.5,BMILMS!$D$22*AM643^3+BMILMS!$E$22*AM643^2+BMILMS!$F$22*AM643+BMILMS!$G$22,IF(AM643&lt;26.75,BMILMS!$D$23*AM643^3+BMILMS!$E$23*AM643^2+BMILMS!$F$23*AM643+BMILMS!$G$23,IF(AM643&lt;90,BMILMS!$D$24*AM643^3+BMILMS!$E$24*AM643^2+BMILMS!$F$24*AM643+BMILMS!$G$24,BMILMS!$D$25*AM643^3+BMILMS!$E$25*AM643^2+BMILMS!$F$25*AM643+BMILMS!$G$25))))),(IF(AM643&lt;2.5,BMILMS!$D$27*AM643^3+BMILMS!$E$27*AM643^2+BMILMS!$F$27*AM643+BMILMS!$G$27,IF(AM643&lt;9.5,BMILMS!$D$28*AM643^3+BMILMS!$E$28*AM643^2+BMILMS!$F$28*AM643+BMILMS!$G$28,IF(AM643&lt;26.75,BMILMS!$D$29*AM643^3+BMILMS!$E$29*AM643^2+BMILMS!$F$29*AM643+BMILMS!$G$29,IF(AM643&lt;90,BMILMS!$D$30*AM643^3+BMILMS!$E$30*AM643^2+BMILMS!$F$30*AM643+BMILMS!$G$30,IF(AM643&lt;150,BMILMS!$D$31*AM643^3+BMILMS!$E$31*AM643^2+BMILMS!$F$31*AM643+BMILMS!$G$31,BMILMS!$D$32*AM643^3+BMILMS!$E$32*AM643^2+BMILMS!$F$32*AM643+BMILMS!$G$32)))))))</f>
        <v>12.568967990000001</v>
      </c>
      <c r="AL643" s="4">
        <f>IF(D643="M",(IF(AM643&lt;90,BMILMS!$D$14*AM643^3+BMILMS!$E$14*AM643^2+BMILMS!$F$14*AM643+BMILMS!$G$14,BMILMS!$D$15*AM643^3+BMILMS!$E$15*AM643^2+BMILMS!$F$15*AM643+BMILMS!$G$15)),(IF(AM643&lt;90,BMILMS!$D$17*AM643^3+BMILMS!$E$17*AM643^2+BMILMS!$F$17*AM643+BMILMS!$G$17,BMILMS!$D$18*AM643^3+BMILMS!$E$18*AM643^2+BMILMS!$F$18*AM643+BMILMS!$G$18)))</f>
        <v>8.8969350000000003E-2</v>
      </c>
      <c r="AM643" s="4">
        <f t="shared" si="209"/>
        <v>0</v>
      </c>
      <c r="AO643" s="56">
        <f>IF(D643="M",WeightSDS!P$5*$AM643^7+WeightSDS!Q$5*$AM643^6+WeightSDS!R$5*$AM643^5+WeightSDS!S$5*$AM643^4+WeightSDS!T$5*$AM643^3+WeightSDS!U$5*$AM643^2+WeightSDS!V$5*$AM643+WeightSDS!W$5,IF($AM643&lt;186,WeightSDS!P$8*$AM643^7+WeightSDS!Q$8*$AM643^6+WeightSDS!R$8*$AM643^5+WeightSDS!S$8*$AM643^4+WeightSDS!T$8*$AM643^3+WeightSDS!U$8*$AM643^2+WeightSDS!V$8*$AM643+WeightSDS!W$8,WeightSDS!$U$9+WeightSDS!$V$9*($AM643-WeightSDS!$W$9)))</f>
        <v>0.75407122999999998</v>
      </c>
      <c r="AP643" s="4">
        <f>IF(D643="M",IF($AM643&lt;45,WeightSDS!M$23*$AM643^10+WeightSDS!N$23*$AM643^9+WeightSDS!O$23*$AM643^8+WeightSDS!P$23*$AM643^7+WeightSDS!Q$23*$AM643^6+WeightSDS!R$23*$AM643^5+WeightSDS!S$23*$AM643^4+WeightSDS!T$23*$AM643^3+WeightSDS!U$23*$AM643^2+WeightSDS!V$23*$AM643+WeightSDS!W$23,IF($AM643&lt;153,WeightSDS!M$25*$AM643^10+WeightSDS!N$25*$AM643^9+WeightSDS!O$25*$AM643^8+WeightSDS!P$25*$AM643^7+WeightSDS!Q$25*$AM643^6+WeightSDS!R$25*$AM643^5+WeightSDS!S$25*$AM643^4+WeightSDS!T$25*$AM643^3+WeightSDS!U$25*$AM643^2+WeightSDS!V$25*$AM643+WeightSDS!W$25,WeightSDS!M$27+WeightSDS!N$27/(1+EXP(WeightSDS!O$27+WeightSDS!P$27*$AM643)))),IF($AM643&lt;43.8,WeightSDS!M$29*$AM643^10+WeightSDS!N$29*$AM643^9+WeightSDS!O$29*$AM643^8+WeightSDS!P$29*$AM643^7+WeightSDS!Q$29*$AM643^6+WeightSDS!R$29*$AM643^5+WeightSDS!S$29*$AM643^4+WeightSDS!T$29*$AM643^3+WeightSDS!U$29*$AM643^2+WeightSDS!V$29*$AM643+WeightSDS!W$29-0.010431*(1-$AM643/210),IF($AM643&lt;123,WeightSDS!M$30*$AM643^10+WeightSDS!N$30*$AM643^9+WeightSDS!O$30*$AM643^8+WeightSDS!P$30*$AM643^7+WeightSDS!Q$30*$AM643^6+WeightSDS!R$30*$AM643^5+WeightSDS!S$30*$AM643^4+WeightSDS!T$30*$AM643^3+WeightSDS!U$30*$AM643^2+WeightSDS!V$30*$AM643+WeightSDS!W$30-0.010431*(1-1/$AM643),WeightSDS!M$32+WeightSDS!N$32/(1+EXP(WeightSDS!O$32+WeightSDS!P$32*$AM643))-0.010431*(1-$AM643/210))))</f>
        <v>2.9500001032655536</v>
      </c>
      <c r="AQ643" s="4">
        <f>IF(D643="M",IF($AM643&lt;162,WeightSDS!P$12*$AM643^7+WeightSDS!Q$12*$AM643^6+WeightSDS!R$12*$AM643^5+WeightSDS!S$12*$AM643^4+WeightSDS!T$12*$AM643^3+WeightSDS!U$12*$AM643^2+WeightSDS!V$12*$AM643+WeightSDS!W$12,WeightSDS!P$14*$AM643^7+WeightSDS!Q$14*$AM643^6+WeightSDS!R$14*$AM643^5+WeightSDS!S$14*$AM643^4+WeightSDS!T$14*$AM643^3+WeightSDS!U$14*$AM643^2+WeightSDS!V$14*$AM643+WeightSDS!W$14),IF($AM643&lt;156,WeightSDS!O$17*$AM643^8+WeightSDS!P$17*$AM643^7+WeightSDS!Q$17*$AM643^6+WeightSDS!R$17*$AM643^5+WeightSDS!S$17*$AM643^4+WeightSDS!T$17*$AM643^3+WeightSDS!U$17*$AM643^2+WeightSDS!V$17*$AM643+WeightSDS!W$17,IF($AM643&lt;186,WeightSDS!$U$18+(WeightSDS!$V$18-WeightSDS!$U$18)/24*($AM643-186)+WeightSDS!$W$18*(-$AM643+186)^2-0.005,WeightSDS!$U$18+(WeightSDS!$V$18-WeightSDS!$U$18)/24*($AM643-186)-0.005)))</f>
        <v>0.14604529399999999</v>
      </c>
      <c r="AT643" s="4">
        <f t="shared" ref="AT643:AT706" si="217">INDEX(IF(D643="M",IGFmale, IGFfemale), AA643+1,1)</f>
        <v>0.56299999999999994</v>
      </c>
      <c r="AU643" s="4">
        <f t="shared" ref="AU643:AU706" si="218">INDEX(IF(D643="M",IGFmale, IGFfemale), AA643+1,2)</f>
        <v>69</v>
      </c>
      <c r="AV643" s="4">
        <f t="shared" ref="AV643:AV706" si="219">INDEX(IF(D643="M",IGFmale, IGFfemale), AA643+1,3)</f>
        <v>0.51</v>
      </c>
    </row>
    <row r="644" spans="1:48" x14ac:dyDescent="0.15">
      <c r="A644" s="4"/>
      <c r="B644" s="21"/>
      <c r="C644" s="21"/>
      <c r="D644" s="21"/>
      <c r="E644" s="22"/>
      <c r="F644" s="22"/>
      <c r="G644" s="23"/>
      <c r="H644" s="23"/>
      <c r="I644" s="181"/>
      <c r="J644" s="8" t="str">
        <f t="shared" si="211"/>
        <v/>
      </c>
      <c r="K644" s="2" t="str">
        <f t="shared" ref="K644:K707" si="220">IF(COUNTA(D644,E644,F644,G644,H644)=5,IF(T644&lt;1,"       *",IF(T644&gt;=6,"       *",IF(G644&gt;=120,"       *",IF(G644&lt;70,"       *",(H644-AG644)/AG644*100)))),"")</f>
        <v/>
      </c>
      <c r="L644" s="2" t="str">
        <f t="shared" si="212"/>
        <v/>
      </c>
      <c r="M644" s="2" t="str">
        <f t="shared" ref="M644:M707" si="221">IF(COUNTA(D644,E644,F644,G644,H644)=5,IF(G644&gt;=IF(D644="M",181,174),"*",IF(G644&lt;101,"       *",IF(T644&lt;6,"       *",IF(AA644+AB644/12&gt;=17.583,"*",(H644-AH644)/AH644*100)))),"")</f>
        <v/>
      </c>
      <c r="N644" s="2" t="str">
        <f t="shared" si="208"/>
        <v/>
      </c>
      <c r="O644" s="2" t="str">
        <f t="shared" ref="O644:O707" si="222">IF(COUNTA(D644,E644,F644,G644,H644)=5,IF(AA644+AB644/12&gt;17.583,"   *",NORMSDIST(((N644/AK644)^(AJ644)-1)/AJ644/AL644)*100),"")</f>
        <v/>
      </c>
      <c r="P644" s="8" t="str">
        <f t="shared" ref="P644:P707" si="223">IF(COUNTA(D644,E644,F644,G644,H644)=5,IF(AA644+AB644/12&gt;17.583,"   *",((N644/AK644)^(AJ644)-1)/AJ644/AL644),"")</f>
        <v/>
      </c>
      <c r="Q644" s="8" t="str">
        <f t="shared" ref="Q644:Q707" si="224">IF(COUNTA(D644,E644,F644,H644)=4,IF(AA644+AB644/12&gt;17.583,"   *",((H644/AP644)^(AO644)-1)/AO644/AQ644),"")</f>
        <v/>
      </c>
      <c r="R644" s="111" t="str">
        <f t="shared" ref="R644:R707" si="225">IF(COUNTA(D644,E644,F644,I644)=4,IF(AC644&gt;77,"*",NORMSDIST(((I644/AU644)^(AT644)-1)/AT644/AV644)*100),"")</f>
        <v/>
      </c>
      <c r="S644" s="44" t="str">
        <f t="shared" ref="S644:S707" si="226">IF(COUNTA(D644,E644,F644,I644)=4,IF(AC644&gt;77,"*",((I644/AU644)^(AT644)-1)/AT644/AV644),"")</f>
        <v/>
      </c>
      <c r="T644" s="37" t="str">
        <f t="shared" ref="T644:T707" si="227">IF(COUNTA(E644,F644)=2,AC644,"")</f>
        <v/>
      </c>
      <c r="U644" s="44" t="str">
        <f t="shared" ref="U644:U707" si="228">IF(COUNTA(E644,F644)=2,AA644&amp;"歳"&amp;AB644&amp;"か月","")</f>
        <v/>
      </c>
      <c r="V644" s="26"/>
      <c r="W644" s="26"/>
      <c r="X644" s="26"/>
      <c r="Y644" s="26"/>
      <c r="Z644" s="24"/>
      <c r="AA644" s="169">
        <f t="shared" si="213"/>
        <v>0</v>
      </c>
      <c r="AB644" s="4">
        <f t="shared" si="214"/>
        <v>0</v>
      </c>
      <c r="AC644" s="170">
        <f t="shared" si="210"/>
        <v>0</v>
      </c>
      <c r="AD644" s="58"/>
      <c r="AE644" s="58"/>
      <c r="AF644" s="58"/>
      <c r="AG644" s="59">
        <f t="shared" si="215"/>
        <v>9.0359999999999996</v>
      </c>
      <c r="AH644" s="59">
        <f t="shared" si="216"/>
        <v>-184.49199999999999</v>
      </c>
      <c r="AJ644" s="4">
        <f>IF(D644="M",IF(AM644&lt;78,BMILMS!$D$5*AM644^3+BMILMS!$E$5*AM644^2+BMILMS!$F$5*AM644+BMILMS!$G$5,IF(AM644&lt;150,BMILMS!$D$6*AM644^3+BMILMS!$E$6*AM644^2+BMILMS!$F$6*AM644+BMILMS!$G$6,BMILMS!$D$7*AM644^3+BMILMS!$E$7*AM644^2+BMILMS!$F$7*AM644+BMILMS!$G$7)),IF(AM644&lt;69,BMILMS!$D$9*AM644^3+BMILMS!$E$9*AM644^2+BMILMS!$F$9*AM644+BMILMS!$G$9,IF(AM644&lt;150,BMILMS!$D$10*AM644^3+BMILMS!$E$10*AM644^2+BMILMS!$F$10*AM644+BMILMS!$G$10,BMILMS!$D$11*AM644^3+BMILMS!$E$11*AM644^2+BMILMS!$F$11*AM644+BMILMS!$G$11)))</f>
        <v>0.79584630099999998</v>
      </c>
      <c r="AK644" s="4">
        <f>IF(D644="M",(IF(AM644&lt;2.5,BMILMS!$D$21*AM644^3+BMILMS!$E$21*AM644^2+BMILMS!$F$21*AM644+BMILMS!$G$21,IF(AM644&lt;9.5,BMILMS!$D$22*AM644^3+BMILMS!$E$22*AM644^2+BMILMS!$F$22*AM644+BMILMS!$G$22,IF(AM644&lt;26.75,BMILMS!$D$23*AM644^3+BMILMS!$E$23*AM644^2+BMILMS!$F$23*AM644+BMILMS!$G$23,IF(AM644&lt;90,BMILMS!$D$24*AM644^3+BMILMS!$E$24*AM644^2+BMILMS!$F$24*AM644+BMILMS!$G$24,BMILMS!$D$25*AM644^3+BMILMS!$E$25*AM644^2+BMILMS!$F$25*AM644+BMILMS!$G$25))))),(IF(AM644&lt;2.5,BMILMS!$D$27*AM644^3+BMILMS!$E$27*AM644^2+BMILMS!$F$27*AM644+BMILMS!$G$27,IF(AM644&lt;9.5,BMILMS!$D$28*AM644^3+BMILMS!$E$28*AM644^2+BMILMS!$F$28*AM644+BMILMS!$G$28,IF(AM644&lt;26.75,BMILMS!$D$29*AM644^3+BMILMS!$E$29*AM644^2+BMILMS!$F$29*AM644+BMILMS!$G$29,IF(AM644&lt;90,BMILMS!$D$30*AM644^3+BMILMS!$E$30*AM644^2+BMILMS!$F$30*AM644+BMILMS!$G$30,IF(AM644&lt;150,BMILMS!$D$31*AM644^3+BMILMS!$E$31*AM644^2+BMILMS!$F$31*AM644+BMILMS!$G$31,BMILMS!$D$32*AM644^3+BMILMS!$E$32*AM644^2+BMILMS!$F$32*AM644+BMILMS!$G$32)))))))</f>
        <v>12.568967990000001</v>
      </c>
      <c r="AL644" s="4">
        <f>IF(D644="M",(IF(AM644&lt;90,BMILMS!$D$14*AM644^3+BMILMS!$E$14*AM644^2+BMILMS!$F$14*AM644+BMILMS!$G$14,BMILMS!$D$15*AM644^3+BMILMS!$E$15*AM644^2+BMILMS!$F$15*AM644+BMILMS!$G$15)),(IF(AM644&lt;90,BMILMS!$D$17*AM644^3+BMILMS!$E$17*AM644^2+BMILMS!$F$17*AM644+BMILMS!$G$17,BMILMS!$D$18*AM644^3+BMILMS!$E$18*AM644^2+BMILMS!$F$18*AM644+BMILMS!$G$18)))</f>
        <v>8.8969350000000003E-2</v>
      </c>
      <c r="AM644" s="4">
        <f t="shared" si="209"/>
        <v>0</v>
      </c>
      <c r="AO644" s="56">
        <f>IF(D644="M",WeightSDS!P$5*$AM644^7+WeightSDS!Q$5*$AM644^6+WeightSDS!R$5*$AM644^5+WeightSDS!S$5*$AM644^4+WeightSDS!T$5*$AM644^3+WeightSDS!U$5*$AM644^2+WeightSDS!V$5*$AM644+WeightSDS!W$5,IF($AM644&lt;186,WeightSDS!P$8*$AM644^7+WeightSDS!Q$8*$AM644^6+WeightSDS!R$8*$AM644^5+WeightSDS!S$8*$AM644^4+WeightSDS!T$8*$AM644^3+WeightSDS!U$8*$AM644^2+WeightSDS!V$8*$AM644+WeightSDS!W$8,WeightSDS!$U$9+WeightSDS!$V$9*($AM644-WeightSDS!$W$9)))</f>
        <v>0.75407122999999998</v>
      </c>
      <c r="AP644" s="4">
        <f>IF(D644="M",IF($AM644&lt;45,WeightSDS!M$23*$AM644^10+WeightSDS!N$23*$AM644^9+WeightSDS!O$23*$AM644^8+WeightSDS!P$23*$AM644^7+WeightSDS!Q$23*$AM644^6+WeightSDS!R$23*$AM644^5+WeightSDS!S$23*$AM644^4+WeightSDS!T$23*$AM644^3+WeightSDS!U$23*$AM644^2+WeightSDS!V$23*$AM644+WeightSDS!W$23,IF($AM644&lt;153,WeightSDS!M$25*$AM644^10+WeightSDS!N$25*$AM644^9+WeightSDS!O$25*$AM644^8+WeightSDS!P$25*$AM644^7+WeightSDS!Q$25*$AM644^6+WeightSDS!R$25*$AM644^5+WeightSDS!S$25*$AM644^4+WeightSDS!T$25*$AM644^3+WeightSDS!U$25*$AM644^2+WeightSDS!V$25*$AM644+WeightSDS!W$25,WeightSDS!M$27+WeightSDS!N$27/(1+EXP(WeightSDS!O$27+WeightSDS!P$27*$AM644)))),IF($AM644&lt;43.8,WeightSDS!M$29*$AM644^10+WeightSDS!N$29*$AM644^9+WeightSDS!O$29*$AM644^8+WeightSDS!P$29*$AM644^7+WeightSDS!Q$29*$AM644^6+WeightSDS!R$29*$AM644^5+WeightSDS!S$29*$AM644^4+WeightSDS!T$29*$AM644^3+WeightSDS!U$29*$AM644^2+WeightSDS!V$29*$AM644+WeightSDS!W$29-0.010431*(1-$AM644/210),IF($AM644&lt;123,WeightSDS!M$30*$AM644^10+WeightSDS!N$30*$AM644^9+WeightSDS!O$30*$AM644^8+WeightSDS!P$30*$AM644^7+WeightSDS!Q$30*$AM644^6+WeightSDS!R$30*$AM644^5+WeightSDS!S$30*$AM644^4+WeightSDS!T$30*$AM644^3+WeightSDS!U$30*$AM644^2+WeightSDS!V$30*$AM644+WeightSDS!W$30-0.010431*(1-1/$AM644),WeightSDS!M$32+WeightSDS!N$32/(1+EXP(WeightSDS!O$32+WeightSDS!P$32*$AM644))-0.010431*(1-$AM644/210))))</f>
        <v>2.9500001032655536</v>
      </c>
      <c r="AQ644" s="4">
        <f>IF(D644="M",IF($AM644&lt;162,WeightSDS!P$12*$AM644^7+WeightSDS!Q$12*$AM644^6+WeightSDS!R$12*$AM644^5+WeightSDS!S$12*$AM644^4+WeightSDS!T$12*$AM644^3+WeightSDS!U$12*$AM644^2+WeightSDS!V$12*$AM644+WeightSDS!W$12,WeightSDS!P$14*$AM644^7+WeightSDS!Q$14*$AM644^6+WeightSDS!R$14*$AM644^5+WeightSDS!S$14*$AM644^4+WeightSDS!T$14*$AM644^3+WeightSDS!U$14*$AM644^2+WeightSDS!V$14*$AM644+WeightSDS!W$14),IF($AM644&lt;156,WeightSDS!O$17*$AM644^8+WeightSDS!P$17*$AM644^7+WeightSDS!Q$17*$AM644^6+WeightSDS!R$17*$AM644^5+WeightSDS!S$17*$AM644^4+WeightSDS!T$17*$AM644^3+WeightSDS!U$17*$AM644^2+WeightSDS!V$17*$AM644+WeightSDS!W$17,IF($AM644&lt;186,WeightSDS!$U$18+(WeightSDS!$V$18-WeightSDS!$U$18)/24*($AM644-186)+WeightSDS!$W$18*(-$AM644+186)^2-0.005,WeightSDS!$U$18+(WeightSDS!$V$18-WeightSDS!$U$18)/24*($AM644-186)-0.005)))</f>
        <v>0.14604529399999999</v>
      </c>
      <c r="AT644" s="4">
        <f t="shared" si="217"/>
        <v>0.56299999999999994</v>
      </c>
      <c r="AU644" s="4">
        <f t="shared" si="218"/>
        <v>69</v>
      </c>
      <c r="AV644" s="4">
        <f t="shared" si="219"/>
        <v>0.51</v>
      </c>
    </row>
    <row r="645" spans="1:48" x14ac:dyDescent="0.15">
      <c r="A645" s="4"/>
      <c r="B645" s="21"/>
      <c r="C645" s="21"/>
      <c r="D645" s="21"/>
      <c r="E645" s="22"/>
      <c r="F645" s="22"/>
      <c r="G645" s="23"/>
      <c r="H645" s="23"/>
      <c r="I645" s="181"/>
      <c r="J645" s="8" t="str">
        <f t="shared" si="211"/>
        <v/>
      </c>
      <c r="K645" s="2" t="str">
        <f t="shared" si="220"/>
        <v/>
      </c>
      <c r="L645" s="2" t="str">
        <f t="shared" si="212"/>
        <v/>
      </c>
      <c r="M645" s="2" t="str">
        <f t="shared" si="221"/>
        <v/>
      </c>
      <c r="N645" s="2" t="str">
        <f t="shared" si="208"/>
        <v/>
      </c>
      <c r="O645" s="2" t="str">
        <f t="shared" si="222"/>
        <v/>
      </c>
      <c r="P645" s="8" t="str">
        <f t="shared" si="223"/>
        <v/>
      </c>
      <c r="Q645" s="8" t="str">
        <f t="shared" si="224"/>
        <v/>
      </c>
      <c r="R645" s="111" t="str">
        <f t="shared" si="225"/>
        <v/>
      </c>
      <c r="S645" s="44" t="str">
        <f t="shared" si="226"/>
        <v/>
      </c>
      <c r="T645" s="37" t="str">
        <f t="shared" si="227"/>
        <v/>
      </c>
      <c r="U645" s="44" t="str">
        <f t="shared" si="228"/>
        <v/>
      </c>
      <c r="V645" s="26"/>
      <c r="W645" s="26"/>
      <c r="X645" s="26"/>
      <c r="Y645" s="26"/>
      <c r="Z645" s="24"/>
      <c r="AA645" s="169">
        <f t="shared" si="213"/>
        <v>0</v>
      </c>
      <c r="AB645" s="4">
        <f t="shared" si="214"/>
        <v>0</v>
      </c>
      <c r="AC645" s="170">
        <f t="shared" si="210"/>
        <v>0</v>
      </c>
      <c r="AD645" s="58"/>
      <c r="AE645" s="58"/>
      <c r="AF645" s="58"/>
      <c r="AG645" s="59">
        <f t="shared" si="215"/>
        <v>9.0359999999999996</v>
      </c>
      <c r="AH645" s="59">
        <f t="shared" si="216"/>
        <v>-184.49199999999999</v>
      </c>
      <c r="AJ645" s="4">
        <f>IF(D645="M",IF(AM645&lt;78,BMILMS!$D$5*AM645^3+BMILMS!$E$5*AM645^2+BMILMS!$F$5*AM645+BMILMS!$G$5,IF(AM645&lt;150,BMILMS!$D$6*AM645^3+BMILMS!$E$6*AM645^2+BMILMS!$F$6*AM645+BMILMS!$G$6,BMILMS!$D$7*AM645^3+BMILMS!$E$7*AM645^2+BMILMS!$F$7*AM645+BMILMS!$G$7)),IF(AM645&lt;69,BMILMS!$D$9*AM645^3+BMILMS!$E$9*AM645^2+BMILMS!$F$9*AM645+BMILMS!$G$9,IF(AM645&lt;150,BMILMS!$D$10*AM645^3+BMILMS!$E$10*AM645^2+BMILMS!$F$10*AM645+BMILMS!$G$10,BMILMS!$D$11*AM645^3+BMILMS!$E$11*AM645^2+BMILMS!$F$11*AM645+BMILMS!$G$11)))</f>
        <v>0.79584630099999998</v>
      </c>
      <c r="AK645" s="4">
        <f>IF(D645="M",(IF(AM645&lt;2.5,BMILMS!$D$21*AM645^3+BMILMS!$E$21*AM645^2+BMILMS!$F$21*AM645+BMILMS!$G$21,IF(AM645&lt;9.5,BMILMS!$D$22*AM645^3+BMILMS!$E$22*AM645^2+BMILMS!$F$22*AM645+BMILMS!$G$22,IF(AM645&lt;26.75,BMILMS!$D$23*AM645^3+BMILMS!$E$23*AM645^2+BMILMS!$F$23*AM645+BMILMS!$G$23,IF(AM645&lt;90,BMILMS!$D$24*AM645^3+BMILMS!$E$24*AM645^2+BMILMS!$F$24*AM645+BMILMS!$G$24,BMILMS!$D$25*AM645^3+BMILMS!$E$25*AM645^2+BMILMS!$F$25*AM645+BMILMS!$G$25))))),(IF(AM645&lt;2.5,BMILMS!$D$27*AM645^3+BMILMS!$E$27*AM645^2+BMILMS!$F$27*AM645+BMILMS!$G$27,IF(AM645&lt;9.5,BMILMS!$D$28*AM645^3+BMILMS!$E$28*AM645^2+BMILMS!$F$28*AM645+BMILMS!$G$28,IF(AM645&lt;26.75,BMILMS!$D$29*AM645^3+BMILMS!$E$29*AM645^2+BMILMS!$F$29*AM645+BMILMS!$G$29,IF(AM645&lt;90,BMILMS!$D$30*AM645^3+BMILMS!$E$30*AM645^2+BMILMS!$F$30*AM645+BMILMS!$G$30,IF(AM645&lt;150,BMILMS!$D$31*AM645^3+BMILMS!$E$31*AM645^2+BMILMS!$F$31*AM645+BMILMS!$G$31,BMILMS!$D$32*AM645^3+BMILMS!$E$32*AM645^2+BMILMS!$F$32*AM645+BMILMS!$G$32)))))))</f>
        <v>12.568967990000001</v>
      </c>
      <c r="AL645" s="4">
        <f>IF(D645="M",(IF(AM645&lt;90,BMILMS!$D$14*AM645^3+BMILMS!$E$14*AM645^2+BMILMS!$F$14*AM645+BMILMS!$G$14,BMILMS!$D$15*AM645^3+BMILMS!$E$15*AM645^2+BMILMS!$F$15*AM645+BMILMS!$G$15)),(IF(AM645&lt;90,BMILMS!$D$17*AM645^3+BMILMS!$E$17*AM645^2+BMILMS!$F$17*AM645+BMILMS!$G$17,BMILMS!$D$18*AM645^3+BMILMS!$E$18*AM645^2+BMILMS!$F$18*AM645+BMILMS!$G$18)))</f>
        <v>8.8969350000000003E-2</v>
      </c>
      <c r="AM645" s="4">
        <f t="shared" si="209"/>
        <v>0</v>
      </c>
      <c r="AO645" s="56">
        <f>IF(D645="M",WeightSDS!P$5*$AM645^7+WeightSDS!Q$5*$AM645^6+WeightSDS!R$5*$AM645^5+WeightSDS!S$5*$AM645^4+WeightSDS!T$5*$AM645^3+WeightSDS!U$5*$AM645^2+WeightSDS!V$5*$AM645+WeightSDS!W$5,IF($AM645&lt;186,WeightSDS!P$8*$AM645^7+WeightSDS!Q$8*$AM645^6+WeightSDS!R$8*$AM645^5+WeightSDS!S$8*$AM645^4+WeightSDS!T$8*$AM645^3+WeightSDS!U$8*$AM645^2+WeightSDS!V$8*$AM645+WeightSDS!W$8,WeightSDS!$U$9+WeightSDS!$V$9*($AM645-WeightSDS!$W$9)))</f>
        <v>0.75407122999999998</v>
      </c>
      <c r="AP645" s="4">
        <f>IF(D645="M",IF($AM645&lt;45,WeightSDS!M$23*$AM645^10+WeightSDS!N$23*$AM645^9+WeightSDS!O$23*$AM645^8+WeightSDS!P$23*$AM645^7+WeightSDS!Q$23*$AM645^6+WeightSDS!R$23*$AM645^5+WeightSDS!S$23*$AM645^4+WeightSDS!T$23*$AM645^3+WeightSDS!U$23*$AM645^2+WeightSDS!V$23*$AM645+WeightSDS!W$23,IF($AM645&lt;153,WeightSDS!M$25*$AM645^10+WeightSDS!N$25*$AM645^9+WeightSDS!O$25*$AM645^8+WeightSDS!P$25*$AM645^7+WeightSDS!Q$25*$AM645^6+WeightSDS!R$25*$AM645^5+WeightSDS!S$25*$AM645^4+WeightSDS!T$25*$AM645^3+WeightSDS!U$25*$AM645^2+WeightSDS!V$25*$AM645+WeightSDS!W$25,WeightSDS!M$27+WeightSDS!N$27/(1+EXP(WeightSDS!O$27+WeightSDS!P$27*$AM645)))),IF($AM645&lt;43.8,WeightSDS!M$29*$AM645^10+WeightSDS!N$29*$AM645^9+WeightSDS!O$29*$AM645^8+WeightSDS!P$29*$AM645^7+WeightSDS!Q$29*$AM645^6+WeightSDS!R$29*$AM645^5+WeightSDS!S$29*$AM645^4+WeightSDS!T$29*$AM645^3+WeightSDS!U$29*$AM645^2+WeightSDS!V$29*$AM645+WeightSDS!W$29-0.010431*(1-$AM645/210),IF($AM645&lt;123,WeightSDS!M$30*$AM645^10+WeightSDS!N$30*$AM645^9+WeightSDS!O$30*$AM645^8+WeightSDS!P$30*$AM645^7+WeightSDS!Q$30*$AM645^6+WeightSDS!R$30*$AM645^5+WeightSDS!S$30*$AM645^4+WeightSDS!T$30*$AM645^3+WeightSDS!U$30*$AM645^2+WeightSDS!V$30*$AM645+WeightSDS!W$30-0.010431*(1-1/$AM645),WeightSDS!M$32+WeightSDS!N$32/(1+EXP(WeightSDS!O$32+WeightSDS!P$32*$AM645))-0.010431*(1-$AM645/210))))</f>
        <v>2.9500001032655536</v>
      </c>
      <c r="AQ645" s="4">
        <f>IF(D645="M",IF($AM645&lt;162,WeightSDS!P$12*$AM645^7+WeightSDS!Q$12*$AM645^6+WeightSDS!R$12*$AM645^5+WeightSDS!S$12*$AM645^4+WeightSDS!T$12*$AM645^3+WeightSDS!U$12*$AM645^2+WeightSDS!V$12*$AM645+WeightSDS!W$12,WeightSDS!P$14*$AM645^7+WeightSDS!Q$14*$AM645^6+WeightSDS!R$14*$AM645^5+WeightSDS!S$14*$AM645^4+WeightSDS!T$14*$AM645^3+WeightSDS!U$14*$AM645^2+WeightSDS!V$14*$AM645+WeightSDS!W$14),IF($AM645&lt;156,WeightSDS!O$17*$AM645^8+WeightSDS!P$17*$AM645^7+WeightSDS!Q$17*$AM645^6+WeightSDS!R$17*$AM645^5+WeightSDS!S$17*$AM645^4+WeightSDS!T$17*$AM645^3+WeightSDS!U$17*$AM645^2+WeightSDS!V$17*$AM645+WeightSDS!W$17,IF($AM645&lt;186,WeightSDS!$U$18+(WeightSDS!$V$18-WeightSDS!$U$18)/24*($AM645-186)+WeightSDS!$W$18*(-$AM645+186)^2-0.005,WeightSDS!$U$18+(WeightSDS!$V$18-WeightSDS!$U$18)/24*($AM645-186)-0.005)))</f>
        <v>0.14604529399999999</v>
      </c>
      <c r="AT645" s="4">
        <f t="shared" si="217"/>
        <v>0.56299999999999994</v>
      </c>
      <c r="AU645" s="4">
        <f t="shared" si="218"/>
        <v>69</v>
      </c>
      <c r="AV645" s="4">
        <f t="shared" si="219"/>
        <v>0.51</v>
      </c>
    </row>
    <row r="646" spans="1:48" x14ac:dyDescent="0.15">
      <c r="A646" s="4"/>
      <c r="B646" s="21"/>
      <c r="C646" s="21"/>
      <c r="D646" s="21"/>
      <c r="E646" s="22"/>
      <c r="F646" s="22"/>
      <c r="G646" s="23"/>
      <c r="H646" s="23"/>
      <c r="I646" s="181"/>
      <c r="J646" s="8" t="str">
        <f t="shared" si="211"/>
        <v/>
      </c>
      <c r="K646" s="2" t="str">
        <f t="shared" si="220"/>
        <v/>
      </c>
      <c r="L646" s="2" t="str">
        <f t="shared" si="212"/>
        <v/>
      </c>
      <c r="M646" s="2" t="str">
        <f t="shared" si="221"/>
        <v/>
      </c>
      <c r="N646" s="2" t="str">
        <f t="shared" si="208"/>
        <v/>
      </c>
      <c r="O646" s="2" t="str">
        <f t="shared" si="222"/>
        <v/>
      </c>
      <c r="P646" s="8" t="str">
        <f t="shared" si="223"/>
        <v/>
      </c>
      <c r="Q646" s="8" t="str">
        <f t="shared" si="224"/>
        <v/>
      </c>
      <c r="R646" s="111" t="str">
        <f t="shared" si="225"/>
        <v/>
      </c>
      <c r="S646" s="44" t="str">
        <f t="shared" si="226"/>
        <v/>
      </c>
      <c r="T646" s="37" t="str">
        <f t="shared" si="227"/>
        <v/>
      </c>
      <c r="U646" s="44" t="str">
        <f t="shared" si="228"/>
        <v/>
      </c>
      <c r="V646" s="26"/>
      <c r="W646" s="26"/>
      <c r="X646" s="26"/>
      <c r="Y646" s="26"/>
      <c r="Z646" s="24"/>
      <c r="AA646" s="169">
        <f t="shared" si="213"/>
        <v>0</v>
      </c>
      <c r="AB646" s="4">
        <f t="shared" si="214"/>
        <v>0</v>
      </c>
      <c r="AC646" s="170">
        <f t="shared" si="210"/>
        <v>0</v>
      </c>
      <c r="AD646" s="58"/>
      <c r="AE646" s="58"/>
      <c r="AF646" s="58"/>
      <c r="AG646" s="59">
        <f t="shared" si="215"/>
        <v>9.0359999999999996</v>
      </c>
      <c r="AH646" s="59">
        <f t="shared" si="216"/>
        <v>-184.49199999999999</v>
      </c>
      <c r="AJ646" s="4">
        <f>IF(D646="M",IF(AM646&lt;78,BMILMS!$D$5*AM646^3+BMILMS!$E$5*AM646^2+BMILMS!$F$5*AM646+BMILMS!$G$5,IF(AM646&lt;150,BMILMS!$D$6*AM646^3+BMILMS!$E$6*AM646^2+BMILMS!$F$6*AM646+BMILMS!$G$6,BMILMS!$D$7*AM646^3+BMILMS!$E$7*AM646^2+BMILMS!$F$7*AM646+BMILMS!$G$7)),IF(AM646&lt;69,BMILMS!$D$9*AM646^3+BMILMS!$E$9*AM646^2+BMILMS!$F$9*AM646+BMILMS!$G$9,IF(AM646&lt;150,BMILMS!$D$10*AM646^3+BMILMS!$E$10*AM646^2+BMILMS!$F$10*AM646+BMILMS!$G$10,BMILMS!$D$11*AM646^3+BMILMS!$E$11*AM646^2+BMILMS!$F$11*AM646+BMILMS!$G$11)))</f>
        <v>0.79584630099999998</v>
      </c>
      <c r="AK646" s="4">
        <f>IF(D646="M",(IF(AM646&lt;2.5,BMILMS!$D$21*AM646^3+BMILMS!$E$21*AM646^2+BMILMS!$F$21*AM646+BMILMS!$G$21,IF(AM646&lt;9.5,BMILMS!$D$22*AM646^3+BMILMS!$E$22*AM646^2+BMILMS!$F$22*AM646+BMILMS!$G$22,IF(AM646&lt;26.75,BMILMS!$D$23*AM646^3+BMILMS!$E$23*AM646^2+BMILMS!$F$23*AM646+BMILMS!$G$23,IF(AM646&lt;90,BMILMS!$D$24*AM646^3+BMILMS!$E$24*AM646^2+BMILMS!$F$24*AM646+BMILMS!$G$24,BMILMS!$D$25*AM646^3+BMILMS!$E$25*AM646^2+BMILMS!$F$25*AM646+BMILMS!$G$25))))),(IF(AM646&lt;2.5,BMILMS!$D$27*AM646^3+BMILMS!$E$27*AM646^2+BMILMS!$F$27*AM646+BMILMS!$G$27,IF(AM646&lt;9.5,BMILMS!$D$28*AM646^3+BMILMS!$E$28*AM646^2+BMILMS!$F$28*AM646+BMILMS!$G$28,IF(AM646&lt;26.75,BMILMS!$D$29*AM646^3+BMILMS!$E$29*AM646^2+BMILMS!$F$29*AM646+BMILMS!$G$29,IF(AM646&lt;90,BMILMS!$D$30*AM646^3+BMILMS!$E$30*AM646^2+BMILMS!$F$30*AM646+BMILMS!$G$30,IF(AM646&lt;150,BMILMS!$D$31*AM646^3+BMILMS!$E$31*AM646^2+BMILMS!$F$31*AM646+BMILMS!$G$31,BMILMS!$D$32*AM646^3+BMILMS!$E$32*AM646^2+BMILMS!$F$32*AM646+BMILMS!$G$32)))))))</f>
        <v>12.568967990000001</v>
      </c>
      <c r="AL646" s="4">
        <f>IF(D646="M",(IF(AM646&lt;90,BMILMS!$D$14*AM646^3+BMILMS!$E$14*AM646^2+BMILMS!$F$14*AM646+BMILMS!$G$14,BMILMS!$D$15*AM646^3+BMILMS!$E$15*AM646^2+BMILMS!$F$15*AM646+BMILMS!$G$15)),(IF(AM646&lt;90,BMILMS!$D$17*AM646^3+BMILMS!$E$17*AM646^2+BMILMS!$F$17*AM646+BMILMS!$G$17,BMILMS!$D$18*AM646^3+BMILMS!$E$18*AM646^2+BMILMS!$F$18*AM646+BMILMS!$G$18)))</f>
        <v>8.8969350000000003E-2</v>
      </c>
      <c r="AM646" s="4">
        <f t="shared" si="209"/>
        <v>0</v>
      </c>
      <c r="AO646" s="56">
        <f>IF(D646="M",WeightSDS!P$5*$AM646^7+WeightSDS!Q$5*$AM646^6+WeightSDS!R$5*$AM646^5+WeightSDS!S$5*$AM646^4+WeightSDS!T$5*$AM646^3+WeightSDS!U$5*$AM646^2+WeightSDS!V$5*$AM646+WeightSDS!W$5,IF($AM646&lt;186,WeightSDS!P$8*$AM646^7+WeightSDS!Q$8*$AM646^6+WeightSDS!R$8*$AM646^5+WeightSDS!S$8*$AM646^4+WeightSDS!T$8*$AM646^3+WeightSDS!U$8*$AM646^2+WeightSDS!V$8*$AM646+WeightSDS!W$8,WeightSDS!$U$9+WeightSDS!$V$9*($AM646-WeightSDS!$W$9)))</f>
        <v>0.75407122999999998</v>
      </c>
      <c r="AP646" s="4">
        <f>IF(D646="M",IF($AM646&lt;45,WeightSDS!M$23*$AM646^10+WeightSDS!N$23*$AM646^9+WeightSDS!O$23*$AM646^8+WeightSDS!P$23*$AM646^7+WeightSDS!Q$23*$AM646^6+WeightSDS!R$23*$AM646^5+WeightSDS!S$23*$AM646^4+WeightSDS!T$23*$AM646^3+WeightSDS!U$23*$AM646^2+WeightSDS!V$23*$AM646+WeightSDS!W$23,IF($AM646&lt;153,WeightSDS!M$25*$AM646^10+WeightSDS!N$25*$AM646^9+WeightSDS!O$25*$AM646^8+WeightSDS!P$25*$AM646^7+WeightSDS!Q$25*$AM646^6+WeightSDS!R$25*$AM646^5+WeightSDS!S$25*$AM646^4+WeightSDS!T$25*$AM646^3+WeightSDS!U$25*$AM646^2+WeightSDS!V$25*$AM646+WeightSDS!W$25,WeightSDS!M$27+WeightSDS!N$27/(1+EXP(WeightSDS!O$27+WeightSDS!P$27*$AM646)))),IF($AM646&lt;43.8,WeightSDS!M$29*$AM646^10+WeightSDS!N$29*$AM646^9+WeightSDS!O$29*$AM646^8+WeightSDS!P$29*$AM646^7+WeightSDS!Q$29*$AM646^6+WeightSDS!R$29*$AM646^5+WeightSDS!S$29*$AM646^4+WeightSDS!T$29*$AM646^3+WeightSDS!U$29*$AM646^2+WeightSDS!V$29*$AM646+WeightSDS!W$29-0.010431*(1-$AM646/210),IF($AM646&lt;123,WeightSDS!M$30*$AM646^10+WeightSDS!N$30*$AM646^9+WeightSDS!O$30*$AM646^8+WeightSDS!P$30*$AM646^7+WeightSDS!Q$30*$AM646^6+WeightSDS!R$30*$AM646^5+WeightSDS!S$30*$AM646^4+WeightSDS!T$30*$AM646^3+WeightSDS!U$30*$AM646^2+WeightSDS!V$30*$AM646+WeightSDS!W$30-0.010431*(1-1/$AM646),WeightSDS!M$32+WeightSDS!N$32/(1+EXP(WeightSDS!O$32+WeightSDS!P$32*$AM646))-0.010431*(1-$AM646/210))))</f>
        <v>2.9500001032655536</v>
      </c>
      <c r="AQ646" s="4">
        <f>IF(D646="M",IF($AM646&lt;162,WeightSDS!P$12*$AM646^7+WeightSDS!Q$12*$AM646^6+WeightSDS!R$12*$AM646^5+WeightSDS!S$12*$AM646^4+WeightSDS!T$12*$AM646^3+WeightSDS!U$12*$AM646^2+WeightSDS!V$12*$AM646+WeightSDS!W$12,WeightSDS!P$14*$AM646^7+WeightSDS!Q$14*$AM646^6+WeightSDS!R$14*$AM646^5+WeightSDS!S$14*$AM646^4+WeightSDS!T$14*$AM646^3+WeightSDS!U$14*$AM646^2+WeightSDS!V$14*$AM646+WeightSDS!W$14),IF($AM646&lt;156,WeightSDS!O$17*$AM646^8+WeightSDS!P$17*$AM646^7+WeightSDS!Q$17*$AM646^6+WeightSDS!R$17*$AM646^5+WeightSDS!S$17*$AM646^4+WeightSDS!T$17*$AM646^3+WeightSDS!U$17*$AM646^2+WeightSDS!V$17*$AM646+WeightSDS!W$17,IF($AM646&lt;186,WeightSDS!$U$18+(WeightSDS!$V$18-WeightSDS!$U$18)/24*($AM646-186)+WeightSDS!$W$18*(-$AM646+186)^2-0.005,WeightSDS!$U$18+(WeightSDS!$V$18-WeightSDS!$U$18)/24*($AM646-186)-0.005)))</f>
        <v>0.14604529399999999</v>
      </c>
      <c r="AT646" s="4">
        <f t="shared" si="217"/>
        <v>0.56299999999999994</v>
      </c>
      <c r="AU646" s="4">
        <f t="shared" si="218"/>
        <v>69</v>
      </c>
      <c r="AV646" s="4">
        <f t="shared" si="219"/>
        <v>0.51</v>
      </c>
    </row>
    <row r="647" spans="1:48" x14ac:dyDescent="0.15">
      <c r="A647" s="4"/>
      <c r="B647" s="21"/>
      <c r="C647" s="21"/>
      <c r="D647" s="21"/>
      <c r="E647" s="22"/>
      <c r="F647" s="22"/>
      <c r="G647" s="23"/>
      <c r="H647" s="23"/>
      <c r="I647" s="181"/>
      <c r="J647" s="8" t="str">
        <f t="shared" si="211"/>
        <v/>
      </c>
      <c r="K647" s="2" t="str">
        <f t="shared" si="220"/>
        <v/>
      </c>
      <c r="L647" s="2" t="str">
        <f t="shared" si="212"/>
        <v/>
      </c>
      <c r="M647" s="2" t="str">
        <f t="shared" si="221"/>
        <v/>
      </c>
      <c r="N647" s="2" t="str">
        <f t="shared" si="208"/>
        <v/>
      </c>
      <c r="O647" s="2" t="str">
        <f t="shared" si="222"/>
        <v/>
      </c>
      <c r="P647" s="8" t="str">
        <f t="shared" si="223"/>
        <v/>
      </c>
      <c r="Q647" s="8" t="str">
        <f t="shared" si="224"/>
        <v/>
      </c>
      <c r="R647" s="111" t="str">
        <f t="shared" si="225"/>
        <v/>
      </c>
      <c r="S647" s="44" t="str">
        <f t="shared" si="226"/>
        <v/>
      </c>
      <c r="T647" s="37" t="str">
        <f t="shared" si="227"/>
        <v/>
      </c>
      <c r="U647" s="44" t="str">
        <f t="shared" si="228"/>
        <v/>
      </c>
      <c r="V647" s="26"/>
      <c r="W647" s="26"/>
      <c r="X647" s="26"/>
      <c r="Y647" s="26"/>
      <c r="Z647" s="24"/>
      <c r="AA647" s="169">
        <f t="shared" si="213"/>
        <v>0</v>
      </c>
      <c r="AB647" s="4">
        <f t="shared" si="214"/>
        <v>0</v>
      </c>
      <c r="AC647" s="170">
        <f t="shared" si="210"/>
        <v>0</v>
      </c>
      <c r="AD647" s="58"/>
      <c r="AE647" s="58"/>
      <c r="AF647" s="58"/>
      <c r="AG647" s="59">
        <f t="shared" si="215"/>
        <v>9.0359999999999996</v>
      </c>
      <c r="AH647" s="59">
        <f t="shared" si="216"/>
        <v>-184.49199999999999</v>
      </c>
      <c r="AJ647" s="4">
        <f>IF(D647="M",IF(AM647&lt;78,BMILMS!$D$5*AM647^3+BMILMS!$E$5*AM647^2+BMILMS!$F$5*AM647+BMILMS!$G$5,IF(AM647&lt;150,BMILMS!$D$6*AM647^3+BMILMS!$E$6*AM647^2+BMILMS!$F$6*AM647+BMILMS!$G$6,BMILMS!$D$7*AM647^3+BMILMS!$E$7*AM647^2+BMILMS!$F$7*AM647+BMILMS!$G$7)),IF(AM647&lt;69,BMILMS!$D$9*AM647^3+BMILMS!$E$9*AM647^2+BMILMS!$F$9*AM647+BMILMS!$G$9,IF(AM647&lt;150,BMILMS!$D$10*AM647^3+BMILMS!$E$10*AM647^2+BMILMS!$F$10*AM647+BMILMS!$G$10,BMILMS!$D$11*AM647^3+BMILMS!$E$11*AM647^2+BMILMS!$F$11*AM647+BMILMS!$G$11)))</f>
        <v>0.79584630099999998</v>
      </c>
      <c r="AK647" s="4">
        <f>IF(D647="M",(IF(AM647&lt;2.5,BMILMS!$D$21*AM647^3+BMILMS!$E$21*AM647^2+BMILMS!$F$21*AM647+BMILMS!$G$21,IF(AM647&lt;9.5,BMILMS!$D$22*AM647^3+BMILMS!$E$22*AM647^2+BMILMS!$F$22*AM647+BMILMS!$G$22,IF(AM647&lt;26.75,BMILMS!$D$23*AM647^3+BMILMS!$E$23*AM647^2+BMILMS!$F$23*AM647+BMILMS!$G$23,IF(AM647&lt;90,BMILMS!$D$24*AM647^3+BMILMS!$E$24*AM647^2+BMILMS!$F$24*AM647+BMILMS!$G$24,BMILMS!$D$25*AM647^3+BMILMS!$E$25*AM647^2+BMILMS!$F$25*AM647+BMILMS!$G$25))))),(IF(AM647&lt;2.5,BMILMS!$D$27*AM647^3+BMILMS!$E$27*AM647^2+BMILMS!$F$27*AM647+BMILMS!$G$27,IF(AM647&lt;9.5,BMILMS!$D$28*AM647^3+BMILMS!$E$28*AM647^2+BMILMS!$F$28*AM647+BMILMS!$G$28,IF(AM647&lt;26.75,BMILMS!$D$29*AM647^3+BMILMS!$E$29*AM647^2+BMILMS!$F$29*AM647+BMILMS!$G$29,IF(AM647&lt;90,BMILMS!$D$30*AM647^3+BMILMS!$E$30*AM647^2+BMILMS!$F$30*AM647+BMILMS!$G$30,IF(AM647&lt;150,BMILMS!$D$31*AM647^3+BMILMS!$E$31*AM647^2+BMILMS!$F$31*AM647+BMILMS!$G$31,BMILMS!$D$32*AM647^3+BMILMS!$E$32*AM647^2+BMILMS!$F$32*AM647+BMILMS!$G$32)))))))</f>
        <v>12.568967990000001</v>
      </c>
      <c r="AL647" s="4">
        <f>IF(D647="M",(IF(AM647&lt;90,BMILMS!$D$14*AM647^3+BMILMS!$E$14*AM647^2+BMILMS!$F$14*AM647+BMILMS!$G$14,BMILMS!$D$15*AM647^3+BMILMS!$E$15*AM647^2+BMILMS!$F$15*AM647+BMILMS!$G$15)),(IF(AM647&lt;90,BMILMS!$D$17*AM647^3+BMILMS!$E$17*AM647^2+BMILMS!$F$17*AM647+BMILMS!$G$17,BMILMS!$D$18*AM647^3+BMILMS!$E$18*AM647^2+BMILMS!$F$18*AM647+BMILMS!$G$18)))</f>
        <v>8.8969350000000003E-2</v>
      </c>
      <c r="AM647" s="4">
        <f t="shared" si="209"/>
        <v>0</v>
      </c>
      <c r="AO647" s="56">
        <f>IF(D647="M",WeightSDS!P$5*$AM647^7+WeightSDS!Q$5*$AM647^6+WeightSDS!R$5*$AM647^5+WeightSDS!S$5*$AM647^4+WeightSDS!T$5*$AM647^3+WeightSDS!U$5*$AM647^2+WeightSDS!V$5*$AM647+WeightSDS!W$5,IF($AM647&lt;186,WeightSDS!P$8*$AM647^7+WeightSDS!Q$8*$AM647^6+WeightSDS!R$8*$AM647^5+WeightSDS!S$8*$AM647^4+WeightSDS!T$8*$AM647^3+WeightSDS!U$8*$AM647^2+WeightSDS!V$8*$AM647+WeightSDS!W$8,WeightSDS!$U$9+WeightSDS!$V$9*($AM647-WeightSDS!$W$9)))</f>
        <v>0.75407122999999998</v>
      </c>
      <c r="AP647" s="4">
        <f>IF(D647="M",IF($AM647&lt;45,WeightSDS!M$23*$AM647^10+WeightSDS!N$23*$AM647^9+WeightSDS!O$23*$AM647^8+WeightSDS!P$23*$AM647^7+WeightSDS!Q$23*$AM647^6+WeightSDS!R$23*$AM647^5+WeightSDS!S$23*$AM647^4+WeightSDS!T$23*$AM647^3+WeightSDS!U$23*$AM647^2+WeightSDS!V$23*$AM647+WeightSDS!W$23,IF($AM647&lt;153,WeightSDS!M$25*$AM647^10+WeightSDS!N$25*$AM647^9+WeightSDS!O$25*$AM647^8+WeightSDS!P$25*$AM647^7+WeightSDS!Q$25*$AM647^6+WeightSDS!R$25*$AM647^5+WeightSDS!S$25*$AM647^4+WeightSDS!T$25*$AM647^3+WeightSDS!U$25*$AM647^2+WeightSDS!V$25*$AM647+WeightSDS!W$25,WeightSDS!M$27+WeightSDS!N$27/(1+EXP(WeightSDS!O$27+WeightSDS!P$27*$AM647)))),IF($AM647&lt;43.8,WeightSDS!M$29*$AM647^10+WeightSDS!N$29*$AM647^9+WeightSDS!O$29*$AM647^8+WeightSDS!P$29*$AM647^7+WeightSDS!Q$29*$AM647^6+WeightSDS!R$29*$AM647^5+WeightSDS!S$29*$AM647^4+WeightSDS!T$29*$AM647^3+WeightSDS!U$29*$AM647^2+WeightSDS!V$29*$AM647+WeightSDS!W$29-0.010431*(1-$AM647/210),IF($AM647&lt;123,WeightSDS!M$30*$AM647^10+WeightSDS!N$30*$AM647^9+WeightSDS!O$30*$AM647^8+WeightSDS!P$30*$AM647^7+WeightSDS!Q$30*$AM647^6+WeightSDS!R$30*$AM647^5+WeightSDS!S$30*$AM647^4+WeightSDS!T$30*$AM647^3+WeightSDS!U$30*$AM647^2+WeightSDS!V$30*$AM647+WeightSDS!W$30-0.010431*(1-1/$AM647),WeightSDS!M$32+WeightSDS!N$32/(1+EXP(WeightSDS!O$32+WeightSDS!P$32*$AM647))-0.010431*(1-$AM647/210))))</f>
        <v>2.9500001032655536</v>
      </c>
      <c r="AQ647" s="4">
        <f>IF(D647="M",IF($AM647&lt;162,WeightSDS!P$12*$AM647^7+WeightSDS!Q$12*$AM647^6+WeightSDS!R$12*$AM647^5+WeightSDS!S$12*$AM647^4+WeightSDS!T$12*$AM647^3+WeightSDS!U$12*$AM647^2+WeightSDS!V$12*$AM647+WeightSDS!W$12,WeightSDS!P$14*$AM647^7+WeightSDS!Q$14*$AM647^6+WeightSDS!R$14*$AM647^5+WeightSDS!S$14*$AM647^4+WeightSDS!T$14*$AM647^3+WeightSDS!U$14*$AM647^2+WeightSDS!V$14*$AM647+WeightSDS!W$14),IF($AM647&lt;156,WeightSDS!O$17*$AM647^8+WeightSDS!P$17*$AM647^7+WeightSDS!Q$17*$AM647^6+WeightSDS!R$17*$AM647^5+WeightSDS!S$17*$AM647^4+WeightSDS!T$17*$AM647^3+WeightSDS!U$17*$AM647^2+WeightSDS!V$17*$AM647+WeightSDS!W$17,IF($AM647&lt;186,WeightSDS!$U$18+(WeightSDS!$V$18-WeightSDS!$U$18)/24*($AM647-186)+WeightSDS!$W$18*(-$AM647+186)^2-0.005,WeightSDS!$U$18+(WeightSDS!$V$18-WeightSDS!$U$18)/24*($AM647-186)-0.005)))</f>
        <v>0.14604529399999999</v>
      </c>
      <c r="AT647" s="4">
        <f t="shared" si="217"/>
        <v>0.56299999999999994</v>
      </c>
      <c r="AU647" s="4">
        <f t="shared" si="218"/>
        <v>69</v>
      </c>
      <c r="AV647" s="4">
        <f t="shared" si="219"/>
        <v>0.51</v>
      </c>
    </row>
    <row r="648" spans="1:48" x14ac:dyDescent="0.15">
      <c r="A648" s="4"/>
      <c r="B648" s="21"/>
      <c r="C648" s="21"/>
      <c r="D648" s="21"/>
      <c r="E648" s="22"/>
      <c r="F648" s="22"/>
      <c r="G648" s="23"/>
      <c r="H648" s="23"/>
      <c r="I648" s="181"/>
      <c r="J648" s="8" t="str">
        <f t="shared" si="211"/>
        <v/>
      </c>
      <c r="K648" s="2" t="str">
        <f t="shared" si="220"/>
        <v/>
      </c>
      <c r="L648" s="2" t="str">
        <f t="shared" si="212"/>
        <v/>
      </c>
      <c r="M648" s="2" t="str">
        <f t="shared" si="221"/>
        <v/>
      </c>
      <c r="N648" s="2" t="str">
        <f t="shared" ref="N648:N711" si="229">IF(COUNTA(D648,E648,F648,G648,H648)=5,H648/G648^2*10000,"")</f>
        <v/>
      </c>
      <c r="O648" s="2" t="str">
        <f t="shared" si="222"/>
        <v/>
      </c>
      <c r="P648" s="8" t="str">
        <f t="shared" si="223"/>
        <v/>
      </c>
      <c r="Q648" s="8" t="str">
        <f t="shared" si="224"/>
        <v/>
      </c>
      <c r="R648" s="111" t="str">
        <f t="shared" si="225"/>
        <v/>
      </c>
      <c r="S648" s="44" t="str">
        <f t="shared" si="226"/>
        <v/>
      </c>
      <c r="T648" s="37" t="str">
        <f t="shared" si="227"/>
        <v/>
      </c>
      <c r="U648" s="44" t="str">
        <f t="shared" si="228"/>
        <v/>
      </c>
      <c r="V648" s="26"/>
      <c r="W648" s="26"/>
      <c r="X648" s="26"/>
      <c r="Y648" s="26"/>
      <c r="Z648" s="24"/>
      <c r="AA648" s="169">
        <f t="shared" si="213"/>
        <v>0</v>
      </c>
      <c r="AB648" s="4">
        <f t="shared" si="214"/>
        <v>0</v>
      </c>
      <c r="AC648" s="170">
        <f t="shared" si="210"/>
        <v>0</v>
      </c>
      <c r="AD648" s="58"/>
      <c r="AE648" s="58"/>
      <c r="AF648" s="58"/>
      <c r="AG648" s="59">
        <f t="shared" si="215"/>
        <v>9.0359999999999996</v>
      </c>
      <c r="AH648" s="59">
        <f t="shared" si="216"/>
        <v>-184.49199999999999</v>
      </c>
      <c r="AJ648" s="4">
        <f>IF(D648="M",IF(AM648&lt;78,BMILMS!$D$5*AM648^3+BMILMS!$E$5*AM648^2+BMILMS!$F$5*AM648+BMILMS!$G$5,IF(AM648&lt;150,BMILMS!$D$6*AM648^3+BMILMS!$E$6*AM648^2+BMILMS!$F$6*AM648+BMILMS!$G$6,BMILMS!$D$7*AM648^3+BMILMS!$E$7*AM648^2+BMILMS!$F$7*AM648+BMILMS!$G$7)),IF(AM648&lt;69,BMILMS!$D$9*AM648^3+BMILMS!$E$9*AM648^2+BMILMS!$F$9*AM648+BMILMS!$G$9,IF(AM648&lt;150,BMILMS!$D$10*AM648^3+BMILMS!$E$10*AM648^2+BMILMS!$F$10*AM648+BMILMS!$G$10,BMILMS!$D$11*AM648^3+BMILMS!$E$11*AM648^2+BMILMS!$F$11*AM648+BMILMS!$G$11)))</f>
        <v>0.79584630099999998</v>
      </c>
      <c r="AK648" s="4">
        <f>IF(D648="M",(IF(AM648&lt;2.5,BMILMS!$D$21*AM648^3+BMILMS!$E$21*AM648^2+BMILMS!$F$21*AM648+BMILMS!$G$21,IF(AM648&lt;9.5,BMILMS!$D$22*AM648^3+BMILMS!$E$22*AM648^2+BMILMS!$F$22*AM648+BMILMS!$G$22,IF(AM648&lt;26.75,BMILMS!$D$23*AM648^3+BMILMS!$E$23*AM648^2+BMILMS!$F$23*AM648+BMILMS!$G$23,IF(AM648&lt;90,BMILMS!$D$24*AM648^3+BMILMS!$E$24*AM648^2+BMILMS!$F$24*AM648+BMILMS!$G$24,BMILMS!$D$25*AM648^3+BMILMS!$E$25*AM648^2+BMILMS!$F$25*AM648+BMILMS!$G$25))))),(IF(AM648&lt;2.5,BMILMS!$D$27*AM648^3+BMILMS!$E$27*AM648^2+BMILMS!$F$27*AM648+BMILMS!$G$27,IF(AM648&lt;9.5,BMILMS!$D$28*AM648^3+BMILMS!$E$28*AM648^2+BMILMS!$F$28*AM648+BMILMS!$G$28,IF(AM648&lt;26.75,BMILMS!$D$29*AM648^3+BMILMS!$E$29*AM648^2+BMILMS!$F$29*AM648+BMILMS!$G$29,IF(AM648&lt;90,BMILMS!$D$30*AM648^3+BMILMS!$E$30*AM648^2+BMILMS!$F$30*AM648+BMILMS!$G$30,IF(AM648&lt;150,BMILMS!$D$31*AM648^3+BMILMS!$E$31*AM648^2+BMILMS!$F$31*AM648+BMILMS!$G$31,BMILMS!$D$32*AM648^3+BMILMS!$E$32*AM648^2+BMILMS!$F$32*AM648+BMILMS!$G$32)))))))</f>
        <v>12.568967990000001</v>
      </c>
      <c r="AL648" s="4">
        <f>IF(D648="M",(IF(AM648&lt;90,BMILMS!$D$14*AM648^3+BMILMS!$E$14*AM648^2+BMILMS!$F$14*AM648+BMILMS!$G$14,BMILMS!$D$15*AM648^3+BMILMS!$E$15*AM648^2+BMILMS!$F$15*AM648+BMILMS!$G$15)),(IF(AM648&lt;90,BMILMS!$D$17*AM648^3+BMILMS!$E$17*AM648^2+BMILMS!$F$17*AM648+BMILMS!$G$17,BMILMS!$D$18*AM648^3+BMILMS!$E$18*AM648^2+BMILMS!$F$18*AM648+BMILMS!$G$18)))</f>
        <v>8.8969350000000003E-2</v>
      </c>
      <c r="AM648" s="4">
        <f t="shared" ref="AM648:AM711" si="230">AA648*12+AB648</f>
        <v>0</v>
      </c>
      <c r="AO648" s="56">
        <f>IF(D648="M",WeightSDS!P$5*$AM648^7+WeightSDS!Q$5*$AM648^6+WeightSDS!R$5*$AM648^5+WeightSDS!S$5*$AM648^4+WeightSDS!T$5*$AM648^3+WeightSDS!U$5*$AM648^2+WeightSDS!V$5*$AM648+WeightSDS!W$5,IF($AM648&lt;186,WeightSDS!P$8*$AM648^7+WeightSDS!Q$8*$AM648^6+WeightSDS!R$8*$AM648^5+WeightSDS!S$8*$AM648^4+WeightSDS!T$8*$AM648^3+WeightSDS!U$8*$AM648^2+WeightSDS!V$8*$AM648+WeightSDS!W$8,WeightSDS!$U$9+WeightSDS!$V$9*($AM648-WeightSDS!$W$9)))</f>
        <v>0.75407122999999998</v>
      </c>
      <c r="AP648" s="4">
        <f>IF(D648="M",IF($AM648&lt;45,WeightSDS!M$23*$AM648^10+WeightSDS!N$23*$AM648^9+WeightSDS!O$23*$AM648^8+WeightSDS!P$23*$AM648^7+WeightSDS!Q$23*$AM648^6+WeightSDS!R$23*$AM648^5+WeightSDS!S$23*$AM648^4+WeightSDS!T$23*$AM648^3+WeightSDS!U$23*$AM648^2+WeightSDS!V$23*$AM648+WeightSDS!W$23,IF($AM648&lt;153,WeightSDS!M$25*$AM648^10+WeightSDS!N$25*$AM648^9+WeightSDS!O$25*$AM648^8+WeightSDS!P$25*$AM648^7+WeightSDS!Q$25*$AM648^6+WeightSDS!R$25*$AM648^5+WeightSDS!S$25*$AM648^4+WeightSDS!T$25*$AM648^3+WeightSDS!U$25*$AM648^2+WeightSDS!V$25*$AM648+WeightSDS!W$25,WeightSDS!M$27+WeightSDS!N$27/(1+EXP(WeightSDS!O$27+WeightSDS!P$27*$AM648)))),IF($AM648&lt;43.8,WeightSDS!M$29*$AM648^10+WeightSDS!N$29*$AM648^9+WeightSDS!O$29*$AM648^8+WeightSDS!P$29*$AM648^7+WeightSDS!Q$29*$AM648^6+WeightSDS!R$29*$AM648^5+WeightSDS!S$29*$AM648^4+WeightSDS!T$29*$AM648^3+WeightSDS!U$29*$AM648^2+WeightSDS!V$29*$AM648+WeightSDS!W$29-0.010431*(1-$AM648/210),IF($AM648&lt;123,WeightSDS!M$30*$AM648^10+WeightSDS!N$30*$AM648^9+WeightSDS!O$30*$AM648^8+WeightSDS!P$30*$AM648^7+WeightSDS!Q$30*$AM648^6+WeightSDS!R$30*$AM648^5+WeightSDS!S$30*$AM648^4+WeightSDS!T$30*$AM648^3+WeightSDS!U$30*$AM648^2+WeightSDS!V$30*$AM648+WeightSDS!W$30-0.010431*(1-1/$AM648),WeightSDS!M$32+WeightSDS!N$32/(1+EXP(WeightSDS!O$32+WeightSDS!P$32*$AM648))-0.010431*(1-$AM648/210))))</f>
        <v>2.9500001032655536</v>
      </c>
      <c r="AQ648" s="4">
        <f>IF(D648="M",IF($AM648&lt;162,WeightSDS!P$12*$AM648^7+WeightSDS!Q$12*$AM648^6+WeightSDS!R$12*$AM648^5+WeightSDS!S$12*$AM648^4+WeightSDS!T$12*$AM648^3+WeightSDS!U$12*$AM648^2+WeightSDS!V$12*$AM648+WeightSDS!W$12,WeightSDS!P$14*$AM648^7+WeightSDS!Q$14*$AM648^6+WeightSDS!R$14*$AM648^5+WeightSDS!S$14*$AM648^4+WeightSDS!T$14*$AM648^3+WeightSDS!U$14*$AM648^2+WeightSDS!V$14*$AM648+WeightSDS!W$14),IF($AM648&lt;156,WeightSDS!O$17*$AM648^8+WeightSDS!P$17*$AM648^7+WeightSDS!Q$17*$AM648^6+WeightSDS!R$17*$AM648^5+WeightSDS!S$17*$AM648^4+WeightSDS!T$17*$AM648^3+WeightSDS!U$17*$AM648^2+WeightSDS!V$17*$AM648+WeightSDS!W$17,IF($AM648&lt;186,WeightSDS!$U$18+(WeightSDS!$V$18-WeightSDS!$U$18)/24*($AM648-186)+WeightSDS!$W$18*(-$AM648+186)^2-0.005,WeightSDS!$U$18+(WeightSDS!$V$18-WeightSDS!$U$18)/24*($AM648-186)-0.005)))</f>
        <v>0.14604529399999999</v>
      </c>
      <c r="AT648" s="4">
        <f t="shared" si="217"/>
        <v>0.56299999999999994</v>
      </c>
      <c r="AU648" s="4">
        <f t="shared" si="218"/>
        <v>69</v>
      </c>
      <c r="AV648" s="4">
        <f t="shared" si="219"/>
        <v>0.51</v>
      </c>
    </row>
    <row r="649" spans="1:48" x14ac:dyDescent="0.15">
      <c r="A649" s="4"/>
      <c r="B649" s="21"/>
      <c r="C649" s="21"/>
      <c r="D649" s="21"/>
      <c r="E649" s="22"/>
      <c r="F649" s="22"/>
      <c r="G649" s="23"/>
      <c r="H649" s="23"/>
      <c r="I649" s="181"/>
      <c r="J649" s="8" t="str">
        <f t="shared" si="211"/>
        <v/>
      </c>
      <c r="K649" s="2" t="str">
        <f t="shared" si="220"/>
        <v/>
      </c>
      <c r="L649" s="2" t="str">
        <f t="shared" si="212"/>
        <v/>
      </c>
      <c r="M649" s="2" t="str">
        <f t="shared" si="221"/>
        <v/>
      </c>
      <c r="N649" s="2" t="str">
        <f t="shared" si="229"/>
        <v/>
      </c>
      <c r="O649" s="2" t="str">
        <f t="shared" si="222"/>
        <v/>
      </c>
      <c r="P649" s="8" t="str">
        <f t="shared" si="223"/>
        <v/>
      </c>
      <c r="Q649" s="8" t="str">
        <f t="shared" si="224"/>
        <v/>
      </c>
      <c r="R649" s="111" t="str">
        <f t="shared" si="225"/>
        <v/>
      </c>
      <c r="S649" s="44" t="str">
        <f t="shared" si="226"/>
        <v/>
      </c>
      <c r="T649" s="37" t="str">
        <f t="shared" si="227"/>
        <v/>
      </c>
      <c r="U649" s="44" t="str">
        <f t="shared" si="228"/>
        <v/>
      </c>
      <c r="V649" s="26"/>
      <c r="W649" s="26"/>
      <c r="X649" s="26"/>
      <c r="Y649" s="26"/>
      <c r="Z649" s="24"/>
      <c r="AA649" s="169">
        <f t="shared" si="213"/>
        <v>0</v>
      </c>
      <c r="AB649" s="4">
        <f t="shared" si="214"/>
        <v>0</v>
      </c>
      <c r="AC649" s="170">
        <f t="shared" si="210"/>
        <v>0</v>
      </c>
      <c r="AD649" s="58"/>
      <c r="AE649" s="58"/>
      <c r="AF649" s="58"/>
      <c r="AG649" s="59">
        <f t="shared" si="215"/>
        <v>9.0359999999999996</v>
      </c>
      <c r="AH649" s="59">
        <f t="shared" si="216"/>
        <v>-184.49199999999999</v>
      </c>
      <c r="AJ649" s="4">
        <f>IF(D649="M",IF(AM649&lt;78,BMILMS!$D$5*AM649^3+BMILMS!$E$5*AM649^2+BMILMS!$F$5*AM649+BMILMS!$G$5,IF(AM649&lt;150,BMILMS!$D$6*AM649^3+BMILMS!$E$6*AM649^2+BMILMS!$F$6*AM649+BMILMS!$G$6,BMILMS!$D$7*AM649^3+BMILMS!$E$7*AM649^2+BMILMS!$F$7*AM649+BMILMS!$G$7)),IF(AM649&lt;69,BMILMS!$D$9*AM649^3+BMILMS!$E$9*AM649^2+BMILMS!$F$9*AM649+BMILMS!$G$9,IF(AM649&lt;150,BMILMS!$D$10*AM649^3+BMILMS!$E$10*AM649^2+BMILMS!$F$10*AM649+BMILMS!$G$10,BMILMS!$D$11*AM649^3+BMILMS!$E$11*AM649^2+BMILMS!$F$11*AM649+BMILMS!$G$11)))</f>
        <v>0.79584630099999998</v>
      </c>
      <c r="AK649" s="4">
        <f>IF(D649="M",(IF(AM649&lt;2.5,BMILMS!$D$21*AM649^3+BMILMS!$E$21*AM649^2+BMILMS!$F$21*AM649+BMILMS!$G$21,IF(AM649&lt;9.5,BMILMS!$D$22*AM649^3+BMILMS!$E$22*AM649^2+BMILMS!$F$22*AM649+BMILMS!$G$22,IF(AM649&lt;26.75,BMILMS!$D$23*AM649^3+BMILMS!$E$23*AM649^2+BMILMS!$F$23*AM649+BMILMS!$G$23,IF(AM649&lt;90,BMILMS!$D$24*AM649^3+BMILMS!$E$24*AM649^2+BMILMS!$F$24*AM649+BMILMS!$G$24,BMILMS!$D$25*AM649^3+BMILMS!$E$25*AM649^2+BMILMS!$F$25*AM649+BMILMS!$G$25))))),(IF(AM649&lt;2.5,BMILMS!$D$27*AM649^3+BMILMS!$E$27*AM649^2+BMILMS!$F$27*AM649+BMILMS!$G$27,IF(AM649&lt;9.5,BMILMS!$D$28*AM649^3+BMILMS!$E$28*AM649^2+BMILMS!$F$28*AM649+BMILMS!$G$28,IF(AM649&lt;26.75,BMILMS!$D$29*AM649^3+BMILMS!$E$29*AM649^2+BMILMS!$F$29*AM649+BMILMS!$G$29,IF(AM649&lt;90,BMILMS!$D$30*AM649^3+BMILMS!$E$30*AM649^2+BMILMS!$F$30*AM649+BMILMS!$G$30,IF(AM649&lt;150,BMILMS!$D$31*AM649^3+BMILMS!$E$31*AM649^2+BMILMS!$F$31*AM649+BMILMS!$G$31,BMILMS!$D$32*AM649^3+BMILMS!$E$32*AM649^2+BMILMS!$F$32*AM649+BMILMS!$G$32)))))))</f>
        <v>12.568967990000001</v>
      </c>
      <c r="AL649" s="4">
        <f>IF(D649="M",(IF(AM649&lt;90,BMILMS!$D$14*AM649^3+BMILMS!$E$14*AM649^2+BMILMS!$F$14*AM649+BMILMS!$G$14,BMILMS!$D$15*AM649^3+BMILMS!$E$15*AM649^2+BMILMS!$F$15*AM649+BMILMS!$G$15)),(IF(AM649&lt;90,BMILMS!$D$17*AM649^3+BMILMS!$E$17*AM649^2+BMILMS!$F$17*AM649+BMILMS!$G$17,BMILMS!$D$18*AM649^3+BMILMS!$E$18*AM649^2+BMILMS!$F$18*AM649+BMILMS!$G$18)))</f>
        <v>8.8969350000000003E-2</v>
      </c>
      <c r="AM649" s="4">
        <f t="shared" si="230"/>
        <v>0</v>
      </c>
      <c r="AO649" s="56">
        <f>IF(D649="M",WeightSDS!P$5*$AM649^7+WeightSDS!Q$5*$AM649^6+WeightSDS!R$5*$AM649^5+WeightSDS!S$5*$AM649^4+WeightSDS!T$5*$AM649^3+WeightSDS!U$5*$AM649^2+WeightSDS!V$5*$AM649+WeightSDS!W$5,IF($AM649&lt;186,WeightSDS!P$8*$AM649^7+WeightSDS!Q$8*$AM649^6+WeightSDS!R$8*$AM649^5+WeightSDS!S$8*$AM649^4+WeightSDS!T$8*$AM649^3+WeightSDS!U$8*$AM649^2+WeightSDS!V$8*$AM649+WeightSDS!W$8,WeightSDS!$U$9+WeightSDS!$V$9*($AM649-WeightSDS!$W$9)))</f>
        <v>0.75407122999999998</v>
      </c>
      <c r="AP649" s="4">
        <f>IF(D649="M",IF($AM649&lt;45,WeightSDS!M$23*$AM649^10+WeightSDS!N$23*$AM649^9+WeightSDS!O$23*$AM649^8+WeightSDS!P$23*$AM649^7+WeightSDS!Q$23*$AM649^6+WeightSDS!R$23*$AM649^5+WeightSDS!S$23*$AM649^4+WeightSDS!T$23*$AM649^3+WeightSDS!U$23*$AM649^2+WeightSDS!V$23*$AM649+WeightSDS!W$23,IF($AM649&lt;153,WeightSDS!M$25*$AM649^10+WeightSDS!N$25*$AM649^9+WeightSDS!O$25*$AM649^8+WeightSDS!P$25*$AM649^7+WeightSDS!Q$25*$AM649^6+WeightSDS!R$25*$AM649^5+WeightSDS!S$25*$AM649^4+WeightSDS!T$25*$AM649^3+WeightSDS!U$25*$AM649^2+WeightSDS!V$25*$AM649+WeightSDS!W$25,WeightSDS!M$27+WeightSDS!N$27/(1+EXP(WeightSDS!O$27+WeightSDS!P$27*$AM649)))),IF($AM649&lt;43.8,WeightSDS!M$29*$AM649^10+WeightSDS!N$29*$AM649^9+WeightSDS!O$29*$AM649^8+WeightSDS!P$29*$AM649^7+WeightSDS!Q$29*$AM649^6+WeightSDS!R$29*$AM649^5+WeightSDS!S$29*$AM649^4+WeightSDS!T$29*$AM649^3+WeightSDS!U$29*$AM649^2+WeightSDS!V$29*$AM649+WeightSDS!W$29-0.010431*(1-$AM649/210),IF($AM649&lt;123,WeightSDS!M$30*$AM649^10+WeightSDS!N$30*$AM649^9+WeightSDS!O$30*$AM649^8+WeightSDS!P$30*$AM649^7+WeightSDS!Q$30*$AM649^6+WeightSDS!R$30*$AM649^5+WeightSDS!S$30*$AM649^4+WeightSDS!T$30*$AM649^3+WeightSDS!U$30*$AM649^2+WeightSDS!V$30*$AM649+WeightSDS!W$30-0.010431*(1-1/$AM649),WeightSDS!M$32+WeightSDS!N$32/(1+EXP(WeightSDS!O$32+WeightSDS!P$32*$AM649))-0.010431*(1-$AM649/210))))</f>
        <v>2.9500001032655536</v>
      </c>
      <c r="AQ649" s="4">
        <f>IF(D649="M",IF($AM649&lt;162,WeightSDS!P$12*$AM649^7+WeightSDS!Q$12*$AM649^6+WeightSDS!R$12*$AM649^5+WeightSDS!S$12*$AM649^4+WeightSDS!T$12*$AM649^3+WeightSDS!U$12*$AM649^2+WeightSDS!V$12*$AM649+WeightSDS!W$12,WeightSDS!P$14*$AM649^7+WeightSDS!Q$14*$AM649^6+WeightSDS!R$14*$AM649^5+WeightSDS!S$14*$AM649^4+WeightSDS!T$14*$AM649^3+WeightSDS!U$14*$AM649^2+WeightSDS!V$14*$AM649+WeightSDS!W$14),IF($AM649&lt;156,WeightSDS!O$17*$AM649^8+WeightSDS!P$17*$AM649^7+WeightSDS!Q$17*$AM649^6+WeightSDS!R$17*$AM649^5+WeightSDS!S$17*$AM649^4+WeightSDS!T$17*$AM649^3+WeightSDS!U$17*$AM649^2+WeightSDS!V$17*$AM649+WeightSDS!W$17,IF($AM649&lt;186,WeightSDS!$U$18+(WeightSDS!$V$18-WeightSDS!$U$18)/24*($AM649-186)+WeightSDS!$W$18*(-$AM649+186)^2-0.005,WeightSDS!$U$18+(WeightSDS!$V$18-WeightSDS!$U$18)/24*($AM649-186)-0.005)))</f>
        <v>0.14604529399999999</v>
      </c>
      <c r="AT649" s="4">
        <f t="shared" si="217"/>
        <v>0.56299999999999994</v>
      </c>
      <c r="AU649" s="4">
        <f t="shared" si="218"/>
        <v>69</v>
      </c>
      <c r="AV649" s="4">
        <f t="shared" si="219"/>
        <v>0.51</v>
      </c>
    </row>
    <row r="650" spans="1:48" x14ac:dyDescent="0.15">
      <c r="A650" s="4"/>
      <c r="B650" s="21"/>
      <c r="C650" s="21"/>
      <c r="D650" s="21"/>
      <c r="E650" s="22"/>
      <c r="F650" s="22"/>
      <c r="G650" s="23"/>
      <c r="H650" s="23"/>
      <c r="I650" s="181"/>
      <c r="J650" s="8" t="str">
        <f t="shared" si="211"/>
        <v/>
      </c>
      <c r="K650" s="2" t="str">
        <f t="shared" si="220"/>
        <v/>
      </c>
      <c r="L650" s="2" t="str">
        <f t="shared" si="212"/>
        <v/>
      </c>
      <c r="M650" s="2" t="str">
        <f t="shared" si="221"/>
        <v/>
      </c>
      <c r="N650" s="2" t="str">
        <f t="shared" si="229"/>
        <v/>
      </c>
      <c r="O650" s="2" t="str">
        <f t="shared" si="222"/>
        <v/>
      </c>
      <c r="P650" s="8" t="str">
        <f t="shared" si="223"/>
        <v/>
      </c>
      <c r="Q650" s="8" t="str">
        <f t="shared" si="224"/>
        <v/>
      </c>
      <c r="R650" s="111" t="str">
        <f t="shared" si="225"/>
        <v/>
      </c>
      <c r="S650" s="44" t="str">
        <f t="shared" si="226"/>
        <v/>
      </c>
      <c r="T650" s="37" t="str">
        <f t="shared" si="227"/>
        <v/>
      </c>
      <c r="U650" s="44" t="str">
        <f t="shared" si="228"/>
        <v/>
      </c>
      <c r="V650" s="26"/>
      <c r="W650" s="26"/>
      <c r="X650" s="26"/>
      <c r="Y650" s="26"/>
      <c r="Z650" s="24"/>
      <c r="AA650" s="169">
        <f t="shared" si="213"/>
        <v>0</v>
      </c>
      <c r="AB650" s="4">
        <f t="shared" si="214"/>
        <v>0</v>
      </c>
      <c r="AC650" s="170">
        <f t="shared" si="210"/>
        <v>0</v>
      </c>
      <c r="AD650" s="58"/>
      <c r="AE650" s="58"/>
      <c r="AF650" s="58"/>
      <c r="AG650" s="59">
        <f t="shared" si="215"/>
        <v>9.0359999999999996</v>
      </c>
      <c r="AH650" s="59">
        <f t="shared" si="216"/>
        <v>-184.49199999999999</v>
      </c>
      <c r="AJ650" s="4">
        <f>IF(D650="M",IF(AM650&lt;78,BMILMS!$D$5*AM650^3+BMILMS!$E$5*AM650^2+BMILMS!$F$5*AM650+BMILMS!$G$5,IF(AM650&lt;150,BMILMS!$D$6*AM650^3+BMILMS!$E$6*AM650^2+BMILMS!$F$6*AM650+BMILMS!$G$6,BMILMS!$D$7*AM650^3+BMILMS!$E$7*AM650^2+BMILMS!$F$7*AM650+BMILMS!$G$7)),IF(AM650&lt;69,BMILMS!$D$9*AM650^3+BMILMS!$E$9*AM650^2+BMILMS!$F$9*AM650+BMILMS!$G$9,IF(AM650&lt;150,BMILMS!$D$10*AM650^3+BMILMS!$E$10*AM650^2+BMILMS!$F$10*AM650+BMILMS!$G$10,BMILMS!$D$11*AM650^3+BMILMS!$E$11*AM650^2+BMILMS!$F$11*AM650+BMILMS!$G$11)))</f>
        <v>0.79584630099999998</v>
      </c>
      <c r="AK650" s="4">
        <f>IF(D650="M",(IF(AM650&lt;2.5,BMILMS!$D$21*AM650^3+BMILMS!$E$21*AM650^2+BMILMS!$F$21*AM650+BMILMS!$G$21,IF(AM650&lt;9.5,BMILMS!$D$22*AM650^3+BMILMS!$E$22*AM650^2+BMILMS!$F$22*AM650+BMILMS!$G$22,IF(AM650&lt;26.75,BMILMS!$D$23*AM650^3+BMILMS!$E$23*AM650^2+BMILMS!$F$23*AM650+BMILMS!$G$23,IF(AM650&lt;90,BMILMS!$D$24*AM650^3+BMILMS!$E$24*AM650^2+BMILMS!$F$24*AM650+BMILMS!$G$24,BMILMS!$D$25*AM650^3+BMILMS!$E$25*AM650^2+BMILMS!$F$25*AM650+BMILMS!$G$25))))),(IF(AM650&lt;2.5,BMILMS!$D$27*AM650^3+BMILMS!$E$27*AM650^2+BMILMS!$F$27*AM650+BMILMS!$G$27,IF(AM650&lt;9.5,BMILMS!$D$28*AM650^3+BMILMS!$E$28*AM650^2+BMILMS!$F$28*AM650+BMILMS!$G$28,IF(AM650&lt;26.75,BMILMS!$D$29*AM650^3+BMILMS!$E$29*AM650^2+BMILMS!$F$29*AM650+BMILMS!$G$29,IF(AM650&lt;90,BMILMS!$D$30*AM650^3+BMILMS!$E$30*AM650^2+BMILMS!$F$30*AM650+BMILMS!$G$30,IF(AM650&lt;150,BMILMS!$D$31*AM650^3+BMILMS!$E$31*AM650^2+BMILMS!$F$31*AM650+BMILMS!$G$31,BMILMS!$D$32*AM650^3+BMILMS!$E$32*AM650^2+BMILMS!$F$32*AM650+BMILMS!$G$32)))))))</f>
        <v>12.568967990000001</v>
      </c>
      <c r="AL650" s="4">
        <f>IF(D650="M",(IF(AM650&lt;90,BMILMS!$D$14*AM650^3+BMILMS!$E$14*AM650^2+BMILMS!$F$14*AM650+BMILMS!$G$14,BMILMS!$D$15*AM650^3+BMILMS!$E$15*AM650^2+BMILMS!$F$15*AM650+BMILMS!$G$15)),(IF(AM650&lt;90,BMILMS!$D$17*AM650^3+BMILMS!$E$17*AM650^2+BMILMS!$F$17*AM650+BMILMS!$G$17,BMILMS!$D$18*AM650^3+BMILMS!$E$18*AM650^2+BMILMS!$F$18*AM650+BMILMS!$G$18)))</f>
        <v>8.8969350000000003E-2</v>
      </c>
      <c r="AM650" s="4">
        <f t="shared" si="230"/>
        <v>0</v>
      </c>
      <c r="AO650" s="56">
        <f>IF(D650="M",WeightSDS!P$5*$AM650^7+WeightSDS!Q$5*$AM650^6+WeightSDS!R$5*$AM650^5+WeightSDS!S$5*$AM650^4+WeightSDS!T$5*$AM650^3+WeightSDS!U$5*$AM650^2+WeightSDS!V$5*$AM650+WeightSDS!W$5,IF($AM650&lt;186,WeightSDS!P$8*$AM650^7+WeightSDS!Q$8*$AM650^6+WeightSDS!R$8*$AM650^5+WeightSDS!S$8*$AM650^4+WeightSDS!T$8*$AM650^3+WeightSDS!U$8*$AM650^2+WeightSDS!V$8*$AM650+WeightSDS!W$8,WeightSDS!$U$9+WeightSDS!$V$9*($AM650-WeightSDS!$W$9)))</f>
        <v>0.75407122999999998</v>
      </c>
      <c r="AP650" s="4">
        <f>IF(D650="M",IF($AM650&lt;45,WeightSDS!M$23*$AM650^10+WeightSDS!N$23*$AM650^9+WeightSDS!O$23*$AM650^8+WeightSDS!P$23*$AM650^7+WeightSDS!Q$23*$AM650^6+WeightSDS!R$23*$AM650^5+WeightSDS!S$23*$AM650^4+WeightSDS!T$23*$AM650^3+WeightSDS!U$23*$AM650^2+WeightSDS!V$23*$AM650+WeightSDS!W$23,IF($AM650&lt;153,WeightSDS!M$25*$AM650^10+WeightSDS!N$25*$AM650^9+WeightSDS!O$25*$AM650^8+WeightSDS!P$25*$AM650^7+WeightSDS!Q$25*$AM650^6+WeightSDS!R$25*$AM650^5+WeightSDS!S$25*$AM650^4+WeightSDS!T$25*$AM650^3+WeightSDS!U$25*$AM650^2+WeightSDS!V$25*$AM650+WeightSDS!W$25,WeightSDS!M$27+WeightSDS!N$27/(1+EXP(WeightSDS!O$27+WeightSDS!P$27*$AM650)))),IF($AM650&lt;43.8,WeightSDS!M$29*$AM650^10+WeightSDS!N$29*$AM650^9+WeightSDS!O$29*$AM650^8+WeightSDS!P$29*$AM650^7+WeightSDS!Q$29*$AM650^6+WeightSDS!R$29*$AM650^5+WeightSDS!S$29*$AM650^4+WeightSDS!T$29*$AM650^3+WeightSDS!U$29*$AM650^2+WeightSDS!V$29*$AM650+WeightSDS!W$29-0.010431*(1-$AM650/210),IF($AM650&lt;123,WeightSDS!M$30*$AM650^10+WeightSDS!N$30*$AM650^9+WeightSDS!O$30*$AM650^8+WeightSDS!P$30*$AM650^7+WeightSDS!Q$30*$AM650^6+WeightSDS!R$30*$AM650^5+WeightSDS!S$30*$AM650^4+WeightSDS!T$30*$AM650^3+WeightSDS!U$30*$AM650^2+WeightSDS!V$30*$AM650+WeightSDS!W$30-0.010431*(1-1/$AM650),WeightSDS!M$32+WeightSDS!N$32/(1+EXP(WeightSDS!O$32+WeightSDS!P$32*$AM650))-0.010431*(1-$AM650/210))))</f>
        <v>2.9500001032655536</v>
      </c>
      <c r="AQ650" s="4">
        <f>IF(D650="M",IF($AM650&lt;162,WeightSDS!P$12*$AM650^7+WeightSDS!Q$12*$AM650^6+WeightSDS!R$12*$AM650^5+WeightSDS!S$12*$AM650^4+WeightSDS!T$12*$AM650^3+WeightSDS!U$12*$AM650^2+WeightSDS!V$12*$AM650+WeightSDS!W$12,WeightSDS!P$14*$AM650^7+WeightSDS!Q$14*$AM650^6+WeightSDS!R$14*$AM650^5+WeightSDS!S$14*$AM650^4+WeightSDS!T$14*$AM650^3+WeightSDS!U$14*$AM650^2+WeightSDS!V$14*$AM650+WeightSDS!W$14),IF($AM650&lt;156,WeightSDS!O$17*$AM650^8+WeightSDS!P$17*$AM650^7+WeightSDS!Q$17*$AM650^6+WeightSDS!R$17*$AM650^5+WeightSDS!S$17*$AM650^4+WeightSDS!T$17*$AM650^3+WeightSDS!U$17*$AM650^2+WeightSDS!V$17*$AM650+WeightSDS!W$17,IF($AM650&lt;186,WeightSDS!$U$18+(WeightSDS!$V$18-WeightSDS!$U$18)/24*($AM650-186)+WeightSDS!$W$18*(-$AM650+186)^2-0.005,WeightSDS!$U$18+(WeightSDS!$V$18-WeightSDS!$U$18)/24*($AM650-186)-0.005)))</f>
        <v>0.14604529399999999</v>
      </c>
      <c r="AT650" s="4">
        <f t="shared" si="217"/>
        <v>0.56299999999999994</v>
      </c>
      <c r="AU650" s="4">
        <f t="shared" si="218"/>
        <v>69</v>
      </c>
      <c r="AV650" s="4">
        <f t="shared" si="219"/>
        <v>0.51</v>
      </c>
    </row>
    <row r="651" spans="1:48" x14ac:dyDescent="0.15">
      <c r="A651" s="4"/>
      <c r="B651" s="21"/>
      <c r="C651" s="21"/>
      <c r="D651" s="21"/>
      <c r="E651" s="22"/>
      <c r="F651" s="22"/>
      <c r="G651" s="23"/>
      <c r="H651" s="23"/>
      <c r="I651" s="181"/>
      <c r="J651" s="8" t="str">
        <f t="shared" si="211"/>
        <v/>
      </c>
      <c r="K651" s="2" t="str">
        <f t="shared" si="220"/>
        <v/>
      </c>
      <c r="L651" s="2" t="str">
        <f t="shared" si="212"/>
        <v/>
      </c>
      <c r="M651" s="2" t="str">
        <f t="shared" si="221"/>
        <v/>
      </c>
      <c r="N651" s="2" t="str">
        <f t="shared" si="229"/>
        <v/>
      </c>
      <c r="O651" s="2" t="str">
        <f t="shared" si="222"/>
        <v/>
      </c>
      <c r="P651" s="8" t="str">
        <f t="shared" si="223"/>
        <v/>
      </c>
      <c r="Q651" s="8" t="str">
        <f t="shared" si="224"/>
        <v/>
      </c>
      <c r="R651" s="111" t="str">
        <f t="shared" si="225"/>
        <v/>
      </c>
      <c r="S651" s="44" t="str">
        <f t="shared" si="226"/>
        <v/>
      </c>
      <c r="T651" s="37" t="str">
        <f t="shared" si="227"/>
        <v/>
      </c>
      <c r="U651" s="44" t="str">
        <f t="shared" si="228"/>
        <v/>
      </c>
      <c r="V651" s="26"/>
      <c r="W651" s="26"/>
      <c r="X651" s="26"/>
      <c r="Y651" s="26"/>
      <c r="Z651" s="24"/>
      <c r="AA651" s="169">
        <f t="shared" si="213"/>
        <v>0</v>
      </c>
      <c r="AB651" s="4">
        <f t="shared" si="214"/>
        <v>0</v>
      </c>
      <c r="AC651" s="170">
        <f t="shared" si="210"/>
        <v>0</v>
      </c>
      <c r="AD651" s="58"/>
      <c r="AE651" s="58"/>
      <c r="AF651" s="58"/>
      <c r="AG651" s="59">
        <f t="shared" si="215"/>
        <v>9.0359999999999996</v>
      </c>
      <c r="AH651" s="59">
        <f t="shared" si="216"/>
        <v>-184.49199999999999</v>
      </c>
      <c r="AJ651" s="4">
        <f>IF(D651="M",IF(AM651&lt;78,BMILMS!$D$5*AM651^3+BMILMS!$E$5*AM651^2+BMILMS!$F$5*AM651+BMILMS!$G$5,IF(AM651&lt;150,BMILMS!$D$6*AM651^3+BMILMS!$E$6*AM651^2+BMILMS!$F$6*AM651+BMILMS!$G$6,BMILMS!$D$7*AM651^3+BMILMS!$E$7*AM651^2+BMILMS!$F$7*AM651+BMILMS!$G$7)),IF(AM651&lt;69,BMILMS!$D$9*AM651^3+BMILMS!$E$9*AM651^2+BMILMS!$F$9*AM651+BMILMS!$G$9,IF(AM651&lt;150,BMILMS!$D$10*AM651^3+BMILMS!$E$10*AM651^2+BMILMS!$F$10*AM651+BMILMS!$G$10,BMILMS!$D$11*AM651^3+BMILMS!$E$11*AM651^2+BMILMS!$F$11*AM651+BMILMS!$G$11)))</f>
        <v>0.79584630099999998</v>
      </c>
      <c r="AK651" s="4">
        <f>IF(D651="M",(IF(AM651&lt;2.5,BMILMS!$D$21*AM651^3+BMILMS!$E$21*AM651^2+BMILMS!$F$21*AM651+BMILMS!$G$21,IF(AM651&lt;9.5,BMILMS!$D$22*AM651^3+BMILMS!$E$22*AM651^2+BMILMS!$F$22*AM651+BMILMS!$G$22,IF(AM651&lt;26.75,BMILMS!$D$23*AM651^3+BMILMS!$E$23*AM651^2+BMILMS!$F$23*AM651+BMILMS!$G$23,IF(AM651&lt;90,BMILMS!$D$24*AM651^3+BMILMS!$E$24*AM651^2+BMILMS!$F$24*AM651+BMILMS!$G$24,BMILMS!$D$25*AM651^3+BMILMS!$E$25*AM651^2+BMILMS!$F$25*AM651+BMILMS!$G$25))))),(IF(AM651&lt;2.5,BMILMS!$D$27*AM651^3+BMILMS!$E$27*AM651^2+BMILMS!$F$27*AM651+BMILMS!$G$27,IF(AM651&lt;9.5,BMILMS!$D$28*AM651^3+BMILMS!$E$28*AM651^2+BMILMS!$F$28*AM651+BMILMS!$G$28,IF(AM651&lt;26.75,BMILMS!$D$29*AM651^3+BMILMS!$E$29*AM651^2+BMILMS!$F$29*AM651+BMILMS!$G$29,IF(AM651&lt;90,BMILMS!$D$30*AM651^3+BMILMS!$E$30*AM651^2+BMILMS!$F$30*AM651+BMILMS!$G$30,IF(AM651&lt;150,BMILMS!$D$31*AM651^3+BMILMS!$E$31*AM651^2+BMILMS!$F$31*AM651+BMILMS!$G$31,BMILMS!$D$32*AM651^3+BMILMS!$E$32*AM651^2+BMILMS!$F$32*AM651+BMILMS!$G$32)))))))</f>
        <v>12.568967990000001</v>
      </c>
      <c r="AL651" s="4">
        <f>IF(D651="M",(IF(AM651&lt;90,BMILMS!$D$14*AM651^3+BMILMS!$E$14*AM651^2+BMILMS!$F$14*AM651+BMILMS!$G$14,BMILMS!$D$15*AM651^3+BMILMS!$E$15*AM651^2+BMILMS!$F$15*AM651+BMILMS!$G$15)),(IF(AM651&lt;90,BMILMS!$D$17*AM651^3+BMILMS!$E$17*AM651^2+BMILMS!$F$17*AM651+BMILMS!$G$17,BMILMS!$D$18*AM651^3+BMILMS!$E$18*AM651^2+BMILMS!$F$18*AM651+BMILMS!$G$18)))</f>
        <v>8.8969350000000003E-2</v>
      </c>
      <c r="AM651" s="4">
        <f t="shared" si="230"/>
        <v>0</v>
      </c>
      <c r="AO651" s="56">
        <f>IF(D651="M",WeightSDS!P$5*$AM651^7+WeightSDS!Q$5*$AM651^6+WeightSDS!R$5*$AM651^5+WeightSDS!S$5*$AM651^4+WeightSDS!T$5*$AM651^3+WeightSDS!U$5*$AM651^2+WeightSDS!V$5*$AM651+WeightSDS!W$5,IF($AM651&lt;186,WeightSDS!P$8*$AM651^7+WeightSDS!Q$8*$AM651^6+WeightSDS!R$8*$AM651^5+WeightSDS!S$8*$AM651^4+WeightSDS!T$8*$AM651^3+WeightSDS!U$8*$AM651^2+WeightSDS!V$8*$AM651+WeightSDS!W$8,WeightSDS!$U$9+WeightSDS!$V$9*($AM651-WeightSDS!$W$9)))</f>
        <v>0.75407122999999998</v>
      </c>
      <c r="AP651" s="4">
        <f>IF(D651="M",IF($AM651&lt;45,WeightSDS!M$23*$AM651^10+WeightSDS!N$23*$AM651^9+WeightSDS!O$23*$AM651^8+WeightSDS!P$23*$AM651^7+WeightSDS!Q$23*$AM651^6+WeightSDS!R$23*$AM651^5+WeightSDS!S$23*$AM651^4+WeightSDS!T$23*$AM651^3+WeightSDS!U$23*$AM651^2+WeightSDS!V$23*$AM651+WeightSDS!W$23,IF($AM651&lt;153,WeightSDS!M$25*$AM651^10+WeightSDS!N$25*$AM651^9+WeightSDS!O$25*$AM651^8+WeightSDS!P$25*$AM651^7+WeightSDS!Q$25*$AM651^6+WeightSDS!R$25*$AM651^5+WeightSDS!S$25*$AM651^4+WeightSDS!T$25*$AM651^3+WeightSDS!U$25*$AM651^2+WeightSDS!V$25*$AM651+WeightSDS!W$25,WeightSDS!M$27+WeightSDS!N$27/(1+EXP(WeightSDS!O$27+WeightSDS!P$27*$AM651)))),IF($AM651&lt;43.8,WeightSDS!M$29*$AM651^10+WeightSDS!N$29*$AM651^9+WeightSDS!O$29*$AM651^8+WeightSDS!P$29*$AM651^7+WeightSDS!Q$29*$AM651^6+WeightSDS!R$29*$AM651^5+WeightSDS!S$29*$AM651^4+WeightSDS!T$29*$AM651^3+WeightSDS!U$29*$AM651^2+WeightSDS!V$29*$AM651+WeightSDS!W$29-0.010431*(1-$AM651/210),IF($AM651&lt;123,WeightSDS!M$30*$AM651^10+WeightSDS!N$30*$AM651^9+WeightSDS!O$30*$AM651^8+WeightSDS!P$30*$AM651^7+WeightSDS!Q$30*$AM651^6+WeightSDS!R$30*$AM651^5+WeightSDS!S$30*$AM651^4+WeightSDS!T$30*$AM651^3+WeightSDS!U$30*$AM651^2+WeightSDS!V$30*$AM651+WeightSDS!W$30-0.010431*(1-1/$AM651),WeightSDS!M$32+WeightSDS!N$32/(1+EXP(WeightSDS!O$32+WeightSDS!P$32*$AM651))-0.010431*(1-$AM651/210))))</f>
        <v>2.9500001032655536</v>
      </c>
      <c r="AQ651" s="4">
        <f>IF(D651="M",IF($AM651&lt;162,WeightSDS!P$12*$AM651^7+WeightSDS!Q$12*$AM651^6+WeightSDS!R$12*$AM651^5+WeightSDS!S$12*$AM651^4+WeightSDS!T$12*$AM651^3+WeightSDS!U$12*$AM651^2+WeightSDS!V$12*$AM651+WeightSDS!W$12,WeightSDS!P$14*$AM651^7+WeightSDS!Q$14*$AM651^6+WeightSDS!R$14*$AM651^5+WeightSDS!S$14*$AM651^4+WeightSDS!T$14*$AM651^3+WeightSDS!U$14*$AM651^2+WeightSDS!V$14*$AM651+WeightSDS!W$14),IF($AM651&lt;156,WeightSDS!O$17*$AM651^8+WeightSDS!P$17*$AM651^7+WeightSDS!Q$17*$AM651^6+WeightSDS!R$17*$AM651^5+WeightSDS!S$17*$AM651^4+WeightSDS!T$17*$AM651^3+WeightSDS!U$17*$AM651^2+WeightSDS!V$17*$AM651+WeightSDS!W$17,IF($AM651&lt;186,WeightSDS!$U$18+(WeightSDS!$V$18-WeightSDS!$U$18)/24*($AM651-186)+WeightSDS!$W$18*(-$AM651+186)^2-0.005,WeightSDS!$U$18+(WeightSDS!$V$18-WeightSDS!$U$18)/24*($AM651-186)-0.005)))</f>
        <v>0.14604529399999999</v>
      </c>
      <c r="AT651" s="4">
        <f t="shared" si="217"/>
        <v>0.56299999999999994</v>
      </c>
      <c r="AU651" s="4">
        <f t="shared" si="218"/>
        <v>69</v>
      </c>
      <c r="AV651" s="4">
        <f t="shared" si="219"/>
        <v>0.51</v>
      </c>
    </row>
    <row r="652" spans="1:48" x14ac:dyDescent="0.15">
      <c r="A652" s="4"/>
      <c r="B652" s="21"/>
      <c r="C652" s="21"/>
      <c r="D652" s="21"/>
      <c r="E652" s="22"/>
      <c r="F652" s="22"/>
      <c r="G652" s="23"/>
      <c r="H652" s="23"/>
      <c r="I652" s="181"/>
      <c r="J652" s="8" t="str">
        <f t="shared" si="211"/>
        <v/>
      </c>
      <c r="K652" s="2" t="str">
        <f t="shared" si="220"/>
        <v/>
      </c>
      <c r="L652" s="2" t="str">
        <f t="shared" si="212"/>
        <v/>
      </c>
      <c r="M652" s="2" t="str">
        <f t="shared" si="221"/>
        <v/>
      </c>
      <c r="N652" s="2" t="str">
        <f t="shared" si="229"/>
        <v/>
      </c>
      <c r="O652" s="2" t="str">
        <f t="shared" si="222"/>
        <v/>
      </c>
      <c r="P652" s="8" t="str">
        <f t="shared" si="223"/>
        <v/>
      </c>
      <c r="Q652" s="8" t="str">
        <f t="shared" si="224"/>
        <v/>
      </c>
      <c r="R652" s="111" t="str">
        <f t="shared" si="225"/>
        <v/>
      </c>
      <c r="S652" s="44" t="str">
        <f t="shared" si="226"/>
        <v/>
      </c>
      <c r="T652" s="37" t="str">
        <f t="shared" si="227"/>
        <v/>
      </c>
      <c r="U652" s="44" t="str">
        <f t="shared" si="228"/>
        <v/>
      </c>
      <c r="V652" s="26"/>
      <c r="W652" s="26"/>
      <c r="X652" s="26"/>
      <c r="Y652" s="26"/>
      <c r="Z652" s="24"/>
      <c r="AA652" s="169">
        <f t="shared" si="213"/>
        <v>0</v>
      </c>
      <c r="AB652" s="4">
        <f t="shared" si="214"/>
        <v>0</v>
      </c>
      <c r="AC652" s="170">
        <f t="shared" si="210"/>
        <v>0</v>
      </c>
      <c r="AD652" s="58"/>
      <c r="AE652" s="58"/>
      <c r="AF652" s="58"/>
      <c r="AG652" s="59">
        <f t="shared" si="215"/>
        <v>9.0359999999999996</v>
      </c>
      <c r="AH652" s="59">
        <f t="shared" si="216"/>
        <v>-184.49199999999999</v>
      </c>
      <c r="AJ652" s="4">
        <f>IF(D652="M",IF(AM652&lt;78,BMILMS!$D$5*AM652^3+BMILMS!$E$5*AM652^2+BMILMS!$F$5*AM652+BMILMS!$G$5,IF(AM652&lt;150,BMILMS!$D$6*AM652^3+BMILMS!$E$6*AM652^2+BMILMS!$F$6*AM652+BMILMS!$G$6,BMILMS!$D$7*AM652^3+BMILMS!$E$7*AM652^2+BMILMS!$F$7*AM652+BMILMS!$G$7)),IF(AM652&lt;69,BMILMS!$D$9*AM652^3+BMILMS!$E$9*AM652^2+BMILMS!$F$9*AM652+BMILMS!$G$9,IF(AM652&lt;150,BMILMS!$D$10*AM652^3+BMILMS!$E$10*AM652^2+BMILMS!$F$10*AM652+BMILMS!$G$10,BMILMS!$D$11*AM652^3+BMILMS!$E$11*AM652^2+BMILMS!$F$11*AM652+BMILMS!$G$11)))</f>
        <v>0.79584630099999998</v>
      </c>
      <c r="AK652" s="4">
        <f>IF(D652="M",(IF(AM652&lt;2.5,BMILMS!$D$21*AM652^3+BMILMS!$E$21*AM652^2+BMILMS!$F$21*AM652+BMILMS!$G$21,IF(AM652&lt;9.5,BMILMS!$D$22*AM652^3+BMILMS!$E$22*AM652^2+BMILMS!$F$22*AM652+BMILMS!$G$22,IF(AM652&lt;26.75,BMILMS!$D$23*AM652^3+BMILMS!$E$23*AM652^2+BMILMS!$F$23*AM652+BMILMS!$G$23,IF(AM652&lt;90,BMILMS!$D$24*AM652^3+BMILMS!$E$24*AM652^2+BMILMS!$F$24*AM652+BMILMS!$G$24,BMILMS!$D$25*AM652^3+BMILMS!$E$25*AM652^2+BMILMS!$F$25*AM652+BMILMS!$G$25))))),(IF(AM652&lt;2.5,BMILMS!$D$27*AM652^3+BMILMS!$E$27*AM652^2+BMILMS!$F$27*AM652+BMILMS!$G$27,IF(AM652&lt;9.5,BMILMS!$D$28*AM652^3+BMILMS!$E$28*AM652^2+BMILMS!$F$28*AM652+BMILMS!$G$28,IF(AM652&lt;26.75,BMILMS!$D$29*AM652^3+BMILMS!$E$29*AM652^2+BMILMS!$F$29*AM652+BMILMS!$G$29,IF(AM652&lt;90,BMILMS!$D$30*AM652^3+BMILMS!$E$30*AM652^2+BMILMS!$F$30*AM652+BMILMS!$G$30,IF(AM652&lt;150,BMILMS!$D$31*AM652^3+BMILMS!$E$31*AM652^2+BMILMS!$F$31*AM652+BMILMS!$G$31,BMILMS!$D$32*AM652^3+BMILMS!$E$32*AM652^2+BMILMS!$F$32*AM652+BMILMS!$G$32)))))))</f>
        <v>12.568967990000001</v>
      </c>
      <c r="AL652" s="4">
        <f>IF(D652="M",(IF(AM652&lt;90,BMILMS!$D$14*AM652^3+BMILMS!$E$14*AM652^2+BMILMS!$F$14*AM652+BMILMS!$G$14,BMILMS!$D$15*AM652^3+BMILMS!$E$15*AM652^2+BMILMS!$F$15*AM652+BMILMS!$G$15)),(IF(AM652&lt;90,BMILMS!$D$17*AM652^3+BMILMS!$E$17*AM652^2+BMILMS!$F$17*AM652+BMILMS!$G$17,BMILMS!$D$18*AM652^3+BMILMS!$E$18*AM652^2+BMILMS!$F$18*AM652+BMILMS!$G$18)))</f>
        <v>8.8969350000000003E-2</v>
      </c>
      <c r="AM652" s="4">
        <f t="shared" si="230"/>
        <v>0</v>
      </c>
      <c r="AO652" s="56">
        <f>IF(D652="M",WeightSDS!P$5*$AM652^7+WeightSDS!Q$5*$AM652^6+WeightSDS!R$5*$AM652^5+WeightSDS!S$5*$AM652^4+WeightSDS!T$5*$AM652^3+WeightSDS!U$5*$AM652^2+WeightSDS!V$5*$AM652+WeightSDS!W$5,IF($AM652&lt;186,WeightSDS!P$8*$AM652^7+WeightSDS!Q$8*$AM652^6+WeightSDS!R$8*$AM652^5+WeightSDS!S$8*$AM652^4+WeightSDS!T$8*$AM652^3+WeightSDS!U$8*$AM652^2+WeightSDS!V$8*$AM652+WeightSDS!W$8,WeightSDS!$U$9+WeightSDS!$V$9*($AM652-WeightSDS!$W$9)))</f>
        <v>0.75407122999999998</v>
      </c>
      <c r="AP652" s="4">
        <f>IF(D652="M",IF($AM652&lt;45,WeightSDS!M$23*$AM652^10+WeightSDS!N$23*$AM652^9+WeightSDS!O$23*$AM652^8+WeightSDS!P$23*$AM652^7+WeightSDS!Q$23*$AM652^6+WeightSDS!R$23*$AM652^5+WeightSDS!S$23*$AM652^4+WeightSDS!T$23*$AM652^3+WeightSDS!U$23*$AM652^2+WeightSDS!V$23*$AM652+WeightSDS!W$23,IF($AM652&lt;153,WeightSDS!M$25*$AM652^10+WeightSDS!N$25*$AM652^9+WeightSDS!O$25*$AM652^8+WeightSDS!P$25*$AM652^7+WeightSDS!Q$25*$AM652^6+WeightSDS!R$25*$AM652^5+WeightSDS!S$25*$AM652^4+WeightSDS!T$25*$AM652^3+WeightSDS!U$25*$AM652^2+WeightSDS!V$25*$AM652+WeightSDS!W$25,WeightSDS!M$27+WeightSDS!N$27/(1+EXP(WeightSDS!O$27+WeightSDS!P$27*$AM652)))),IF($AM652&lt;43.8,WeightSDS!M$29*$AM652^10+WeightSDS!N$29*$AM652^9+WeightSDS!O$29*$AM652^8+WeightSDS!P$29*$AM652^7+WeightSDS!Q$29*$AM652^6+WeightSDS!R$29*$AM652^5+WeightSDS!S$29*$AM652^4+WeightSDS!T$29*$AM652^3+WeightSDS!U$29*$AM652^2+WeightSDS!V$29*$AM652+WeightSDS!W$29-0.010431*(1-$AM652/210),IF($AM652&lt;123,WeightSDS!M$30*$AM652^10+WeightSDS!N$30*$AM652^9+WeightSDS!O$30*$AM652^8+WeightSDS!P$30*$AM652^7+WeightSDS!Q$30*$AM652^6+WeightSDS!R$30*$AM652^5+WeightSDS!S$30*$AM652^4+WeightSDS!T$30*$AM652^3+WeightSDS!U$30*$AM652^2+WeightSDS!V$30*$AM652+WeightSDS!W$30-0.010431*(1-1/$AM652),WeightSDS!M$32+WeightSDS!N$32/(1+EXP(WeightSDS!O$32+WeightSDS!P$32*$AM652))-0.010431*(1-$AM652/210))))</f>
        <v>2.9500001032655536</v>
      </c>
      <c r="AQ652" s="4">
        <f>IF(D652="M",IF($AM652&lt;162,WeightSDS!P$12*$AM652^7+WeightSDS!Q$12*$AM652^6+WeightSDS!R$12*$AM652^5+WeightSDS!S$12*$AM652^4+WeightSDS!T$12*$AM652^3+WeightSDS!U$12*$AM652^2+WeightSDS!V$12*$AM652+WeightSDS!W$12,WeightSDS!P$14*$AM652^7+WeightSDS!Q$14*$AM652^6+WeightSDS!R$14*$AM652^5+WeightSDS!S$14*$AM652^4+WeightSDS!T$14*$AM652^3+WeightSDS!U$14*$AM652^2+WeightSDS!V$14*$AM652+WeightSDS!W$14),IF($AM652&lt;156,WeightSDS!O$17*$AM652^8+WeightSDS!P$17*$AM652^7+WeightSDS!Q$17*$AM652^6+WeightSDS!R$17*$AM652^5+WeightSDS!S$17*$AM652^4+WeightSDS!T$17*$AM652^3+WeightSDS!U$17*$AM652^2+WeightSDS!V$17*$AM652+WeightSDS!W$17,IF($AM652&lt;186,WeightSDS!$U$18+(WeightSDS!$V$18-WeightSDS!$U$18)/24*($AM652-186)+WeightSDS!$W$18*(-$AM652+186)^2-0.005,WeightSDS!$U$18+(WeightSDS!$V$18-WeightSDS!$U$18)/24*($AM652-186)-0.005)))</f>
        <v>0.14604529399999999</v>
      </c>
      <c r="AT652" s="4">
        <f t="shared" si="217"/>
        <v>0.56299999999999994</v>
      </c>
      <c r="AU652" s="4">
        <f t="shared" si="218"/>
        <v>69</v>
      </c>
      <c r="AV652" s="4">
        <f t="shared" si="219"/>
        <v>0.51</v>
      </c>
    </row>
    <row r="653" spans="1:48" x14ac:dyDescent="0.15">
      <c r="A653" s="4"/>
      <c r="B653" s="21"/>
      <c r="C653" s="21"/>
      <c r="D653" s="21"/>
      <c r="E653" s="22"/>
      <c r="F653" s="22"/>
      <c r="G653" s="23"/>
      <c r="H653" s="23"/>
      <c r="I653" s="181"/>
      <c r="J653" s="8" t="str">
        <f t="shared" si="211"/>
        <v/>
      </c>
      <c r="K653" s="2" t="str">
        <f t="shared" si="220"/>
        <v/>
      </c>
      <c r="L653" s="2" t="str">
        <f t="shared" si="212"/>
        <v/>
      </c>
      <c r="M653" s="2" t="str">
        <f t="shared" si="221"/>
        <v/>
      </c>
      <c r="N653" s="2" t="str">
        <f t="shared" si="229"/>
        <v/>
      </c>
      <c r="O653" s="2" t="str">
        <f t="shared" si="222"/>
        <v/>
      </c>
      <c r="P653" s="8" t="str">
        <f t="shared" si="223"/>
        <v/>
      </c>
      <c r="Q653" s="8" t="str">
        <f t="shared" si="224"/>
        <v/>
      </c>
      <c r="R653" s="111" t="str">
        <f t="shared" si="225"/>
        <v/>
      </c>
      <c r="S653" s="44" t="str">
        <f t="shared" si="226"/>
        <v/>
      </c>
      <c r="T653" s="37" t="str">
        <f t="shared" si="227"/>
        <v/>
      </c>
      <c r="U653" s="44" t="str">
        <f t="shared" si="228"/>
        <v/>
      </c>
      <c r="V653" s="26"/>
      <c r="W653" s="26"/>
      <c r="X653" s="26"/>
      <c r="Y653" s="26"/>
      <c r="Z653" s="24"/>
      <c r="AA653" s="169">
        <f t="shared" si="213"/>
        <v>0</v>
      </c>
      <c r="AB653" s="4">
        <f t="shared" si="214"/>
        <v>0</v>
      </c>
      <c r="AC653" s="170">
        <f t="shared" si="210"/>
        <v>0</v>
      </c>
      <c r="AD653" s="58"/>
      <c r="AE653" s="58"/>
      <c r="AF653" s="58"/>
      <c r="AG653" s="59">
        <f t="shared" si="215"/>
        <v>9.0359999999999996</v>
      </c>
      <c r="AH653" s="59">
        <f t="shared" si="216"/>
        <v>-184.49199999999999</v>
      </c>
      <c r="AJ653" s="4">
        <f>IF(D653="M",IF(AM653&lt;78,BMILMS!$D$5*AM653^3+BMILMS!$E$5*AM653^2+BMILMS!$F$5*AM653+BMILMS!$G$5,IF(AM653&lt;150,BMILMS!$D$6*AM653^3+BMILMS!$E$6*AM653^2+BMILMS!$F$6*AM653+BMILMS!$G$6,BMILMS!$D$7*AM653^3+BMILMS!$E$7*AM653^2+BMILMS!$F$7*AM653+BMILMS!$G$7)),IF(AM653&lt;69,BMILMS!$D$9*AM653^3+BMILMS!$E$9*AM653^2+BMILMS!$F$9*AM653+BMILMS!$G$9,IF(AM653&lt;150,BMILMS!$D$10*AM653^3+BMILMS!$E$10*AM653^2+BMILMS!$F$10*AM653+BMILMS!$G$10,BMILMS!$D$11*AM653^3+BMILMS!$E$11*AM653^2+BMILMS!$F$11*AM653+BMILMS!$G$11)))</f>
        <v>0.79584630099999998</v>
      </c>
      <c r="AK653" s="4">
        <f>IF(D653="M",(IF(AM653&lt;2.5,BMILMS!$D$21*AM653^3+BMILMS!$E$21*AM653^2+BMILMS!$F$21*AM653+BMILMS!$G$21,IF(AM653&lt;9.5,BMILMS!$D$22*AM653^3+BMILMS!$E$22*AM653^2+BMILMS!$F$22*AM653+BMILMS!$G$22,IF(AM653&lt;26.75,BMILMS!$D$23*AM653^3+BMILMS!$E$23*AM653^2+BMILMS!$F$23*AM653+BMILMS!$G$23,IF(AM653&lt;90,BMILMS!$D$24*AM653^3+BMILMS!$E$24*AM653^2+BMILMS!$F$24*AM653+BMILMS!$G$24,BMILMS!$D$25*AM653^3+BMILMS!$E$25*AM653^2+BMILMS!$F$25*AM653+BMILMS!$G$25))))),(IF(AM653&lt;2.5,BMILMS!$D$27*AM653^3+BMILMS!$E$27*AM653^2+BMILMS!$F$27*AM653+BMILMS!$G$27,IF(AM653&lt;9.5,BMILMS!$D$28*AM653^3+BMILMS!$E$28*AM653^2+BMILMS!$F$28*AM653+BMILMS!$G$28,IF(AM653&lt;26.75,BMILMS!$D$29*AM653^3+BMILMS!$E$29*AM653^2+BMILMS!$F$29*AM653+BMILMS!$G$29,IF(AM653&lt;90,BMILMS!$D$30*AM653^3+BMILMS!$E$30*AM653^2+BMILMS!$F$30*AM653+BMILMS!$G$30,IF(AM653&lt;150,BMILMS!$D$31*AM653^3+BMILMS!$E$31*AM653^2+BMILMS!$F$31*AM653+BMILMS!$G$31,BMILMS!$D$32*AM653^3+BMILMS!$E$32*AM653^2+BMILMS!$F$32*AM653+BMILMS!$G$32)))))))</f>
        <v>12.568967990000001</v>
      </c>
      <c r="AL653" s="4">
        <f>IF(D653="M",(IF(AM653&lt;90,BMILMS!$D$14*AM653^3+BMILMS!$E$14*AM653^2+BMILMS!$F$14*AM653+BMILMS!$G$14,BMILMS!$D$15*AM653^3+BMILMS!$E$15*AM653^2+BMILMS!$F$15*AM653+BMILMS!$G$15)),(IF(AM653&lt;90,BMILMS!$D$17*AM653^3+BMILMS!$E$17*AM653^2+BMILMS!$F$17*AM653+BMILMS!$G$17,BMILMS!$D$18*AM653^3+BMILMS!$E$18*AM653^2+BMILMS!$F$18*AM653+BMILMS!$G$18)))</f>
        <v>8.8969350000000003E-2</v>
      </c>
      <c r="AM653" s="4">
        <f t="shared" si="230"/>
        <v>0</v>
      </c>
      <c r="AO653" s="56">
        <f>IF(D653="M",WeightSDS!P$5*$AM653^7+WeightSDS!Q$5*$AM653^6+WeightSDS!R$5*$AM653^5+WeightSDS!S$5*$AM653^4+WeightSDS!T$5*$AM653^3+WeightSDS!U$5*$AM653^2+WeightSDS!V$5*$AM653+WeightSDS!W$5,IF($AM653&lt;186,WeightSDS!P$8*$AM653^7+WeightSDS!Q$8*$AM653^6+WeightSDS!R$8*$AM653^5+WeightSDS!S$8*$AM653^4+WeightSDS!T$8*$AM653^3+WeightSDS!U$8*$AM653^2+WeightSDS!V$8*$AM653+WeightSDS!W$8,WeightSDS!$U$9+WeightSDS!$V$9*($AM653-WeightSDS!$W$9)))</f>
        <v>0.75407122999999998</v>
      </c>
      <c r="AP653" s="4">
        <f>IF(D653="M",IF($AM653&lt;45,WeightSDS!M$23*$AM653^10+WeightSDS!N$23*$AM653^9+WeightSDS!O$23*$AM653^8+WeightSDS!P$23*$AM653^7+WeightSDS!Q$23*$AM653^6+WeightSDS!R$23*$AM653^5+WeightSDS!S$23*$AM653^4+WeightSDS!T$23*$AM653^3+WeightSDS!U$23*$AM653^2+WeightSDS!V$23*$AM653+WeightSDS!W$23,IF($AM653&lt;153,WeightSDS!M$25*$AM653^10+WeightSDS!N$25*$AM653^9+WeightSDS!O$25*$AM653^8+WeightSDS!P$25*$AM653^7+WeightSDS!Q$25*$AM653^6+WeightSDS!R$25*$AM653^5+WeightSDS!S$25*$AM653^4+WeightSDS!T$25*$AM653^3+WeightSDS!U$25*$AM653^2+WeightSDS!V$25*$AM653+WeightSDS!W$25,WeightSDS!M$27+WeightSDS!N$27/(1+EXP(WeightSDS!O$27+WeightSDS!P$27*$AM653)))),IF($AM653&lt;43.8,WeightSDS!M$29*$AM653^10+WeightSDS!N$29*$AM653^9+WeightSDS!O$29*$AM653^8+WeightSDS!P$29*$AM653^7+WeightSDS!Q$29*$AM653^6+WeightSDS!R$29*$AM653^5+WeightSDS!S$29*$AM653^4+WeightSDS!T$29*$AM653^3+WeightSDS!U$29*$AM653^2+WeightSDS!V$29*$AM653+WeightSDS!W$29-0.010431*(1-$AM653/210),IF($AM653&lt;123,WeightSDS!M$30*$AM653^10+WeightSDS!N$30*$AM653^9+WeightSDS!O$30*$AM653^8+WeightSDS!P$30*$AM653^7+WeightSDS!Q$30*$AM653^6+WeightSDS!R$30*$AM653^5+WeightSDS!S$30*$AM653^4+WeightSDS!T$30*$AM653^3+WeightSDS!U$30*$AM653^2+WeightSDS!V$30*$AM653+WeightSDS!W$30-0.010431*(1-1/$AM653),WeightSDS!M$32+WeightSDS!N$32/(1+EXP(WeightSDS!O$32+WeightSDS!P$32*$AM653))-0.010431*(1-$AM653/210))))</f>
        <v>2.9500001032655536</v>
      </c>
      <c r="AQ653" s="4">
        <f>IF(D653="M",IF($AM653&lt;162,WeightSDS!P$12*$AM653^7+WeightSDS!Q$12*$AM653^6+WeightSDS!R$12*$AM653^5+WeightSDS!S$12*$AM653^4+WeightSDS!T$12*$AM653^3+WeightSDS!U$12*$AM653^2+WeightSDS!V$12*$AM653+WeightSDS!W$12,WeightSDS!P$14*$AM653^7+WeightSDS!Q$14*$AM653^6+WeightSDS!R$14*$AM653^5+WeightSDS!S$14*$AM653^4+WeightSDS!T$14*$AM653^3+WeightSDS!U$14*$AM653^2+WeightSDS!V$14*$AM653+WeightSDS!W$14),IF($AM653&lt;156,WeightSDS!O$17*$AM653^8+WeightSDS!P$17*$AM653^7+WeightSDS!Q$17*$AM653^6+WeightSDS!R$17*$AM653^5+WeightSDS!S$17*$AM653^4+WeightSDS!T$17*$AM653^3+WeightSDS!U$17*$AM653^2+WeightSDS!V$17*$AM653+WeightSDS!W$17,IF($AM653&lt;186,WeightSDS!$U$18+(WeightSDS!$V$18-WeightSDS!$U$18)/24*($AM653-186)+WeightSDS!$W$18*(-$AM653+186)^2-0.005,WeightSDS!$U$18+(WeightSDS!$V$18-WeightSDS!$U$18)/24*($AM653-186)-0.005)))</f>
        <v>0.14604529399999999</v>
      </c>
      <c r="AT653" s="4">
        <f t="shared" si="217"/>
        <v>0.56299999999999994</v>
      </c>
      <c r="AU653" s="4">
        <f t="shared" si="218"/>
        <v>69</v>
      </c>
      <c r="AV653" s="4">
        <f t="shared" si="219"/>
        <v>0.51</v>
      </c>
    </row>
    <row r="654" spans="1:48" x14ac:dyDescent="0.15">
      <c r="A654" s="4"/>
      <c r="B654" s="21"/>
      <c r="C654" s="21"/>
      <c r="D654" s="21"/>
      <c r="E654" s="22"/>
      <c r="F654" s="22"/>
      <c r="G654" s="23"/>
      <c r="H654" s="23"/>
      <c r="I654" s="181"/>
      <c r="J654" s="8" t="str">
        <f t="shared" si="211"/>
        <v/>
      </c>
      <c r="K654" s="2" t="str">
        <f t="shared" si="220"/>
        <v/>
      </c>
      <c r="L654" s="2" t="str">
        <f t="shared" si="212"/>
        <v/>
      </c>
      <c r="M654" s="2" t="str">
        <f t="shared" si="221"/>
        <v/>
      </c>
      <c r="N654" s="2" t="str">
        <f t="shared" si="229"/>
        <v/>
      </c>
      <c r="O654" s="2" t="str">
        <f t="shared" si="222"/>
        <v/>
      </c>
      <c r="P654" s="8" t="str">
        <f t="shared" si="223"/>
        <v/>
      </c>
      <c r="Q654" s="8" t="str">
        <f t="shared" si="224"/>
        <v/>
      </c>
      <c r="R654" s="111" t="str">
        <f t="shared" si="225"/>
        <v/>
      </c>
      <c r="S654" s="44" t="str">
        <f t="shared" si="226"/>
        <v/>
      </c>
      <c r="T654" s="37" t="str">
        <f t="shared" si="227"/>
        <v/>
      </c>
      <c r="U654" s="44" t="str">
        <f t="shared" si="228"/>
        <v/>
      </c>
      <c r="V654" s="26"/>
      <c r="W654" s="26"/>
      <c r="X654" s="26"/>
      <c r="Y654" s="26"/>
      <c r="Z654" s="24"/>
      <c r="AA654" s="169">
        <f t="shared" si="213"/>
        <v>0</v>
      </c>
      <c r="AB654" s="4">
        <f t="shared" si="214"/>
        <v>0</v>
      </c>
      <c r="AC654" s="170">
        <f t="shared" si="210"/>
        <v>0</v>
      </c>
      <c r="AD654" s="58"/>
      <c r="AE654" s="58"/>
      <c r="AF654" s="58"/>
      <c r="AG654" s="59">
        <f t="shared" si="215"/>
        <v>9.0359999999999996</v>
      </c>
      <c r="AH654" s="59">
        <f t="shared" si="216"/>
        <v>-184.49199999999999</v>
      </c>
      <c r="AJ654" s="4">
        <f>IF(D654="M",IF(AM654&lt;78,BMILMS!$D$5*AM654^3+BMILMS!$E$5*AM654^2+BMILMS!$F$5*AM654+BMILMS!$G$5,IF(AM654&lt;150,BMILMS!$D$6*AM654^3+BMILMS!$E$6*AM654^2+BMILMS!$F$6*AM654+BMILMS!$G$6,BMILMS!$D$7*AM654^3+BMILMS!$E$7*AM654^2+BMILMS!$F$7*AM654+BMILMS!$G$7)),IF(AM654&lt;69,BMILMS!$D$9*AM654^3+BMILMS!$E$9*AM654^2+BMILMS!$F$9*AM654+BMILMS!$G$9,IF(AM654&lt;150,BMILMS!$D$10*AM654^3+BMILMS!$E$10*AM654^2+BMILMS!$F$10*AM654+BMILMS!$G$10,BMILMS!$D$11*AM654^3+BMILMS!$E$11*AM654^2+BMILMS!$F$11*AM654+BMILMS!$G$11)))</f>
        <v>0.79584630099999998</v>
      </c>
      <c r="AK654" s="4">
        <f>IF(D654="M",(IF(AM654&lt;2.5,BMILMS!$D$21*AM654^3+BMILMS!$E$21*AM654^2+BMILMS!$F$21*AM654+BMILMS!$G$21,IF(AM654&lt;9.5,BMILMS!$D$22*AM654^3+BMILMS!$E$22*AM654^2+BMILMS!$F$22*AM654+BMILMS!$G$22,IF(AM654&lt;26.75,BMILMS!$D$23*AM654^3+BMILMS!$E$23*AM654^2+BMILMS!$F$23*AM654+BMILMS!$G$23,IF(AM654&lt;90,BMILMS!$D$24*AM654^3+BMILMS!$E$24*AM654^2+BMILMS!$F$24*AM654+BMILMS!$G$24,BMILMS!$D$25*AM654^3+BMILMS!$E$25*AM654^2+BMILMS!$F$25*AM654+BMILMS!$G$25))))),(IF(AM654&lt;2.5,BMILMS!$D$27*AM654^3+BMILMS!$E$27*AM654^2+BMILMS!$F$27*AM654+BMILMS!$G$27,IF(AM654&lt;9.5,BMILMS!$D$28*AM654^3+BMILMS!$E$28*AM654^2+BMILMS!$F$28*AM654+BMILMS!$G$28,IF(AM654&lt;26.75,BMILMS!$D$29*AM654^3+BMILMS!$E$29*AM654^2+BMILMS!$F$29*AM654+BMILMS!$G$29,IF(AM654&lt;90,BMILMS!$D$30*AM654^3+BMILMS!$E$30*AM654^2+BMILMS!$F$30*AM654+BMILMS!$G$30,IF(AM654&lt;150,BMILMS!$D$31*AM654^3+BMILMS!$E$31*AM654^2+BMILMS!$F$31*AM654+BMILMS!$G$31,BMILMS!$D$32*AM654^3+BMILMS!$E$32*AM654^2+BMILMS!$F$32*AM654+BMILMS!$G$32)))))))</f>
        <v>12.568967990000001</v>
      </c>
      <c r="AL654" s="4">
        <f>IF(D654="M",(IF(AM654&lt;90,BMILMS!$D$14*AM654^3+BMILMS!$E$14*AM654^2+BMILMS!$F$14*AM654+BMILMS!$G$14,BMILMS!$D$15*AM654^3+BMILMS!$E$15*AM654^2+BMILMS!$F$15*AM654+BMILMS!$G$15)),(IF(AM654&lt;90,BMILMS!$D$17*AM654^3+BMILMS!$E$17*AM654^2+BMILMS!$F$17*AM654+BMILMS!$G$17,BMILMS!$D$18*AM654^3+BMILMS!$E$18*AM654^2+BMILMS!$F$18*AM654+BMILMS!$G$18)))</f>
        <v>8.8969350000000003E-2</v>
      </c>
      <c r="AM654" s="4">
        <f t="shared" si="230"/>
        <v>0</v>
      </c>
      <c r="AO654" s="56">
        <f>IF(D654="M",WeightSDS!P$5*$AM654^7+WeightSDS!Q$5*$AM654^6+WeightSDS!R$5*$AM654^5+WeightSDS!S$5*$AM654^4+WeightSDS!T$5*$AM654^3+WeightSDS!U$5*$AM654^2+WeightSDS!V$5*$AM654+WeightSDS!W$5,IF($AM654&lt;186,WeightSDS!P$8*$AM654^7+WeightSDS!Q$8*$AM654^6+WeightSDS!R$8*$AM654^5+WeightSDS!S$8*$AM654^4+WeightSDS!T$8*$AM654^3+WeightSDS!U$8*$AM654^2+WeightSDS!V$8*$AM654+WeightSDS!W$8,WeightSDS!$U$9+WeightSDS!$V$9*($AM654-WeightSDS!$W$9)))</f>
        <v>0.75407122999999998</v>
      </c>
      <c r="AP654" s="4">
        <f>IF(D654="M",IF($AM654&lt;45,WeightSDS!M$23*$AM654^10+WeightSDS!N$23*$AM654^9+WeightSDS!O$23*$AM654^8+WeightSDS!P$23*$AM654^7+WeightSDS!Q$23*$AM654^6+WeightSDS!R$23*$AM654^5+WeightSDS!S$23*$AM654^4+WeightSDS!T$23*$AM654^3+WeightSDS!U$23*$AM654^2+WeightSDS!V$23*$AM654+WeightSDS!W$23,IF($AM654&lt;153,WeightSDS!M$25*$AM654^10+WeightSDS!N$25*$AM654^9+WeightSDS!O$25*$AM654^8+WeightSDS!P$25*$AM654^7+WeightSDS!Q$25*$AM654^6+WeightSDS!R$25*$AM654^5+WeightSDS!S$25*$AM654^4+WeightSDS!T$25*$AM654^3+WeightSDS!U$25*$AM654^2+WeightSDS!V$25*$AM654+WeightSDS!W$25,WeightSDS!M$27+WeightSDS!N$27/(1+EXP(WeightSDS!O$27+WeightSDS!P$27*$AM654)))),IF($AM654&lt;43.8,WeightSDS!M$29*$AM654^10+WeightSDS!N$29*$AM654^9+WeightSDS!O$29*$AM654^8+WeightSDS!P$29*$AM654^7+WeightSDS!Q$29*$AM654^6+WeightSDS!R$29*$AM654^5+WeightSDS!S$29*$AM654^4+WeightSDS!T$29*$AM654^3+WeightSDS!U$29*$AM654^2+WeightSDS!V$29*$AM654+WeightSDS!W$29-0.010431*(1-$AM654/210),IF($AM654&lt;123,WeightSDS!M$30*$AM654^10+WeightSDS!N$30*$AM654^9+WeightSDS!O$30*$AM654^8+WeightSDS!P$30*$AM654^7+WeightSDS!Q$30*$AM654^6+WeightSDS!R$30*$AM654^5+WeightSDS!S$30*$AM654^4+WeightSDS!T$30*$AM654^3+WeightSDS!U$30*$AM654^2+WeightSDS!V$30*$AM654+WeightSDS!W$30-0.010431*(1-1/$AM654),WeightSDS!M$32+WeightSDS!N$32/(1+EXP(WeightSDS!O$32+WeightSDS!P$32*$AM654))-0.010431*(1-$AM654/210))))</f>
        <v>2.9500001032655536</v>
      </c>
      <c r="AQ654" s="4">
        <f>IF(D654="M",IF($AM654&lt;162,WeightSDS!P$12*$AM654^7+WeightSDS!Q$12*$AM654^6+WeightSDS!R$12*$AM654^5+WeightSDS!S$12*$AM654^4+WeightSDS!T$12*$AM654^3+WeightSDS!U$12*$AM654^2+WeightSDS!V$12*$AM654+WeightSDS!W$12,WeightSDS!P$14*$AM654^7+WeightSDS!Q$14*$AM654^6+WeightSDS!R$14*$AM654^5+WeightSDS!S$14*$AM654^4+WeightSDS!T$14*$AM654^3+WeightSDS!U$14*$AM654^2+WeightSDS!V$14*$AM654+WeightSDS!W$14),IF($AM654&lt;156,WeightSDS!O$17*$AM654^8+WeightSDS!P$17*$AM654^7+WeightSDS!Q$17*$AM654^6+WeightSDS!R$17*$AM654^5+WeightSDS!S$17*$AM654^4+WeightSDS!T$17*$AM654^3+WeightSDS!U$17*$AM654^2+WeightSDS!V$17*$AM654+WeightSDS!W$17,IF($AM654&lt;186,WeightSDS!$U$18+(WeightSDS!$V$18-WeightSDS!$U$18)/24*($AM654-186)+WeightSDS!$W$18*(-$AM654+186)^2-0.005,WeightSDS!$U$18+(WeightSDS!$V$18-WeightSDS!$U$18)/24*($AM654-186)-0.005)))</f>
        <v>0.14604529399999999</v>
      </c>
      <c r="AT654" s="4">
        <f t="shared" si="217"/>
        <v>0.56299999999999994</v>
      </c>
      <c r="AU654" s="4">
        <f t="shared" si="218"/>
        <v>69</v>
      </c>
      <c r="AV654" s="4">
        <f t="shared" si="219"/>
        <v>0.51</v>
      </c>
    </row>
    <row r="655" spans="1:48" x14ac:dyDescent="0.15">
      <c r="A655" s="4"/>
      <c r="B655" s="21"/>
      <c r="C655" s="21"/>
      <c r="D655" s="21"/>
      <c r="E655" s="22"/>
      <c r="F655" s="22"/>
      <c r="G655" s="23"/>
      <c r="H655" s="23"/>
      <c r="I655" s="181"/>
      <c r="J655" s="8" t="str">
        <f t="shared" si="211"/>
        <v/>
      </c>
      <c r="K655" s="2" t="str">
        <f t="shared" si="220"/>
        <v/>
      </c>
      <c r="L655" s="2" t="str">
        <f t="shared" si="212"/>
        <v/>
      </c>
      <c r="M655" s="2" t="str">
        <f t="shared" si="221"/>
        <v/>
      </c>
      <c r="N655" s="2" t="str">
        <f t="shared" si="229"/>
        <v/>
      </c>
      <c r="O655" s="2" t="str">
        <f t="shared" si="222"/>
        <v/>
      </c>
      <c r="P655" s="8" t="str">
        <f t="shared" si="223"/>
        <v/>
      </c>
      <c r="Q655" s="8" t="str">
        <f t="shared" si="224"/>
        <v/>
      </c>
      <c r="R655" s="111" t="str">
        <f t="shared" si="225"/>
        <v/>
      </c>
      <c r="S655" s="44" t="str">
        <f t="shared" si="226"/>
        <v/>
      </c>
      <c r="T655" s="37" t="str">
        <f t="shared" si="227"/>
        <v/>
      </c>
      <c r="U655" s="44" t="str">
        <f t="shared" si="228"/>
        <v/>
      </c>
      <c r="V655" s="26"/>
      <c r="W655" s="26"/>
      <c r="X655" s="26"/>
      <c r="Y655" s="26"/>
      <c r="Z655" s="24"/>
      <c r="AA655" s="169">
        <f t="shared" si="213"/>
        <v>0</v>
      </c>
      <c r="AB655" s="4">
        <f t="shared" si="214"/>
        <v>0</v>
      </c>
      <c r="AC655" s="170">
        <f t="shared" si="210"/>
        <v>0</v>
      </c>
      <c r="AD655" s="58"/>
      <c r="AE655" s="58"/>
      <c r="AF655" s="58"/>
      <c r="AG655" s="59">
        <f t="shared" si="215"/>
        <v>9.0359999999999996</v>
      </c>
      <c r="AH655" s="59">
        <f t="shared" si="216"/>
        <v>-184.49199999999999</v>
      </c>
      <c r="AJ655" s="4">
        <f>IF(D655="M",IF(AM655&lt;78,BMILMS!$D$5*AM655^3+BMILMS!$E$5*AM655^2+BMILMS!$F$5*AM655+BMILMS!$G$5,IF(AM655&lt;150,BMILMS!$D$6*AM655^3+BMILMS!$E$6*AM655^2+BMILMS!$F$6*AM655+BMILMS!$G$6,BMILMS!$D$7*AM655^3+BMILMS!$E$7*AM655^2+BMILMS!$F$7*AM655+BMILMS!$G$7)),IF(AM655&lt;69,BMILMS!$D$9*AM655^3+BMILMS!$E$9*AM655^2+BMILMS!$F$9*AM655+BMILMS!$G$9,IF(AM655&lt;150,BMILMS!$D$10*AM655^3+BMILMS!$E$10*AM655^2+BMILMS!$F$10*AM655+BMILMS!$G$10,BMILMS!$D$11*AM655^3+BMILMS!$E$11*AM655^2+BMILMS!$F$11*AM655+BMILMS!$G$11)))</f>
        <v>0.79584630099999998</v>
      </c>
      <c r="AK655" s="4">
        <f>IF(D655="M",(IF(AM655&lt;2.5,BMILMS!$D$21*AM655^3+BMILMS!$E$21*AM655^2+BMILMS!$F$21*AM655+BMILMS!$G$21,IF(AM655&lt;9.5,BMILMS!$D$22*AM655^3+BMILMS!$E$22*AM655^2+BMILMS!$F$22*AM655+BMILMS!$G$22,IF(AM655&lt;26.75,BMILMS!$D$23*AM655^3+BMILMS!$E$23*AM655^2+BMILMS!$F$23*AM655+BMILMS!$G$23,IF(AM655&lt;90,BMILMS!$D$24*AM655^3+BMILMS!$E$24*AM655^2+BMILMS!$F$24*AM655+BMILMS!$G$24,BMILMS!$D$25*AM655^3+BMILMS!$E$25*AM655^2+BMILMS!$F$25*AM655+BMILMS!$G$25))))),(IF(AM655&lt;2.5,BMILMS!$D$27*AM655^3+BMILMS!$E$27*AM655^2+BMILMS!$F$27*AM655+BMILMS!$G$27,IF(AM655&lt;9.5,BMILMS!$D$28*AM655^3+BMILMS!$E$28*AM655^2+BMILMS!$F$28*AM655+BMILMS!$G$28,IF(AM655&lt;26.75,BMILMS!$D$29*AM655^3+BMILMS!$E$29*AM655^2+BMILMS!$F$29*AM655+BMILMS!$G$29,IF(AM655&lt;90,BMILMS!$D$30*AM655^3+BMILMS!$E$30*AM655^2+BMILMS!$F$30*AM655+BMILMS!$G$30,IF(AM655&lt;150,BMILMS!$D$31*AM655^3+BMILMS!$E$31*AM655^2+BMILMS!$F$31*AM655+BMILMS!$G$31,BMILMS!$D$32*AM655^3+BMILMS!$E$32*AM655^2+BMILMS!$F$32*AM655+BMILMS!$G$32)))))))</f>
        <v>12.568967990000001</v>
      </c>
      <c r="AL655" s="4">
        <f>IF(D655="M",(IF(AM655&lt;90,BMILMS!$D$14*AM655^3+BMILMS!$E$14*AM655^2+BMILMS!$F$14*AM655+BMILMS!$G$14,BMILMS!$D$15*AM655^3+BMILMS!$E$15*AM655^2+BMILMS!$F$15*AM655+BMILMS!$G$15)),(IF(AM655&lt;90,BMILMS!$D$17*AM655^3+BMILMS!$E$17*AM655^2+BMILMS!$F$17*AM655+BMILMS!$G$17,BMILMS!$D$18*AM655^3+BMILMS!$E$18*AM655^2+BMILMS!$F$18*AM655+BMILMS!$G$18)))</f>
        <v>8.8969350000000003E-2</v>
      </c>
      <c r="AM655" s="4">
        <f t="shared" si="230"/>
        <v>0</v>
      </c>
      <c r="AO655" s="56">
        <f>IF(D655="M",WeightSDS!P$5*$AM655^7+WeightSDS!Q$5*$AM655^6+WeightSDS!R$5*$AM655^5+WeightSDS!S$5*$AM655^4+WeightSDS!T$5*$AM655^3+WeightSDS!U$5*$AM655^2+WeightSDS!V$5*$AM655+WeightSDS!W$5,IF($AM655&lt;186,WeightSDS!P$8*$AM655^7+WeightSDS!Q$8*$AM655^6+WeightSDS!R$8*$AM655^5+WeightSDS!S$8*$AM655^4+WeightSDS!T$8*$AM655^3+WeightSDS!U$8*$AM655^2+WeightSDS!V$8*$AM655+WeightSDS!W$8,WeightSDS!$U$9+WeightSDS!$V$9*($AM655-WeightSDS!$W$9)))</f>
        <v>0.75407122999999998</v>
      </c>
      <c r="AP655" s="4">
        <f>IF(D655="M",IF($AM655&lt;45,WeightSDS!M$23*$AM655^10+WeightSDS!N$23*$AM655^9+WeightSDS!O$23*$AM655^8+WeightSDS!P$23*$AM655^7+WeightSDS!Q$23*$AM655^6+WeightSDS!R$23*$AM655^5+WeightSDS!S$23*$AM655^4+WeightSDS!T$23*$AM655^3+WeightSDS!U$23*$AM655^2+WeightSDS!V$23*$AM655+WeightSDS!W$23,IF($AM655&lt;153,WeightSDS!M$25*$AM655^10+WeightSDS!N$25*$AM655^9+WeightSDS!O$25*$AM655^8+WeightSDS!P$25*$AM655^7+WeightSDS!Q$25*$AM655^6+WeightSDS!R$25*$AM655^5+WeightSDS!S$25*$AM655^4+WeightSDS!T$25*$AM655^3+WeightSDS!U$25*$AM655^2+WeightSDS!V$25*$AM655+WeightSDS!W$25,WeightSDS!M$27+WeightSDS!N$27/(1+EXP(WeightSDS!O$27+WeightSDS!P$27*$AM655)))),IF($AM655&lt;43.8,WeightSDS!M$29*$AM655^10+WeightSDS!N$29*$AM655^9+WeightSDS!O$29*$AM655^8+WeightSDS!P$29*$AM655^7+WeightSDS!Q$29*$AM655^6+WeightSDS!R$29*$AM655^5+WeightSDS!S$29*$AM655^4+WeightSDS!T$29*$AM655^3+WeightSDS!U$29*$AM655^2+WeightSDS!V$29*$AM655+WeightSDS!W$29-0.010431*(1-$AM655/210),IF($AM655&lt;123,WeightSDS!M$30*$AM655^10+WeightSDS!N$30*$AM655^9+WeightSDS!O$30*$AM655^8+WeightSDS!P$30*$AM655^7+WeightSDS!Q$30*$AM655^6+WeightSDS!R$30*$AM655^5+WeightSDS!S$30*$AM655^4+WeightSDS!T$30*$AM655^3+WeightSDS!U$30*$AM655^2+WeightSDS!V$30*$AM655+WeightSDS!W$30-0.010431*(1-1/$AM655),WeightSDS!M$32+WeightSDS!N$32/(1+EXP(WeightSDS!O$32+WeightSDS!P$32*$AM655))-0.010431*(1-$AM655/210))))</f>
        <v>2.9500001032655536</v>
      </c>
      <c r="AQ655" s="4">
        <f>IF(D655="M",IF($AM655&lt;162,WeightSDS!P$12*$AM655^7+WeightSDS!Q$12*$AM655^6+WeightSDS!R$12*$AM655^5+WeightSDS!S$12*$AM655^4+WeightSDS!T$12*$AM655^3+WeightSDS!U$12*$AM655^2+WeightSDS!V$12*$AM655+WeightSDS!W$12,WeightSDS!P$14*$AM655^7+WeightSDS!Q$14*$AM655^6+WeightSDS!R$14*$AM655^5+WeightSDS!S$14*$AM655^4+WeightSDS!T$14*$AM655^3+WeightSDS!U$14*$AM655^2+WeightSDS!V$14*$AM655+WeightSDS!W$14),IF($AM655&lt;156,WeightSDS!O$17*$AM655^8+WeightSDS!P$17*$AM655^7+WeightSDS!Q$17*$AM655^6+WeightSDS!R$17*$AM655^5+WeightSDS!S$17*$AM655^4+WeightSDS!T$17*$AM655^3+WeightSDS!U$17*$AM655^2+WeightSDS!V$17*$AM655+WeightSDS!W$17,IF($AM655&lt;186,WeightSDS!$U$18+(WeightSDS!$V$18-WeightSDS!$U$18)/24*($AM655-186)+WeightSDS!$W$18*(-$AM655+186)^2-0.005,WeightSDS!$U$18+(WeightSDS!$V$18-WeightSDS!$U$18)/24*($AM655-186)-0.005)))</f>
        <v>0.14604529399999999</v>
      </c>
      <c r="AT655" s="4">
        <f t="shared" si="217"/>
        <v>0.56299999999999994</v>
      </c>
      <c r="AU655" s="4">
        <f t="shared" si="218"/>
        <v>69</v>
      </c>
      <c r="AV655" s="4">
        <f t="shared" si="219"/>
        <v>0.51</v>
      </c>
    </row>
    <row r="656" spans="1:48" x14ac:dyDescent="0.15">
      <c r="A656" s="4"/>
      <c r="B656" s="21"/>
      <c r="C656" s="21"/>
      <c r="D656" s="21"/>
      <c r="E656" s="22"/>
      <c r="F656" s="22"/>
      <c r="G656" s="23"/>
      <c r="H656" s="23"/>
      <c r="I656" s="181"/>
      <c r="J656" s="8" t="str">
        <f t="shared" si="211"/>
        <v/>
      </c>
      <c r="K656" s="2" t="str">
        <f t="shared" si="220"/>
        <v/>
      </c>
      <c r="L656" s="2" t="str">
        <f t="shared" si="212"/>
        <v/>
      </c>
      <c r="M656" s="2" t="str">
        <f t="shared" si="221"/>
        <v/>
      </c>
      <c r="N656" s="2" t="str">
        <f t="shared" si="229"/>
        <v/>
      </c>
      <c r="O656" s="2" t="str">
        <f t="shared" si="222"/>
        <v/>
      </c>
      <c r="P656" s="8" t="str">
        <f t="shared" si="223"/>
        <v/>
      </c>
      <c r="Q656" s="8" t="str">
        <f t="shared" si="224"/>
        <v/>
      </c>
      <c r="R656" s="111" t="str">
        <f t="shared" si="225"/>
        <v/>
      </c>
      <c r="S656" s="44" t="str">
        <f t="shared" si="226"/>
        <v/>
      </c>
      <c r="T656" s="37" t="str">
        <f t="shared" si="227"/>
        <v/>
      </c>
      <c r="U656" s="44" t="str">
        <f t="shared" si="228"/>
        <v/>
      </c>
      <c r="V656" s="26"/>
      <c r="W656" s="26"/>
      <c r="X656" s="26"/>
      <c r="Y656" s="26"/>
      <c r="Z656" s="24"/>
      <c r="AA656" s="169">
        <f t="shared" si="213"/>
        <v>0</v>
      </c>
      <c r="AB656" s="4">
        <f t="shared" si="214"/>
        <v>0</v>
      </c>
      <c r="AC656" s="170">
        <f t="shared" si="210"/>
        <v>0</v>
      </c>
      <c r="AD656" s="58"/>
      <c r="AE656" s="58"/>
      <c r="AF656" s="58"/>
      <c r="AG656" s="59">
        <f t="shared" si="215"/>
        <v>9.0359999999999996</v>
      </c>
      <c r="AH656" s="59">
        <f t="shared" si="216"/>
        <v>-184.49199999999999</v>
      </c>
      <c r="AJ656" s="4">
        <f>IF(D656="M",IF(AM656&lt;78,BMILMS!$D$5*AM656^3+BMILMS!$E$5*AM656^2+BMILMS!$F$5*AM656+BMILMS!$G$5,IF(AM656&lt;150,BMILMS!$D$6*AM656^3+BMILMS!$E$6*AM656^2+BMILMS!$F$6*AM656+BMILMS!$G$6,BMILMS!$D$7*AM656^3+BMILMS!$E$7*AM656^2+BMILMS!$F$7*AM656+BMILMS!$G$7)),IF(AM656&lt;69,BMILMS!$D$9*AM656^3+BMILMS!$E$9*AM656^2+BMILMS!$F$9*AM656+BMILMS!$G$9,IF(AM656&lt;150,BMILMS!$D$10*AM656^3+BMILMS!$E$10*AM656^2+BMILMS!$F$10*AM656+BMILMS!$G$10,BMILMS!$D$11*AM656^3+BMILMS!$E$11*AM656^2+BMILMS!$F$11*AM656+BMILMS!$G$11)))</f>
        <v>0.79584630099999998</v>
      </c>
      <c r="AK656" s="4">
        <f>IF(D656="M",(IF(AM656&lt;2.5,BMILMS!$D$21*AM656^3+BMILMS!$E$21*AM656^2+BMILMS!$F$21*AM656+BMILMS!$G$21,IF(AM656&lt;9.5,BMILMS!$D$22*AM656^3+BMILMS!$E$22*AM656^2+BMILMS!$F$22*AM656+BMILMS!$G$22,IF(AM656&lt;26.75,BMILMS!$D$23*AM656^3+BMILMS!$E$23*AM656^2+BMILMS!$F$23*AM656+BMILMS!$G$23,IF(AM656&lt;90,BMILMS!$D$24*AM656^3+BMILMS!$E$24*AM656^2+BMILMS!$F$24*AM656+BMILMS!$G$24,BMILMS!$D$25*AM656^3+BMILMS!$E$25*AM656^2+BMILMS!$F$25*AM656+BMILMS!$G$25))))),(IF(AM656&lt;2.5,BMILMS!$D$27*AM656^3+BMILMS!$E$27*AM656^2+BMILMS!$F$27*AM656+BMILMS!$G$27,IF(AM656&lt;9.5,BMILMS!$D$28*AM656^3+BMILMS!$E$28*AM656^2+BMILMS!$F$28*AM656+BMILMS!$G$28,IF(AM656&lt;26.75,BMILMS!$D$29*AM656^3+BMILMS!$E$29*AM656^2+BMILMS!$F$29*AM656+BMILMS!$G$29,IF(AM656&lt;90,BMILMS!$D$30*AM656^3+BMILMS!$E$30*AM656^2+BMILMS!$F$30*AM656+BMILMS!$G$30,IF(AM656&lt;150,BMILMS!$D$31*AM656^3+BMILMS!$E$31*AM656^2+BMILMS!$F$31*AM656+BMILMS!$G$31,BMILMS!$D$32*AM656^3+BMILMS!$E$32*AM656^2+BMILMS!$F$32*AM656+BMILMS!$G$32)))))))</f>
        <v>12.568967990000001</v>
      </c>
      <c r="AL656" s="4">
        <f>IF(D656="M",(IF(AM656&lt;90,BMILMS!$D$14*AM656^3+BMILMS!$E$14*AM656^2+BMILMS!$F$14*AM656+BMILMS!$G$14,BMILMS!$D$15*AM656^3+BMILMS!$E$15*AM656^2+BMILMS!$F$15*AM656+BMILMS!$G$15)),(IF(AM656&lt;90,BMILMS!$D$17*AM656^3+BMILMS!$E$17*AM656^2+BMILMS!$F$17*AM656+BMILMS!$G$17,BMILMS!$D$18*AM656^3+BMILMS!$E$18*AM656^2+BMILMS!$F$18*AM656+BMILMS!$G$18)))</f>
        <v>8.8969350000000003E-2</v>
      </c>
      <c r="AM656" s="4">
        <f t="shared" si="230"/>
        <v>0</v>
      </c>
      <c r="AO656" s="56">
        <f>IF(D656="M",WeightSDS!P$5*$AM656^7+WeightSDS!Q$5*$AM656^6+WeightSDS!R$5*$AM656^5+WeightSDS!S$5*$AM656^4+WeightSDS!T$5*$AM656^3+WeightSDS!U$5*$AM656^2+WeightSDS!V$5*$AM656+WeightSDS!W$5,IF($AM656&lt;186,WeightSDS!P$8*$AM656^7+WeightSDS!Q$8*$AM656^6+WeightSDS!R$8*$AM656^5+WeightSDS!S$8*$AM656^4+WeightSDS!T$8*$AM656^3+WeightSDS!U$8*$AM656^2+WeightSDS!V$8*$AM656+WeightSDS!W$8,WeightSDS!$U$9+WeightSDS!$V$9*($AM656-WeightSDS!$W$9)))</f>
        <v>0.75407122999999998</v>
      </c>
      <c r="AP656" s="4">
        <f>IF(D656="M",IF($AM656&lt;45,WeightSDS!M$23*$AM656^10+WeightSDS!N$23*$AM656^9+WeightSDS!O$23*$AM656^8+WeightSDS!P$23*$AM656^7+WeightSDS!Q$23*$AM656^6+WeightSDS!R$23*$AM656^5+WeightSDS!S$23*$AM656^4+WeightSDS!T$23*$AM656^3+WeightSDS!U$23*$AM656^2+WeightSDS!V$23*$AM656+WeightSDS!W$23,IF($AM656&lt;153,WeightSDS!M$25*$AM656^10+WeightSDS!N$25*$AM656^9+WeightSDS!O$25*$AM656^8+WeightSDS!P$25*$AM656^7+WeightSDS!Q$25*$AM656^6+WeightSDS!R$25*$AM656^5+WeightSDS!S$25*$AM656^4+WeightSDS!T$25*$AM656^3+WeightSDS!U$25*$AM656^2+WeightSDS!V$25*$AM656+WeightSDS!W$25,WeightSDS!M$27+WeightSDS!N$27/(1+EXP(WeightSDS!O$27+WeightSDS!P$27*$AM656)))),IF($AM656&lt;43.8,WeightSDS!M$29*$AM656^10+WeightSDS!N$29*$AM656^9+WeightSDS!O$29*$AM656^8+WeightSDS!P$29*$AM656^7+WeightSDS!Q$29*$AM656^6+WeightSDS!R$29*$AM656^5+WeightSDS!S$29*$AM656^4+WeightSDS!T$29*$AM656^3+WeightSDS!U$29*$AM656^2+WeightSDS!V$29*$AM656+WeightSDS!W$29-0.010431*(1-$AM656/210),IF($AM656&lt;123,WeightSDS!M$30*$AM656^10+WeightSDS!N$30*$AM656^9+WeightSDS!O$30*$AM656^8+WeightSDS!P$30*$AM656^7+WeightSDS!Q$30*$AM656^6+WeightSDS!R$30*$AM656^5+WeightSDS!S$30*$AM656^4+WeightSDS!T$30*$AM656^3+WeightSDS!U$30*$AM656^2+WeightSDS!V$30*$AM656+WeightSDS!W$30-0.010431*(1-1/$AM656),WeightSDS!M$32+WeightSDS!N$32/(1+EXP(WeightSDS!O$32+WeightSDS!P$32*$AM656))-0.010431*(1-$AM656/210))))</f>
        <v>2.9500001032655536</v>
      </c>
      <c r="AQ656" s="4">
        <f>IF(D656="M",IF($AM656&lt;162,WeightSDS!P$12*$AM656^7+WeightSDS!Q$12*$AM656^6+WeightSDS!R$12*$AM656^5+WeightSDS!S$12*$AM656^4+WeightSDS!T$12*$AM656^3+WeightSDS!U$12*$AM656^2+WeightSDS!V$12*$AM656+WeightSDS!W$12,WeightSDS!P$14*$AM656^7+WeightSDS!Q$14*$AM656^6+WeightSDS!R$14*$AM656^5+WeightSDS!S$14*$AM656^4+WeightSDS!T$14*$AM656^3+WeightSDS!U$14*$AM656^2+WeightSDS!V$14*$AM656+WeightSDS!W$14),IF($AM656&lt;156,WeightSDS!O$17*$AM656^8+WeightSDS!P$17*$AM656^7+WeightSDS!Q$17*$AM656^6+WeightSDS!R$17*$AM656^5+WeightSDS!S$17*$AM656^4+WeightSDS!T$17*$AM656^3+WeightSDS!U$17*$AM656^2+WeightSDS!V$17*$AM656+WeightSDS!W$17,IF($AM656&lt;186,WeightSDS!$U$18+(WeightSDS!$V$18-WeightSDS!$U$18)/24*($AM656-186)+WeightSDS!$W$18*(-$AM656+186)^2-0.005,WeightSDS!$U$18+(WeightSDS!$V$18-WeightSDS!$U$18)/24*($AM656-186)-0.005)))</f>
        <v>0.14604529399999999</v>
      </c>
      <c r="AT656" s="4">
        <f t="shared" si="217"/>
        <v>0.56299999999999994</v>
      </c>
      <c r="AU656" s="4">
        <f t="shared" si="218"/>
        <v>69</v>
      </c>
      <c r="AV656" s="4">
        <f t="shared" si="219"/>
        <v>0.51</v>
      </c>
    </row>
    <row r="657" spans="1:48" x14ac:dyDescent="0.15">
      <c r="A657" s="4"/>
      <c r="B657" s="21"/>
      <c r="C657" s="21"/>
      <c r="D657" s="21"/>
      <c r="E657" s="22"/>
      <c r="F657" s="22"/>
      <c r="G657" s="23"/>
      <c r="H657" s="23"/>
      <c r="I657" s="181"/>
      <c r="J657" s="8" t="str">
        <f t="shared" si="211"/>
        <v/>
      </c>
      <c r="K657" s="2" t="str">
        <f t="shared" si="220"/>
        <v/>
      </c>
      <c r="L657" s="2" t="str">
        <f t="shared" si="212"/>
        <v/>
      </c>
      <c r="M657" s="2" t="str">
        <f t="shared" si="221"/>
        <v/>
      </c>
      <c r="N657" s="2" t="str">
        <f t="shared" si="229"/>
        <v/>
      </c>
      <c r="O657" s="2" t="str">
        <f t="shared" si="222"/>
        <v/>
      </c>
      <c r="P657" s="8" t="str">
        <f t="shared" si="223"/>
        <v/>
      </c>
      <c r="Q657" s="8" t="str">
        <f t="shared" si="224"/>
        <v/>
      </c>
      <c r="R657" s="111" t="str">
        <f t="shared" si="225"/>
        <v/>
      </c>
      <c r="S657" s="44" t="str">
        <f t="shared" si="226"/>
        <v/>
      </c>
      <c r="T657" s="37" t="str">
        <f t="shared" si="227"/>
        <v/>
      </c>
      <c r="U657" s="44" t="str">
        <f t="shared" si="228"/>
        <v/>
      </c>
      <c r="V657" s="26"/>
      <c r="W657" s="26"/>
      <c r="X657" s="26"/>
      <c r="Y657" s="26"/>
      <c r="Z657" s="24"/>
      <c r="AA657" s="169">
        <f t="shared" si="213"/>
        <v>0</v>
      </c>
      <c r="AB657" s="4">
        <f t="shared" si="214"/>
        <v>0</v>
      </c>
      <c r="AC657" s="170">
        <f t="shared" si="210"/>
        <v>0</v>
      </c>
      <c r="AD657" s="58"/>
      <c r="AE657" s="58"/>
      <c r="AF657" s="58"/>
      <c r="AG657" s="59">
        <f t="shared" si="215"/>
        <v>9.0359999999999996</v>
      </c>
      <c r="AH657" s="59">
        <f t="shared" si="216"/>
        <v>-184.49199999999999</v>
      </c>
      <c r="AJ657" s="4">
        <f>IF(D657="M",IF(AM657&lt;78,BMILMS!$D$5*AM657^3+BMILMS!$E$5*AM657^2+BMILMS!$F$5*AM657+BMILMS!$G$5,IF(AM657&lt;150,BMILMS!$D$6*AM657^3+BMILMS!$E$6*AM657^2+BMILMS!$F$6*AM657+BMILMS!$G$6,BMILMS!$D$7*AM657^3+BMILMS!$E$7*AM657^2+BMILMS!$F$7*AM657+BMILMS!$G$7)),IF(AM657&lt;69,BMILMS!$D$9*AM657^3+BMILMS!$E$9*AM657^2+BMILMS!$F$9*AM657+BMILMS!$G$9,IF(AM657&lt;150,BMILMS!$D$10*AM657^3+BMILMS!$E$10*AM657^2+BMILMS!$F$10*AM657+BMILMS!$G$10,BMILMS!$D$11*AM657^3+BMILMS!$E$11*AM657^2+BMILMS!$F$11*AM657+BMILMS!$G$11)))</f>
        <v>0.79584630099999998</v>
      </c>
      <c r="AK657" s="4">
        <f>IF(D657="M",(IF(AM657&lt;2.5,BMILMS!$D$21*AM657^3+BMILMS!$E$21*AM657^2+BMILMS!$F$21*AM657+BMILMS!$G$21,IF(AM657&lt;9.5,BMILMS!$D$22*AM657^3+BMILMS!$E$22*AM657^2+BMILMS!$F$22*AM657+BMILMS!$G$22,IF(AM657&lt;26.75,BMILMS!$D$23*AM657^3+BMILMS!$E$23*AM657^2+BMILMS!$F$23*AM657+BMILMS!$G$23,IF(AM657&lt;90,BMILMS!$D$24*AM657^3+BMILMS!$E$24*AM657^2+BMILMS!$F$24*AM657+BMILMS!$G$24,BMILMS!$D$25*AM657^3+BMILMS!$E$25*AM657^2+BMILMS!$F$25*AM657+BMILMS!$G$25))))),(IF(AM657&lt;2.5,BMILMS!$D$27*AM657^3+BMILMS!$E$27*AM657^2+BMILMS!$F$27*AM657+BMILMS!$G$27,IF(AM657&lt;9.5,BMILMS!$D$28*AM657^3+BMILMS!$E$28*AM657^2+BMILMS!$F$28*AM657+BMILMS!$G$28,IF(AM657&lt;26.75,BMILMS!$D$29*AM657^3+BMILMS!$E$29*AM657^2+BMILMS!$F$29*AM657+BMILMS!$G$29,IF(AM657&lt;90,BMILMS!$D$30*AM657^3+BMILMS!$E$30*AM657^2+BMILMS!$F$30*AM657+BMILMS!$G$30,IF(AM657&lt;150,BMILMS!$D$31*AM657^3+BMILMS!$E$31*AM657^2+BMILMS!$F$31*AM657+BMILMS!$G$31,BMILMS!$D$32*AM657^3+BMILMS!$E$32*AM657^2+BMILMS!$F$32*AM657+BMILMS!$G$32)))))))</f>
        <v>12.568967990000001</v>
      </c>
      <c r="AL657" s="4">
        <f>IF(D657="M",(IF(AM657&lt;90,BMILMS!$D$14*AM657^3+BMILMS!$E$14*AM657^2+BMILMS!$F$14*AM657+BMILMS!$G$14,BMILMS!$D$15*AM657^3+BMILMS!$E$15*AM657^2+BMILMS!$F$15*AM657+BMILMS!$G$15)),(IF(AM657&lt;90,BMILMS!$D$17*AM657^3+BMILMS!$E$17*AM657^2+BMILMS!$F$17*AM657+BMILMS!$G$17,BMILMS!$D$18*AM657^3+BMILMS!$E$18*AM657^2+BMILMS!$F$18*AM657+BMILMS!$G$18)))</f>
        <v>8.8969350000000003E-2</v>
      </c>
      <c r="AM657" s="4">
        <f t="shared" si="230"/>
        <v>0</v>
      </c>
      <c r="AO657" s="56">
        <f>IF(D657="M",WeightSDS!P$5*$AM657^7+WeightSDS!Q$5*$AM657^6+WeightSDS!R$5*$AM657^5+WeightSDS!S$5*$AM657^4+WeightSDS!T$5*$AM657^3+WeightSDS!U$5*$AM657^2+WeightSDS!V$5*$AM657+WeightSDS!W$5,IF($AM657&lt;186,WeightSDS!P$8*$AM657^7+WeightSDS!Q$8*$AM657^6+WeightSDS!R$8*$AM657^5+WeightSDS!S$8*$AM657^4+WeightSDS!T$8*$AM657^3+WeightSDS!U$8*$AM657^2+WeightSDS!V$8*$AM657+WeightSDS!W$8,WeightSDS!$U$9+WeightSDS!$V$9*($AM657-WeightSDS!$W$9)))</f>
        <v>0.75407122999999998</v>
      </c>
      <c r="AP657" s="4">
        <f>IF(D657="M",IF($AM657&lt;45,WeightSDS!M$23*$AM657^10+WeightSDS!N$23*$AM657^9+WeightSDS!O$23*$AM657^8+WeightSDS!P$23*$AM657^7+WeightSDS!Q$23*$AM657^6+WeightSDS!R$23*$AM657^5+WeightSDS!S$23*$AM657^4+WeightSDS!T$23*$AM657^3+WeightSDS!U$23*$AM657^2+WeightSDS!V$23*$AM657+WeightSDS!W$23,IF($AM657&lt;153,WeightSDS!M$25*$AM657^10+WeightSDS!N$25*$AM657^9+WeightSDS!O$25*$AM657^8+WeightSDS!P$25*$AM657^7+WeightSDS!Q$25*$AM657^6+WeightSDS!R$25*$AM657^5+WeightSDS!S$25*$AM657^4+WeightSDS!T$25*$AM657^3+WeightSDS!U$25*$AM657^2+WeightSDS!V$25*$AM657+WeightSDS!W$25,WeightSDS!M$27+WeightSDS!N$27/(1+EXP(WeightSDS!O$27+WeightSDS!P$27*$AM657)))),IF($AM657&lt;43.8,WeightSDS!M$29*$AM657^10+WeightSDS!N$29*$AM657^9+WeightSDS!O$29*$AM657^8+WeightSDS!P$29*$AM657^7+WeightSDS!Q$29*$AM657^6+WeightSDS!R$29*$AM657^5+WeightSDS!S$29*$AM657^4+WeightSDS!T$29*$AM657^3+WeightSDS!U$29*$AM657^2+WeightSDS!V$29*$AM657+WeightSDS!W$29-0.010431*(1-$AM657/210),IF($AM657&lt;123,WeightSDS!M$30*$AM657^10+WeightSDS!N$30*$AM657^9+WeightSDS!O$30*$AM657^8+WeightSDS!P$30*$AM657^7+WeightSDS!Q$30*$AM657^6+WeightSDS!R$30*$AM657^5+WeightSDS!S$30*$AM657^4+WeightSDS!T$30*$AM657^3+WeightSDS!U$30*$AM657^2+WeightSDS!V$30*$AM657+WeightSDS!W$30-0.010431*(1-1/$AM657),WeightSDS!M$32+WeightSDS!N$32/(1+EXP(WeightSDS!O$32+WeightSDS!P$32*$AM657))-0.010431*(1-$AM657/210))))</f>
        <v>2.9500001032655536</v>
      </c>
      <c r="AQ657" s="4">
        <f>IF(D657="M",IF($AM657&lt;162,WeightSDS!P$12*$AM657^7+WeightSDS!Q$12*$AM657^6+WeightSDS!R$12*$AM657^5+WeightSDS!S$12*$AM657^4+WeightSDS!T$12*$AM657^3+WeightSDS!U$12*$AM657^2+WeightSDS!V$12*$AM657+WeightSDS!W$12,WeightSDS!P$14*$AM657^7+WeightSDS!Q$14*$AM657^6+WeightSDS!R$14*$AM657^5+WeightSDS!S$14*$AM657^4+WeightSDS!T$14*$AM657^3+WeightSDS!U$14*$AM657^2+WeightSDS!V$14*$AM657+WeightSDS!W$14),IF($AM657&lt;156,WeightSDS!O$17*$AM657^8+WeightSDS!P$17*$AM657^7+WeightSDS!Q$17*$AM657^6+WeightSDS!R$17*$AM657^5+WeightSDS!S$17*$AM657^4+WeightSDS!T$17*$AM657^3+WeightSDS!U$17*$AM657^2+WeightSDS!V$17*$AM657+WeightSDS!W$17,IF($AM657&lt;186,WeightSDS!$U$18+(WeightSDS!$V$18-WeightSDS!$U$18)/24*($AM657-186)+WeightSDS!$W$18*(-$AM657+186)^2-0.005,WeightSDS!$U$18+(WeightSDS!$V$18-WeightSDS!$U$18)/24*($AM657-186)-0.005)))</f>
        <v>0.14604529399999999</v>
      </c>
      <c r="AT657" s="4">
        <f t="shared" si="217"/>
        <v>0.56299999999999994</v>
      </c>
      <c r="AU657" s="4">
        <f t="shared" si="218"/>
        <v>69</v>
      </c>
      <c r="AV657" s="4">
        <f t="shared" si="219"/>
        <v>0.51</v>
      </c>
    </row>
    <row r="658" spans="1:48" x14ac:dyDescent="0.15">
      <c r="A658" s="4"/>
      <c r="B658" s="21"/>
      <c r="C658" s="21"/>
      <c r="D658" s="21"/>
      <c r="E658" s="22"/>
      <c r="F658" s="22"/>
      <c r="G658" s="23"/>
      <c r="H658" s="23"/>
      <c r="I658" s="181"/>
      <c r="J658" s="8" t="str">
        <f t="shared" si="211"/>
        <v/>
      </c>
      <c r="K658" s="2" t="str">
        <f t="shared" si="220"/>
        <v/>
      </c>
      <c r="L658" s="2" t="str">
        <f t="shared" si="212"/>
        <v/>
      </c>
      <c r="M658" s="2" t="str">
        <f t="shared" si="221"/>
        <v/>
      </c>
      <c r="N658" s="2" t="str">
        <f t="shared" si="229"/>
        <v/>
      </c>
      <c r="O658" s="2" t="str">
        <f t="shared" si="222"/>
        <v/>
      </c>
      <c r="P658" s="8" t="str">
        <f t="shared" si="223"/>
        <v/>
      </c>
      <c r="Q658" s="8" t="str">
        <f t="shared" si="224"/>
        <v/>
      </c>
      <c r="R658" s="111" t="str">
        <f t="shared" si="225"/>
        <v/>
      </c>
      <c r="S658" s="44" t="str">
        <f t="shared" si="226"/>
        <v/>
      </c>
      <c r="T658" s="37" t="str">
        <f t="shared" si="227"/>
        <v/>
      </c>
      <c r="U658" s="44" t="str">
        <f t="shared" si="228"/>
        <v/>
      </c>
      <c r="V658" s="26"/>
      <c r="W658" s="26"/>
      <c r="X658" s="26"/>
      <c r="Y658" s="26"/>
      <c r="Z658" s="24"/>
      <c r="AA658" s="169">
        <f t="shared" si="213"/>
        <v>0</v>
      </c>
      <c r="AB658" s="4">
        <f t="shared" si="214"/>
        <v>0</v>
      </c>
      <c r="AC658" s="170">
        <f t="shared" si="210"/>
        <v>0</v>
      </c>
      <c r="AD658" s="58"/>
      <c r="AE658" s="58"/>
      <c r="AF658" s="58"/>
      <c r="AG658" s="59">
        <f t="shared" si="215"/>
        <v>9.0359999999999996</v>
      </c>
      <c r="AH658" s="59">
        <f t="shared" si="216"/>
        <v>-184.49199999999999</v>
      </c>
      <c r="AJ658" s="4">
        <f>IF(D658="M",IF(AM658&lt;78,BMILMS!$D$5*AM658^3+BMILMS!$E$5*AM658^2+BMILMS!$F$5*AM658+BMILMS!$G$5,IF(AM658&lt;150,BMILMS!$D$6*AM658^3+BMILMS!$E$6*AM658^2+BMILMS!$F$6*AM658+BMILMS!$G$6,BMILMS!$D$7*AM658^3+BMILMS!$E$7*AM658^2+BMILMS!$F$7*AM658+BMILMS!$G$7)),IF(AM658&lt;69,BMILMS!$D$9*AM658^3+BMILMS!$E$9*AM658^2+BMILMS!$F$9*AM658+BMILMS!$G$9,IF(AM658&lt;150,BMILMS!$D$10*AM658^3+BMILMS!$E$10*AM658^2+BMILMS!$F$10*AM658+BMILMS!$G$10,BMILMS!$D$11*AM658^3+BMILMS!$E$11*AM658^2+BMILMS!$F$11*AM658+BMILMS!$G$11)))</f>
        <v>0.79584630099999998</v>
      </c>
      <c r="AK658" s="4">
        <f>IF(D658="M",(IF(AM658&lt;2.5,BMILMS!$D$21*AM658^3+BMILMS!$E$21*AM658^2+BMILMS!$F$21*AM658+BMILMS!$G$21,IF(AM658&lt;9.5,BMILMS!$D$22*AM658^3+BMILMS!$E$22*AM658^2+BMILMS!$F$22*AM658+BMILMS!$G$22,IF(AM658&lt;26.75,BMILMS!$D$23*AM658^3+BMILMS!$E$23*AM658^2+BMILMS!$F$23*AM658+BMILMS!$G$23,IF(AM658&lt;90,BMILMS!$D$24*AM658^3+BMILMS!$E$24*AM658^2+BMILMS!$F$24*AM658+BMILMS!$G$24,BMILMS!$D$25*AM658^3+BMILMS!$E$25*AM658^2+BMILMS!$F$25*AM658+BMILMS!$G$25))))),(IF(AM658&lt;2.5,BMILMS!$D$27*AM658^3+BMILMS!$E$27*AM658^2+BMILMS!$F$27*AM658+BMILMS!$G$27,IF(AM658&lt;9.5,BMILMS!$D$28*AM658^3+BMILMS!$E$28*AM658^2+BMILMS!$F$28*AM658+BMILMS!$G$28,IF(AM658&lt;26.75,BMILMS!$D$29*AM658^3+BMILMS!$E$29*AM658^2+BMILMS!$F$29*AM658+BMILMS!$G$29,IF(AM658&lt;90,BMILMS!$D$30*AM658^3+BMILMS!$E$30*AM658^2+BMILMS!$F$30*AM658+BMILMS!$G$30,IF(AM658&lt;150,BMILMS!$D$31*AM658^3+BMILMS!$E$31*AM658^2+BMILMS!$F$31*AM658+BMILMS!$G$31,BMILMS!$D$32*AM658^3+BMILMS!$E$32*AM658^2+BMILMS!$F$32*AM658+BMILMS!$G$32)))))))</f>
        <v>12.568967990000001</v>
      </c>
      <c r="AL658" s="4">
        <f>IF(D658="M",(IF(AM658&lt;90,BMILMS!$D$14*AM658^3+BMILMS!$E$14*AM658^2+BMILMS!$F$14*AM658+BMILMS!$G$14,BMILMS!$D$15*AM658^3+BMILMS!$E$15*AM658^2+BMILMS!$F$15*AM658+BMILMS!$G$15)),(IF(AM658&lt;90,BMILMS!$D$17*AM658^3+BMILMS!$E$17*AM658^2+BMILMS!$F$17*AM658+BMILMS!$G$17,BMILMS!$D$18*AM658^3+BMILMS!$E$18*AM658^2+BMILMS!$F$18*AM658+BMILMS!$G$18)))</f>
        <v>8.8969350000000003E-2</v>
      </c>
      <c r="AM658" s="4">
        <f t="shared" si="230"/>
        <v>0</v>
      </c>
      <c r="AO658" s="56">
        <f>IF(D658="M",WeightSDS!P$5*$AM658^7+WeightSDS!Q$5*$AM658^6+WeightSDS!R$5*$AM658^5+WeightSDS!S$5*$AM658^4+WeightSDS!T$5*$AM658^3+WeightSDS!U$5*$AM658^2+WeightSDS!V$5*$AM658+WeightSDS!W$5,IF($AM658&lt;186,WeightSDS!P$8*$AM658^7+WeightSDS!Q$8*$AM658^6+WeightSDS!R$8*$AM658^5+WeightSDS!S$8*$AM658^4+WeightSDS!T$8*$AM658^3+WeightSDS!U$8*$AM658^2+WeightSDS!V$8*$AM658+WeightSDS!W$8,WeightSDS!$U$9+WeightSDS!$V$9*($AM658-WeightSDS!$W$9)))</f>
        <v>0.75407122999999998</v>
      </c>
      <c r="AP658" s="4">
        <f>IF(D658="M",IF($AM658&lt;45,WeightSDS!M$23*$AM658^10+WeightSDS!N$23*$AM658^9+WeightSDS!O$23*$AM658^8+WeightSDS!P$23*$AM658^7+WeightSDS!Q$23*$AM658^6+WeightSDS!R$23*$AM658^5+WeightSDS!S$23*$AM658^4+WeightSDS!T$23*$AM658^3+WeightSDS!U$23*$AM658^2+WeightSDS!V$23*$AM658+WeightSDS!W$23,IF($AM658&lt;153,WeightSDS!M$25*$AM658^10+WeightSDS!N$25*$AM658^9+WeightSDS!O$25*$AM658^8+WeightSDS!P$25*$AM658^7+WeightSDS!Q$25*$AM658^6+WeightSDS!R$25*$AM658^5+WeightSDS!S$25*$AM658^4+WeightSDS!T$25*$AM658^3+WeightSDS!U$25*$AM658^2+WeightSDS!V$25*$AM658+WeightSDS!W$25,WeightSDS!M$27+WeightSDS!N$27/(1+EXP(WeightSDS!O$27+WeightSDS!P$27*$AM658)))),IF($AM658&lt;43.8,WeightSDS!M$29*$AM658^10+WeightSDS!N$29*$AM658^9+WeightSDS!O$29*$AM658^8+WeightSDS!P$29*$AM658^7+WeightSDS!Q$29*$AM658^6+WeightSDS!R$29*$AM658^5+WeightSDS!S$29*$AM658^4+WeightSDS!T$29*$AM658^3+WeightSDS!U$29*$AM658^2+WeightSDS!V$29*$AM658+WeightSDS!W$29-0.010431*(1-$AM658/210),IF($AM658&lt;123,WeightSDS!M$30*$AM658^10+WeightSDS!N$30*$AM658^9+WeightSDS!O$30*$AM658^8+WeightSDS!P$30*$AM658^7+WeightSDS!Q$30*$AM658^6+WeightSDS!R$30*$AM658^5+WeightSDS!S$30*$AM658^4+WeightSDS!T$30*$AM658^3+WeightSDS!U$30*$AM658^2+WeightSDS!V$30*$AM658+WeightSDS!W$30-0.010431*(1-1/$AM658),WeightSDS!M$32+WeightSDS!N$32/(1+EXP(WeightSDS!O$32+WeightSDS!P$32*$AM658))-0.010431*(1-$AM658/210))))</f>
        <v>2.9500001032655536</v>
      </c>
      <c r="AQ658" s="4">
        <f>IF(D658="M",IF($AM658&lt;162,WeightSDS!P$12*$AM658^7+WeightSDS!Q$12*$AM658^6+WeightSDS!R$12*$AM658^5+WeightSDS!S$12*$AM658^4+WeightSDS!T$12*$AM658^3+WeightSDS!U$12*$AM658^2+WeightSDS!V$12*$AM658+WeightSDS!W$12,WeightSDS!P$14*$AM658^7+WeightSDS!Q$14*$AM658^6+WeightSDS!R$14*$AM658^5+WeightSDS!S$14*$AM658^4+WeightSDS!T$14*$AM658^3+WeightSDS!U$14*$AM658^2+WeightSDS!V$14*$AM658+WeightSDS!W$14),IF($AM658&lt;156,WeightSDS!O$17*$AM658^8+WeightSDS!P$17*$AM658^7+WeightSDS!Q$17*$AM658^6+WeightSDS!R$17*$AM658^5+WeightSDS!S$17*$AM658^4+WeightSDS!T$17*$AM658^3+WeightSDS!U$17*$AM658^2+WeightSDS!V$17*$AM658+WeightSDS!W$17,IF($AM658&lt;186,WeightSDS!$U$18+(WeightSDS!$V$18-WeightSDS!$U$18)/24*($AM658-186)+WeightSDS!$W$18*(-$AM658+186)^2-0.005,WeightSDS!$U$18+(WeightSDS!$V$18-WeightSDS!$U$18)/24*($AM658-186)-0.005)))</f>
        <v>0.14604529399999999</v>
      </c>
      <c r="AT658" s="4">
        <f t="shared" si="217"/>
        <v>0.56299999999999994</v>
      </c>
      <c r="AU658" s="4">
        <f t="shared" si="218"/>
        <v>69</v>
      </c>
      <c r="AV658" s="4">
        <f t="shared" si="219"/>
        <v>0.51</v>
      </c>
    </row>
    <row r="659" spans="1:48" x14ac:dyDescent="0.15">
      <c r="A659" s="4"/>
      <c r="B659" s="21"/>
      <c r="C659" s="21"/>
      <c r="D659" s="21"/>
      <c r="E659" s="22"/>
      <c r="F659" s="22"/>
      <c r="G659" s="23"/>
      <c r="H659" s="23"/>
      <c r="I659" s="181"/>
      <c r="J659" s="8" t="str">
        <f t="shared" si="211"/>
        <v/>
      </c>
      <c r="K659" s="2" t="str">
        <f t="shared" si="220"/>
        <v/>
      </c>
      <c r="L659" s="2" t="str">
        <f t="shared" si="212"/>
        <v/>
      </c>
      <c r="M659" s="2" t="str">
        <f t="shared" si="221"/>
        <v/>
      </c>
      <c r="N659" s="2" t="str">
        <f t="shared" si="229"/>
        <v/>
      </c>
      <c r="O659" s="2" t="str">
        <f t="shared" si="222"/>
        <v/>
      </c>
      <c r="P659" s="8" t="str">
        <f t="shared" si="223"/>
        <v/>
      </c>
      <c r="Q659" s="8" t="str">
        <f t="shared" si="224"/>
        <v/>
      </c>
      <c r="R659" s="111" t="str">
        <f t="shared" si="225"/>
        <v/>
      </c>
      <c r="S659" s="44" t="str">
        <f t="shared" si="226"/>
        <v/>
      </c>
      <c r="T659" s="37" t="str">
        <f t="shared" si="227"/>
        <v/>
      </c>
      <c r="U659" s="44" t="str">
        <f t="shared" si="228"/>
        <v/>
      </c>
      <c r="V659" s="26"/>
      <c r="W659" s="26"/>
      <c r="X659" s="26"/>
      <c r="Y659" s="26"/>
      <c r="Z659" s="24"/>
      <c r="AA659" s="169">
        <f t="shared" si="213"/>
        <v>0</v>
      </c>
      <c r="AB659" s="4">
        <f t="shared" si="214"/>
        <v>0</v>
      </c>
      <c r="AC659" s="170">
        <f t="shared" si="210"/>
        <v>0</v>
      </c>
      <c r="AD659" s="58"/>
      <c r="AE659" s="58"/>
      <c r="AF659" s="58"/>
      <c r="AG659" s="59">
        <f t="shared" si="215"/>
        <v>9.0359999999999996</v>
      </c>
      <c r="AH659" s="59">
        <f t="shared" si="216"/>
        <v>-184.49199999999999</v>
      </c>
      <c r="AJ659" s="4">
        <f>IF(D659="M",IF(AM659&lt;78,BMILMS!$D$5*AM659^3+BMILMS!$E$5*AM659^2+BMILMS!$F$5*AM659+BMILMS!$G$5,IF(AM659&lt;150,BMILMS!$D$6*AM659^3+BMILMS!$E$6*AM659^2+BMILMS!$F$6*AM659+BMILMS!$G$6,BMILMS!$D$7*AM659^3+BMILMS!$E$7*AM659^2+BMILMS!$F$7*AM659+BMILMS!$G$7)),IF(AM659&lt;69,BMILMS!$D$9*AM659^3+BMILMS!$E$9*AM659^2+BMILMS!$F$9*AM659+BMILMS!$G$9,IF(AM659&lt;150,BMILMS!$D$10*AM659^3+BMILMS!$E$10*AM659^2+BMILMS!$F$10*AM659+BMILMS!$G$10,BMILMS!$D$11*AM659^3+BMILMS!$E$11*AM659^2+BMILMS!$F$11*AM659+BMILMS!$G$11)))</f>
        <v>0.79584630099999998</v>
      </c>
      <c r="AK659" s="4">
        <f>IF(D659="M",(IF(AM659&lt;2.5,BMILMS!$D$21*AM659^3+BMILMS!$E$21*AM659^2+BMILMS!$F$21*AM659+BMILMS!$G$21,IF(AM659&lt;9.5,BMILMS!$D$22*AM659^3+BMILMS!$E$22*AM659^2+BMILMS!$F$22*AM659+BMILMS!$G$22,IF(AM659&lt;26.75,BMILMS!$D$23*AM659^3+BMILMS!$E$23*AM659^2+BMILMS!$F$23*AM659+BMILMS!$G$23,IF(AM659&lt;90,BMILMS!$D$24*AM659^3+BMILMS!$E$24*AM659^2+BMILMS!$F$24*AM659+BMILMS!$G$24,BMILMS!$D$25*AM659^3+BMILMS!$E$25*AM659^2+BMILMS!$F$25*AM659+BMILMS!$G$25))))),(IF(AM659&lt;2.5,BMILMS!$D$27*AM659^3+BMILMS!$E$27*AM659^2+BMILMS!$F$27*AM659+BMILMS!$G$27,IF(AM659&lt;9.5,BMILMS!$D$28*AM659^3+BMILMS!$E$28*AM659^2+BMILMS!$F$28*AM659+BMILMS!$G$28,IF(AM659&lt;26.75,BMILMS!$D$29*AM659^3+BMILMS!$E$29*AM659^2+BMILMS!$F$29*AM659+BMILMS!$G$29,IF(AM659&lt;90,BMILMS!$D$30*AM659^3+BMILMS!$E$30*AM659^2+BMILMS!$F$30*AM659+BMILMS!$G$30,IF(AM659&lt;150,BMILMS!$D$31*AM659^3+BMILMS!$E$31*AM659^2+BMILMS!$F$31*AM659+BMILMS!$G$31,BMILMS!$D$32*AM659^3+BMILMS!$E$32*AM659^2+BMILMS!$F$32*AM659+BMILMS!$G$32)))))))</f>
        <v>12.568967990000001</v>
      </c>
      <c r="AL659" s="4">
        <f>IF(D659="M",(IF(AM659&lt;90,BMILMS!$D$14*AM659^3+BMILMS!$E$14*AM659^2+BMILMS!$F$14*AM659+BMILMS!$G$14,BMILMS!$D$15*AM659^3+BMILMS!$E$15*AM659^2+BMILMS!$F$15*AM659+BMILMS!$G$15)),(IF(AM659&lt;90,BMILMS!$D$17*AM659^3+BMILMS!$E$17*AM659^2+BMILMS!$F$17*AM659+BMILMS!$G$17,BMILMS!$D$18*AM659^3+BMILMS!$E$18*AM659^2+BMILMS!$F$18*AM659+BMILMS!$G$18)))</f>
        <v>8.8969350000000003E-2</v>
      </c>
      <c r="AM659" s="4">
        <f t="shared" si="230"/>
        <v>0</v>
      </c>
      <c r="AO659" s="56">
        <f>IF(D659="M",WeightSDS!P$5*$AM659^7+WeightSDS!Q$5*$AM659^6+WeightSDS!R$5*$AM659^5+WeightSDS!S$5*$AM659^4+WeightSDS!T$5*$AM659^3+WeightSDS!U$5*$AM659^2+WeightSDS!V$5*$AM659+WeightSDS!W$5,IF($AM659&lt;186,WeightSDS!P$8*$AM659^7+WeightSDS!Q$8*$AM659^6+WeightSDS!R$8*$AM659^5+WeightSDS!S$8*$AM659^4+WeightSDS!T$8*$AM659^3+WeightSDS!U$8*$AM659^2+WeightSDS!V$8*$AM659+WeightSDS!W$8,WeightSDS!$U$9+WeightSDS!$V$9*($AM659-WeightSDS!$W$9)))</f>
        <v>0.75407122999999998</v>
      </c>
      <c r="AP659" s="4">
        <f>IF(D659="M",IF($AM659&lt;45,WeightSDS!M$23*$AM659^10+WeightSDS!N$23*$AM659^9+WeightSDS!O$23*$AM659^8+WeightSDS!P$23*$AM659^7+WeightSDS!Q$23*$AM659^6+WeightSDS!R$23*$AM659^5+WeightSDS!S$23*$AM659^4+WeightSDS!T$23*$AM659^3+WeightSDS!U$23*$AM659^2+WeightSDS!V$23*$AM659+WeightSDS!W$23,IF($AM659&lt;153,WeightSDS!M$25*$AM659^10+WeightSDS!N$25*$AM659^9+WeightSDS!O$25*$AM659^8+WeightSDS!P$25*$AM659^7+WeightSDS!Q$25*$AM659^6+WeightSDS!R$25*$AM659^5+WeightSDS!S$25*$AM659^4+WeightSDS!T$25*$AM659^3+WeightSDS!U$25*$AM659^2+WeightSDS!V$25*$AM659+WeightSDS!W$25,WeightSDS!M$27+WeightSDS!N$27/(1+EXP(WeightSDS!O$27+WeightSDS!P$27*$AM659)))),IF($AM659&lt;43.8,WeightSDS!M$29*$AM659^10+WeightSDS!N$29*$AM659^9+WeightSDS!O$29*$AM659^8+WeightSDS!P$29*$AM659^7+WeightSDS!Q$29*$AM659^6+WeightSDS!R$29*$AM659^5+WeightSDS!S$29*$AM659^4+WeightSDS!T$29*$AM659^3+WeightSDS!U$29*$AM659^2+WeightSDS!V$29*$AM659+WeightSDS!W$29-0.010431*(1-$AM659/210),IF($AM659&lt;123,WeightSDS!M$30*$AM659^10+WeightSDS!N$30*$AM659^9+WeightSDS!O$30*$AM659^8+WeightSDS!P$30*$AM659^7+WeightSDS!Q$30*$AM659^6+WeightSDS!R$30*$AM659^5+WeightSDS!S$30*$AM659^4+WeightSDS!T$30*$AM659^3+WeightSDS!U$30*$AM659^2+WeightSDS!V$30*$AM659+WeightSDS!W$30-0.010431*(1-1/$AM659),WeightSDS!M$32+WeightSDS!N$32/(1+EXP(WeightSDS!O$32+WeightSDS!P$32*$AM659))-0.010431*(1-$AM659/210))))</f>
        <v>2.9500001032655536</v>
      </c>
      <c r="AQ659" s="4">
        <f>IF(D659="M",IF($AM659&lt;162,WeightSDS!P$12*$AM659^7+WeightSDS!Q$12*$AM659^6+WeightSDS!R$12*$AM659^5+WeightSDS!S$12*$AM659^4+WeightSDS!T$12*$AM659^3+WeightSDS!U$12*$AM659^2+WeightSDS!V$12*$AM659+WeightSDS!W$12,WeightSDS!P$14*$AM659^7+WeightSDS!Q$14*$AM659^6+WeightSDS!R$14*$AM659^5+WeightSDS!S$14*$AM659^4+WeightSDS!T$14*$AM659^3+WeightSDS!U$14*$AM659^2+WeightSDS!V$14*$AM659+WeightSDS!W$14),IF($AM659&lt;156,WeightSDS!O$17*$AM659^8+WeightSDS!P$17*$AM659^7+WeightSDS!Q$17*$AM659^6+WeightSDS!R$17*$AM659^5+WeightSDS!S$17*$AM659^4+WeightSDS!T$17*$AM659^3+WeightSDS!U$17*$AM659^2+WeightSDS!V$17*$AM659+WeightSDS!W$17,IF($AM659&lt;186,WeightSDS!$U$18+(WeightSDS!$V$18-WeightSDS!$U$18)/24*($AM659-186)+WeightSDS!$W$18*(-$AM659+186)^2-0.005,WeightSDS!$U$18+(WeightSDS!$V$18-WeightSDS!$U$18)/24*($AM659-186)-0.005)))</f>
        <v>0.14604529399999999</v>
      </c>
      <c r="AT659" s="4">
        <f t="shared" si="217"/>
        <v>0.56299999999999994</v>
      </c>
      <c r="AU659" s="4">
        <f t="shared" si="218"/>
        <v>69</v>
      </c>
      <c r="AV659" s="4">
        <f t="shared" si="219"/>
        <v>0.51</v>
      </c>
    </row>
    <row r="660" spans="1:48" x14ac:dyDescent="0.15">
      <c r="A660" s="4"/>
      <c r="B660" s="21"/>
      <c r="C660" s="21"/>
      <c r="D660" s="21"/>
      <c r="E660" s="22"/>
      <c r="F660" s="22"/>
      <c r="G660" s="23"/>
      <c r="H660" s="23"/>
      <c r="I660" s="181"/>
      <c r="J660" s="8" t="str">
        <f t="shared" si="211"/>
        <v/>
      </c>
      <c r="K660" s="2" t="str">
        <f t="shared" si="220"/>
        <v/>
      </c>
      <c r="L660" s="2" t="str">
        <f t="shared" si="212"/>
        <v/>
      </c>
      <c r="M660" s="2" t="str">
        <f t="shared" si="221"/>
        <v/>
      </c>
      <c r="N660" s="2" t="str">
        <f t="shared" si="229"/>
        <v/>
      </c>
      <c r="O660" s="2" t="str">
        <f t="shared" si="222"/>
        <v/>
      </c>
      <c r="P660" s="8" t="str">
        <f t="shared" si="223"/>
        <v/>
      </c>
      <c r="Q660" s="8" t="str">
        <f t="shared" si="224"/>
        <v/>
      </c>
      <c r="R660" s="111" t="str">
        <f t="shared" si="225"/>
        <v/>
      </c>
      <c r="S660" s="44" t="str">
        <f t="shared" si="226"/>
        <v/>
      </c>
      <c r="T660" s="37" t="str">
        <f t="shared" si="227"/>
        <v/>
      </c>
      <c r="U660" s="44" t="str">
        <f t="shared" si="228"/>
        <v/>
      </c>
      <c r="V660" s="26"/>
      <c r="W660" s="26"/>
      <c r="X660" s="26"/>
      <c r="Y660" s="26"/>
      <c r="Z660" s="24"/>
      <c r="AA660" s="169">
        <f t="shared" si="213"/>
        <v>0</v>
      </c>
      <c r="AB660" s="4">
        <f t="shared" si="214"/>
        <v>0</v>
      </c>
      <c r="AC660" s="170">
        <f t="shared" si="210"/>
        <v>0</v>
      </c>
      <c r="AD660" s="58"/>
      <c r="AE660" s="58"/>
      <c r="AF660" s="58"/>
      <c r="AG660" s="59">
        <f t="shared" si="215"/>
        <v>9.0359999999999996</v>
      </c>
      <c r="AH660" s="59">
        <f t="shared" si="216"/>
        <v>-184.49199999999999</v>
      </c>
      <c r="AJ660" s="4">
        <f>IF(D660="M",IF(AM660&lt;78,BMILMS!$D$5*AM660^3+BMILMS!$E$5*AM660^2+BMILMS!$F$5*AM660+BMILMS!$G$5,IF(AM660&lt;150,BMILMS!$D$6*AM660^3+BMILMS!$E$6*AM660^2+BMILMS!$F$6*AM660+BMILMS!$G$6,BMILMS!$D$7*AM660^3+BMILMS!$E$7*AM660^2+BMILMS!$F$7*AM660+BMILMS!$G$7)),IF(AM660&lt;69,BMILMS!$D$9*AM660^3+BMILMS!$E$9*AM660^2+BMILMS!$F$9*AM660+BMILMS!$G$9,IF(AM660&lt;150,BMILMS!$D$10*AM660^3+BMILMS!$E$10*AM660^2+BMILMS!$F$10*AM660+BMILMS!$G$10,BMILMS!$D$11*AM660^3+BMILMS!$E$11*AM660^2+BMILMS!$F$11*AM660+BMILMS!$G$11)))</f>
        <v>0.79584630099999998</v>
      </c>
      <c r="AK660" s="4">
        <f>IF(D660="M",(IF(AM660&lt;2.5,BMILMS!$D$21*AM660^3+BMILMS!$E$21*AM660^2+BMILMS!$F$21*AM660+BMILMS!$G$21,IF(AM660&lt;9.5,BMILMS!$D$22*AM660^3+BMILMS!$E$22*AM660^2+BMILMS!$F$22*AM660+BMILMS!$G$22,IF(AM660&lt;26.75,BMILMS!$D$23*AM660^3+BMILMS!$E$23*AM660^2+BMILMS!$F$23*AM660+BMILMS!$G$23,IF(AM660&lt;90,BMILMS!$D$24*AM660^3+BMILMS!$E$24*AM660^2+BMILMS!$F$24*AM660+BMILMS!$G$24,BMILMS!$D$25*AM660^3+BMILMS!$E$25*AM660^2+BMILMS!$F$25*AM660+BMILMS!$G$25))))),(IF(AM660&lt;2.5,BMILMS!$D$27*AM660^3+BMILMS!$E$27*AM660^2+BMILMS!$F$27*AM660+BMILMS!$G$27,IF(AM660&lt;9.5,BMILMS!$D$28*AM660^3+BMILMS!$E$28*AM660^2+BMILMS!$F$28*AM660+BMILMS!$G$28,IF(AM660&lt;26.75,BMILMS!$D$29*AM660^3+BMILMS!$E$29*AM660^2+BMILMS!$F$29*AM660+BMILMS!$G$29,IF(AM660&lt;90,BMILMS!$D$30*AM660^3+BMILMS!$E$30*AM660^2+BMILMS!$F$30*AM660+BMILMS!$G$30,IF(AM660&lt;150,BMILMS!$D$31*AM660^3+BMILMS!$E$31*AM660^2+BMILMS!$F$31*AM660+BMILMS!$G$31,BMILMS!$D$32*AM660^3+BMILMS!$E$32*AM660^2+BMILMS!$F$32*AM660+BMILMS!$G$32)))))))</f>
        <v>12.568967990000001</v>
      </c>
      <c r="AL660" s="4">
        <f>IF(D660="M",(IF(AM660&lt;90,BMILMS!$D$14*AM660^3+BMILMS!$E$14*AM660^2+BMILMS!$F$14*AM660+BMILMS!$G$14,BMILMS!$D$15*AM660^3+BMILMS!$E$15*AM660^2+BMILMS!$F$15*AM660+BMILMS!$G$15)),(IF(AM660&lt;90,BMILMS!$D$17*AM660^3+BMILMS!$E$17*AM660^2+BMILMS!$F$17*AM660+BMILMS!$G$17,BMILMS!$D$18*AM660^3+BMILMS!$E$18*AM660^2+BMILMS!$F$18*AM660+BMILMS!$G$18)))</f>
        <v>8.8969350000000003E-2</v>
      </c>
      <c r="AM660" s="4">
        <f t="shared" si="230"/>
        <v>0</v>
      </c>
      <c r="AO660" s="56">
        <f>IF(D660="M",WeightSDS!P$5*$AM660^7+WeightSDS!Q$5*$AM660^6+WeightSDS!R$5*$AM660^5+WeightSDS!S$5*$AM660^4+WeightSDS!T$5*$AM660^3+WeightSDS!U$5*$AM660^2+WeightSDS!V$5*$AM660+WeightSDS!W$5,IF($AM660&lt;186,WeightSDS!P$8*$AM660^7+WeightSDS!Q$8*$AM660^6+WeightSDS!R$8*$AM660^5+WeightSDS!S$8*$AM660^4+WeightSDS!T$8*$AM660^3+WeightSDS!U$8*$AM660^2+WeightSDS!V$8*$AM660+WeightSDS!W$8,WeightSDS!$U$9+WeightSDS!$V$9*($AM660-WeightSDS!$W$9)))</f>
        <v>0.75407122999999998</v>
      </c>
      <c r="AP660" s="4">
        <f>IF(D660="M",IF($AM660&lt;45,WeightSDS!M$23*$AM660^10+WeightSDS!N$23*$AM660^9+WeightSDS!O$23*$AM660^8+WeightSDS!P$23*$AM660^7+WeightSDS!Q$23*$AM660^6+WeightSDS!R$23*$AM660^5+WeightSDS!S$23*$AM660^4+WeightSDS!T$23*$AM660^3+WeightSDS!U$23*$AM660^2+WeightSDS!V$23*$AM660+WeightSDS!W$23,IF($AM660&lt;153,WeightSDS!M$25*$AM660^10+WeightSDS!N$25*$AM660^9+WeightSDS!O$25*$AM660^8+WeightSDS!P$25*$AM660^7+WeightSDS!Q$25*$AM660^6+WeightSDS!R$25*$AM660^5+WeightSDS!S$25*$AM660^4+WeightSDS!T$25*$AM660^3+WeightSDS!U$25*$AM660^2+WeightSDS!V$25*$AM660+WeightSDS!W$25,WeightSDS!M$27+WeightSDS!N$27/(1+EXP(WeightSDS!O$27+WeightSDS!P$27*$AM660)))),IF($AM660&lt;43.8,WeightSDS!M$29*$AM660^10+WeightSDS!N$29*$AM660^9+WeightSDS!O$29*$AM660^8+WeightSDS!P$29*$AM660^7+WeightSDS!Q$29*$AM660^6+WeightSDS!R$29*$AM660^5+WeightSDS!S$29*$AM660^4+WeightSDS!T$29*$AM660^3+WeightSDS!U$29*$AM660^2+WeightSDS!V$29*$AM660+WeightSDS!W$29-0.010431*(1-$AM660/210),IF($AM660&lt;123,WeightSDS!M$30*$AM660^10+WeightSDS!N$30*$AM660^9+WeightSDS!O$30*$AM660^8+WeightSDS!P$30*$AM660^7+WeightSDS!Q$30*$AM660^6+WeightSDS!R$30*$AM660^5+WeightSDS!S$30*$AM660^4+WeightSDS!T$30*$AM660^3+WeightSDS!U$30*$AM660^2+WeightSDS!V$30*$AM660+WeightSDS!W$30-0.010431*(1-1/$AM660),WeightSDS!M$32+WeightSDS!N$32/(1+EXP(WeightSDS!O$32+WeightSDS!P$32*$AM660))-0.010431*(1-$AM660/210))))</f>
        <v>2.9500001032655536</v>
      </c>
      <c r="AQ660" s="4">
        <f>IF(D660="M",IF($AM660&lt;162,WeightSDS!P$12*$AM660^7+WeightSDS!Q$12*$AM660^6+WeightSDS!R$12*$AM660^5+WeightSDS!S$12*$AM660^4+WeightSDS!T$12*$AM660^3+WeightSDS!U$12*$AM660^2+WeightSDS!V$12*$AM660+WeightSDS!W$12,WeightSDS!P$14*$AM660^7+WeightSDS!Q$14*$AM660^6+WeightSDS!R$14*$AM660^5+WeightSDS!S$14*$AM660^4+WeightSDS!T$14*$AM660^3+WeightSDS!U$14*$AM660^2+WeightSDS!V$14*$AM660+WeightSDS!W$14),IF($AM660&lt;156,WeightSDS!O$17*$AM660^8+WeightSDS!P$17*$AM660^7+WeightSDS!Q$17*$AM660^6+WeightSDS!R$17*$AM660^5+WeightSDS!S$17*$AM660^4+WeightSDS!T$17*$AM660^3+WeightSDS!U$17*$AM660^2+WeightSDS!V$17*$AM660+WeightSDS!W$17,IF($AM660&lt;186,WeightSDS!$U$18+(WeightSDS!$V$18-WeightSDS!$U$18)/24*($AM660-186)+WeightSDS!$W$18*(-$AM660+186)^2-0.005,WeightSDS!$U$18+(WeightSDS!$V$18-WeightSDS!$U$18)/24*($AM660-186)-0.005)))</f>
        <v>0.14604529399999999</v>
      </c>
      <c r="AT660" s="4">
        <f t="shared" si="217"/>
        <v>0.56299999999999994</v>
      </c>
      <c r="AU660" s="4">
        <f t="shared" si="218"/>
        <v>69</v>
      </c>
      <c r="AV660" s="4">
        <f t="shared" si="219"/>
        <v>0.51</v>
      </c>
    </row>
    <row r="661" spans="1:48" x14ac:dyDescent="0.15">
      <c r="A661" s="4"/>
      <c r="B661" s="21"/>
      <c r="C661" s="21"/>
      <c r="D661" s="21"/>
      <c r="E661" s="22"/>
      <c r="F661" s="22"/>
      <c r="G661" s="23"/>
      <c r="H661" s="23"/>
      <c r="I661" s="181"/>
      <c r="J661" s="8" t="str">
        <f t="shared" si="211"/>
        <v/>
      </c>
      <c r="K661" s="2" t="str">
        <f t="shared" si="220"/>
        <v/>
      </c>
      <c r="L661" s="2" t="str">
        <f t="shared" si="212"/>
        <v/>
      </c>
      <c r="M661" s="2" t="str">
        <f t="shared" si="221"/>
        <v/>
      </c>
      <c r="N661" s="2" t="str">
        <f t="shared" si="229"/>
        <v/>
      </c>
      <c r="O661" s="2" t="str">
        <f t="shared" si="222"/>
        <v/>
      </c>
      <c r="P661" s="8" t="str">
        <f t="shared" si="223"/>
        <v/>
      </c>
      <c r="Q661" s="8" t="str">
        <f t="shared" si="224"/>
        <v/>
      </c>
      <c r="R661" s="111" t="str">
        <f t="shared" si="225"/>
        <v/>
      </c>
      <c r="S661" s="44" t="str">
        <f t="shared" si="226"/>
        <v/>
      </c>
      <c r="T661" s="37" t="str">
        <f t="shared" si="227"/>
        <v/>
      </c>
      <c r="U661" s="44" t="str">
        <f t="shared" si="228"/>
        <v/>
      </c>
      <c r="V661" s="26"/>
      <c r="W661" s="26"/>
      <c r="X661" s="26"/>
      <c r="Y661" s="26"/>
      <c r="Z661" s="24"/>
      <c r="AA661" s="169">
        <f t="shared" si="213"/>
        <v>0</v>
      </c>
      <c r="AB661" s="4">
        <f t="shared" si="214"/>
        <v>0</v>
      </c>
      <c r="AC661" s="170">
        <f t="shared" si="210"/>
        <v>0</v>
      </c>
      <c r="AD661" s="58"/>
      <c r="AE661" s="58"/>
      <c r="AF661" s="58"/>
      <c r="AG661" s="59">
        <f t="shared" si="215"/>
        <v>9.0359999999999996</v>
      </c>
      <c r="AH661" s="59">
        <f t="shared" si="216"/>
        <v>-184.49199999999999</v>
      </c>
      <c r="AJ661" s="4">
        <f>IF(D661="M",IF(AM661&lt;78,BMILMS!$D$5*AM661^3+BMILMS!$E$5*AM661^2+BMILMS!$F$5*AM661+BMILMS!$G$5,IF(AM661&lt;150,BMILMS!$D$6*AM661^3+BMILMS!$E$6*AM661^2+BMILMS!$F$6*AM661+BMILMS!$G$6,BMILMS!$D$7*AM661^3+BMILMS!$E$7*AM661^2+BMILMS!$F$7*AM661+BMILMS!$G$7)),IF(AM661&lt;69,BMILMS!$D$9*AM661^3+BMILMS!$E$9*AM661^2+BMILMS!$F$9*AM661+BMILMS!$G$9,IF(AM661&lt;150,BMILMS!$D$10*AM661^3+BMILMS!$E$10*AM661^2+BMILMS!$F$10*AM661+BMILMS!$G$10,BMILMS!$D$11*AM661^3+BMILMS!$E$11*AM661^2+BMILMS!$F$11*AM661+BMILMS!$G$11)))</f>
        <v>0.79584630099999998</v>
      </c>
      <c r="AK661" s="4">
        <f>IF(D661="M",(IF(AM661&lt;2.5,BMILMS!$D$21*AM661^3+BMILMS!$E$21*AM661^2+BMILMS!$F$21*AM661+BMILMS!$G$21,IF(AM661&lt;9.5,BMILMS!$D$22*AM661^3+BMILMS!$E$22*AM661^2+BMILMS!$F$22*AM661+BMILMS!$G$22,IF(AM661&lt;26.75,BMILMS!$D$23*AM661^3+BMILMS!$E$23*AM661^2+BMILMS!$F$23*AM661+BMILMS!$G$23,IF(AM661&lt;90,BMILMS!$D$24*AM661^3+BMILMS!$E$24*AM661^2+BMILMS!$F$24*AM661+BMILMS!$G$24,BMILMS!$D$25*AM661^3+BMILMS!$E$25*AM661^2+BMILMS!$F$25*AM661+BMILMS!$G$25))))),(IF(AM661&lt;2.5,BMILMS!$D$27*AM661^3+BMILMS!$E$27*AM661^2+BMILMS!$F$27*AM661+BMILMS!$G$27,IF(AM661&lt;9.5,BMILMS!$D$28*AM661^3+BMILMS!$E$28*AM661^2+BMILMS!$F$28*AM661+BMILMS!$G$28,IF(AM661&lt;26.75,BMILMS!$D$29*AM661^3+BMILMS!$E$29*AM661^2+BMILMS!$F$29*AM661+BMILMS!$G$29,IF(AM661&lt;90,BMILMS!$D$30*AM661^3+BMILMS!$E$30*AM661^2+BMILMS!$F$30*AM661+BMILMS!$G$30,IF(AM661&lt;150,BMILMS!$D$31*AM661^3+BMILMS!$E$31*AM661^2+BMILMS!$F$31*AM661+BMILMS!$G$31,BMILMS!$D$32*AM661^3+BMILMS!$E$32*AM661^2+BMILMS!$F$32*AM661+BMILMS!$G$32)))))))</f>
        <v>12.568967990000001</v>
      </c>
      <c r="AL661" s="4">
        <f>IF(D661="M",(IF(AM661&lt;90,BMILMS!$D$14*AM661^3+BMILMS!$E$14*AM661^2+BMILMS!$F$14*AM661+BMILMS!$G$14,BMILMS!$D$15*AM661^3+BMILMS!$E$15*AM661^2+BMILMS!$F$15*AM661+BMILMS!$G$15)),(IF(AM661&lt;90,BMILMS!$D$17*AM661^3+BMILMS!$E$17*AM661^2+BMILMS!$F$17*AM661+BMILMS!$G$17,BMILMS!$D$18*AM661^3+BMILMS!$E$18*AM661^2+BMILMS!$F$18*AM661+BMILMS!$G$18)))</f>
        <v>8.8969350000000003E-2</v>
      </c>
      <c r="AM661" s="4">
        <f t="shared" si="230"/>
        <v>0</v>
      </c>
      <c r="AO661" s="56">
        <f>IF(D661="M",WeightSDS!P$5*$AM661^7+WeightSDS!Q$5*$AM661^6+WeightSDS!R$5*$AM661^5+WeightSDS!S$5*$AM661^4+WeightSDS!T$5*$AM661^3+WeightSDS!U$5*$AM661^2+WeightSDS!V$5*$AM661+WeightSDS!W$5,IF($AM661&lt;186,WeightSDS!P$8*$AM661^7+WeightSDS!Q$8*$AM661^6+WeightSDS!R$8*$AM661^5+WeightSDS!S$8*$AM661^4+WeightSDS!T$8*$AM661^3+WeightSDS!U$8*$AM661^2+WeightSDS!V$8*$AM661+WeightSDS!W$8,WeightSDS!$U$9+WeightSDS!$V$9*($AM661-WeightSDS!$W$9)))</f>
        <v>0.75407122999999998</v>
      </c>
      <c r="AP661" s="4">
        <f>IF(D661="M",IF($AM661&lt;45,WeightSDS!M$23*$AM661^10+WeightSDS!N$23*$AM661^9+WeightSDS!O$23*$AM661^8+WeightSDS!P$23*$AM661^7+WeightSDS!Q$23*$AM661^6+WeightSDS!R$23*$AM661^5+WeightSDS!S$23*$AM661^4+WeightSDS!T$23*$AM661^3+WeightSDS!U$23*$AM661^2+WeightSDS!V$23*$AM661+WeightSDS!W$23,IF($AM661&lt;153,WeightSDS!M$25*$AM661^10+WeightSDS!N$25*$AM661^9+WeightSDS!O$25*$AM661^8+WeightSDS!P$25*$AM661^7+WeightSDS!Q$25*$AM661^6+WeightSDS!R$25*$AM661^5+WeightSDS!S$25*$AM661^4+WeightSDS!T$25*$AM661^3+WeightSDS!U$25*$AM661^2+WeightSDS!V$25*$AM661+WeightSDS!W$25,WeightSDS!M$27+WeightSDS!N$27/(1+EXP(WeightSDS!O$27+WeightSDS!P$27*$AM661)))),IF($AM661&lt;43.8,WeightSDS!M$29*$AM661^10+WeightSDS!N$29*$AM661^9+WeightSDS!O$29*$AM661^8+WeightSDS!P$29*$AM661^7+WeightSDS!Q$29*$AM661^6+WeightSDS!R$29*$AM661^5+WeightSDS!S$29*$AM661^4+WeightSDS!T$29*$AM661^3+WeightSDS!U$29*$AM661^2+WeightSDS!V$29*$AM661+WeightSDS!W$29-0.010431*(1-$AM661/210),IF($AM661&lt;123,WeightSDS!M$30*$AM661^10+WeightSDS!N$30*$AM661^9+WeightSDS!O$30*$AM661^8+WeightSDS!P$30*$AM661^7+WeightSDS!Q$30*$AM661^6+WeightSDS!R$30*$AM661^5+WeightSDS!S$30*$AM661^4+WeightSDS!T$30*$AM661^3+WeightSDS!U$30*$AM661^2+WeightSDS!V$30*$AM661+WeightSDS!W$30-0.010431*(1-1/$AM661),WeightSDS!M$32+WeightSDS!N$32/(1+EXP(WeightSDS!O$32+WeightSDS!P$32*$AM661))-0.010431*(1-$AM661/210))))</f>
        <v>2.9500001032655536</v>
      </c>
      <c r="AQ661" s="4">
        <f>IF(D661="M",IF($AM661&lt;162,WeightSDS!P$12*$AM661^7+WeightSDS!Q$12*$AM661^6+WeightSDS!R$12*$AM661^5+WeightSDS!S$12*$AM661^4+WeightSDS!T$12*$AM661^3+WeightSDS!U$12*$AM661^2+WeightSDS!V$12*$AM661+WeightSDS!W$12,WeightSDS!P$14*$AM661^7+WeightSDS!Q$14*$AM661^6+WeightSDS!R$14*$AM661^5+WeightSDS!S$14*$AM661^4+WeightSDS!T$14*$AM661^3+WeightSDS!U$14*$AM661^2+WeightSDS!V$14*$AM661+WeightSDS!W$14),IF($AM661&lt;156,WeightSDS!O$17*$AM661^8+WeightSDS!P$17*$AM661^7+WeightSDS!Q$17*$AM661^6+WeightSDS!R$17*$AM661^5+WeightSDS!S$17*$AM661^4+WeightSDS!T$17*$AM661^3+WeightSDS!U$17*$AM661^2+WeightSDS!V$17*$AM661+WeightSDS!W$17,IF($AM661&lt;186,WeightSDS!$U$18+(WeightSDS!$V$18-WeightSDS!$U$18)/24*($AM661-186)+WeightSDS!$W$18*(-$AM661+186)^2-0.005,WeightSDS!$U$18+(WeightSDS!$V$18-WeightSDS!$U$18)/24*($AM661-186)-0.005)))</f>
        <v>0.14604529399999999</v>
      </c>
      <c r="AT661" s="4">
        <f t="shared" si="217"/>
        <v>0.56299999999999994</v>
      </c>
      <c r="AU661" s="4">
        <f t="shared" si="218"/>
        <v>69</v>
      </c>
      <c r="AV661" s="4">
        <f t="shared" si="219"/>
        <v>0.51</v>
      </c>
    </row>
    <row r="662" spans="1:48" x14ac:dyDescent="0.15">
      <c r="A662" s="4"/>
      <c r="B662" s="21"/>
      <c r="C662" s="21"/>
      <c r="D662" s="21"/>
      <c r="E662" s="22"/>
      <c r="F662" s="22"/>
      <c r="G662" s="23"/>
      <c r="H662" s="23"/>
      <c r="I662" s="181"/>
      <c r="J662" s="8" t="str">
        <f t="shared" si="211"/>
        <v/>
      </c>
      <c r="K662" s="2" t="str">
        <f t="shared" si="220"/>
        <v/>
      </c>
      <c r="L662" s="2" t="str">
        <f t="shared" si="212"/>
        <v/>
      </c>
      <c r="M662" s="2" t="str">
        <f t="shared" si="221"/>
        <v/>
      </c>
      <c r="N662" s="2" t="str">
        <f t="shared" si="229"/>
        <v/>
      </c>
      <c r="O662" s="2" t="str">
        <f t="shared" si="222"/>
        <v/>
      </c>
      <c r="P662" s="8" t="str">
        <f t="shared" si="223"/>
        <v/>
      </c>
      <c r="Q662" s="8" t="str">
        <f t="shared" si="224"/>
        <v/>
      </c>
      <c r="R662" s="111" t="str">
        <f t="shared" si="225"/>
        <v/>
      </c>
      <c r="S662" s="44" t="str">
        <f t="shared" si="226"/>
        <v/>
      </c>
      <c r="T662" s="37" t="str">
        <f t="shared" si="227"/>
        <v/>
      </c>
      <c r="U662" s="44" t="str">
        <f t="shared" si="228"/>
        <v/>
      </c>
      <c r="V662" s="26"/>
      <c r="W662" s="26"/>
      <c r="X662" s="26"/>
      <c r="Y662" s="26"/>
      <c r="Z662" s="24"/>
      <c r="AA662" s="169">
        <f t="shared" si="213"/>
        <v>0</v>
      </c>
      <c r="AB662" s="4">
        <f t="shared" si="214"/>
        <v>0</v>
      </c>
      <c r="AC662" s="170">
        <f t="shared" si="210"/>
        <v>0</v>
      </c>
      <c r="AD662" s="58"/>
      <c r="AE662" s="58"/>
      <c r="AF662" s="58"/>
      <c r="AG662" s="59">
        <f t="shared" si="215"/>
        <v>9.0359999999999996</v>
      </c>
      <c r="AH662" s="59">
        <f t="shared" si="216"/>
        <v>-184.49199999999999</v>
      </c>
      <c r="AJ662" s="4">
        <f>IF(D662="M",IF(AM662&lt;78,BMILMS!$D$5*AM662^3+BMILMS!$E$5*AM662^2+BMILMS!$F$5*AM662+BMILMS!$G$5,IF(AM662&lt;150,BMILMS!$D$6*AM662^3+BMILMS!$E$6*AM662^2+BMILMS!$F$6*AM662+BMILMS!$G$6,BMILMS!$D$7*AM662^3+BMILMS!$E$7*AM662^2+BMILMS!$F$7*AM662+BMILMS!$G$7)),IF(AM662&lt;69,BMILMS!$D$9*AM662^3+BMILMS!$E$9*AM662^2+BMILMS!$F$9*AM662+BMILMS!$G$9,IF(AM662&lt;150,BMILMS!$D$10*AM662^3+BMILMS!$E$10*AM662^2+BMILMS!$F$10*AM662+BMILMS!$G$10,BMILMS!$D$11*AM662^3+BMILMS!$E$11*AM662^2+BMILMS!$F$11*AM662+BMILMS!$G$11)))</f>
        <v>0.79584630099999998</v>
      </c>
      <c r="AK662" s="4">
        <f>IF(D662="M",(IF(AM662&lt;2.5,BMILMS!$D$21*AM662^3+BMILMS!$E$21*AM662^2+BMILMS!$F$21*AM662+BMILMS!$G$21,IF(AM662&lt;9.5,BMILMS!$D$22*AM662^3+BMILMS!$E$22*AM662^2+BMILMS!$F$22*AM662+BMILMS!$G$22,IF(AM662&lt;26.75,BMILMS!$D$23*AM662^3+BMILMS!$E$23*AM662^2+BMILMS!$F$23*AM662+BMILMS!$G$23,IF(AM662&lt;90,BMILMS!$D$24*AM662^3+BMILMS!$E$24*AM662^2+BMILMS!$F$24*AM662+BMILMS!$G$24,BMILMS!$D$25*AM662^3+BMILMS!$E$25*AM662^2+BMILMS!$F$25*AM662+BMILMS!$G$25))))),(IF(AM662&lt;2.5,BMILMS!$D$27*AM662^3+BMILMS!$E$27*AM662^2+BMILMS!$F$27*AM662+BMILMS!$G$27,IF(AM662&lt;9.5,BMILMS!$D$28*AM662^3+BMILMS!$E$28*AM662^2+BMILMS!$F$28*AM662+BMILMS!$G$28,IF(AM662&lt;26.75,BMILMS!$D$29*AM662^3+BMILMS!$E$29*AM662^2+BMILMS!$F$29*AM662+BMILMS!$G$29,IF(AM662&lt;90,BMILMS!$D$30*AM662^3+BMILMS!$E$30*AM662^2+BMILMS!$F$30*AM662+BMILMS!$G$30,IF(AM662&lt;150,BMILMS!$D$31*AM662^3+BMILMS!$E$31*AM662^2+BMILMS!$F$31*AM662+BMILMS!$G$31,BMILMS!$D$32*AM662^3+BMILMS!$E$32*AM662^2+BMILMS!$F$32*AM662+BMILMS!$G$32)))))))</f>
        <v>12.568967990000001</v>
      </c>
      <c r="AL662" s="4">
        <f>IF(D662="M",(IF(AM662&lt;90,BMILMS!$D$14*AM662^3+BMILMS!$E$14*AM662^2+BMILMS!$F$14*AM662+BMILMS!$G$14,BMILMS!$D$15*AM662^3+BMILMS!$E$15*AM662^2+BMILMS!$F$15*AM662+BMILMS!$G$15)),(IF(AM662&lt;90,BMILMS!$D$17*AM662^3+BMILMS!$E$17*AM662^2+BMILMS!$F$17*AM662+BMILMS!$G$17,BMILMS!$D$18*AM662^3+BMILMS!$E$18*AM662^2+BMILMS!$F$18*AM662+BMILMS!$G$18)))</f>
        <v>8.8969350000000003E-2</v>
      </c>
      <c r="AM662" s="4">
        <f t="shared" si="230"/>
        <v>0</v>
      </c>
      <c r="AO662" s="56">
        <f>IF(D662="M",WeightSDS!P$5*$AM662^7+WeightSDS!Q$5*$AM662^6+WeightSDS!R$5*$AM662^5+WeightSDS!S$5*$AM662^4+WeightSDS!T$5*$AM662^3+WeightSDS!U$5*$AM662^2+WeightSDS!V$5*$AM662+WeightSDS!W$5,IF($AM662&lt;186,WeightSDS!P$8*$AM662^7+WeightSDS!Q$8*$AM662^6+WeightSDS!R$8*$AM662^5+WeightSDS!S$8*$AM662^4+WeightSDS!T$8*$AM662^3+WeightSDS!U$8*$AM662^2+WeightSDS!V$8*$AM662+WeightSDS!W$8,WeightSDS!$U$9+WeightSDS!$V$9*($AM662-WeightSDS!$W$9)))</f>
        <v>0.75407122999999998</v>
      </c>
      <c r="AP662" s="4">
        <f>IF(D662="M",IF($AM662&lt;45,WeightSDS!M$23*$AM662^10+WeightSDS!N$23*$AM662^9+WeightSDS!O$23*$AM662^8+WeightSDS!P$23*$AM662^7+WeightSDS!Q$23*$AM662^6+WeightSDS!R$23*$AM662^5+WeightSDS!S$23*$AM662^4+WeightSDS!T$23*$AM662^3+WeightSDS!U$23*$AM662^2+WeightSDS!V$23*$AM662+WeightSDS!W$23,IF($AM662&lt;153,WeightSDS!M$25*$AM662^10+WeightSDS!N$25*$AM662^9+WeightSDS!O$25*$AM662^8+WeightSDS!P$25*$AM662^7+WeightSDS!Q$25*$AM662^6+WeightSDS!R$25*$AM662^5+WeightSDS!S$25*$AM662^4+WeightSDS!T$25*$AM662^3+WeightSDS!U$25*$AM662^2+WeightSDS!V$25*$AM662+WeightSDS!W$25,WeightSDS!M$27+WeightSDS!N$27/(1+EXP(WeightSDS!O$27+WeightSDS!P$27*$AM662)))),IF($AM662&lt;43.8,WeightSDS!M$29*$AM662^10+WeightSDS!N$29*$AM662^9+WeightSDS!O$29*$AM662^8+WeightSDS!P$29*$AM662^7+WeightSDS!Q$29*$AM662^6+WeightSDS!R$29*$AM662^5+WeightSDS!S$29*$AM662^4+WeightSDS!T$29*$AM662^3+WeightSDS!U$29*$AM662^2+WeightSDS!V$29*$AM662+WeightSDS!W$29-0.010431*(1-$AM662/210),IF($AM662&lt;123,WeightSDS!M$30*$AM662^10+WeightSDS!N$30*$AM662^9+WeightSDS!O$30*$AM662^8+WeightSDS!P$30*$AM662^7+WeightSDS!Q$30*$AM662^6+WeightSDS!R$30*$AM662^5+WeightSDS!S$30*$AM662^4+WeightSDS!T$30*$AM662^3+WeightSDS!U$30*$AM662^2+WeightSDS!V$30*$AM662+WeightSDS!W$30-0.010431*(1-1/$AM662),WeightSDS!M$32+WeightSDS!N$32/(1+EXP(WeightSDS!O$32+WeightSDS!P$32*$AM662))-0.010431*(1-$AM662/210))))</f>
        <v>2.9500001032655536</v>
      </c>
      <c r="AQ662" s="4">
        <f>IF(D662="M",IF($AM662&lt;162,WeightSDS!P$12*$AM662^7+WeightSDS!Q$12*$AM662^6+WeightSDS!R$12*$AM662^5+WeightSDS!S$12*$AM662^4+WeightSDS!T$12*$AM662^3+WeightSDS!U$12*$AM662^2+WeightSDS!V$12*$AM662+WeightSDS!W$12,WeightSDS!P$14*$AM662^7+WeightSDS!Q$14*$AM662^6+WeightSDS!R$14*$AM662^5+WeightSDS!S$14*$AM662^4+WeightSDS!T$14*$AM662^3+WeightSDS!U$14*$AM662^2+WeightSDS!V$14*$AM662+WeightSDS!W$14),IF($AM662&lt;156,WeightSDS!O$17*$AM662^8+WeightSDS!P$17*$AM662^7+WeightSDS!Q$17*$AM662^6+WeightSDS!R$17*$AM662^5+WeightSDS!S$17*$AM662^4+WeightSDS!T$17*$AM662^3+WeightSDS!U$17*$AM662^2+WeightSDS!V$17*$AM662+WeightSDS!W$17,IF($AM662&lt;186,WeightSDS!$U$18+(WeightSDS!$V$18-WeightSDS!$U$18)/24*($AM662-186)+WeightSDS!$W$18*(-$AM662+186)^2-0.005,WeightSDS!$U$18+(WeightSDS!$V$18-WeightSDS!$U$18)/24*($AM662-186)-0.005)))</f>
        <v>0.14604529399999999</v>
      </c>
      <c r="AT662" s="4">
        <f t="shared" si="217"/>
        <v>0.56299999999999994</v>
      </c>
      <c r="AU662" s="4">
        <f t="shared" si="218"/>
        <v>69</v>
      </c>
      <c r="AV662" s="4">
        <f t="shared" si="219"/>
        <v>0.51</v>
      </c>
    </row>
    <row r="663" spans="1:48" x14ac:dyDescent="0.15">
      <c r="A663" s="4"/>
      <c r="B663" s="21"/>
      <c r="C663" s="21"/>
      <c r="D663" s="21"/>
      <c r="E663" s="22"/>
      <c r="F663" s="22"/>
      <c r="G663" s="23"/>
      <c r="H663" s="23"/>
      <c r="I663" s="181"/>
      <c r="J663" s="8" t="str">
        <f t="shared" si="211"/>
        <v/>
      </c>
      <c r="K663" s="2" t="str">
        <f t="shared" si="220"/>
        <v/>
      </c>
      <c r="L663" s="2" t="str">
        <f t="shared" si="212"/>
        <v/>
      </c>
      <c r="M663" s="2" t="str">
        <f t="shared" si="221"/>
        <v/>
      </c>
      <c r="N663" s="2" t="str">
        <f t="shared" si="229"/>
        <v/>
      </c>
      <c r="O663" s="2" t="str">
        <f t="shared" si="222"/>
        <v/>
      </c>
      <c r="P663" s="8" t="str">
        <f t="shared" si="223"/>
        <v/>
      </c>
      <c r="Q663" s="8" t="str">
        <f t="shared" si="224"/>
        <v/>
      </c>
      <c r="R663" s="111" t="str">
        <f t="shared" si="225"/>
        <v/>
      </c>
      <c r="S663" s="44" t="str">
        <f t="shared" si="226"/>
        <v/>
      </c>
      <c r="T663" s="37" t="str">
        <f t="shared" si="227"/>
        <v/>
      </c>
      <c r="U663" s="44" t="str">
        <f t="shared" si="228"/>
        <v/>
      </c>
      <c r="V663" s="26"/>
      <c r="W663" s="26"/>
      <c r="X663" s="26"/>
      <c r="Y663" s="26"/>
      <c r="Z663" s="24"/>
      <c r="AA663" s="169">
        <f t="shared" si="213"/>
        <v>0</v>
      </c>
      <c r="AB663" s="4">
        <f t="shared" si="214"/>
        <v>0</v>
      </c>
      <c r="AC663" s="170">
        <f t="shared" si="210"/>
        <v>0</v>
      </c>
      <c r="AD663" s="58"/>
      <c r="AE663" s="58"/>
      <c r="AF663" s="58"/>
      <c r="AG663" s="59">
        <f t="shared" si="215"/>
        <v>9.0359999999999996</v>
      </c>
      <c r="AH663" s="59">
        <f t="shared" si="216"/>
        <v>-184.49199999999999</v>
      </c>
      <c r="AJ663" s="4">
        <f>IF(D663="M",IF(AM663&lt;78,BMILMS!$D$5*AM663^3+BMILMS!$E$5*AM663^2+BMILMS!$F$5*AM663+BMILMS!$G$5,IF(AM663&lt;150,BMILMS!$D$6*AM663^3+BMILMS!$E$6*AM663^2+BMILMS!$F$6*AM663+BMILMS!$G$6,BMILMS!$D$7*AM663^3+BMILMS!$E$7*AM663^2+BMILMS!$F$7*AM663+BMILMS!$G$7)),IF(AM663&lt;69,BMILMS!$D$9*AM663^3+BMILMS!$E$9*AM663^2+BMILMS!$F$9*AM663+BMILMS!$G$9,IF(AM663&lt;150,BMILMS!$D$10*AM663^3+BMILMS!$E$10*AM663^2+BMILMS!$F$10*AM663+BMILMS!$G$10,BMILMS!$D$11*AM663^3+BMILMS!$E$11*AM663^2+BMILMS!$F$11*AM663+BMILMS!$G$11)))</f>
        <v>0.79584630099999998</v>
      </c>
      <c r="AK663" s="4">
        <f>IF(D663="M",(IF(AM663&lt;2.5,BMILMS!$D$21*AM663^3+BMILMS!$E$21*AM663^2+BMILMS!$F$21*AM663+BMILMS!$G$21,IF(AM663&lt;9.5,BMILMS!$D$22*AM663^3+BMILMS!$E$22*AM663^2+BMILMS!$F$22*AM663+BMILMS!$G$22,IF(AM663&lt;26.75,BMILMS!$D$23*AM663^3+BMILMS!$E$23*AM663^2+BMILMS!$F$23*AM663+BMILMS!$G$23,IF(AM663&lt;90,BMILMS!$D$24*AM663^3+BMILMS!$E$24*AM663^2+BMILMS!$F$24*AM663+BMILMS!$G$24,BMILMS!$D$25*AM663^3+BMILMS!$E$25*AM663^2+BMILMS!$F$25*AM663+BMILMS!$G$25))))),(IF(AM663&lt;2.5,BMILMS!$D$27*AM663^3+BMILMS!$E$27*AM663^2+BMILMS!$F$27*AM663+BMILMS!$G$27,IF(AM663&lt;9.5,BMILMS!$D$28*AM663^3+BMILMS!$E$28*AM663^2+BMILMS!$F$28*AM663+BMILMS!$G$28,IF(AM663&lt;26.75,BMILMS!$D$29*AM663^3+BMILMS!$E$29*AM663^2+BMILMS!$F$29*AM663+BMILMS!$G$29,IF(AM663&lt;90,BMILMS!$D$30*AM663^3+BMILMS!$E$30*AM663^2+BMILMS!$F$30*AM663+BMILMS!$G$30,IF(AM663&lt;150,BMILMS!$D$31*AM663^3+BMILMS!$E$31*AM663^2+BMILMS!$F$31*AM663+BMILMS!$G$31,BMILMS!$D$32*AM663^3+BMILMS!$E$32*AM663^2+BMILMS!$F$32*AM663+BMILMS!$G$32)))))))</f>
        <v>12.568967990000001</v>
      </c>
      <c r="AL663" s="4">
        <f>IF(D663="M",(IF(AM663&lt;90,BMILMS!$D$14*AM663^3+BMILMS!$E$14*AM663^2+BMILMS!$F$14*AM663+BMILMS!$G$14,BMILMS!$D$15*AM663^3+BMILMS!$E$15*AM663^2+BMILMS!$F$15*AM663+BMILMS!$G$15)),(IF(AM663&lt;90,BMILMS!$D$17*AM663^3+BMILMS!$E$17*AM663^2+BMILMS!$F$17*AM663+BMILMS!$G$17,BMILMS!$D$18*AM663^3+BMILMS!$E$18*AM663^2+BMILMS!$F$18*AM663+BMILMS!$G$18)))</f>
        <v>8.8969350000000003E-2</v>
      </c>
      <c r="AM663" s="4">
        <f t="shared" si="230"/>
        <v>0</v>
      </c>
      <c r="AO663" s="56">
        <f>IF(D663="M",WeightSDS!P$5*$AM663^7+WeightSDS!Q$5*$AM663^6+WeightSDS!R$5*$AM663^5+WeightSDS!S$5*$AM663^4+WeightSDS!T$5*$AM663^3+WeightSDS!U$5*$AM663^2+WeightSDS!V$5*$AM663+WeightSDS!W$5,IF($AM663&lt;186,WeightSDS!P$8*$AM663^7+WeightSDS!Q$8*$AM663^6+WeightSDS!R$8*$AM663^5+WeightSDS!S$8*$AM663^4+WeightSDS!T$8*$AM663^3+WeightSDS!U$8*$AM663^2+WeightSDS!V$8*$AM663+WeightSDS!W$8,WeightSDS!$U$9+WeightSDS!$V$9*($AM663-WeightSDS!$W$9)))</f>
        <v>0.75407122999999998</v>
      </c>
      <c r="AP663" s="4">
        <f>IF(D663="M",IF($AM663&lt;45,WeightSDS!M$23*$AM663^10+WeightSDS!N$23*$AM663^9+WeightSDS!O$23*$AM663^8+WeightSDS!P$23*$AM663^7+WeightSDS!Q$23*$AM663^6+WeightSDS!R$23*$AM663^5+WeightSDS!S$23*$AM663^4+WeightSDS!T$23*$AM663^3+WeightSDS!U$23*$AM663^2+WeightSDS!V$23*$AM663+WeightSDS!W$23,IF($AM663&lt;153,WeightSDS!M$25*$AM663^10+WeightSDS!N$25*$AM663^9+WeightSDS!O$25*$AM663^8+WeightSDS!P$25*$AM663^7+WeightSDS!Q$25*$AM663^6+WeightSDS!R$25*$AM663^5+WeightSDS!S$25*$AM663^4+WeightSDS!T$25*$AM663^3+WeightSDS!U$25*$AM663^2+WeightSDS!V$25*$AM663+WeightSDS!W$25,WeightSDS!M$27+WeightSDS!N$27/(1+EXP(WeightSDS!O$27+WeightSDS!P$27*$AM663)))),IF($AM663&lt;43.8,WeightSDS!M$29*$AM663^10+WeightSDS!N$29*$AM663^9+WeightSDS!O$29*$AM663^8+WeightSDS!P$29*$AM663^7+WeightSDS!Q$29*$AM663^6+WeightSDS!R$29*$AM663^5+WeightSDS!S$29*$AM663^4+WeightSDS!T$29*$AM663^3+WeightSDS!U$29*$AM663^2+WeightSDS!V$29*$AM663+WeightSDS!W$29-0.010431*(1-$AM663/210),IF($AM663&lt;123,WeightSDS!M$30*$AM663^10+WeightSDS!N$30*$AM663^9+WeightSDS!O$30*$AM663^8+WeightSDS!P$30*$AM663^7+WeightSDS!Q$30*$AM663^6+WeightSDS!R$30*$AM663^5+WeightSDS!S$30*$AM663^4+WeightSDS!T$30*$AM663^3+WeightSDS!U$30*$AM663^2+WeightSDS!V$30*$AM663+WeightSDS!W$30-0.010431*(1-1/$AM663),WeightSDS!M$32+WeightSDS!N$32/(1+EXP(WeightSDS!O$32+WeightSDS!P$32*$AM663))-0.010431*(1-$AM663/210))))</f>
        <v>2.9500001032655536</v>
      </c>
      <c r="AQ663" s="4">
        <f>IF(D663="M",IF($AM663&lt;162,WeightSDS!P$12*$AM663^7+WeightSDS!Q$12*$AM663^6+WeightSDS!R$12*$AM663^5+WeightSDS!S$12*$AM663^4+WeightSDS!T$12*$AM663^3+WeightSDS!U$12*$AM663^2+WeightSDS!V$12*$AM663+WeightSDS!W$12,WeightSDS!P$14*$AM663^7+WeightSDS!Q$14*$AM663^6+WeightSDS!R$14*$AM663^5+WeightSDS!S$14*$AM663^4+WeightSDS!T$14*$AM663^3+WeightSDS!U$14*$AM663^2+WeightSDS!V$14*$AM663+WeightSDS!W$14),IF($AM663&lt;156,WeightSDS!O$17*$AM663^8+WeightSDS!P$17*$AM663^7+WeightSDS!Q$17*$AM663^6+WeightSDS!R$17*$AM663^5+WeightSDS!S$17*$AM663^4+WeightSDS!T$17*$AM663^3+WeightSDS!U$17*$AM663^2+WeightSDS!V$17*$AM663+WeightSDS!W$17,IF($AM663&lt;186,WeightSDS!$U$18+(WeightSDS!$V$18-WeightSDS!$U$18)/24*($AM663-186)+WeightSDS!$W$18*(-$AM663+186)^2-0.005,WeightSDS!$U$18+(WeightSDS!$V$18-WeightSDS!$U$18)/24*($AM663-186)-0.005)))</f>
        <v>0.14604529399999999</v>
      </c>
      <c r="AT663" s="4">
        <f t="shared" si="217"/>
        <v>0.56299999999999994</v>
      </c>
      <c r="AU663" s="4">
        <f t="shared" si="218"/>
        <v>69</v>
      </c>
      <c r="AV663" s="4">
        <f t="shared" si="219"/>
        <v>0.51</v>
      </c>
    </row>
    <row r="664" spans="1:48" x14ac:dyDescent="0.15">
      <c r="A664" s="4"/>
      <c r="B664" s="21"/>
      <c r="C664" s="21"/>
      <c r="D664" s="21"/>
      <c r="E664" s="22"/>
      <c r="F664" s="22"/>
      <c r="G664" s="23"/>
      <c r="H664" s="23"/>
      <c r="I664" s="181"/>
      <c r="J664" s="8" t="str">
        <f t="shared" si="211"/>
        <v/>
      </c>
      <c r="K664" s="2" t="str">
        <f t="shared" si="220"/>
        <v/>
      </c>
      <c r="L664" s="2" t="str">
        <f t="shared" si="212"/>
        <v/>
      </c>
      <c r="M664" s="2" t="str">
        <f t="shared" si="221"/>
        <v/>
      </c>
      <c r="N664" s="2" t="str">
        <f t="shared" si="229"/>
        <v/>
      </c>
      <c r="O664" s="2" t="str">
        <f t="shared" si="222"/>
        <v/>
      </c>
      <c r="P664" s="8" t="str">
        <f t="shared" si="223"/>
        <v/>
      </c>
      <c r="Q664" s="8" t="str">
        <f t="shared" si="224"/>
        <v/>
      </c>
      <c r="R664" s="111" t="str">
        <f t="shared" si="225"/>
        <v/>
      </c>
      <c r="S664" s="44" t="str">
        <f t="shared" si="226"/>
        <v/>
      </c>
      <c r="T664" s="37" t="str">
        <f t="shared" si="227"/>
        <v/>
      </c>
      <c r="U664" s="44" t="str">
        <f t="shared" si="228"/>
        <v/>
      </c>
      <c r="V664" s="26"/>
      <c r="W664" s="26"/>
      <c r="X664" s="26"/>
      <c r="Y664" s="26"/>
      <c r="Z664" s="24"/>
      <c r="AA664" s="169">
        <f t="shared" si="213"/>
        <v>0</v>
      </c>
      <c r="AB664" s="4">
        <f t="shared" si="214"/>
        <v>0</v>
      </c>
      <c r="AC664" s="170">
        <f t="shared" si="210"/>
        <v>0</v>
      </c>
      <c r="AD664" s="58"/>
      <c r="AE664" s="58"/>
      <c r="AF664" s="58"/>
      <c r="AG664" s="59">
        <f t="shared" si="215"/>
        <v>9.0359999999999996</v>
      </c>
      <c r="AH664" s="59">
        <f t="shared" si="216"/>
        <v>-184.49199999999999</v>
      </c>
      <c r="AJ664" s="4">
        <f>IF(D664="M",IF(AM664&lt;78,BMILMS!$D$5*AM664^3+BMILMS!$E$5*AM664^2+BMILMS!$F$5*AM664+BMILMS!$G$5,IF(AM664&lt;150,BMILMS!$D$6*AM664^3+BMILMS!$E$6*AM664^2+BMILMS!$F$6*AM664+BMILMS!$G$6,BMILMS!$D$7*AM664^3+BMILMS!$E$7*AM664^2+BMILMS!$F$7*AM664+BMILMS!$G$7)),IF(AM664&lt;69,BMILMS!$D$9*AM664^3+BMILMS!$E$9*AM664^2+BMILMS!$F$9*AM664+BMILMS!$G$9,IF(AM664&lt;150,BMILMS!$D$10*AM664^3+BMILMS!$E$10*AM664^2+BMILMS!$F$10*AM664+BMILMS!$G$10,BMILMS!$D$11*AM664^3+BMILMS!$E$11*AM664^2+BMILMS!$F$11*AM664+BMILMS!$G$11)))</f>
        <v>0.79584630099999998</v>
      </c>
      <c r="AK664" s="4">
        <f>IF(D664="M",(IF(AM664&lt;2.5,BMILMS!$D$21*AM664^3+BMILMS!$E$21*AM664^2+BMILMS!$F$21*AM664+BMILMS!$G$21,IF(AM664&lt;9.5,BMILMS!$D$22*AM664^3+BMILMS!$E$22*AM664^2+BMILMS!$F$22*AM664+BMILMS!$G$22,IF(AM664&lt;26.75,BMILMS!$D$23*AM664^3+BMILMS!$E$23*AM664^2+BMILMS!$F$23*AM664+BMILMS!$G$23,IF(AM664&lt;90,BMILMS!$D$24*AM664^3+BMILMS!$E$24*AM664^2+BMILMS!$F$24*AM664+BMILMS!$G$24,BMILMS!$D$25*AM664^3+BMILMS!$E$25*AM664^2+BMILMS!$F$25*AM664+BMILMS!$G$25))))),(IF(AM664&lt;2.5,BMILMS!$D$27*AM664^3+BMILMS!$E$27*AM664^2+BMILMS!$F$27*AM664+BMILMS!$G$27,IF(AM664&lt;9.5,BMILMS!$D$28*AM664^3+BMILMS!$E$28*AM664^2+BMILMS!$F$28*AM664+BMILMS!$G$28,IF(AM664&lt;26.75,BMILMS!$D$29*AM664^3+BMILMS!$E$29*AM664^2+BMILMS!$F$29*AM664+BMILMS!$G$29,IF(AM664&lt;90,BMILMS!$D$30*AM664^3+BMILMS!$E$30*AM664^2+BMILMS!$F$30*AM664+BMILMS!$G$30,IF(AM664&lt;150,BMILMS!$D$31*AM664^3+BMILMS!$E$31*AM664^2+BMILMS!$F$31*AM664+BMILMS!$G$31,BMILMS!$D$32*AM664^3+BMILMS!$E$32*AM664^2+BMILMS!$F$32*AM664+BMILMS!$G$32)))))))</f>
        <v>12.568967990000001</v>
      </c>
      <c r="AL664" s="4">
        <f>IF(D664="M",(IF(AM664&lt;90,BMILMS!$D$14*AM664^3+BMILMS!$E$14*AM664^2+BMILMS!$F$14*AM664+BMILMS!$G$14,BMILMS!$D$15*AM664^3+BMILMS!$E$15*AM664^2+BMILMS!$F$15*AM664+BMILMS!$G$15)),(IF(AM664&lt;90,BMILMS!$D$17*AM664^3+BMILMS!$E$17*AM664^2+BMILMS!$F$17*AM664+BMILMS!$G$17,BMILMS!$D$18*AM664^3+BMILMS!$E$18*AM664^2+BMILMS!$F$18*AM664+BMILMS!$G$18)))</f>
        <v>8.8969350000000003E-2</v>
      </c>
      <c r="AM664" s="4">
        <f t="shared" si="230"/>
        <v>0</v>
      </c>
      <c r="AO664" s="56">
        <f>IF(D664="M",WeightSDS!P$5*$AM664^7+WeightSDS!Q$5*$AM664^6+WeightSDS!R$5*$AM664^5+WeightSDS!S$5*$AM664^4+WeightSDS!T$5*$AM664^3+WeightSDS!U$5*$AM664^2+WeightSDS!V$5*$AM664+WeightSDS!W$5,IF($AM664&lt;186,WeightSDS!P$8*$AM664^7+WeightSDS!Q$8*$AM664^6+WeightSDS!R$8*$AM664^5+WeightSDS!S$8*$AM664^4+WeightSDS!T$8*$AM664^3+WeightSDS!U$8*$AM664^2+WeightSDS!V$8*$AM664+WeightSDS!W$8,WeightSDS!$U$9+WeightSDS!$V$9*($AM664-WeightSDS!$W$9)))</f>
        <v>0.75407122999999998</v>
      </c>
      <c r="AP664" s="4">
        <f>IF(D664="M",IF($AM664&lt;45,WeightSDS!M$23*$AM664^10+WeightSDS!N$23*$AM664^9+WeightSDS!O$23*$AM664^8+WeightSDS!P$23*$AM664^7+WeightSDS!Q$23*$AM664^6+WeightSDS!R$23*$AM664^5+WeightSDS!S$23*$AM664^4+WeightSDS!T$23*$AM664^3+WeightSDS!U$23*$AM664^2+WeightSDS!V$23*$AM664+WeightSDS!W$23,IF($AM664&lt;153,WeightSDS!M$25*$AM664^10+WeightSDS!N$25*$AM664^9+WeightSDS!O$25*$AM664^8+WeightSDS!P$25*$AM664^7+WeightSDS!Q$25*$AM664^6+WeightSDS!R$25*$AM664^5+WeightSDS!S$25*$AM664^4+WeightSDS!T$25*$AM664^3+WeightSDS!U$25*$AM664^2+WeightSDS!V$25*$AM664+WeightSDS!W$25,WeightSDS!M$27+WeightSDS!N$27/(1+EXP(WeightSDS!O$27+WeightSDS!P$27*$AM664)))),IF($AM664&lt;43.8,WeightSDS!M$29*$AM664^10+WeightSDS!N$29*$AM664^9+WeightSDS!O$29*$AM664^8+WeightSDS!P$29*$AM664^7+WeightSDS!Q$29*$AM664^6+WeightSDS!R$29*$AM664^5+WeightSDS!S$29*$AM664^4+WeightSDS!T$29*$AM664^3+WeightSDS!U$29*$AM664^2+WeightSDS!V$29*$AM664+WeightSDS!W$29-0.010431*(1-$AM664/210),IF($AM664&lt;123,WeightSDS!M$30*$AM664^10+WeightSDS!N$30*$AM664^9+WeightSDS!O$30*$AM664^8+WeightSDS!P$30*$AM664^7+WeightSDS!Q$30*$AM664^6+WeightSDS!R$30*$AM664^5+WeightSDS!S$30*$AM664^4+WeightSDS!T$30*$AM664^3+WeightSDS!U$30*$AM664^2+WeightSDS!V$30*$AM664+WeightSDS!W$30-0.010431*(1-1/$AM664),WeightSDS!M$32+WeightSDS!N$32/(1+EXP(WeightSDS!O$32+WeightSDS!P$32*$AM664))-0.010431*(1-$AM664/210))))</f>
        <v>2.9500001032655536</v>
      </c>
      <c r="AQ664" s="4">
        <f>IF(D664="M",IF($AM664&lt;162,WeightSDS!P$12*$AM664^7+WeightSDS!Q$12*$AM664^6+WeightSDS!R$12*$AM664^5+WeightSDS!S$12*$AM664^4+WeightSDS!T$12*$AM664^3+WeightSDS!U$12*$AM664^2+WeightSDS!V$12*$AM664+WeightSDS!W$12,WeightSDS!P$14*$AM664^7+WeightSDS!Q$14*$AM664^6+WeightSDS!R$14*$AM664^5+WeightSDS!S$14*$AM664^4+WeightSDS!T$14*$AM664^3+WeightSDS!U$14*$AM664^2+WeightSDS!V$14*$AM664+WeightSDS!W$14),IF($AM664&lt;156,WeightSDS!O$17*$AM664^8+WeightSDS!P$17*$AM664^7+WeightSDS!Q$17*$AM664^6+WeightSDS!R$17*$AM664^5+WeightSDS!S$17*$AM664^4+WeightSDS!T$17*$AM664^3+WeightSDS!U$17*$AM664^2+WeightSDS!V$17*$AM664+WeightSDS!W$17,IF($AM664&lt;186,WeightSDS!$U$18+(WeightSDS!$V$18-WeightSDS!$U$18)/24*($AM664-186)+WeightSDS!$W$18*(-$AM664+186)^2-0.005,WeightSDS!$U$18+(WeightSDS!$V$18-WeightSDS!$U$18)/24*($AM664-186)-0.005)))</f>
        <v>0.14604529399999999</v>
      </c>
      <c r="AT664" s="4">
        <f t="shared" si="217"/>
        <v>0.56299999999999994</v>
      </c>
      <c r="AU664" s="4">
        <f t="shared" si="218"/>
        <v>69</v>
      </c>
      <c r="AV664" s="4">
        <f t="shared" si="219"/>
        <v>0.51</v>
      </c>
    </row>
    <row r="665" spans="1:48" x14ac:dyDescent="0.15">
      <c r="A665" s="4"/>
      <c r="B665" s="21"/>
      <c r="C665" s="21"/>
      <c r="D665" s="21"/>
      <c r="E665" s="22"/>
      <c r="F665" s="22"/>
      <c r="G665" s="23"/>
      <c r="H665" s="23"/>
      <c r="I665" s="181"/>
      <c r="J665" s="8" t="str">
        <f t="shared" si="211"/>
        <v/>
      </c>
      <c r="K665" s="2" t="str">
        <f t="shared" si="220"/>
        <v/>
      </c>
      <c r="L665" s="2" t="str">
        <f t="shared" si="212"/>
        <v/>
      </c>
      <c r="M665" s="2" t="str">
        <f t="shared" si="221"/>
        <v/>
      </c>
      <c r="N665" s="2" t="str">
        <f t="shared" si="229"/>
        <v/>
      </c>
      <c r="O665" s="2" t="str">
        <f t="shared" si="222"/>
        <v/>
      </c>
      <c r="P665" s="8" t="str">
        <f t="shared" si="223"/>
        <v/>
      </c>
      <c r="Q665" s="8" t="str">
        <f t="shared" si="224"/>
        <v/>
      </c>
      <c r="R665" s="111" t="str">
        <f t="shared" si="225"/>
        <v/>
      </c>
      <c r="S665" s="44" t="str">
        <f t="shared" si="226"/>
        <v/>
      </c>
      <c r="T665" s="37" t="str">
        <f t="shared" si="227"/>
        <v/>
      </c>
      <c r="U665" s="44" t="str">
        <f t="shared" si="228"/>
        <v/>
      </c>
      <c r="V665" s="26"/>
      <c r="W665" s="26"/>
      <c r="X665" s="26"/>
      <c r="Y665" s="26"/>
      <c r="Z665" s="24"/>
      <c r="AA665" s="169">
        <f t="shared" si="213"/>
        <v>0</v>
      </c>
      <c r="AB665" s="4">
        <f t="shared" si="214"/>
        <v>0</v>
      </c>
      <c r="AC665" s="170">
        <f t="shared" si="210"/>
        <v>0</v>
      </c>
      <c r="AD665" s="58"/>
      <c r="AE665" s="58"/>
      <c r="AF665" s="58"/>
      <c r="AG665" s="59">
        <f t="shared" si="215"/>
        <v>9.0359999999999996</v>
      </c>
      <c r="AH665" s="59">
        <f t="shared" si="216"/>
        <v>-184.49199999999999</v>
      </c>
      <c r="AJ665" s="4">
        <f>IF(D665="M",IF(AM665&lt;78,BMILMS!$D$5*AM665^3+BMILMS!$E$5*AM665^2+BMILMS!$F$5*AM665+BMILMS!$G$5,IF(AM665&lt;150,BMILMS!$D$6*AM665^3+BMILMS!$E$6*AM665^2+BMILMS!$F$6*AM665+BMILMS!$G$6,BMILMS!$D$7*AM665^3+BMILMS!$E$7*AM665^2+BMILMS!$F$7*AM665+BMILMS!$G$7)),IF(AM665&lt;69,BMILMS!$D$9*AM665^3+BMILMS!$E$9*AM665^2+BMILMS!$F$9*AM665+BMILMS!$G$9,IF(AM665&lt;150,BMILMS!$D$10*AM665^3+BMILMS!$E$10*AM665^2+BMILMS!$F$10*AM665+BMILMS!$G$10,BMILMS!$D$11*AM665^3+BMILMS!$E$11*AM665^2+BMILMS!$F$11*AM665+BMILMS!$G$11)))</f>
        <v>0.79584630099999998</v>
      </c>
      <c r="AK665" s="4">
        <f>IF(D665="M",(IF(AM665&lt;2.5,BMILMS!$D$21*AM665^3+BMILMS!$E$21*AM665^2+BMILMS!$F$21*AM665+BMILMS!$G$21,IF(AM665&lt;9.5,BMILMS!$D$22*AM665^3+BMILMS!$E$22*AM665^2+BMILMS!$F$22*AM665+BMILMS!$G$22,IF(AM665&lt;26.75,BMILMS!$D$23*AM665^3+BMILMS!$E$23*AM665^2+BMILMS!$F$23*AM665+BMILMS!$G$23,IF(AM665&lt;90,BMILMS!$D$24*AM665^3+BMILMS!$E$24*AM665^2+BMILMS!$F$24*AM665+BMILMS!$G$24,BMILMS!$D$25*AM665^3+BMILMS!$E$25*AM665^2+BMILMS!$F$25*AM665+BMILMS!$G$25))))),(IF(AM665&lt;2.5,BMILMS!$D$27*AM665^3+BMILMS!$E$27*AM665^2+BMILMS!$F$27*AM665+BMILMS!$G$27,IF(AM665&lt;9.5,BMILMS!$D$28*AM665^3+BMILMS!$E$28*AM665^2+BMILMS!$F$28*AM665+BMILMS!$G$28,IF(AM665&lt;26.75,BMILMS!$D$29*AM665^3+BMILMS!$E$29*AM665^2+BMILMS!$F$29*AM665+BMILMS!$G$29,IF(AM665&lt;90,BMILMS!$D$30*AM665^3+BMILMS!$E$30*AM665^2+BMILMS!$F$30*AM665+BMILMS!$G$30,IF(AM665&lt;150,BMILMS!$D$31*AM665^3+BMILMS!$E$31*AM665^2+BMILMS!$F$31*AM665+BMILMS!$G$31,BMILMS!$D$32*AM665^3+BMILMS!$E$32*AM665^2+BMILMS!$F$32*AM665+BMILMS!$G$32)))))))</f>
        <v>12.568967990000001</v>
      </c>
      <c r="AL665" s="4">
        <f>IF(D665="M",(IF(AM665&lt;90,BMILMS!$D$14*AM665^3+BMILMS!$E$14*AM665^2+BMILMS!$F$14*AM665+BMILMS!$G$14,BMILMS!$D$15*AM665^3+BMILMS!$E$15*AM665^2+BMILMS!$F$15*AM665+BMILMS!$G$15)),(IF(AM665&lt;90,BMILMS!$D$17*AM665^3+BMILMS!$E$17*AM665^2+BMILMS!$F$17*AM665+BMILMS!$G$17,BMILMS!$D$18*AM665^3+BMILMS!$E$18*AM665^2+BMILMS!$F$18*AM665+BMILMS!$G$18)))</f>
        <v>8.8969350000000003E-2</v>
      </c>
      <c r="AM665" s="4">
        <f t="shared" si="230"/>
        <v>0</v>
      </c>
      <c r="AO665" s="56">
        <f>IF(D665="M",WeightSDS!P$5*$AM665^7+WeightSDS!Q$5*$AM665^6+WeightSDS!R$5*$AM665^5+WeightSDS!S$5*$AM665^4+WeightSDS!T$5*$AM665^3+WeightSDS!U$5*$AM665^2+WeightSDS!V$5*$AM665+WeightSDS!W$5,IF($AM665&lt;186,WeightSDS!P$8*$AM665^7+WeightSDS!Q$8*$AM665^6+WeightSDS!R$8*$AM665^5+WeightSDS!S$8*$AM665^4+WeightSDS!T$8*$AM665^3+WeightSDS!U$8*$AM665^2+WeightSDS!V$8*$AM665+WeightSDS!W$8,WeightSDS!$U$9+WeightSDS!$V$9*($AM665-WeightSDS!$W$9)))</f>
        <v>0.75407122999999998</v>
      </c>
      <c r="AP665" s="4">
        <f>IF(D665="M",IF($AM665&lt;45,WeightSDS!M$23*$AM665^10+WeightSDS!N$23*$AM665^9+WeightSDS!O$23*$AM665^8+WeightSDS!P$23*$AM665^7+WeightSDS!Q$23*$AM665^6+WeightSDS!R$23*$AM665^5+WeightSDS!S$23*$AM665^4+WeightSDS!T$23*$AM665^3+WeightSDS!U$23*$AM665^2+WeightSDS!V$23*$AM665+WeightSDS!W$23,IF($AM665&lt;153,WeightSDS!M$25*$AM665^10+WeightSDS!N$25*$AM665^9+WeightSDS!O$25*$AM665^8+WeightSDS!P$25*$AM665^7+WeightSDS!Q$25*$AM665^6+WeightSDS!R$25*$AM665^5+WeightSDS!S$25*$AM665^4+WeightSDS!T$25*$AM665^3+WeightSDS!U$25*$AM665^2+WeightSDS!V$25*$AM665+WeightSDS!W$25,WeightSDS!M$27+WeightSDS!N$27/(1+EXP(WeightSDS!O$27+WeightSDS!P$27*$AM665)))),IF($AM665&lt;43.8,WeightSDS!M$29*$AM665^10+WeightSDS!N$29*$AM665^9+WeightSDS!O$29*$AM665^8+WeightSDS!P$29*$AM665^7+WeightSDS!Q$29*$AM665^6+WeightSDS!R$29*$AM665^5+WeightSDS!S$29*$AM665^4+WeightSDS!T$29*$AM665^3+WeightSDS!U$29*$AM665^2+WeightSDS!V$29*$AM665+WeightSDS!W$29-0.010431*(1-$AM665/210),IF($AM665&lt;123,WeightSDS!M$30*$AM665^10+WeightSDS!N$30*$AM665^9+WeightSDS!O$30*$AM665^8+WeightSDS!P$30*$AM665^7+WeightSDS!Q$30*$AM665^6+WeightSDS!R$30*$AM665^5+WeightSDS!S$30*$AM665^4+WeightSDS!T$30*$AM665^3+WeightSDS!U$30*$AM665^2+WeightSDS!V$30*$AM665+WeightSDS!W$30-0.010431*(1-1/$AM665),WeightSDS!M$32+WeightSDS!N$32/(1+EXP(WeightSDS!O$32+WeightSDS!P$32*$AM665))-0.010431*(1-$AM665/210))))</f>
        <v>2.9500001032655536</v>
      </c>
      <c r="AQ665" s="4">
        <f>IF(D665="M",IF($AM665&lt;162,WeightSDS!P$12*$AM665^7+WeightSDS!Q$12*$AM665^6+WeightSDS!R$12*$AM665^5+WeightSDS!S$12*$AM665^4+WeightSDS!T$12*$AM665^3+WeightSDS!U$12*$AM665^2+WeightSDS!V$12*$AM665+WeightSDS!W$12,WeightSDS!P$14*$AM665^7+WeightSDS!Q$14*$AM665^6+WeightSDS!R$14*$AM665^5+WeightSDS!S$14*$AM665^4+WeightSDS!T$14*$AM665^3+WeightSDS!U$14*$AM665^2+WeightSDS!V$14*$AM665+WeightSDS!W$14),IF($AM665&lt;156,WeightSDS!O$17*$AM665^8+WeightSDS!P$17*$AM665^7+WeightSDS!Q$17*$AM665^6+WeightSDS!R$17*$AM665^5+WeightSDS!S$17*$AM665^4+WeightSDS!T$17*$AM665^3+WeightSDS!U$17*$AM665^2+WeightSDS!V$17*$AM665+WeightSDS!W$17,IF($AM665&lt;186,WeightSDS!$U$18+(WeightSDS!$V$18-WeightSDS!$U$18)/24*($AM665-186)+WeightSDS!$W$18*(-$AM665+186)^2-0.005,WeightSDS!$U$18+(WeightSDS!$V$18-WeightSDS!$U$18)/24*($AM665-186)-0.005)))</f>
        <v>0.14604529399999999</v>
      </c>
      <c r="AT665" s="4">
        <f t="shared" si="217"/>
        <v>0.56299999999999994</v>
      </c>
      <c r="AU665" s="4">
        <f t="shared" si="218"/>
        <v>69</v>
      </c>
      <c r="AV665" s="4">
        <f t="shared" si="219"/>
        <v>0.51</v>
      </c>
    </row>
    <row r="666" spans="1:48" x14ac:dyDescent="0.15">
      <c r="A666" s="4"/>
      <c r="B666" s="21"/>
      <c r="C666" s="21"/>
      <c r="D666" s="21"/>
      <c r="E666" s="22"/>
      <c r="F666" s="22"/>
      <c r="G666" s="23"/>
      <c r="H666" s="23"/>
      <c r="I666" s="181"/>
      <c r="J666" s="8" t="str">
        <f t="shared" si="211"/>
        <v/>
      </c>
      <c r="K666" s="2" t="str">
        <f t="shared" si="220"/>
        <v/>
      </c>
      <c r="L666" s="2" t="str">
        <f t="shared" si="212"/>
        <v/>
      </c>
      <c r="M666" s="2" t="str">
        <f t="shared" si="221"/>
        <v/>
      </c>
      <c r="N666" s="2" t="str">
        <f t="shared" si="229"/>
        <v/>
      </c>
      <c r="O666" s="2" t="str">
        <f t="shared" si="222"/>
        <v/>
      </c>
      <c r="P666" s="8" t="str">
        <f t="shared" si="223"/>
        <v/>
      </c>
      <c r="Q666" s="8" t="str">
        <f t="shared" si="224"/>
        <v/>
      </c>
      <c r="R666" s="111" t="str">
        <f t="shared" si="225"/>
        <v/>
      </c>
      <c r="S666" s="44" t="str">
        <f t="shared" si="226"/>
        <v/>
      </c>
      <c r="T666" s="37" t="str">
        <f t="shared" si="227"/>
        <v/>
      </c>
      <c r="U666" s="44" t="str">
        <f t="shared" si="228"/>
        <v/>
      </c>
      <c r="V666" s="26"/>
      <c r="W666" s="26"/>
      <c r="X666" s="26"/>
      <c r="Y666" s="26"/>
      <c r="Z666" s="24"/>
      <c r="AA666" s="169">
        <f t="shared" si="213"/>
        <v>0</v>
      </c>
      <c r="AB666" s="4">
        <f t="shared" si="214"/>
        <v>0</v>
      </c>
      <c r="AC666" s="170">
        <f t="shared" si="210"/>
        <v>0</v>
      </c>
      <c r="AD666" s="58"/>
      <c r="AE666" s="58"/>
      <c r="AF666" s="58"/>
      <c r="AG666" s="59">
        <f t="shared" si="215"/>
        <v>9.0359999999999996</v>
      </c>
      <c r="AH666" s="59">
        <f t="shared" si="216"/>
        <v>-184.49199999999999</v>
      </c>
      <c r="AJ666" s="4">
        <f>IF(D666="M",IF(AM666&lt;78,BMILMS!$D$5*AM666^3+BMILMS!$E$5*AM666^2+BMILMS!$F$5*AM666+BMILMS!$G$5,IF(AM666&lt;150,BMILMS!$D$6*AM666^3+BMILMS!$E$6*AM666^2+BMILMS!$F$6*AM666+BMILMS!$G$6,BMILMS!$D$7*AM666^3+BMILMS!$E$7*AM666^2+BMILMS!$F$7*AM666+BMILMS!$G$7)),IF(AM666&lt;69,BMILMS!$D$9*AM666^3+BMILMS!$E$9*AM666^2+BMILMS!$F$9*AM666+BMILMS!$G$9,IF(AM666&lt;150,BMILMS!$D$10*AM666^3+BMILMS!$E$10*AM666^2+BMILMS!$F$10*AM666+BMILMS!$G$10,BMILMS!$D$11*AM666^3+BMILMS!$E$11*AM666^2+BMILMS!$F$11*AM666+BMILMS!$G$11)))</f>
        <v>0.79584630099999998</v>
      </c>
      <c r="AK666" s="4">
        <f>IF(D666="M",(IF(AM666&lt;2.5,BMILMS!$D$21*AM666^3+BMILMS!$E$21*AM666^2+BMILMS!$F$21*AM666+BMILMS!$G$21,IF(AM666&lt;9.5,BMILMS!$D$22*AM666^3+BMILMS!$E$22*AM666^2+BMILMS!$F$22*AM666+BMILMS!$G$22,IF(AM666&lt;26.75,BMILMS!$D$23*AM666^3+BMILMS!$E$23*AM666^2+BMILMS!$F$23*AM666+BMILMS!$G$23,IF(AM666&lt;90,BMILMS!$D$24*AM666^3+BMILMS!$E$24*AM666^2+BMILMS!$F$24*AM666+BMILMS!$G$24,BMILMS!$D$25*AM666^3+BMILMS!$E$25*AM666^2+BMILMS!$F$25*AM666+BMILMS!$G$25))))),(IF(AM666&lt;2.5,BMILMS!$D$27*AM666^3+BMILMS!$E$27*AM666^2+BMILMS!$F$27*AM666+BMILMS!$G$27,IF(AM666&lt;9.5,BMILMS!$D$28*AM666^3+BMILMS!$E$28*AM666^2+BMILMS!$F$28*AM666+BMILMS!$G$28,IF(AM666&lt;26.75,BMILMS!$D$29*AM666^3+BMILMS!$E$29*AM666^2+BMILMS!$F$29*AM666+BMILMS!$G$29,IF(AM666&lt;90,BMILMS!$D$30*AM666^3+BMILMS!$E$30*AM666^2+BMILMS!$F$30*AM666+BMILMS!$G$30,IF(AM666&lt;150,BMILMS!$D$31*AM666^3+BMILMS!$E$31*AM666^2+BMILMS!$F$31*AM666+BMILMS!$G$31,BMILMS!$D$32*AM666^3+BMILMS!$E$32*AM666^2+BMILMS!$F$32*AM666+BMILMS!$G$32)))))))</f>
        <v>12.568967990000001</v>
      </c>
      <c r="AL666" s="4">
        <f>IF(D666="M",(IF(AM666&lt;90,BMILMS!$D$14*AM666^3+BMILMS!$E$14*AM666^2+BMILMS!$F$14*AM666+BMILMS!$G$14,BMILMS!$D$15*AM666^3+BMILMS!$E$15*AM666^2+BMILMS!$F$15*AM666+BMILMS!$G$15)),(IF(AM666&lt;90,BMILMS!$D$17*AM666^3+BMILMS!$E$17*AM666^2+BMILMS!$F$17*AM666+BMILMS!$G$17,BMILMS!$D$18*AM666^3+BMILMS!$E$18*AM666^2+BMILMS!$F$18*AM666+BMILMS!$G$18)))</f>
        <v>8.8969350000000003E-2</v>
      </c>
      <c r="AM666" s="4">
        <f t="shared" si="230"/>
        <v>0</v>
      </c>
      <c r="AO666" s="56">
        <f>IF(D666="M",WeightSDS!P$5*$AM666^7+WeightSDS!Q$5*$AM666^6+WeightSDS!R$5*$AM666^5+WeightSDS!S$5*$AM666^4+WeightSDS!T$5*$AM666^3+WeightSDS!U$5*$AM666^2+WeightSDS!V$5*$AM666+WeightSDS!W$5,IF($AM666&lt;186,WeightSDS!P$8*$AM666^7+WeightSDS!Q$8*$AM666^6+WeightSDS!R$8*$AM666^5+WeightSDS!S$8*$AM666^4+WeightSDS!T$8*$AM666^3+WeightSDS!U$8*$AM666^2+WeightSDS!V$8*$AM666+WeightSDS!W$8,WeightSDS!$U$9+WeightSDS!$V$9*($AM666-WeightSDS!$W$9)))</f>
        <v>0.75407122999999998</v>
      </c>
      <c r="AP666" s="4">
        <f>IF(D666="M",IF($AM666&lt;45,WeightSDS!M$23*$AM666^10+WeightSDS!N$23*$AM666^9+WeightSDS!O$23*$AM666^8+WeightSDS!P$23*$AM666^7+WeightSDS!Q$23*$AM666^6+WeightSDS!R$23*$AM666^5+WeightSDS!S$23*$AM666^4+WeightSDS!T$23*$AM666^3+WeightSDS!U$23*$AM666^2+WeightSDS!V$23*$AM666+WeightSDS!W$23,IF($AM666&lt;153,WeightSDS!M$25*$AM666^10+WeightSDS!N$25*$AM666^9+WeightSDS!O$25*$AM666^8+WeightSDS!P$25*$AM666^7+WeightSDS!Q$25*$AM666^6+WeightSDS!R$25*$AM666^5+WeightSDS!S$25*$AM666^4+WeightSDS!T$25*$AM666^3+WeightSDS!U$25*$AM666^2+WeightSDS!V$25*$AM666+WeightSDS!W$25,WeightSDS!M$27+WeightSDS!N$27/(1+EXP(WeightSDS!O$27+WeightSDS!P$27*$AM666)))),IF($AM666&lt;43.8,WeightSDS!M$29*$AM666^10+WeightSDS!N$29*$AM666^9+WeightSDS!O$29*$AM666^8+WeightSDS!P$29*$AM666^7+WeightSDS!Q$29*$AM666^6+WeightSDS!R$29*$AM666^5+WeightSDS!S$29*$AM666^4+WeightSDS!T$29*$AM666^3+WeightSDS!U$29*$AM666^2+WeightSDS!V$29*$AM666+WeightSDS!W$29-0.010431*(1-$AM666/210),IF($AM666&lt;123,WeightSDS!M$30*$AM666^10+WeightSDS!N$30*$AM666^9+WeightSDS!O$30*$AM666^8+WeightSDS!P$30*$AM666^7+WeightSDS!Q$30*$AM666^6+WeightSDS!R$30*$AM666^5+WeightSDS!S$30*$AM666^4+WeightSDS!T$30*$AM666^3+WeightSDS!U$30*$AM666^2+WeightSDS!V$30*$AM666+WeightSDS!W$30-0.010431*(1-1/$AM666),WeightSDS!M$32+WeightSDS!N$32/(1+EXP(WeightSDS!O$32+WeightSDS!P$32*$AM666))-0.010431*(1-$AM666/210))))</f>
        <v>2.9500001032655536</v>
      </c>
      <c r="AQ666" s="4">
        <f>IF(D666="M",IF($AM666&lt;162,WeightSDS!P$12*$AM666^7+WeightSDS!Q$12*$AM666^6+WeightSDS!R$12*$AM666^5+WeightSDS!S$12*$AM666^4+WeightSDS!T$12*$AM666^3+WeightSDS!U$12*$AM666^2+WeightSDS!V$12*$AM666+WeightSDS!W$12,WeightSDS!P$14*$AM666^7+WeightSDS!Q$14*$AM666^6+WeightSDS!R$14*$AM666^5+WeightSDS!S$14*$AM666^4+WeightSDS!T$14*$AM666^3+WeightSDS!U$14*$AM666^2+WeightSDS!V$14*$AM666+WeightSDS!W$14),IF($AM666&lt;156,WeightSDS!O$17*$AM666^8+WeightSDS!P$17*$AM666^7+WeightSDS!Q$17*$AM666^6+WeightSDS!R$17*$AM666^5+WeightSDS!S$17*$AM666^4+WeightSDS!T$17*$AM666^3+WeightSDS!U$17*$AM666^2+WeightSDS!V$17*$AM666+WeightSDS!W$17,IF($AM666&lt;186,WeightSDS!$U$18+(WeightSDS!$V$18-WeightSDS!$U$18)/24*($AM666-186)+WeightSDS!$W$18*(-$AM666+186)^2-0.005,WeightSDS!$U$18+(WeightSDS!$V$18-WeightSDS!$U$18)/24*($AM666-186)-0.005)))</f>
        <v>0.14604529399999999</v>
      </c>
      <c r="AT666" s="4">
        <f t="shared" si="217"/>
        <v>0.56299999999999994</v>
      </c>
      <c r="AU666" s="4">
        <f t="shared" si="218"/>
        <v>69</v>
      </c>
      <c r="AV666" s="4">
        <f t="shared" si="219"/>
        <v>0.51</v>
      </c>
    </row>
    <row r="667" spans="1:48" x14ac:dyDescent="0.15">
      <c r="A667" s="4"/>
      <c r="B667" s="21"/>
      <c r="C667" s="21"/>
      <c r="D667" s="21"/>
      <c r="E667" s="22"/>
      <c r="F667" s="22"/>
      <c r="G667" s="23"/>
      <c r="H667" s="23"/>
      <c r="I667" s="181"/>
      <c r="J667" s="8" t="str">
        <f t="shared" si="211"/>
        <v/>
      </c>
      <c r="K667" s="2" t="str">
        <f t="shared" si="220"/>
        <v/>
      </c>
      <c r="L667" s="2" t="str">
        <f t="shared" si="212"/>
        <v/>
      </c>
      <c r="M667" s="2" t="str">
        <f t="shared" si="221"/>
        <v/>
      </c>
      <c r="N667" s="2" t="str">
        <f t="shared" si="229"/>
        <v/>
      </c>
      <c r="O667" s="2" t="str">
        <f t="shared" si="222"/>
        <v/>
      </c>
      <c r="P667" s="8" t="str">
        <f t="shared" si="223"/>
        <v/>
      </c>
      <c r="Q667" s="8" t="str">
        <f t="shared" si="224"/>
        <v/>
      </c>
      <c r="R667" s="111" t="str">
        <f t="shared" si="225"/>
        <v/>
      </c>
      <c r="S667" s="44" t="str">
        <f t="shared" si="226"/>
        <v/>
      </c>
      <c r="T667" s="37" t="str">
        <f t="shared" si="227"/>
        <v/>
      </c>
      <c r="U667" s="44" t="str">
        <f t="shared" si="228"/>
        <v/>
      </c>
      <c r="V667" s="26"/>
      <c r="W667" s="26"/>
      <c r="X667" s="26"/>
      <c r="Y667" s="26"/>
      <c r="Z667" s="24"/>
      <c r="AA667" s="169">
        <f t="shared" si="213"/>
        <v>0</v>
      </c>
      <c r="AB667" s="4">
        <f t="shared" si="214"/>
        <v>0</v>
      </c>
      <c r="AC667" s="170">
        <f t="shared" si="210"/>
        <v>0</v>
      </c>
      <c r="AD667" s="58"/>
      <c r="AE667" s="58"/>
      <c r="AF667" s="58"/>
      <c r="AG667" s="59">
        <f t="shared" si="215"/>
        <v>9.0359999999999996</v>
      </c>
      <c r="AH667" s="59">
        <f t="shared" si="216"/>
        <v>-184.49199999999999</v>
      </c>
      <c r="AJ667" s="4">
        <f>IF(D667="M",IF(AM667&lt;78,BMILMS!$D$5*AM667^3+BMILMS!$E$5*AM667^2+BMILMS!$F$5*AM667+BMILMS!$G$5,IF(AM667&lt;150,BMILMS!$D$6*AM667^3+BMILMS!$E$6*AM667^2+BMILMS!$F$6*AM667+BMILMS!$G$6,BMILMS!$D$7*AM667^3+BMILMS!$E$7*AM667^2+BMILMS!$F$7*AM667+BMILMS!$G$7)),IF(AM667&lt;69,BMILMS!$D$9*AM667^3+BMILMS!$E$9*AM667^2+BMILMS!$F$9*AM667+BMILMS!$G$9,IF(AM667&lt;150,BMILMS!$D$10*AM667^3+BMILMS!$E$10*AM667^2+BMILMS!$F$10*AM667+BMILMS!$G$10,BMILMS!$D$11*AM667^3+BMILMS!$E$11*AM667^2+BMILMS!$F$11*AM667+BMILMS!$G$11)))</f>
        <v>0.79584630099999998</v>
      </c>
      <c r="AK667" s="4">
        <f>IF(D667="M",(IF(AM667&lt;2.5,BMILMS!$D$21*AM667^3+BMILMS!$E$21*AM667^2+BMILMS!$F$21*AM667+BMILMS!$G$21,IF(AM667&lt;9.5,BMILMS!$D$22*AM667^3+BMILMS!$E$22*AM667^2+BMILMS!$F$22*AM667+BMILMS!$G$22,IF(AM667&lt;26.75,BMILMS!$D$23*AM667^3+BMILMS!$E$23*AM667^2+BMILMS!$F$23*AM667+BMILMS!$G$23,IF(AM667&lt;90,BMILMS!$D$24*AM667^3+BMILMS!$E$24*AM667^2+BMILMS!$F$24*AM667+BMILMS!$G$24,BMILMS!$D$25*AM667^3+BMILMS!$E$25*AM667^2+BMILMS!$F$25*AM667+BMILMS!$G$25))))),(IF(AM667&lt;2.5,BMILMS!$D$27*AM667^3+BMILMS!$E$27*AM667^2+BMILMS!$F$27*AM667+BMILMS!$G$27,IF(AM667&lt;9.5,BMILMS!$D$28*AM667^3+BMILMS!$E$28*AM667^2+BMILMS!$F$28*AM667+BMILMS!$G$28,IF(AM667&lt;26.75,BMILMS!$D$29*AM667^3+BMILMS!$E$29*AM667^2+BMILMS!$F$29*AM667+BMILMS!$G$29,IF(AM667&lt;90,BMILMS!$D$30*AM667^3+BMILMS!$E$30*AM667^2+BMILMS!$F$30*AM667+BMILMS!$G$30,IF(AM667&lt;150,BMILMS!$D$31*AM667^3+BMILMS!$E$31*AM667^2+BMILMS!$F$31*AM667+BMILMS!$G$31,BMILMS!$D$32*AM667^3+BMILMS!$E$32*AM667^2+BMILMS!$F$32*AM667+BMILMS!$G$32)))))))</f>
        <v>12.568967990000001</v>
      </c>
      <c r="AL667" s="4">
        <f>IF(D667="M",(IF(AM667&lt;90,BMILMS!$D$14*AM667^3+BMILMS!$E$14*AM667^2+BMILMS!$F$14*AM667+BMILMS!$G$14,BMILMS!$D$15*AM667^3+BMILMS!$E$15*AM667^2+BMILMS!$F$15*AM667+BMILMS!$G$15)),(IF(AM667&lt;90,BMILMS!$D$17*AM667^3+BMILMS!$E$17*AM667^2+BMILMS!$F$17*AM667+BMILMS!$G$17,BMILMS!$D$18*AM667^3+BMILMS!$E$18*AM667^2+BMILMS!$F$18*AM667+BMILMS!$G$18)))</f>
        <v>8.8969350000000003E-2</v>
      </c>
      <c r="AM667" s="4">
        <f t="shared" si="230"/>
        <v>0</v>
      </c>
      <c r="AO667" s="56">
        <f>IF(D667="M",WeightSDS!P$5*$AM667^7+WeightSDS!Q$5*$AM667^6+WeightSDS!R$5*$AM667^5+WeightSDS!S$5*$AM667^4+WeightSDS!T$5*$AM667^3+WeightSDS!U$5*$AM667^2+WeightSDS!V$5*$AM667+WeightSDS!W$5,IF($AM667&lt;186,WeightSDS!P$8*$AM667^7+WeightSDS!Q$8*$AM667^6+WeightSDS!R$8*$AM667^5+WeightSDS!S$8*$AM667^4+WeightSDS!T$8*$AM667^3+WeightSDS!U$8*$AM667^2+WeightSDS!V$8*$AM667+WeightSDS!W$8,WeightSDS!$U$9+WeightSDS!$V$9*($AM667-WeightSDS!$W$9)))</f>
        <v>0.75407122999999998</v>
      </c>
      <c r="AP667" s="4">
        <f>IF(D667="M",IF($AM667&lt;45,WeightSDS!M$23*$AM667^10+WeightSDS!N$23*$AM667^9+WeightSDS!O$23*$AM667^8+WeightSDS!P$23*$AM667^7+WeightSDS!Q$23*$AM667^6+WeightSDS!R$23*$AM667^5+WeightSDS!S$23*$AM667^4+WeightSDS!T$23*$AM667^3+WeightSDS!U$23*$AM667^2+WeightSDS!V$23*$AM667+WeightSDS!W$23,IF($AM667&lt;153,WeightSDS!M$25*$AM667^10+WeightSDS!N$25*$AM667^9+WeightSDS!O$25*$AM667^8+WeightSDS!P$25*$AM667^7+WeightSDS!Q$25*$AM667^6+WeightSDS!R$25*$AM667^5+WeightSDS!S$25*$AM667^4+WeightSDS!T$25*$AM667^3+WeightSDS!U$25*$AM667^2+WeightSDS!V$25*$AM667+WeightSDS!W$25,WeightSDS!M$27+WeightSDS!N$27/(1+EXP(WeightSDS!O$27+WeightSDS!P$27*$AM667)))),IF($AM667&lt;43.8,WeightSDS!M$29*$AM667^10+WeightSDS!N$29*$AM667^9+WeightSDS!O$29*$AM667^8+WeightSDS!P$29*$AM667^7+WeightSDS!Q$29*$AM667^6+WeightSDS!R$29*$AM667^5+WeightSDS!S$29*$AM667^4+WeightSDS!T$29*$AM667^3+WeightSDS!U$29*$AM667^2+WeightSDS!V$29*$AM667+WeightSDS!W$29-0.010431*(1-$AM667/210),IF($AM667&lt;123,WeightSDS!M$30*$AM667^10+WeightSDS!N$30*$AM667^9+WeightSDS!O$30*$AM667^8+WeightSDS!P$30*$AM667^7+WeightSDS!Q$30*$AM667^6+WeightSDS!R$30*$AM667^5+WeightSDS!S$30*$AM667^4+WeightSDS!T$30*$AM667^3+WeightSDS!U$30*$AM667^2+WeightSDS!V$30*$AM667+WeightSDS!W$30-0.010431*(1-1/$AM667),WeightSDS!M$32+WeightSDS!N$32/(1+EXP(WeightSDS!O$32+WeightSDS!P$32*$AM667))-0.010431*(1-$AM667/210))))</f>
        <v>2.9500001032655536</v>
      </c>
      <c r="AQ667" s="4">
        <f>IF(D667="M",IF($AM667&lt;162,WeightSDS!P$12*$AM667^7+WeightSDS!Q$12*$AM667^6+WeightSDS!R$12*$AM667^5+WeightSDS!S$12*$AM667^4+WeightSDS!T$12*$AM667^3+WeightSDS!U$12*$AM667^2+WeightSDS!V$12*$AM667+WeightSDS!W$12,WeightSDS!P$14*$AM667^7+WeightSDS!Q$14*$AM667^6+WeightSDS!R$14*$AM667^5+WeightSDS!S$14*$AM667^4+WeightSDS!T$14*$AM667^3+WeightSDS!U$14*$AM667^2+WeightSDS!V$14*$AM667+WeightSDS!W$14),IF($AM667&lt;156,WeightSDS!O$17*$AM667^8+WeightSDS!P$17*$AM667^7+WeightSDS!Q$17*$AM667^6+WeightSDS!R$17*$AM667^5+WeightSDS!S$17*$AM667^4+WeightSDS!T$17*$AM667^3+WeightSDS!U$17*$AM667^2+WeightSDS!V$17*$AM667+WeightSDS!W$17,IF($AM667&lt;186,WeightSDS!$U$18+(WeightSDS!$V$18-WeightSDS!$U$18)/24*($AM667-186)+WeightSDS!$W$18*(-$AM667+186)^2-0.005,WeightSDS!$U$18+(WeightSDS!$V$18-WeightSDS!$U$18)/24*($AM667-186)-0.005)))</f>
        <v>0.14604529399999999</v>
      </c>
      <c r="AT667" s="4">
        <f t="shared" si="217"/>
        <v>0.56299999999999994</v>
      </c>
      <c r="AU667" s="4">
        <f t="shared" si="218"/>
        <v>69</v>
      </c>
      <c r="AV667" s="4">
        <f t="shared" si="219"/>
        <v>0.51</v>
      </c>
    </row>
    <row r="668" spans="1:48" x14ac:dyDescent="0.15">
      <c r="A668" s="4"/>
      <c r="B668" s="21"/>
      <c r="C668" s="21"/>
      <c r="D668" s="21"/>
      <c r="E668" s="22"/>
      <c r="F668" s="22"/>
      <c r="G668" s="23"/>
      <c r="H668" s="23"/>
      <c r="I668" s="181"/>
      <c r="J668" s="8" t="str">
        <f t="shared" si="211"/>
        <v/>
      </c>
      <c r="K668" s="2" t="str">
        <f t="shared" si="220"/>
        <v/>
      </c>
      <c r="L668" s="2" t="str">
        <f t="shared" si="212"/>
        <v/>
      </c>
      <c r="M668" s="2" t="str">
        <f t="shared" si="221"/>
        <v/>
      </c>
      <c r="N668" s="2" t="str">
        <f t="shared" si="229"/>
        <v/>
      </c>
      <c r="O668" s="2" t="str">
        <f t="shared" si="222"/>
        <v/>
      </c>
      <c r="P668" s="8" t="str">
        <f t="shared" si="223"/>
        <v/>
      </c>
      <c r="Q668" s="8" t="str">
        <f t="shared" si="224"/>
        <v/>
      </c>
      <c r="R668" s="111" t="str">
        <f t="shared" si="225"/>
        <v/>
      </c>
      <c r="S668" s="44" t="str">
        <f t="shared" si="226"/>
        <v/>
      </c>
      <c r="T668" s="37" t="str">
        <f t="shared" si="227"/>
        <v/>
      </c>
      <c r="U668" s="44" t="str">
        <f t="shared" si="228"/>
        <v/>
      </c>
      <c r="V668" s="26"/>
      <c r="W668" s="26"/>
      <c r="X668" s="26"/>
      <c r="Y668" s="26"/>
      <c r="Z668" s="24"/>
      <c r="AA668" s="169">
        <f t="shared" si="213"/>
        <v>0</v>
      </c>
      <c r="AB668" s="4">
        <f t="shared" si="214"/>
        <v>0</v>
      </c>
      <c r="AC668" s="170">
        <f t="shared" si="210"/>
        <v>0</v>
      </c>
      <c r="AD668" s="58"/>
      <c r="AE668" s="58"/>
      <c r="AF668" s="58"/>
      <c r="AG668" s="59">
        <f t="shared" si="215"/>
        <v>9.0359999999999996</v>
      </c>
      <c r="AH668" s="59">
        <f t="shared" si="216"/>
        <v>-184.49199999999999</v>
      </c>
      <c r="AJ668" s="4">
        <f>IF(D668="M",IF(AM668&lt;78,BMILMS!$D$5*AM668^3+BMILMS!$E$5*AM668^2+BMILMS!$F$5*AM668+BMILMS!$G$5,IF(AM668&lt;150,BMILMS!$D$6*AM668^3+BMILMS!$E$6*AM668^2+BMILMS!$F$6*AM668+BMILMS!$G$6,BMILMS!$D$7*AM668^3+BMILMS!$E$7*AM668^2+BMILMS!$F$7*AM668+BMILMS!$G$7)),IF(AM668&lt;69,BMILMS!$D$9*AM668^3+BMILMS!$E$9*AM668^2+BMILMS!$F$9*AM668+BMILMS!$G$9,IF(AM668&lt;150,BMILMS!$D$10*AM668^3+BMILMS!$E$10*AM668^2+BMILMS!$F$10*AM668+BMILMS!$G$10,BMILMS!$D$11*AM668^3+BMILMS!$E$11*AM668^2+BMILMS!$F$11*AM668+BMILMS!$G$11)))</f>
        <v>0.79584630099999998</v>
      </c>
      <c r="AK668" s="4">
        <f>IF(D668="M",(IF(AM668&lt;2.5,BMILMS!$D$21*AM668^3+BMILMS!$E$21*AM668^2+BMILMS!$F$21*AM668+BMILMS!$G$21,IF(AM668&lt;9.5,BMILMS!$D$22*AM668^3+BMILMS!$E$22*AM668^2+BMILMS!$F$22*AM668+BMILMS!$G$22,IF(AM668&lt;26.75,BMILMS!$D$23*AM668^3+BMILMS!$E$23*AM668^2+BMILMS!$F$23*AM668+BMILMS!$G$23,IF(AM668&lt;90,BMILMS!$D$24*AM668^3+BMILMS!$E$24*AM668^2+BMILMS!$F$24*AM668+BMILMS!$G$24,BMILMS!$D$25*AM668^3+BMILMS!$E$25*AM668^2+BMILMS!$F$25*AM668+BMILMS!$G$25))))),(IF(AM668&lt;2.5,BMILMS!$D$27*AM668^3+BMILMS!$E$27*AM668^2+BMILMS!$F$27*AM668+BMILMS!$G$27,IF(AM668&lt;9.5,BMILMS!$D$28*AM668^3+BMILMS!$E$28*AM668^2+BMILMS!$F$28*AM668+BMILMS!$G$28,IF(AM668&lt;26.75,BMILMS!$D$29*AM668^3+BMILMS!$E$29*AM668^2+BMILMS!$F$29*AM668+BMILMS!$G$29,IF(AM668&lt;90,BMILMS!$D$30*AM668^3+BMILMS!$E$30*AM668^2+BMILMS!$F$30*AM668+BMILMS!$G$30,IF(AM668&lt;150,BMILMS!$D$31*AM668^3+BMILMS!$E$31*AM668^2+BMILMS!$F$31*AM668+BMILMS!$G$31,BMILMS!$D$32*AM668^3+BMILMS!$E$32*AM668^2+BMILMS!$F$32*AM668+BMILMS!$G$32)))))))</f>
        <v>12.568967990000001</v>
      </c>
      <c r="AL668" s="4">
        <f>IF(D668="M",(IF(AM668&lt;90,BMILMS!$D$14*AM668^3+BMILMS!$E$14*AM668^2+BMILMS!$F$14*AM668+BMILMS!$G$14,BMILMS!$D$15*AM668^3+BMILMS!$E$15*AM668^2+BMILMS!$F$15*AM668+BMILMS!$G$15)),(IF(AM668&lt;90,BMILMS!$D$17*AM668^3+BMILMS!$E$17*AM668^2+BMILMS!$F$17*AM668+BMILMS!$G$17,BMILMS!$D$18*AM668^3+BMILMS!$E$18*AM668^2+BMILMS!$F$18*AM668+BMILMS!$G$18)))</f>
        <v>8.8969350000000003E-2</v>
      </c>
      <c r="AM668" s="4">
        <f t="shared" si="230"/>
        <v>0</v>
      </c>
      <c r="AO668" s="56">
        <f>IF(D668="M",WeightSDS!P$5*$AM668^7+WeightSDS!Q$5*$AM668^6+WeightSDS!R$5*$AM668^5+WeightSDS!S$5*$AM668^4+WeightSDS!T$5*$AM668^3+WeightSDS!U$5*$AM668^2+WeightSDS!V$5*$AM668+WeightSDS!W$5,IF($AM668&lt;186,WeightSDS!P$8*$AM668^7+WeightSDS!Q$8*$AM668^6+WeightSDS!R$8*$AM668^5+WeightSDS!S$8*$AM668^4+WeightSDS!T$8*$AM668^3+WeightSDS!U$8*$AM668^2+WeightSDS!V$8*$AM668+WeightSDS!W$8,WeightSDS!$U$9+WeightSDS!$V$9*($AM668-WeightSDS!$W$9)))</f>
        <v>0.75407122999999998</v>
      </c>
      <c r="AP668" s="4">
        <f>IF(D668="M",IF($AM668&lt;45,WeightSDS!M$23*$AM668^10+WeightSDS!N$23*$AM668^9+WeightSDS!O$23*$AM668^8+WeightSDS!P$23*$AM668^7+WeightSDS!Q$23*$AM668^6+WeightSDS!R$23*$AM668^5+WeightSDS!S$23*$AM668^4+WeightSDS!T$23*$AM668^3+WeightSDS!U$23*$AM668^2+WeightSDS!V$23*$AM668+WeightSDS!W$23,IF($AM668&lt;153,WeightSDS!M$25*$AM668^10+WeightSDS!N$25*$AM668^9+WeightSDS!O$25*$AM668^8+WeightSDS!P$25*$AM668^7+WeightSDS!Q$25*$AM668^6+WeightSDS!R$25*$AM668^5+WeightSDS!S$25*$AM668^4+WeightSDS!T$25*$AM668^3+WeightSDS!U$25*$AM668^2+WeightSDS!V$25*$AM668+WeightSDS!W$25,WeightSDS!M$27+WeightSDS!N$27/(1+EXP(WeightSDS!O$27+WeightSDS!P$27*$AM668)))),IF($AM668&lt;43.8,WeightSDS!M$29*$AM668^10+WeightSDS!N$29*$AM668^9+WeightSDS!O$29*$AM668^8+WeightSDS!P$29*$AM668^7+WeightSDS!Q$29*$AM668^6+WeightSDS!R$29*$AM668^5+WeightSDS!S$29*$AM668^4+WeightSDS!T$29*$AM668^3+WeightSDS!U$29*$AM668^2+WeightSDS!V$29*$AM668+WeightSDS!W$29-0.010431*(1-$AM668/210),IF($AM668&lt;123,WeightSDS!M$30*$AM668^10+WeightSDS!N$30*$AM668^9+WeightSDS!O$30*$AM668^8+WeightSDS!P$30*$AM668^7+WeightSDS!Q$30*$AM668^6+WeightSDS!R$30*$AM668^5+WeightSDS!S$30*$AM668^4+WeightSDS!T$30*$AM668^3+WeightSDS!U$30*$AM668^2+WeightSDS!V$30*$AM668+WeightSDS!W$30-0.010431*(1-1/$AM668),WeightSDS!M$32+WeightSDS!N$32/(1+EXP(WeightSDS!O$32+WeightSDS!P$32*$AM668))-0.010431*(1-$AM668/210))))</f>
        <v>2.9500001032655536</v>
      </c>
      <c r="AQ668" s="4">
        <f>IF(D668="M",IF($AM668&lt;162,WeightSDS!P$12*$AM668^7+WeightSDS!Q$12*$AM668^6+WeightSDS!R$12*$AM668^5+WeightSDS!S$12*$AM668^4+WeightSDS!T$12*$AM668^3+WeightSDS!U$12*$AM668^2+WeightSDS!V$12*$AM668+WeightSDS!W$12,WeightSDS!P$14*$AM668^7+WeightSDS!Q$14*$AM668^6+WeightSDS!R$14*$AM668^5+WeightSDS!S$14*$AM668^4+WeightSDS!T$14*$AM668^3+WeightSDS!U$14*$AM668^2+WeightSDS!V$14*$AM668+WeightSDS!W$14),IF($AM668&lt;156,WeightSDS!O$17*$AM668^8+WeightSDS!P$17*$AM668^7+WeightSDS!Q$17*$AM668^6+WeightSDS!R$17*$AM668^5+WeightSDS!S$17*$AM668^4+WeightSDS!T$17*$AM668^3+WeightSDS!U$17*$AM668^2+WeightSDS!V$17*$AM668+WeightSDS!W$17,IF($AM668&lt;186,WeightSDS!$U$18+(WeightSDS!$V$18-WeightSDS!$U$18)/24*($AM668-186)+WeightSDS!$W$18*(-$AM668+186)^2-0.005,WeightSDS!$U$18+(WeightSDS!$V$18-WeightSDS!$U$18)/24*($AM668-186)-0.005)))</f>
        <v>0.14604529399999999</v>
      </c>
      <c r="AT668" s="4">
        <f t="shared" si="217"/>
        <v>0.56299999999999994</v>
      </c>
      <c r="AU668" s="4">
        <f t="shared" si="218"/>
        <v>69</v>
      </c>
      <c r="AV668" s="4">
        <f t="shared" si="219"/>
        <v>0.51</v>
      </c>
    </row>
    <row r="669" spans="1:48" x14ac:dyDescent="0.15">
      <c r="A669" s="4"/>
      <c r="B669" s="21"/>
      <c r="C669" s="21"/>
      <c r="D669" s="21"/>
      <c r="E669" s="22"/>
      <c r="F669" s="22"/>
      <c r="G669" s="23"/>
      <c r="H669" s="23"/>
      <c r="I669" s="181"/>
      <c r="J669" s="8" t="str">
        <f t="shared" si="211"/>
        <v/>
      </c>
      <c r="K669" s="2" t="str">
        <f t="shared" si="220"/>
        <v/>
      </c>
      <c r="L669" s="2" t="str">
        <f t="shared" si="212"/>
        <v/>
      </c>
      <c r="M669" s="2" t="str">
        <f t="shared" si="221"/>
        <v/>
      </c>
      <c r="N669" s="2" t="str">
        <f t="shared" si="229"/>
        <v/>
      </c>
      <c r="O669" s="2" t="str">
        <f t="shared" si="222"/>
        <v/>
      </c>
      <c r="P669" s="8" t="str">
        <f t="shared" si="223"/>
        <v/>
      </c>
      <c r="Q669" s="8" t="str">
        <f t="shared" si="224"/>
        <v/>
      </c>
      <c r="R669" s="111" t="str">
        <f t="shared" si="225"/>
        <v/>
      </c>
      <c r="S669" s="44" t="str">
        <f t="shared" si="226"/>
        <v/>
      </c>
      <c r="T669" s="37" t="str">
        <f t="shared" si="227"/>
        <v/>
      </c>
      <c r="U669" s="44" t="str">
        <f t="shared" si="228"/>
        <v/>
      </c>
      <c r="V669" s="26"/>
      <c r="W669" s="26"/>
      <c r="X669" s="26"/>
      <c r="Y669" s="26"/>
      <c r="Z669" s="24"/>
      <c r="AA669" s="169">
        <f t="shared" si="213"/>
        <v>0</v>
      </c>
      <c r="AB669" s="4">
        <f t="shared" si="214"/>
        <v>0</v>
      </c>
      <c r="AC669" s="170">
        <f t="shared" si="210"/>
        <v>0</v>
      </c>
      <c r="AD669" s="58"/>
      <c r="AE669" s="58"/>
      <c r="AF669" s="58"/>
      <c r="AG669" s="59">
        <f t="shared" si="215"/>
        <v>9.0359999999999996</v>
      </c>
      <c r="AH669" s="59">
        <f t="shared" si="216"/>
        <v>-184.49199999999999</v>
      </c>
      <c r="AJ669" s="4">
        <f>IF(D669="M",IF(AM669&lt;78,BMILMS!$D$5*AM669^3+BMILMS!$E$5*AM669^2+BMILMS!$F$5*AM669+BMILMS!$G$5,IF(AM669&lt;150,BMILMS!$D$6*AM669^3+BMILMS!$E$6*AM669^2+BMILMS!$F$6*AM669+BMILMS!$G$6,BMILMS!$D$7*AM669^3+BMILMS!$E$7*AM669^2+BMILMS!$F$7*AM669+BMILMS!$G$7)),IF(AM669&lt;69,BMILMS!$D$9*AM669^3+BMILMS!$E$9*AM669^2+BMILMS!$F$9*AM669+BMILMS!$G$9,IF(AM669&lt;150,BMILMS!$D$10*AM669^3+BMILMS!$E$10*AM669^2+BMILMS!$F$10*AM669+BMILMS!$G$10,BMILMS!$D$11*AM669^3+BMILMS!$E$11*AM669^2+BMILMS!$F$11*AM669+BMILMS!$G$11)))</f>
        <v>0.79584630099999998</v>
      </c>
      <c r="AK669" s="4">
        <f>IF(D669="M",(IF(AM669&lt;2.5,BMILMS!$D$21*AM669^3+BMILMS!$E$21*AM669^2+BMILMS!$F$21*AM669+BMILMS!$G$21,IF(AM669&lt;9.5,BMILMS!$D$22*AM669^3+BMILMS!$E$22*AM669^2+BMILMS!$F$22*AM669+BMILMS!$G$22,IF(AM669&lt;26.75,BMILMS!$D$23*AM669^3+BMILMS!$E$23*AM669^2+BMILMS!$F$23*AM669+BMILMS!$G$23,IF(AM669&lt;90,BMILMS!$D$24*AM669^3+BMILMS!$E$24*AM669^2+BMILMS!$F$24*AM669+BMILMS!$G$24,BMILMS!$D$25*AM669^3+BMILMS!$E$25*AM669^2+BMILMS!$F$25*AM669+BMILMS!$G$25))))),(IF(AM669&lt;2.5,BMILMS!$D$27*AM669^3+BMILMS!$E$27*AM669^2+BMILMS!$F$27*AM669+BMILMS!$G$27,IF(AM669&lt;9.5,BMILMS!$D$28*AM669^3+BMILMS!$E$28*AM669^2+BMILMS!$F$28*AM669+BMILMS!$G$28,IF(AM669&lt;26.75,BMILMS!$D$29*AM669^3+BMILMS!$E$29*AM669^2+BMILMS!$F$29*AM669+BMILMS!$G$29,IF(AM669&lt;90,BMILMS!$D$30*AM669^3+BMILMS!$E$30*AM669^2+BMILMS!$F$30*AM669+BMILMS!$G$30,IF(AM669&lt;150,BMILMS!$D$31*AM669^3+BMILMS!$E$31*AM669^2+BMILMS!$F$31*AM669+BMILMS!$G$31,BMILMS!$D$32*AM669^3+BMILMS!$E$32*AM669^2+BMILMS!$F$32*AM669+BMILMS!$G$32)))))))</f>
        <v>12.568967990000001</v>
      </c>
      <c r="AL669" s="4">
        <f>IF(D669="M",(IF(AM669&lt;90,BMILMS!$D$14*AM669^3+BMILMS!$E$14*AM669^2+BMILMS!$F$14*AM669+BMILMS!$G$14,BMILMS!$D$15*AM669^3+BMILMS!$E$15*AM669^2+BMILMS!$F$15*AM669+BMILMS!$G$15)),(IF(AM669&lt;90,BMILMS!$D$17*AM669^3+BMILMS!$E$17*AM669^2+BMILMS!$F$17*AM669+BMILMS!$G$17,BMILMS!$D$18*AM669^3+BMILMS!$E$18*AM669^2+BMILMS!$F$18*AM669+BMILMS!$G$18)))</f>
        <v>8.8969350000000003E-2</v>
      </c>
      <c r="AM669" s="4">
        <f t="shared" si="230"/>
        <v>0</v>
      </c>
      <c r="AO669" s="56">
        <f>IF(D669="M",WeightSDS!P$5*$AM669^7+WeightSDS!Q$5*$AM669^6+WeightSDS!R$5*$AM669^5+WeightSDS!S$5*$AM669^4+WeightSDS!T$5*$AM669^3+WeightSDS!U$5*$AM669^2+WeightSDS!V$5*$AM669+WeightSDS!W$5,IF($AM669&lt;186,WeightSDS!P$8*$AM669^7+WeightSDS!Q$8*$AM669^6+WeightSDS!R$8*$AM669^5+WeightSDS!S$8*$AM669^4+WeightSDS!T$8*$AM669^3+WeightSDS!U$8*$AM669^2+WeightSDS!V$8*$AM669+WeightSDS!W$8,WeightSDS!$U$9+WeightSDS!$V$9*($AM669-WeightSDS!$W$9)))</f>
        <v>0.75407122999999998</v>
      </c>
      <c r="AP669" s="4">
        <f>IF(D669="M",IF($AM669&lt;45,WeightSDS!M$23*$AM669^10+WeightSDS!N$23*$AM669^9+WeightSDS!O$23*$AM669^8+WeightSDS!P$23*$AM669^7+WeightSDS!Q$23*$AM669^6+WeightSDS!R$23*$AM669^5+WeightSDS!S$23*$AM669^4+WeightSDS!T$23*$AM669^3+WeightSDS!U$23*$AM669^2+WeightSDS!V$23*$AM669+WeightSDS!W$23,IF($AM669&lt;153,WeightSDS!M$25*$AM669^10+WeightSDS!N$25*$AM669^9+WeightSDS!O$25*$AM669^8+WeightSDS!P$25*$AM669^7+WeightSDS!Q$25*$AM669^6+WeightSDS!R$25*$AM669^5+WeightSDS!S$25*$AM669^4+WeightSDS!T$25*$AM669^3+WeightSDS!U$25*$AM669^2+WeightSDS!V$25*$AM669+WeightSDS!W$25,WeightSDS!M$27+WeightSDS!N$27/(1+EXP(WeightSDS!O$27+WeightSDS!P$27*$AM669)))),IF($AM669&lt;43.8,WeightSDS!M$29*$AM669^10+WeightSDS!N$29*$AM669^9+WeightSDS!O$29*$AM669^8+WeightSDS!P$29*$AM669^7+WeightSDS!Q$29*$AM669^6+WeightSDS!R$29*$AM669^5+WeightSDS!S$29*$AM669^4+WeightSDS!T$29*$AM669^3+WeightSDS!U$29*$AM669^2+WeightSDS!V$29*$AM669+WeightSDS!W$29-0.010431*(1-$AM669/210),IF($AM669&lt;123,WeightSDS!M$30*$AM669^10+WeightSDS!N$30*$AM669^9+WeightSDS!O$30*$AM669^8+WeightSDS!P$30*$AM669^7+WeightSDS!Q$30*$AM669^6+WeightSDS!R$30*$AM669^5+WeightSDS!S$30*$AM669^4+WeightSDS!T$30*$AM669^3+WeightSDS!U$30*$AM669^2+WeightSDS!V$30*$AM669+WeightSDS!W$30-0.010431*(1-1/$AM669),WeightSDS!M$32+WeightSDS!N$32/(1+EXP(WeightSDS!O$32+WeightSDS!P$32*$AM669))-0.010431*(1-$AM669/210))))</f>
        <v>2.9500001032655536</v>
      </c>
      <c r="AQ669" s="4">
        <f>IF(D669="M",IF($AM669&lt;162,WeightSDS!P$12*$AM669^7+WeightSDS!Q$12*$AM669^6+WeightSDS!R$12*$AM669^5+WeightSDS!S$12*$AM669^4+WeightSDS!T$12*$AM669^3+WeightSDS!U$12*$AM669^2+WeightSDS!V$12*$AM669+WeightSDS!W$12,WeightSDS!P$14*$AM669^7+WeightSDS!Q$14*$AM669^6+WeightSDS!R$14*$AM669^5+WeightSDS!S$14*$AM669^4+WeightSDS!T$14*$AM669^3+WeightSDS!U$14*$AM669^2+WeightSDS!V$14*$AM669+WeightSDS!W$14),IF($AM669&lt;156,WeightSDS!O$17*$AM669^8+WeightSDS!P$17*$AM669^7+WeightSDS!Q$17*$AM669^6+WeightSDS!R$17*$AM669^5+WeightSDS!S$17*$AM669^4+WeightSDS!T$17*$AM669^3+WeightSDS!U$17*$AM669^2+WeightSDS!V$17*$AM669+WeightSDS!W$17,IF($AM669&lt;186,WeightSDS!$U$18+(WeightSDS!$V$18-WeightSDS!$U$18)/24*($AM669-186)+WeightSDS!$W$18*(-$AM669+186)^2-0.005,WeightSDS!$U$18+(WeightSDS!$V$18-WeightSDS!$U$18)/24*($AM669-186)-0.005)))</f>
        <v>0.14604529399999999</v>
      </c>
      <c r="AT669" s="4">
        <f t="shared" si="217"/>
        <v>0.56299999999999994</v>
      </c>
      <c r="AU669" s="4">
        <f t="shared" si="218"/>
        <v>69</v>
      </c>
      <c r="AV669" s="4">
        <f t="shared" si="219"/>
        <v>0.51</v>
      </c>
    </row>
    <row r="670" spans="1:48" x14ac:dyDescent="0.15">
      <c r="A670" s="4"/>
      <c r="B670" s="21"/>
      <c r="C670" s="21"/>
      <c r="D670" s="21"/>
      <c r="E670" s="22"/>
      <c r="F670" s="22"/>
      <c r="G670" s="23"/>
      <c r="H670" s="23"/>
      <c r="I670" s="181"/>
      <c r="J670" s="8" t="str">
        <f t="shared" si="211"/>
        <v/>
      </c>
      <c r="K670" s="2" t="str">
        <f t="shared" si="220"/>
        <v/>
      </c>
      <c r="L670" s="2" t="str">
        <f t="shared" si="212"/>
        <v/>
      </c>
      <c r="M670" s="2" t="str">
        <f t="shared" si="221"/>
        <v/>
      </c>
      <c r="N670" s="2" t="str">
        <f t="shared" si="229"/>
        <v/>
      </c>
      <c r="O670" s="2" t="str">
        <f t="shared" si="222"/>
        <v/>
      </c>
      <c r="P670" s="8" t="str">
        <f t="shared" si="223"/>
        <v/>
      </c>
      <c r="Q670" s="8" t="str">
        <f t="shared" si="224"/>
        <v/>
      </c>
      <c r="R670" s="111" t="str">
        <f t="shared" si="225"/>
        <v/>
      </c>
      <c r="S670" s="44" t="str">
        <f t="shared" si="226"/>
        <v/>
      </c>
      <c r="T670" s="37" t="str">
        <f t="shared" si="227"/>
        <v/>
      </c>
      <c r="U670" s="44" t="str">
        <f t="shared" si="228"/>
        <v/>
      </c>
      <c r="V670" s="26"/>
      <c r="W670" s="26"/>
      <c r="X670" s="26"/>
      <c r="Y670" s="26"/>
      <c r="Z670" s="24"/>
      <c r="AA670" s="169">
        <f t="shared" si="213"/>
        <v>0</v>
      </c>
      <c r="AB670" s="4">
        <f t="shared" si="214"/>
        <v>0</v>
      </c>
      <c r="AC670" s="170">
        <f t="shared" ref="AC670:AC733" si="231">DATEDIF(E670,F670,"Y")+(F670-(DATE(YEAR(E670)+DATEDIF(E670,F670,"Y"),MONTH(E670),DAY(E670))))/(365+IF(MOD(YEAR((DATE(YEAR(F670)-1,MONTH(E670),DAY(E670)))),4)=0,IF((DATE(YEAR(F670)-1,MONTH(E670),DAY(E670)))&gt;DATE(YEAR((DATE(YEAR(F670)-1,MONTH(E670),DAY(E670)))),2,29),0,1),0)+IF(MOD(YEAR(F670),4)=0,IF(F670&gt;DATE(YEAR(F670),2,29),1,0),0))</f>
        <v>0</v>
      </c>
      <c r="AD670" s="58"/>
      <c r="AE670" s="58"/>
      <c r="AF670" s="58"/>
      <c r="AG670" s="59">
        <f t="shared" si="215"/>
        <v>9.0359999999999996</v>
      </c>
      <c r="AH670" s="59">
        <f t="shared" si="216"/>
        <v>-184.49199999999999</v>
      </c>
      <c r="AJ670" s="4">
        <f>IF(D670="M",IF(AM670&lt;78,BMILMS!$D$5*AM670^3+BMILMS!$E$5*AM670^2+BMILMS!$F$5*AM670+BMILMS!$G$5,IF(AM670&lt;150,BMILMS!$D$6*AM670^3+BMILMS!$E$6*AM670^2+BMILMS!$F$6*AM670+BMILMS!$G$6,BMILMS!$D$7*AM670^3+BMILMS!$E$7*AM670^2+BMILMS!$F$7*AM670+BMILMS!$G$7)),IF(AM670&lt;69,BMILMS!$D$9*AM670^3+BMILMS!$E$9*AM670^2+BMILMS!$F$9*AM670+BMILMS!$G$9,IF(AM670&lt;150,BMILMS!$D$10*AM670^3+BMILMS!$E$10*AM670^2+BMILMS!$F$10*AM670+BMILMS!$G$10,BMILMS!$D$11*AM670^3+BMILMS!$E$11*AM670^2+BMILMS!$F$11*AM670+BMILMS!$G$11)))</f>
        <v>0.79584630099999998</v>
      </c>
      <c r="AK670" s="4">
        <f>IF(D670="M",(IF(AM670&lt;2.5,BMILMS!$D$21*AM670^3+BMILMS!$E$21*AM670^2+BMILMS!$F$21*AM670+BMILMS!$G$21,IF(AM670&lt;9.5,BMILMS!$D$22*AM670^3+BMILMS!$E$22*AM670^2+BMILMS!$F$22*AM670+BMILMS!$G$22,IF(AM670&lt;26.75,BMILMS!$D$23*AM670^3+BMILMS!$E$23*AM670^2+BMILMS!$F$23*AM670+BMILMS!$G$23,IF(AM670&lt;90,BMILMS!$D$24*AM670^3+BMILMS!$E$24*AM670^2+BMILMS!$F$24*AM670+BMILMS!$G$24,BMILMS!$D$25*AM670^3+BMILMS!$E$25*AM670^2+BMILMS!$F$25*AM670+BMILMS!$G$25))))),(IF(AM670&lt;2.5,BMILMS!$D$27*AM670^3+BMILMS!$E$27*AM670^2+BMILMS!$F$27*AM670+BMILMS!$G$27,IF(AM670&lt;9.5,BMILMS!$D$28*AM670^3+BMILMS!$E$28*AM670^2+BMILMS!$F$28*AM670+BMILMS!$G$28,IF(AM670&lt;26.75,BMILMS!$D$29*AM670^3+BMILMS!$E$29*AM670^2+BMILMS!$F$29*AM670+BMILMS!$G$29,IF(AM670&lt;90,BMILMS!$D$30*AM670^3+BMILMS!$E$30*AM670^2+BMILMS!$F$30*AM670+BMILMS!$G$30,IF(AM670&lt;150,BMILMS!$D$31*AM670^3+BMILMS!$E$31*AM670^2+BMILMS!$F$31*AM670+BMILMS!$G$31,BMILMS!$D$32*AM670^3+BMILMS!$E$32*AM670^2+BMILMS!$F$32*AM670+BMILMS!$G$32)))))))</f>
        <v>12.568967990000001</v>
      </c>
      <c r="AL670" s="4">
        <f>IF(D670="M",(IF(AM670&lt;90,BMILMS!$D$14*AM670^3+BMILMS!$E$14*AM670^2+BMILMS!$F$14*AM670+BMILMS!$G$14,BMILMS!$D$15*AM670^3+BMILMS!$E$15*AM670^2+BMILMS!$F$15*AM670+BMILMS!$G$15)),(IF(AM670&lt;90,BMILMS!$D$17*AM670^3+BMILMS!$E$17*AM670^2+BMILMS!$F$17*AM670+BMILMS!$G$17,BMILMS!$D$18*AM670^3+BMILMS!$E$18*AM670^2+BMILMS!$F$18*AM670+BMILMS!$G$18)))</f>
        <v>8.8969350000000003E-2</v>
      </c>
      <c r="AM670" s="4">
        <f t="shared" si="230"/>
        <v>0</v>
      </c>
      <c r="AO670" s="56">
        <f>IF(D670="M",WeightSDS!P$5*$AM670^7+WeightSDS!Q$5*$AM670^6+WeightSDS!R$5*$AM670^5+WeightSDS!S$5*$AM670^4+WeightSDS!T$5*$AM670^3+WeightSDS!U$5*$AM670^2+WeightSDS!V$5*$AM670+WeightSDS!W$5,IF($AM670&lt;186,WeightSDS!P$8*$AM670^7+WeightSDS!Q$8*$AM670^6+WeightSDS!R$8*$AM670^5+WeightSDS!S$8*$AM670^4+WeightSDS!T$8*$AM670^3+WeightSDS!U$8*$AM670^2+WeightSDS!V$8*$AM670+WeightSDS!W$8,WeightSDS!$U$9+WeightSDS!$V$9*($AM670-WeightSDS!$W$9)))</f>
        <v>0.75407122999999998</v>
      </c>
      <c r="AP670" s="4">
        <f>IF(D670="M",IF($AM670&lt;45,WeightSDS!M$23*$AM670^10+WeightSDS!N$23*$AM670^9+WeightSDS!O$23*$AM670^8+WeightSDS!P$23*$AM670^7+WeightSDS!Q$23*$AM670^6+WeightSDS!R$23*$AM670^5+WeightSDS!S$23*$AM670^4+WeightSDS!T$23*$AM670^3+WeightSDS!U$23*$AM670^2+WeightSDS!V$23*$AM670+WeightSDS!W$23,IF($AM670&lt;153,WeightSDS!M$25*$AM670^10+WeightSDS!N$25*$AM670^9+WeightSDS!O$25*$AM670^8+WeightSDS!P$25*$AM670^7+WeightSDS!Q$25*$AM670^6+WeightSDS!R$25*$AM670^5+WeightSDS!S$25*$AM670^4+WeightSDS!T$25*$AM670^3+WeightSDS!U$25*$AM670^2+WeightSDS!V$25*$AM670+WeightSDS!W$25,WeightSDS!M$27+WeightSDS!N$27/(1+EXP(WeightSDS!O$27+WeightSDS!P$27*$AM670)))),IF($AM670&lt;43.8,WeightSDS!M$29*$AM670^10+WeightSDS!N$29*$AM670^9+WeightSDS!O$29*$AM670^8+WeightSDS!P$29*$AM670^7+WeightSDS!Q$29*$AM670^6+WeightSDS!R$29*$AM670^5+WeightSDS!S$29*$AM670^4+WeightSDS!T$29*$AM670^3+WeightSDS!U$29*$AM670^2+WeightSDS!V$29*$AM670+WeightSDS!W$29-0.010431*(1-$AM670/210),IF($AM670&lt;123,WeightSDS!M$30*$AM670^10+WeightSDS!N$30*$AM670^9+WeightSDS!O$30*$AM670^8+WeightSDS!P$30*$AM670^7+WeightSDS!Q$30*$AM670^6+WeightSDS!R$30*$AM670^5+WeightSDS!S$30*$AM670^4+WeightSDS!T$30*$AM670^3+WeightSDS!U$30*$AM670^2+WeightSDS!V$30*$AM670+WeightSDS!W$30-0.010431*(1-1/$AM670),WeightSDS!M$32+WeightSDS!N$32/(1+EXP(WeightSDS!O$32+WeightSDS!P$32*$AM670))-0.010431*(1-$AM670/210))))</f>
        <v>2.9500001032655536</v>
      </c>
      <c r="AQ670" s="4">
        <f>IF(D670="M",IF($AM670&lt;162,WeightSDS!P$12*$AM670^7+WeightSDS!Q$12*$AM670^6+WeightSDS!R$12*$AM670^5+WeightSDS!S$12*$AM670^4+WeightSDS!T$12*$AM670^3+WeightSDS!U$12*$AM670^2+WeightSDS!V$12*$AM670+WeightSDS!W$12,WeightSDS!P$14*$AM670^7+WeightSDS!Q$14*$AM670^6+WeightSDS!R$14*$AM670^5+WeightSDS!S$14*$AM670^4+WeightSDS!T$14*$AM670^3+WeightSDS!U$14*$AM670^2+WeightSDS!V$14*$AM670+WeightSDS!W$14),IF($AM670&lt;156,WeightSDS!O$17*$AM670^8+WeightSDS!P$17*$AM670^7+WeightSDS!Q$17*$AM670^6+WeightSDS!R$17*$AM670^5+WeightSDS!S$17*$AM670^4+WeightSDS!T$17*$AM670^3+WeightSDS!U$17*$AM670^2+WeightSDS!V$17*$AM670+WeightSDS!W$17,IF($AM670&lt;186,WeightSDS!$U$18+(WeightSDS!$V$18-WeightSDS!$U$18)/24*($AM670-186)+WeightSDS!$W$18*(-$AM670+186)^2-0.005,WeightSDS!$U$18+(WeightSDS!$V$18-WeightSDS!$U$18)/24*($AM670-186)-0.005)))</f>
        <v>0.14604529399999999</v>
      </c>
      <c r="AT670" s="4">
        <f t="shared" si="217"/>
        <v>0.56299999999999994</v>
      </c>
      <c r="AU670" s="4">
        <f t="shared" si="218"/>
        <v>69</v>
      </c>
      <c r="AV670" s="4">
        <f t="shared" si="219"/>
        <v>0.51</v>
      </c>
    </row>
    <row r="671" spans="1:48" x14ac:dyDescent="0.15">
      <c r="A671" s="4"/>
      <c r="B671" s="21"/>
      <c r="C671" s="21"/>
      <c r="D671" s="21"/>
      <c r="E671" s="22"/>
      <c r="F671" s="22"/>
      <c r="G671" s="23"/>
      <c r="H671" s="23"/>
      <c r="I671" s="181"/>
      <c r="J671" s="8" t="str">
        <f t="shared" si="211"/>
        <v/>
      </c>
      <c r="K671" s="2" t="str">
        <f t="shared" si="220"/>
        <v/>
      </c>
      <c r="L671" s="2" t="str">
        <f t="shared" si="212"/>
        <v/>
      </c>
      <c r="M671" s="2" t="str">
        <f t="shared" si="221"/>
        <v/>
      </c>
      <c r="N671" s="2" t="str">
        <f t="shared" si="229"/>
        <v/>
      </c>
      <c r="O671" s="2" t="str">
        <f t="shared" si="222"/>
        <v/>
      </c>
      <c r="P671" s="8" t="str">
        <f t="shared" si="223"/>
        <v/>
      </c>
      <c r="Q671" s="8" t="str">
        <f t="shared" si="224"/>
        <v/>
      </c>
      <c r="R671" s="111" t="str">
        <f t="shared" si="225"/>
        <v/>
      </c>
      <c r="S671" s="44" t="str">
        <f t="shared" si="226"/>
        <v/>
      </c>
      <c r="T671" s="37" t="str">
        <f t="shared" si="227"/>
        <v/>
      </c>
      <c r="U671" s="44" t="str">
        <f t="shared" si="228"/>
        <v/>
      </c>
      <c r="V671" s="26"/>
      <c r="W671" s="26"/>
      <c r="X671" s="26"/>
      <c r="Y671" s="26"/>
      <c r="Z671" s="24"/>
      <c r="AA671" s="169">
        <f t="shared" si="213"/>
        <v>0</v>
      </c>
      <c r="AB671" s="4">
        <f t="shared" si="214"/>
        <v>0</v>
      </c>
      <c r="AC671" s="170">
        <f t="shared" si="231"/>
        <v>0</v>
      </c>
      <c r="AD671" s="58"/>
      <c r="AE671" s="58"/>
      <c r="AF671" s="58"/>
      <c r="AG671" s="59">
        <f t="shared" si="215"/>
        <v>9.0359999999999996</v>
      </c>
      <c r="AH671" s="59">
        <f t="shared" si="216"/>
        <v>-184.49199999999999</v>
      </c>
      <c r="AJ671" s="4">
        <f>IF(D671="M",IF(AM671&lt;78,BMILMS!$D$5*AM671^3+BMILMS!$E$5*AM671^2+BMILMS!$F$5*AM671+BMILMS!$G$5,IF(AM671&lt;150,BMILMS!$D$6*AM671^3+BMILMS!$E$6*AM671^2+BMILMS!$F$6*AM671+BMILMS!$G$6,BMILMS!$D$7*AM671^3+BMILMS!$E$7*AM671^2+BMILMS!$F$7*AM671+BMILMS!$G$7)),IF(AM671&lt;69,BMILMS!$D$9*AM671^3+BMILMS!$E$9*AM671^2+BMILMS!$F$9*AM671+BMILMS!$G$9,IF(AM671&lt;150,BMILMS!$D$10*AM671^3+BMILMS!$E$10*AM671^2+BMILMS!$F$10*AM671+BMILMS!$G$10,BMILMS!$D$11*AM671^3+BMILMS!$E$11*AM671^2+BMILMS!$F$11*AM671+BMILMS!$G$11)))</f>
        <v>0.79584630099999998</v>
      </c>
      <c r="AK671" s="4">
        <f>IF(D671="M",(IF(AM671&lt;2.5,BMILMS!$D$21*AM671^3+BMILMS!$E$21*AM671^2+BMILMS!$F$21*AM671+BMILMS!$G$21,IF(AM671&lt;9.5,BMILMS!$D$22*AM671^3+BMILMS!$E$22*AM671^2+BMILMS!$F$22*AM671+BMILMS!$G$22,IF(AM671&lt;26.75,BMILMS!$D$23*AM671^3+BMILMS!$E$23*AM671^2+BMILMS!$F$23*AM671+BMILMS!$G$23,IF(AM671&lt;90,BMILMS!$D$24*AM671^3+BMILMS!$E$24*AM671^2+BMILMS!$F$24*AM671+BMILMS!$G$24,BMILMS!$D$25*AM671^3+BMILMS!$E$25*AM671^2+BMILMS!$F$25*AM671+BMILMS!$G$25))))),(IF(AM671&lt;2.5,BMILMS!$D$27*AM671^3+BMILMS!$E$27*AM671^2+BMILMS!$F$27*AM671+BMILMS!$G$27,IF(AM671&lt;9.5,BMILMS!$D$28*AM671^3+BMILMS!$E$28*AM671^2+BMILMS!$F$28*AM671+BMILMS!$G$28,IF(AM671&lt;26.75,BMILMS!$D$29*AM671^3+BMILMS!$E$29*AM671^2+BMILMS!$F$29*AM671+BMILMS!$G$29,IF(AM671&lt;90,BMILMS!$D$30*AM671^3+BMILMS!$E$30*AM671^2+BMILMS!$F$30*AM671+BMILMS!$G$30,IF(AM671&lt;150,BMILMS!$D$31*AM671^3+BMILMS!$E$31*AM671^2+BMILMS!$F$31*AM671+BMILMS!$G$31,BMILMS!$D$32*AM671^3+BMILMS!$E$32*AM671^2+BMILMS!$F$32*AM671+BMILMS!$G$32)))))))</f>
        <v>12.568967990000001</v>
      </c>
      <c r="AL671" s="4">
        <f>IF(D671="M",(IF(AM671&lt;90,BMILMS!$D$14*AM671^3+BMILMS!$E$14*AM671^2+BMILMS!$F$14*AM671+BMILMS!$G$14,BMILMS!$D$15*AM671^3+BMILMS!$E$15*AM671^2+BMILMS!$F$15*AM671+BMILMS!$G$15)),(IF(AM671&lt;90,BMILMS!$D$17*AM671^3+BMILMS!$E$17*AM671^2+BMILMS!$F$17*AM671+BMILMS!$G$17,BMILMS!$D$18*AM671^3+BMILMS!$E$18*AM671^2+BMILMS!$F$18*AM671+BMILMS!$G$18)))</f>
        <v>8.8969350000000003E-2</v>
      </c>
      <c r="AM671" s="4">
        <f t="shared" si="230"/>
        <v>0</v>
      </c>
      <c r="AO671" s="56">
        <f>IF(D671="M",WeightSDS!P$5*$AM671^7+WeightSDS!Q$5*$AM671^6+WeightSDS!R$5*$AM671^5+WeightSDS!S$5*$AM671^4+WeightSDS!T$5*$AM671^3+WeightSDS!U$5*$AM671^2+WeightSDS!V$5*$AM671+WeightSDS!W$5,IF($AM671&lt;186,WeightSDS!P$8*$AM671^7+WeightSDS!Q$8*$AM671^6+WeightSDS!R$8*$AM671^5+WeightSDS!S$8*$AM671^4+WeightSDS!T$8*$AM671^3+WeightSDS!U$8*$AM671^2+WeightSDS!V$8*$AM671+WeightSDS!W$8,WeightSDS!$U$9+WeightSDS!$V$9*($AM671-WeightSDS!$W$9)))</f>
        <v>0.75407122999999998</v>
      </c>
      <c r="AP671" s="4">
        <f>IF(D671="M",IF($AM671&lt;45,WeightSDS!M$23*$AM671^10+WeightSDS!N$23*$AM671^9+WeightSDS!O$23*$AM671^8+WeightSDS!P$23*$AM671^7+WeightSDS!Q$23*$AM671^6+WeightSDS!R$23*$AM671^5+WeightSDS!S$23*$AM671^4+WeightSDS!T$23*$AM671^3+WeightSDS!U$23*$AM671^2+WeightSDS!V$23*$AM671+WeightSDS!W$23,IF($AM671&lt;153,WeightSDS!M$25*$AM671^10+WeightSDS!N$25*$AM671^9+WeightSDS!O$25*$AM671^8+WeightSDS!P$25*$AM671^7+WeightSDS!Q$25*$AM671^6+WeightSDS!R$25*$AM671^5+WeightSDS!S$25*$AM671^4+WeightSDS!T$25*$AM671^3+WeightSDS!U$25*$AM671^2+WeightSDS!V$25*$AM671+WeightSDS!W$25,WeightSDS!M$27+WeightSDS!N$27/(1+EXP(WeightSDS!O$27+WeightSDS!P$27*$AM671)))),IF($AM671&lt;43.8,WeightSDS!M$29*$AM671^10+WeightSDS!N$29*$AM671^9+WeightSDS!O$29*$AM671^8+WeightSDS!P$29*$AM671^7+WeightSDS!Q$29*$AM671^6+WeightSDS!R$29*$AM671^5+WeightSDS!S$29*$AM671^4+WeightSDS!T$29*$AM671^3+WeightSDS!U$29*$AM671^2+WeightSDS!V$29*$AM671+WeightSDS!W$29-0.010431*(1-$AM671/210),IF($AM671&lt;123,WeightSDS!M$30*$AM671^10+WeightSDS!N$30*$AM671^9+WeightSDS!O$30*$AM671^8+WeightSDS!P$30*$AM671^7+WeightSDS!Q$30*$AM671^6+WeightSDS!R$30*$AM671^5+WeightSDS!S$30*$AM671^4+WeightSDS!T$30*$AM671^3+WeightSDS!U$30*$AM671^2+WeightSDS!V$30*$AM671+WeightSDS!W$30-0.010431*(1-1/$AM671),WeightSDS!M$32+WeightSDS!N$32/(1+EXP(WeightSDS!O$32+WeightSDS!P$32*$AM671))-0.010431*(1-$AM671/210))))</f>
        <v>2.9500001032655536</v>
      </c>
      <c r="AQ671" s="4">
        <f>IF(D671="M",IF($AM671&lt;162,WeightSDS!P$12*$AM671^7+WeightSDS!Q$12*$AM671^6+WeightSDS!R$12*$AM671^5+WeightSDS!S$12*$AM671^4+WeightSDS!T$12*$AM671^3+WeightSDS!U$12*$AM671^2+WeightSDS!V$12*$AM671+WeightSDS!W$12,WeightSDS!P$14*$AM671^7+WeightSDS!Q$14*$AM671^6+WeightSDS!R$14*$AM671^5+WeightSDS!S$14*$AM671^4+WeightSDS!T$14*$AM671^3+WeightSDS!U$14*$AM671^2+WeightSDS!V$14*$AM671+WeightSDS!W$14),IF($AM671&lt;156,WeightSDS!O$17*$AM671^8+WeightSDS!P$17*$AM671^7+WeightSDS!Q$17*$AM671^6+WeightSDS!R$17*$AM671^5+WeightSDS!S$17*$AM671^4+WeightSDS!T$17*$AM671^3+WeightSDS!U$17*$AM671^2+WeightSDS!V$17*$AM671+WeightSDS!W$17,IF($AM671&lt;186,WeightSDS!$U$18+(WeightSDS!$V$18-WeightSDS!$U$18)/24*($AM671-186)+WeightSDS!$W$18*(-$AM671+186)^2-0.005,WeightSDS!$U$18+(WeightSDS!$V$18-WeightSDS!$U$18)/24*($AM671-186)-0.005)))</f>
        <v>0.14604529399999999</v>
      </c>
      <c r="AT671" s="4">
        <f t="shared" si="217"/>
        <v>0.56299999999999994</v>
      </c>
      <c r="AU671" s="4">
        <f t="shared" si="218"/>
        <v>69</v>
      </c>
      <c r="AV671" s="4">
        <f t="shared" si="219"/>
        <v>0.51</v>
      </c>
    </row>
    <row r="672" spans="1:48" x14ac:dyDescent="0.15">
      <c r="A672" s="4"/>
      <c r="B672" s="21"/>
      <c r="C672" s="21"/>
      <c r="D672" s="21"/>
      <c r="E672" s="22"/>
      <c r="F672" s="22"/>
      <c r="G672" s="23"/>
      <c r="H672" s="23"/>
      <c r="I672" s="181"/>
      <c r="J672" s="8" t="str">
        <f t="shared" si="211"/>
        <v/>
      </c>
      <c r="K672" s="2" t="str">
        <f t="shared" si="220"/>
        <v/>
      </c>
      <c r="L672" s="2" t="str">
        <f t="shared" si="212"/>
        <v/>
      </c>
      <c r="M672" s="2" t="str">
        <f t="shared" si="221"/>
        <v/>
      </c>
      <c r="N672" s="2" t="str">
        <f t="shared" si="229"/>
        <v/>
      </c>
      <c r="O672" s="2" t="str">
        <f t="shared" si="222"/>
        <v/>
      </c>
      <c r="P672" s="8" t="str">
        <f t="shared" si="223"/>
        <v/>
      </c>
      <c r="Q672" s="8" t="str">
        <f t="shared" si="224"/>
        <v/>
      </c>
      <c r="R672" s="111" t="str">
        <f t="shared" si="225"/>
        <v/>
      </c>
      <c r="S672" s="44" t="str">
        <f t="shared" si="226"/>
        <v/>
      </c>
      <c r="T672" s="37" t="str">
        <f t="shared" si="227"/>
        <v/>
      </c>
      <c r="U672" s="44" t="str">
        <f t="shared" si="228"/>
        <v/>
      </c>
      <c r="V672" s="26"/>
      <c r="W672" s="26"/>
      <c r="X672" s="26"/>
      <c r="Y672" s="26"/>
      <c r="Z672" s="24"/>
      <c r="AA672" s="169">
        <f t="shared" si="213"/>
        <v>0</v>
      </c>
      <c r="AB672" s="4">
        <f t="shared" si="214"/>
        <v>0</v>
      </c>
      <c r="AC672" s="170">
        <f t="shared" si="231"/>
        <v>0</v>
      </c>
      <c r="AD672" s="58"/>
      <c r="AE672" s="58"/>
      <c r="AF672" s="58"/>
      <c r="AG672" s="59">
        <f t="shared" si="215"/>
        <v>9.0359999999999996</v>
      </c>
      <c r="AH672" s="59">
        <f t="shared" si="216"/>
        <v>-184.49199999999999</v>
      </c>
      <c r="AJ672" s="4">
        <f>IF(D672="M",IF(AM672&lt;78,BMILMS!$D$5*AM672^3+BMILMS!$E$5*AM672^2+BMILMS!$F$5*AM672+BMILMS!$G$5,IF(AM672&lt;150,BMILMS!$D$6*AM672^3+BMILMS!$E$6*AM672^2+BMILMS!$F$6*AM672+BMILMS!$G$6,BMILMS!$D$7*AM672^3+BMILMS!$E$7*AM672^2+BMILMS!$F$7*AM672+BMILMS!$G$7)),IF(AM672&lt;69,BMILMS!$D$9*AM672^3+BMILMS!$E$9*AM672^2+BMILMS!$F$9*AM672+BMILMS!$G$9,IF(AM672&lt;150,BMILMS!$D$10*AM672^3+BMILMS!$E$10*AM672^2+BMILMS!$F$10*AM672+BMILMS!$G$10,BMILMS!$D$11*AM672^3+BMILMS!$E$11*AM672^2+BMILMS!$F$11*AM672+BMILMS!$G$11)))</f>
        <v>0.79584630099999998</v>
      </c>
      <c r="AK672" s="4">
        <f>IF(D672="M",(IF(AM672&lt;2.5,BMILMS!$D$21*AM672^3+BMILMS!$E$21*AM672^2+BMILMS!$F$21*AM672+BMILMS!$G$21,IF(AM672&lt;9.5,BMILMS!$D$22*AM672^3+BMILMS!$E$22*AM672^2+BMILMS!$F$22*AM672+BMILMS!$G$22,IF(AM672&lt;26.75,BMILMS!$D$23*AM672^3+BMILMS!$E$23*AM672^2+BMILMS!$F$23*AM672+BMILMS!$G$23,IF(AM672&lt;90,BMILMS!$D$24*AM672^3+BMILMS!$E$24*AM672^2+BMILMS!$F$24*AM672+BMILMS!$G$24,BMILMS!$D$25*AM672^3+BMILMS!$E$25*AM672^2+BMILMS!$F$25*AM672+BMILMS!$G$25))))),(IF(AM672&lt;2.5,BMILMS!$D$27*AM672^3+BMILMS!$E$27*AM672^2+BMILMS!$F$27*AM672+BMILMS!$G$27,IF(AM672&lt;9.5,BMILMS!$D$28*AM672^3+BMILMS!$E$28*AM672^2+BMILMS!$F$28*AM672+BMILMS!$G$28,IF(AM672&lt;26.75,BMILMS!$D$29*AM672^3+BMILMS!$E$29*AM672^2+BMILMS!$F$29*AM672+BMILMS!$G$29,IF(AM672&lt;90,BMILMS!$D$30*AM672^3+BMILMS!$E$30*AM672^2+BMILMS!$F$30*AM672+BMILMS!$G$30,IF(AM672&lt;150,BMILMS!$D$31*AM672^3+BMILMS!$E$31*AM672^2+BMILMS!$F$31*AM672+BMILMS!$G$31,BMILMS!$D$32*AM672^3+BMILMS!$E$32*AM672^2+BMILMS!$F$32*AM672+BMILMS!$G$32)))))))</f>
        <v>12.568967990000001</v>
      </c>
      <c r="AL672" s="4">
        <f>IF(D672="M",(IF(AM672&lt;90,BMILMS!$D$14*AM672^3+BMILMS!$E$14*AM672^2+BMILMS!$F$14*AM672+BMILMS!$G$14,BMILMS!$D$15*AM672^3+BMILMS!$E$15*AM672^2+BMILMS!$F$15*AM672+BMILMS!$G$15)),(IF(AM672&lt;90,BMILMS!$D$17*AM672^3+BMILMS!$E$17*AM672^2+BMILMS!$F$17*AM672+BMILMS!$G$17,BMILMS!$D$18*AM672^3+BMILMS!$E$18*AM672^2+BMILMS!$F$18*AM672+BMILMS!$G$18)))</f>
        <v>8.8969350000000003E-2</v>
      </c>
      <c r="AM672" s="4">
        <f t="shared" si="230"/>
        <v>0</v>
      </c>
      <c r="AO672" s="56">
        <f>IF(D672="M",WeightSDS!P$5*$AM672^7+WeightSDS!Q$5*$AM672^6+WeightSDS!R$5*$AM672^5+WeightSDS!S$5*$AM672^4+WeightSDS!T$5*$AM672^3+WeightSDS!U$5*$AM672^2+WeightSDS!V$5*$AM672+WeightSDS!W$5,IF($AM672&lt;186,WeightSDS!P$8*$AM672^7+WeightSDS!Q$8*$AM672^6+WeightSDS!R$8*$AM672^5+WeightSDS!S$8*$AM672^4+WeightSDS!T$8*$AM672^3+WeightSDS!U$8*$AM672^2+WeightSDS!V$8*$AM672+WeightSDS!W$8,WeightSDS!$U$9+WeightSDS!$V$9*($AM672-WeightSDS!$W$9)))</f>
        <v>0.75407122999999998</v>
      </c>
      <c r="AP672" s="4">
        <f>IF(D672="M",IF($AM672&lt;45,WeightSDS!M$23*$AM672^10+WeightSDS!N$23*$AM672^9+WeightSDS!O$23*$AM672^8+WeightSDS!P$23*$AM672^7+WeightSDS!Q$23*$AM672^6+WeightSDS!R$23*$AM672^5+WeightSDS!S$23*$AM672^4+WeightSDS!T$23*$AM672^3+WeightSDS!U$23*$AM672^2+WeightSDS!V$23*$AM672+WeightSDS!W$23,IF($AM672&lt;153,WeightSDS!M$25*$AM672^10+WeightSDS!N$25*$AM672^9+WeightSDS!O$25*$AM672^8+WeightSDS!P$25*$AM672^7+WeightSDS!Q$25*$AM672^6+WeightSDS!R$25*$AM672^5+WeightSDS!S$25*$AM672^4+WeightSDS!T$25*$AM672^3+WeightSDS!U$25*$AM672^2+WeightSDS!V$25*$AM672+WeightSDS!W$25,WeightSDS!M$27+WeightSDS!N$27/(1+EXP(WeightSDS!O$27+WeightSDS!P$27*$AM672)))),IF($AM672&lt;43.8,WeightSDS!M$29*$AM672^10+WeightSDS!N$29*$AM672^9+WeightSDS!O$29*$AM672^8+WeightSDS!P$29*$AM672^7+WeightSDS!Q$29*$AM672^6+WeightSDS!R$29*$AM672^5+WeightSDS!S$29*$AM672^4+WeightSDS!T$29*$AM672^3+WeightSDS!U$29*$AM672^2+WeightSDS!V$29*$AM672+WeightSDS!W$29-0.010431*(1-$AM672/210),IF($AM672&lt;123,WeightSDS!M$30*$AM672^10+WeightSDS!N$30*$AM672^9+WeightSDS!O$30*$AM672^8+WeightSDS!P$30*$AM672^7+WeightSDS!Q$30*$AM672^6+WeightSDS!R$30*$AM672^5+WeightSDS!S$30*$AM672^4+WeightSDS!T$30*$AM672^3+WeightSDS!U$30*$AM672^2+WeightSDS!V$30*$AM672+WeightSDS!W$30-0.010431*(1-1/$AM672),WeightSDS!M$32+WeightSDS!N$32/(1+EXP(WeightSDS!O$32+WeightSDS!P$32*$AM672))-0.010431*(1-$AM672/210))))</f>
        <v>2.9500001032655536</v>
      </c>
      <c r="AQ672" s="4">
        <f>IF(D672="M",IF($AM672&lt;162,WeightSDS!P$12*$AM672^7+WeightSDS!Q$12*$AM672^6+WeightSDS!R$12*$AM672^5+WeightSDS!S$12*$AM672^4+WeightSDS!T$12*$AM672^3+WeightSDS!U$12*$AM672^2+WeightSDS!V$12*$AM672+WeightSDS!W$12,WeightSDS!P$14*$AM672^7+WeightSDS!Q$14*$AM672^6+WeightSDS!R$14*$AM672^5+WeightSDS!S$14*$AM672^4+WeightSDS!T$14*$AM672^3+WeightSDS!U$14*$AM672^2+WeightSDS!V$14*$AM672+WeightSDS!W$14),IF($AM672&lt;156,WeightSDS!O$17*$AM672^8+WeightSDS!P$17*$AM672^7+WeightSDS!Q$17*$AM672^6+WeightSDS!R$17*$AM672^5+WeightSDS!S$17*$AM672^4+WeightSDS!T$17*$AM672^3+WeightSDS!U$17*$AM672^2+WeightSDS!V$17*$AM672+WeightSDS!W$17,IF($AM672&lt;186,WeightSDS!$U$18+(WeightSDS!$V$18-WeightSDS!$U$18)/24*($AM672-186)+WeightSDS!$W$18*(-$AM672+186)^2-0.005,WeightSDS!$U$18+(WeightSDS!$V$18-WeightSDS!$U$18)/24*($AM672-186)-0.005)))</f>
        <v>0.14604529399999999</v>
      </c>
      <c r="AT672" s="4">
        <f t="shared" si="217"/>
        <v>0.56299999999999994</v>
      </c>
      <c r="AU672" s="4">
        <f t="shared" si="218"/>
        <v>69</v>
      </c>
      <c r="AV672" s="4">
        <f t="shared" si="219"/>
        <v>0.51</v>
      </c>
    </row>
    <row r="673" spans="1:48" x14ac:dyDescent="0.15">
      <c r="A673" s="4"/>
      <c r="B673" s="21"/>
      <c r="C673" s="21"/>
      <c r="D673" s="21"/>
      <c r="E673" s="22"/>
      <c r="F673" s="22"/>
      <c r="G673" s="23"/>
      <c r="H673" s="23"/>
      <c r="I673" s="181"/>
      <c r="J673" s="8" t="str">
        <f t="shared" si="211"/>
        <v/>
      </c>
      <c r="K673" s="2" t="str">
        <f t="shared" si="220"/>
        <v/>
      </c>
      <c r="L673" s="2" t="str">
        <f t="shared" si="212"/>
        <v/>
      </c>
      <c r="M673" s="2" t="str">
        <f t="shared" si="221"/>
        <v/>
      </c>
      <c r="N673" s="2" t="str">
        <f t="shared" si="229"/>
        <v/>
      </c>
      <c r="O673" s="2" t="str">
        <f t="shared" si="222"/>
        <v/>
      </c>
      <c r="P673" s="8" t="str">
        <f t="shared" si="223"/>
        <v/>
      </c>
      <c r="Q673" s="8" t="str">
        <f t="shared" si="224"/>
        <v/>
      </c>
      <c r="R673" s="111" t="str">
        <f t="shared" si="225"/>
        <v/>
      </c>
      <c r="S673" s="44" t="str">
        <f t="shared" si="226"/>
        <v/>
      </c>
      <c r="T673" s="37" t="str">
        <f t="shared" si="227"/>
        <v/>
      </c>
      <c r="U673" s="44" t="str">
        <f t="shared" si="228"/>
        <v/>
      </c>
      <c r="V673" s="26"/>
      <c r="W673" s="26"/>
      <c r="X673" s="26"/>
      <c r="Y673" s="26"/>
      <c r="Z673" s="24"/>
      <c r="AA673" s="169">
        <f t="shared" si="213"/>
        <v>0</v>
      </c>
      <c r="AB673" s="4">
        <f t="shared" si="214"/>
        <v>0</v>
      </c>
      <c r="AC673" s="170">
        <f t="shared" si="231"/>
        <v>0</v>
      </c>
      <c r="AD673" s="58"/>
      <c r="AE673" s="58"/>
      <c r="AF673" s="58"/>
      <c r="AG673" s="59">
        <f t="shared" si="215"/>
        <v>9.0359999999999996</v>
      </c>
      <c r="AH673" s="59">
        <f t="shared" si="216"/>
        <v>-184.49199999999999</v>
      </c>
      <c r="AJ673" s="4">
        <f>IF(D673="M",IF(AM673&lt;78,BMILMS!$D$5*AM673^3+BMILMS!$E$5*AM673^2+BMILMS!$F$5*AM673+BMILMS!$G$5,IF(AM673&lt;150,BMILMS!$D$6*AM673^3+BMILMS!$E$6*AM673^2+BMILMS!$F$6*AM673+BMILMS!$G$6,BMILMS!$D$7*AM673^3+BMILMS!$E$7*AM673^2+BMILMS!$F$7*AM673+BMILMS!$G$7)),IF(AM673&lt;69,BMILMS!$D$9*AM673^3+BMILMS!$E$9*AM673^2+BMILMS!$F$9*AM673+BMILMS!$G$9,IF(AM673&lt;150,BMILMS!$D$10*AM673^3+BMILMS!$E$10*AM673^2+BMILMS!$F$10*AM673+BMILMS!$G$10,BMILMS!$D$11*AM673^3+BMILMS!$E$11*AM673^2+BMILMS!$F$11*AM673+BMILMS!$G$11)))</f>
        <v>0.79584630099999998</v>
      </c>
      <c r="AK673" s="4">
        <f>IF(D673="M",(IF(AM673&lt;2.5,BMILMS!$D$21*AM673^3+BMILMS!$E$21*AM673^2+BMILMS!$F$21*AM673+BMILMS!$G$21,IF(AM673&lt;9.5,BMILMS!$D$22*AM673^3+BMILMS!$E$22*AM673^2+BMILMS!$F$22*AM673+BMILMS!$G$22,IF(AM673&lt;26.75,BMILMS!$D$23*AM673^3+BMILMS!$E$23*AM673^2+BMILMS!$F$23*AM673+BMILMS!$G$23,IF(AM673&lt;90,BMILMS!$D$24*AM673^3+BMILMS!$E$24*AM673^2+BMILMS!$F$24*AM673+BMILMS!$G$24,BMILMS!$D$25*AM673^3+BMILMS!$E$25*AM673^2+BMILMS!$F$25*AM673+BMILMS!$G$25))))),(IF(AM673&lt;2.5,BMILMS!$D$27*AM673^3+BMILMS!$E$27*AM673^2+BMILMS!$F$27*AM673+BMILMS!$G$27,IF(AM673&lt;9.5,BMILMS!$D$28*AM673^3+BMILMS!$E$28*AM673^2+BMILMS!$F$28*AM673+BMILMS!$G$28,IF(AM673&lt;26.75,BMILMS!$D$29*AM673^3+BMILMS!$E$29*AM673^2+BMILMS!$F$29*AM673+BMILMS!$G$29,IF(AM673&lt;90,BMILMS!$D$30*AM673^3+BMILMS!$E$30*AM673^2+BMILMS!$F$30*AM673+BMILMS!$G$30,IF(AM673&lt;150,BMILMS!$D$31*AM673^3+BMILMS!$E$31*AM673^2+BMILMS!$F$31*AM673+BMILMS!$G$31,BMILMS!$D$32*AM673^3+BMILMS!$E$32*AM673^2+BMILMS!$F$32*AM673+BMILMS!$G$32)))))))</f>
        <v>12.568967990000001</v>
      </c>
      <c r="AL673" s="4">
        <f>IF(D673="M",(IF(AM673&lt;90,BMILMS!$D$14*AM673^3+BMILMS!$E$14*AM673^2+BMILMS!$F$14*AM673+BMILMS!$G$14,BMILMS!$D$15*AM673^3+BMILMS!$E$15*AM673^2+BMILMS!$F$15*AM673+BMILMS!$G$15)),(IF(AM673&lt;90,BMILMS!$D$17*AM673^3+BMILMS!$E$17*AM673^2+BMILMS!$F$17*AM673+BMILMS!$G$17,BMILMS!$D$18*AM673^3+BMILMS!$E$18*AM673^2+BMILMS!$F$18*AM673+BMILMS!$G$18)))</f>
        <v>8.8969350000000003E-2</v>
      </c>
      <c r="AM673" s="4">
        <f t="shared" si="230"/>
        <v>0</v>
      </c>
      <c r="AO673" s="56">
        <f>IF(D673="M",WeightSDS!P$5*$AM673^7+WeightSDS!Q$5*$AM673^6+WeightSDS!R$5*$AM673^5+WeightSDS!S$5*$AM673^4+WeightSDS!T$5*$AM673^3+WeightSDS!U$5*$AM673^2+WeightSDS!V$5*$AM673+WeightSDS!W$5,IF($AM673&lt;186,WeightSDS!P$8*$AM673^7+WeightSDS!Q$8*$AM673^6+WeightSDS!R$8*$AM673^5+WeightSDS!S$8*$AM673^4+WeightSDS!T$8*$AM673^3+WeightSDS!U$8*$AM673^2+WeightSDS!V$8*$AM673+WeightSDS!W$8,WeightSDS!$U$9+WeightSDS!$V$9*($AM673-WeightSDS!$W$9)))</f>
        <v>0.75407122999999998</v>
      </c>
      <c r="AP673" s="4">
        <f>IF(D673="M",IF($AM673&lt;45,WeightSDS!M$23*$AM673^10+WeightSDS!N$23*$AM673^9+WeightSDS!O$23*$AM673^8+WeightSDS!P$23*$AM673^7+WeightSDS!Q$23*$AM673^6+WeightSDS!R$23*$AM673^5+WeightSDS!S$23*$AM673^4+WeightSDS!T$23*$AM673^3+WeightSDS!U$23*$AM673^2+WeightSDS!V$23*$AM673+WeightSDS!W$23,IF($AM673&lt;153,WeightSDS!M$25*$AM673^10+WeightSDS!N$25*$AM673^9+WeightSDS!O$25*$AM673^8+WeightSDS!P$25*$AM673^7+WeightSDS!Q$25*$AM673^6+WeightSDS!R$25*$AM673^5+WeightSDS!S$25*$AM673^4+WeightSDS!T$25*$AM673^3+WeightSDS!U$25*$AM673^2+WeightSDS!V$25*$AM673+WeightSDS!W$25,WeightSDS!M$27+WeightSDS!N$27/(1+EXP(WeightSDS!O$27+WeightSDS!P$27*$AM673)))),IF($AM673&lt;43.8,WeightSDS!M$29*$AM673^10+WeightSDS!N$29*$AM673^9+WeightSDS!O$29*$AM673^8+WeightSDS!P$29*$AM673^7+WeightSDS!Q$29*$AM673^6+WeightSDS!R$29*$AM673^5+WeightSDS!S$29*$AM673^4+WeightSDS!T$29*$AM673^3+WeightSDS!U$29*$AM673^2+WeightSDS!V$29*$AM673+WeightSDS!W$29-0.010431*(1-$AM673/210),IF($AM673&lt;123,WeightSDS!M$30*$AM673^10+WeightSDS!N$30*$AM673^9+WeightSDS!O$30*$AM673^8+WeightSDS!P$30*$AM673^7+WeightSDS!Q$30*$AM673^6+WeightSDS!R$30*$AM673^5+WeightSDS!S$30*$AM673^4+WeightSDS!T$30*$AM673^3+WeightSDS!U$30*$AM673^2+WeightSDS!V$30*$AM673+WeightSDS!W$30-0.010431*(1-1/$AM673),WeightSDS!M$32+WeightSDS!N$32/(1+EXP(WeightSDS!O$32+WeightSDS!P$32*$AM673))-0.010431*(1-$AM673/210))))</f>
        <v>2.9500001032655536</v>
      </c>
      <c r="AQ673" s="4">
        <f>IF(D673="M",IF($AM673&lt;162,WeightSDS!P$12*$AM673^7+WeightSDS!Q$12*$AM673^6+WeightSDS!R$12*$AM673^5+WeightSDS!S$12*$AM673^4+WeightSDS!T$12*$AM673^3+WeightSDS!U$12*$AM673^2+WeightSDS!V$12*$AM673+WeightSDS!W$12,WeightSDS!P$14*$AM673^7+WeightSDS!Q$14*$AM673^6+WeightSDS!R$14*$AM673^5+WeightSDS!S$14*$AM673^4+WeightSDS!T$14*$AM673^3+WeightSDS!U$14*$AM673^2+WeightSDS!V$14*$AM673+WeightSDS!W$14),IF($AM673&lt;156,WeightSDS!O$17*$AM673^8+WeightSDS!P$17*$AM673^7+WeightSDS!Q$17*$AM673^6+WeightSDS!R$17*$AM673^5+WeightSDS!S$17*$AM673^4+WeightSDS!T$17*$AM673^3+WeightSDS!U$17*$AM673^2+WeightSDS!V$17*$AM673+WeightSDS!W$17,IF($AM673&lt;186,WeightSDS!$U$18+(WeightSDS!$V$18-WeightSDS!$U$18)/24*($AM673-186)+WeightSDS!$W$18*(-$AM673+186)^2-0.005,WeightSDS!$U$18+(WeightSDS!$V$18-WeightSDS!$U$18)/24*($AM673-186)-0.005)))</f>
        <v>0.14604529399999999</v>
      </c>
      <c r="AT673" s="4">
        <f t="shared" si="217"/>
        <v>0.56299999999999994</v>
      </c>
      <c r="AU673" s="4">
        <f t="shared" si="218"/>
        <v>69</v>
      </c>
      <c r="AV673" s="4">
        <f t="shared" si="219"/>
        <v>0.51</v>
      </c>
    </row>
    <row r="674" spans="1:48" x14ac:dyDescent="0.15">
      <c r="A674" s="4"/>
      <c r="B674" s="21"/>
      <c r="C674" s="21"/>
      <c r="D674" s="21"/>
      <c r="E674" s="22"/>
      <c r="F674" s="22"/>
      <c r="G674" s="23"/>
      <c r="H674" s="23"/>
      <c r="I674" s="181"/>
      <c r="J674" s="8" t="str">
        <f t="shared" si="211"/>
        <v/>
      </c>
      <c r="K674" s="2" t="str">
        <f t="shared" si="220"/>
        <v/>
      </c>
      <c r="L674" s="2" t="str">
        <f t="shared" si="212"/>
        <v/>
      </c>
      <c r="M674" s="2" t="str">
        <f t="shared" si="221"/>
        <v/>
      </c>
      <c r="N674" s="2" t="str">
        <f t="shared" si="229"/>
        <v/>
      </c>
      <c r="O674" s="2" t="str">
        <f t="shared" si="222"/>
        <v/>
      </c>
      <c r="P674" s="8" t="str">
        <f t="shared" si="223"/>
        <v/>
      </c>
      <c r="Q674" s="8" t="str">
        <f t="shared" si="224"/>
        <v/>
      </c>
      <c r="R674" s="111" t="str">
        <f t="shared" si="225"/>
        <v/>
      </c>
      <c r="S674" s="44" t="str">
        <f t="shared" si="226"/>
        <v/>
      </c>
      <c r="T674" s="37" t="str">
        <f t="shared" si="227"/>
        <v/>
      </c>
      <c r="U674" s="44" t="str">
        <f t="shared" si="228"/>
        <v/>
      </c>
      <c r="V674" s="26"/>
      <c r="W674" s="26"/>
      <c r="X674" s="26"/>
      <c r="Y674" s="26"/>
      <c r="Z674" s="24"/>
      <c r="AA674" s="169">
        <f t="shared" si="213"/>
        <v>0</v>
      </c>
      <c r="AB674" s="4">
        <f t="shared" si="214"/>
        <v>0</v>
      </c>
      <c r="AC674" s="170">
        <f t="shared" si="231"/>
        <v>0</v>
      </c>
      <c r="AD674" s="58"/>
      <c r="AE674" s="58"/>
      <c r="AF674" s="58"/>
      <c r="AG674" s="59">
        <f t="shared" si="215"/>
        <v>9.0359999999999996</v>
      </c>
      <c r="AH674" s="59">
        <f t="shared" si="216"/>
        <v>-184.49199999999999</v>
      </c>
      <c r="AJ674" s="4">
        <f>IF(D674="M",IF(AM674&lt;78,BMILMS!$D$5*AM674^3+BMILMS!$E$5*AM674^2+BMILMS!$F$5*AM674+BMILMS!$G$5,IF(AM674&lt;150,BMILMS!$D$6*AM674^3+BMILMS!$E$6*AM674^2+BMILMS!$F$6*AM674+BMILMS!$G$6,BMILMS!$D$7*AM674^3+BMILMS!$E$7*AM674^2+BMILMS!$F$7*AM674+BMILMS!$G$7)),IF(AM674&lt;69,BMILMS!$D$9*AM674^3+BMILMS!$E$9*AM674^2+BMILMS!$F$9*AM674+BMILMS!$G$9,IF(AM674&lt;150,BMILMS!$D$10*AM674^3+BMILMS!$E$10*AM674^2+BMILMS!$F$10*AM674+BMILMS!$G$10,BMILMS!$D$11*AM674^3+BMILMS!$E$11*AM674^2+BMILMS!$F$11*AM674+BMILMS!$G$11)))</f>
        <v>0.79584630099999998</v>
      </c>
      <c r="AK674" s="4">
        <f>IF(D674="M",(IF(AM674&lt;2.5,BMILMS!$D$21*AM674^3+BMILMS!$E$21*AM674^2+BMILMS!$F$21*AM674+BMILMS!$G$21,IF(AM674&lt;9.5,BMILMS!$D$22*AM674^3+BMILMS!$E$22*AM674^2+BMILMS!$F$22*AM674+BMILMS!$G$22,IF(AM674&lt;26.75,BMILMS!$D$23*AM674^3+BMILMS!$E$23*AM674^2+BMILMS!$F$23*AM674+BMILMS!$G$23,IF(AM674&lt;90,BMILMS!$D$24*AM674^3+BMILMS!$E$24*AM674^2+BMILMS!$F$24*AM674+BMILMS!$G$24,BMILMS!$D$25*AM674^3+BMILMS!$E$25*AM674^2+BMILMS!$F$25*AM674+BMILMS!$G$25))))),(IF(AM674&lt;2.5,BMILMS!$D$27*AM674^3+BMILMS!$E$27*AM674^2+BMILMS!$F$27*AM674+BMILMS!$G$27,IF(AM674&lt;9.5,BMILMS!$D$28*AM674^3+BMILMS!$E$28*AM674^2+BMILMS!$F$28*AM674+BMILMS!$G$28,IF(AM674&lt;26.75,BMILMS!$D$29*AM674^3+BMILMS!$E$29*AM674^2+BMILMS!$F$29*AM674+BMILMS!$G$29,IF(AM674&lt;90,BMILMS!$D$30*AM674^3+BMILMS!$E$30*AM674^2+BMILMS!$F$30*AM674+BMILMS!$G$30,IF(AM674&lt;150,BMILMS!$D$31*AM674^3+BMILMS!$E$31*AM674^2+BMILMS!$F$31*AM674+BMILMS!$G$31,BMILMS!$D$32*AM674^3+BMILMS!$E$32*AM674^2+BMILMS!$F$32*AM674+BMILMS!$G$32)))))))</f>
        <v>12.568967990000001</v>
      </c>
      <c r="AL674" s="4">
        <f>IF(D674="M",(IF(AM674&lt;90,BMILMS!$D$14*AM674^3+BMILMS!$E$14*AM674^2+BMILMS!$F$14*AM674+BMILMS!$G$14,BMILMS!$D$15*AM674^3+BMILMS!$E$15*AM674^2+BMILMS!$F$15*AM674+BMILMS!$G$15)),(IF(AM674&lt;90,BMILMS!$D$17*AM674^3+BMILMS!$E$17*AM674^2+BMILMS!$F$17*AM674+BMILMS!$G$17,BMILMS!$D$18*AM674^3+BMILMS!$E$18*AM674^2+BMILMS!$F$18*AM674+BMILMS!$G$18)))</f>
        <v>8.8969350000000003E-2</v>
      </c>
      <c r="AM674" s="4">
        <f t="shared" si="230"/>
        <v>0</v>
      </c>
      <c r="AO674" s="56">
        <f>IF(D674="M",WeightSDS!P$5*$AM674^7+WeightSDS!Q$5*$AM674^6+WeightSDS!R$5*$AM674^5+WeightSDS!S$5*$AM674^4+WeightSDS!T$5*$AM674^3+WeightSDS!U$5*$AM674^2+WeightSDS!V$5*$AM674+WeightSDS!W$5,IF($AM674&lt;186,WeightSDS!P$8*$AM674^7+WeightSDS!Q$8*$AM674^6+WeightSDS!R$8*$AM674^5+WeightSDS!S$8*$AM674^4+WeightSDS!T$8*$AM674^3+WeightSDS!U$8*$AM674^2+WeightSDS!V$8*$AM674+WeightSDS!W$8,WeightSDS!$U$9+WeightSDS!$V$9*($AM674-WeightSDS!$W$9)))</f>
        <v>0.75407122999999998</v>
      </c>
      <c r="AP674" s="4">
        <f>IF(D674="M",IF($AM674&lt;45,WeightSDS!M$23*$AM674^10+WeightSDS!N$23*$AM674^9+WeightSDS!O$23*$AM674^8+WeightSDS!P$23*$AM674^7+WeightSDS!Q$23*$AM674^6+WeightSDS!R$23*$AM674^5+WeightSDS!S$23*$AM674^4+WeightSDS!T$23*$AM674^3+WeightSDS!U$23*$AM674^2+WeightSDS!V$23*$AM674+WeightSDS!W$23,IF($AM674&lt;153,WeightSDS!M$25*$AM674^10+WeightSDS!N$25*$AM674^9+WeightSDS!O$25*$AM674^8+WeightSDS!P$25*$AM674^7+WeightSDS!Q$25*$AM674^6+WeightSDS!R$25*$AM674^5+WeightSDS!S$25*$AM674^4+WeightSDS!T$25*$AM674^3+WeightSDS!U$25*$AM674^2+WeightSDS!V$25*$AM674+WeightSDS!W$25,WeightSDS!M$27+WeightSDS!N$27/(1+EXP(WeightSDS!O$27+WeightSDS!P$27*$AM674)))),IF($AM674&lt;43.8,WeightSDS!M$29*$AM674^10+WeightSDS!N$29*$AM674^9+WeightSDS!O$29*$AM674^8+WeightSDS!P$29*$AM674^7+WeightSDS!Q$29*$AM674^6+WeightSDS!R$29*$AM674^5+WeightSDS!S$29*$AM674^4+WeightSDS!T$29*$AM674^3+WeightSDS!U$29*$AM674^2+WeightSDS!V$29*$AM674+WeightSDS!W$29-0.010431*(1-$AM674/210),IF($AM674&lt;123,WeightSDS!M$30*$AM674^10+WeightSDS!N$30*$AM674^9+WeightSDS!O$30*$AM674^8+WeightSDS!P$30*$AM674^7+WeightSDS!Q$30*$AM674^6+WeightSDS!R$30*$AM674^5+WeightSDS!S$30*$AM674^4+WeightSDS!T$30*$AM674^3+WeightSDS!U$30*$AM674^2+WeightSDS!V$30*$AM674+WeightSDS!W$30-0.010431*(1-1/$AM674),WeightSDS!M$32+WeightSDS!N$32/(1+EXP(WeightSDS!O$32+WeightSDS!P$32*$AM674))-0.010431*(1-$AM674/210))))</f>
        <v>2.9500001032655536</v>
      </c>
      <c r="AQ674" s="4">
        <f>IF(D674="M",IF($AM674&lt;162,WeightSDS!P$12*$AM674^7+WeightSDS!Q$12*$AM674^6+WeightSDS!R$12*$AM674^5+WeightSDS!S$12*$AM674^4+WeightSDS!T$12*$AM674^3+WeightSDS!U$12*$AM674^2+WeightSDS!V$12*$AM674+WeightSDS!W$12,WeightSDS!P$14*$AM674^7+WeightSDS!Q$14*$AM674^6+WeightSDS!R$14*$AM674^5+WeightSDS!S$14*$AM674^4+WeightSDS!T$14*$AM674^3+WeightSDS!U$14*$AM674^2+WeightSDS!V$14*$AM674+WeightSDS!W$14),IF($AM674&lt;156,WeightSDS!O$17*$AM674^8+WeightSDS!P$17*$AM674^7+WeightSDS!Q$17*$AM674^6+WeightSDS!R$17*$AM674^5+WeightSDS!S$17*$AM674^4+WeightSDS!T$17*$AM674^3+WeightSDS!U$17*$AM674^2+WeightSDS!V$17*$AM674+WeightSDS!W$17,IF($AM674&lt;186,WeightSDS!$U$18+(WeightSDS!$V$18-WeightSDS!$U$18)/24*($AM674-186)+WeightSDS!$W$18*(-$AM674+186)^2-0.005,WeightSDS!$U$18+(WeightSDS!$V$18-WeightSDS!$U$18)/24*($AM674-186)-0.005)))</f>
        <v>0.14604529399999999</v>
      </c>
      <c r="AT674" s="4">
        <f t="shared" si="217"/>
        <v>0.56299999999999994</v>
      </c>
      <c r="AU674" s="4">
        <f t="shared" si="218"/>
        <v>69</v>
      </c>
      <c r="AV674" s="4">
        <f t="shared" si="219"/>
        <v>0.51</v>
      </c>
    </row>
    <row r="675" spans="1:48" x14ac:dyDescent="0.15">
      <c r="A675" s="4"/>
      <c r="B675" s="21"/>
      <c r="C675" s="21"/>
      <c r="D675" s="21"/>
      <c r="E675" s="22"/>
      <c r="F675" s="22"/>
      <c r="G675" s="23"/>
      <c r="H675" s="23"/>
      <c r="I675" s="181"/>
      <c r="J675" s="8" t="str">
        <f t="shared" si="211"/>
        <v/>
      </c>
      <c r="K675" s="2" t="str">
        <f t="shared" si="220"/>
        <v/>
      </c>
      <c r="L675" s="2" t="str">
        <f t="shared" si="212"/>
        <v/>
      </c>
      <c r="M675" s="2" t="str">
        <f t="shared" si="221"/>
        <v/>
      </c>
      <c r="N675" s="2" t="str">
        <f t="shared" si="229"/>
        <v/>
      </c>
      <c r="O675" s="2" t="str">
        <f t="shared" si="222"/>
        <v/>
      </c>
      <c r="P675" s="8" t="str">
        <f t="shared" si="223"/>
        <v/>
      </c>
      <c r="Q675" s="8" t="str">
        <f t="shared" si="224"/>
        <v/>
      </c>
      <c r="R675" s="111" t="str">
        <f t="shared" si="225"/>
        <v/>
      </c>
      <c r="S675" s="44" t="str">
        <f t="shared" si="226"/>
        <v/>
      </c>
      <c r="T675" s="37" t="str">
        <f t="shared" si="227"/>
        <v/>
      </c>
      <c r="U675" s="44" t="str">
        <f t="shared" si="228"/>
        <v/>
      </c>
      <c r="V675" s="26"/>
      <c r="W675" s="26"/>
      <c r="X675" s="26"/>
      <c r="Y675" s="26"/>
      <c r="Z675" s="24"/>
      <c r="AA675" s="169">
        <f t="shared" si="213"/>
        <v>0</v>
      </c>
      <c r="AB675" s="4">
        <f t="shared" si="214"/>
        <v>0</v>
      </c>
      <c r="AC675" s="170">
        <f t="shared" si="231"/>
        <v>0</v>
      </c>
      <c r="AD675" s="58"/>
      <c r="AE675" s="58"/>
      <c r="AF675" s="58"/>
      <c r="AG675" s="59">
        <f t="shared" si="215"/>
        <v>9.0359999999999996</v>
      </c>
      <c r="AH675" s="59">
        <f t="shared" si="216"/>
        <v>-184.49199999999999</v>
      </c>
      <c r="AJ675" s="4">
        <f>IF(D675="M",IF(AM675&lt;78,BMILMS!$D$5*AM675^3+BMILMS!$E$5*AM675^2+BMILMS!$F$5*AM675+BMILMS!$G$5,IF(AM675&lt;150,BMILMS!$D$6*AM675^3+BMILMS!$E$6*AM675^2+BMILMS!$F$6*AM675+BMILMS!$G$6,BMILMS!$D$7*AM675^3+BMILMS!$E$7*AM675^2+BMILMS!$F$7*AM675+BMILMS!$G$7)),IF(AM675&lt;69,BMILMS!$D$9*AM675^3+BMILMS!$E$9*AM675^2+BMILMS!$F$9*AM675+BMILMS!$G$9,IF(AM675&lt;150,BMILMS!$D$10*AM675^3+BMILMS!$E$10*AM675^2+BMILMS!$F$10*AM675+BMILMS!$G$10,BMILMS!$D$11*AM675^3+BMILMS!$E$11*AM675^2+BMILMS!$F$11*AM675+BMILMS!$G$11)))</f>
        <v>0.79584630099999998</v>
      </c>
      <c r="AK675" s="4">
        <f>IF(D675="M",(IF(AM675&lt;2.5,BMILMS!$D$21*AM675^3+BMILMS!$E$21*AM675^2+BMILMS!$F$21*AM675+BMILMS!$G$21,IF(AM675&lt;9.5,BMILMS!$D$22*AM675^3+BMILMS!$E$22*AM675^2+BMILMS!$F$22*AM675+BMILMS!$G$22,IF(AM675&lt;26.75,BMILMS!$D$23*AM675^3+BMILMS!$E$23*AM675^2+BMILMS!$F$23*AM675+BMILMS!$G$23,IF(AM675&lt;90,BMILMS!$D$24*AM675^3+BMILMS!$E$24*AM675^2+BMILMS!$F$24*AM675+BMILMS!$G$24,BMILMS!$D$25*AM675^3+BMILMS!$E$25*AM675^2+BMILMS!$F$25*AM675+BMILMS!$G$25))))),(IF(AM675&lt;2.5,BMILMS!$D$27*AM675^3+BMILMS!$E$27*AM675^2+BMILMS!$F$27*AM675+BMILMS!$G$27,IF(AM675&lt;9.5,BMILMS!$D$28*AM675^3+BMILMS!$E$28*AM675^2+BMILMS!$F$28*AM675+BMILMS!$G$28,IF(AM675&lt;26.75,BMILMS!$D$29*AM675^3+BMILMS!$E$29*AM675^2+BMILMS!$F$29*AM675+BMILMS!$G$29,IF(AM675&lt;90,BMILMS!$D$30*AM675^3+BMILMS!$E$30*AM675^2+BMILMS!$F$30*AM675+BMILMS!$G$30,IF(AM675&lt;150,BMILMS!$D$31*AM675^3+BMILMS!$E$31*AM675^2+BMILMS!$F$31*AM675+BMILMS!$G$31,BMILMS!$D$32*AM675^3+BMILMS!$E$32*AM675^2+BMILMS!$F$32*AM675+BMILMS!$G$32)))))))</f>
        <v>12.568967990000001</v>
      </c>
      <c r="AL675" s="4">
        <f>IF(D675="M",(IF(AM675&lt;90,BMILMS!$D$14*AM675^3+BMILMS!$E$14*AM675^2+BMILMS!$F$14*AM675+BMILMS!$G$14,BMILMS!$D$15*AM675^3+BMILMS!$E$15*AM675^2+BMILMS!$F$15*AM675+BMILMS!$G$15)),(IF(AM675&lt;90,BMILMS!$D$17*AM675^3+BMILMS!$E$17*AM675^2+BMILMS!$F$17*AM675+BMILMS!$G$17,BMILMS!$D$18*AM675^3+BMILMS!$E$18*AM675^2+BMILMS!$F$18*AM675+BMILMS!$G$18)))</f>
        <v>8.8969350000000003E-2</v>
      </c>
      <c r="AM675" s="4">
        <f t="shared" si="230"/>
        <v>0</v>
      </c>
      <c r="AO675" s="56">
        <f>IF(D675="M",WeightSDS!P$5*$AM675^7+WeightSDS!Q$5*$AM675^6+WeightSDS!R$5*$AM675^5+WeightSDS!S$5*$AM675^4+WeightSDS!T$5*$AM675^3+WeightSDS!U$5*$AM675^2+WeightSDS!V$5*$AM675+WeightSDS!W$5,IF($AM675&lt;186,WeightSDS!P$8*$AM675^7+WeightSDS!Q$8*$AM675^6+WeightSDS!R$8*$AM675^5+WeightSDS!S$8*$AM675^4+WeightSDS!T$8*$AM675^3+WeightSDS!U$8*$AM675^2+WeightSDS!V$8*$AM675+WeightSDS!W$8,WeightSDS!$U$9+WeightSDS!$V$9*($AM675-WeightSDS!$W$9)))</f>
        <v>0.75407122999999998</v>
      </c>
      <c r="AP675" s="4">
        <f>IF(D675="M",IF($AM675&lt;45,WeightSDS!M$23*$AM675^10+WeightSDS!N$23*$AM675^9+WeightSDS!O$23*$AM675^8+WeightSDS!P$23*$AM675^7+WeightSDS!Q$23*$AM675^6+WeightSDS!R$23*$AM675^5+WeightSDS!S$23*$AM675^4+WeightSDS!T$23*$AM675^3+WeightSDS!U$23*$AM675^2+WeightSDS!V$23*$AM675+WeightSDS!W$23,IF($AM675&lt;153,WeightSDS!M$25*$AM675^10+WeightSDS!N$25*$AM675^9+WeightSDS!O$25*$AM675^8+WeightSDS!P$25*$AM675^7+WeightSDS!Q$25*$AM675^6+WeightSDS!R$25*$AM675^5+WeightSDS!S$25*$AM675^4+WeightSDS!T$25*$AM675^3+WeightSDS!U$25*$AM675^2+WeightSDS!V$25*$AM675+WeightSDS!W$25,WeightSDS!M$27+WeightSDS!N$27/(1+EXP(WeightSDS!O$27+WeightSDS!P$27*$AM675)))),IF($AM675&lt;43.8,WeightSDS!M$29*$AM675^10+WeightSDS!N$29*$AM675^9+WeightSDS!O$29*$AM675^8+WeightSDS!P$29*$AM675^7+WeightSDS!Q$29*$AM675^6+WeightSDS!R$29*$AM675^5+WeightSDS!S$29*$AM675^4+WeightSDS!T$29*$AM675^3+WeightSDS!U$29*$AM675^2+WeightSDS!V$29*$AM675+WeightSDS!W$29-0.010431*(1-$AM675/210),IF($AM675&lt;123,WeightSDS!M$30*$AM675^10+WeightSDS!N$30*$AM675^9+WeightSDS!O$30*$AM675^8+WeightSDS!P$30*$AM675^7+WeightSDS!Q$30*$AM675^6+WeightSDS!R$30*$AM675^5+WeightSDS!S$30*$AM675^4+WeightSDS!T$30*$AM675^3+WeightSDS!U$30*$AM675^2+WeightSDS!V$30*$AM675+WeightSDS!W$30-0.010431*(1-1/$AM675),WeightSDS!M$32+WeightSDS!N$32/(1+EXP(WeightSDS!O$32+WeightSDS!P$32*$AM675))-0.010431*(1-$AM675/210))))</f>
        <v>2.9500001032655536</v>
      </c>
      <c r="AQ675" s="4">
        <f>IF(D675="M",IF($AM675&lt;162,WeightSDS!P$12*$AM675^7+WeightSDS!Q$12*$AM675^6+WeightSDS!R$12*$AM675^5+WeightSDS!S$12*$AM675^4+WeightSDS!T$12*$AM675^3+WeightSDS!U$12*$AM675^2+WeightSDS!V$12*$AM675+WeightSDS!W$12,WeightSDS!P$14*$AM675^7+WeightSDS!Q$14*$AM675^6+WeightSDS!R$14*$AM675^5+WeightSDS!S$14*$AM675^4+WeightSDS!T$14*$AM675^3+WeightSDS!U$14*$AM675^2+WeightSDS!V$14*$AM675+WeightSDS!W$14),IF($AM675&lt;156,WeightSDS!O$17*$AM675^8+WeightSDS!P$17*$AM675^7+WeightSDS!Q$17*$AM675^6+WeightSDS!R$17*$AM675^5+WeightSDS!S$17*$AM675^4+WeightSDS!T$17*$AM675^3+WeightSDS!U$17*$AM675^2+WeightSDS!V$17*$AM675+WeightSDS!W$17,IF($AM675&lt;186,WeightSDS!$U$18+(WeightSDS!$V$18-WeightSDS!$U$18)/24*($AM675-186)+WeightSDS!$W$18*(-$AM675+186)^2-0.005,WeightSDS!$U$18+(WeightSDS!$V$18-WeightSDS!$U$18)/24*($AM675-186)-0.005)))</f>
        <v>0.14604529399999999</v>
      </c>
      <c r="AT675" s="4">
        <f t="shared" si="217"/>
        <v>0.56299999999999994</v>
      </c>
      <c r="AU675" s="4">
        <f t="shared" si="218"/>
        <v>69</v>
      </c>
      <c r="AV675" s="4">
        <f t="shared" si="219"/>
        <v>0.51</v>
      </c>
    </row>
    <row r="676" spans="1:48" x14ac:dyDescent="0.15">
      <c r="A676" s="4"/>
      <c r="B676" s="21"/>
      <c r="C676" s="21"/>
      <c r="D676" s="21"/>
      <c r="E676" s="22"/>
      <c r="F676" s="22"/>
      <c r="G676" s="23"/>
      <c r="H676" s="23"/>
      <c r="I676" s="181"/>
      <c r="J676" s="8" t="str">
        <f t="shared" si="211"/>
        <v/>
      </c>
      <c r="K676" s="2" t="str">
        <f t="shared" si="220"/>
        <v/>
      </c>
      <c r="L676" s="2" t="str">
        <f t="shared" si="212"/>
        <v/>
      </c>
      <c r="M676" s="2" t="str">
        <f t="shared" si="221"/>
        <v/>
      </c>
      <c r="N676" s="2" t="str">
        <f t="shared" si="229"/>
        <v/>
      </c>
      <c r="O676" s="2" t="str">
        <f t="shared" si="222"/>
        <v/>
      </c>
      <c r="P676" s="8" t="str">
        <f t="shared" si="223"/>
        <v/>
      </c>
      <c r="Q676" s="8" t="str">
        <f t="shared" si="224"/>
        <v/>
      </c>
      <c r="R676" s="111" t="str">
        <f t="shared" si="225"/>
        <v/>
      </c>
      <c r="S676" s="44" t="str">
        <f t="shared" si="226"/>
        <v/>
      </c>
      <c r="T676" s="37" t="str">
        <f t="shared" si="227"/>
        <v/>
      </c>
      <c r="U676" s="44" t="str">
        <f t="shared" si="228"/>
        <v/>
      </c>
      <c r="V676" s="26"/>
      <c r="W676" s="26"/>
      <c r="X676" s="26"/>
      <c r="Y676" s="26"/>
      <c r="Z676" s="24"/>
      <c r="AA676" s="169">
        <f t="shared" si="213"/>
        <v>0</v>
      </c>
      <c r="AB676" s="4">
        <f t="shared" si="214"/>
        <v>0</v>
      </c>
      <c r="AC676" s="170">
        <f t="shared" si="231"/>
        <v>0</v>
      </c>
      <c r="AD676" s="58"/>
      <c r="AE676" s="58"/>
      <c r="AF676" s="58"/>
      <c r="AG676" s="59">
        <f t="shared" si="215"/>
        <v>9.0359999999999996</v>
      </c>
      <c r="AH676" s="59">
        <f t="shared" si="216"/>
        <v>-184.49199999999999</v>
      </c>
      <c r="AJ676" s="4">
        <f>IF(D676="M",IF(AM676&lt;78,BMILMS!$D$5*AM676^3+BMILMS!$E$5*AM676^2+BMILMS!$F$5*AM676+BMILMS!$G$5,IF(AM676&lt;150,BMILMS!$D$6*AM676^3+BMILMS!$E$6*AM676^2+BMILMS!$F$6*AM676+BMILMS!$G$6,BMILMS!$D$7*AM676^3+BMILMS!$E$7*AM676^2+BMILMS!$F$7*AM676+BMILMS!$G$7)),IF(AM676&lt;69,BMILMS!$D$9*AM676^3+BMILMS!$E$9*AM676^2+BMILMS!$F$9*AM676+BMILMS!$G$9,IF(AM676&lt;150,BMILMS!$D$10*AM676^3+BMILMS!$E$10*AM676^2+BMILMS!$F$10*AM676+BMILMS!$G$10,BMILMS!$D$11*AM676^3+BMILMS!$E$11*AM676^2+BMILMS!$F$11*AM676+BMILMS!$G$11)))</f>
        <v>0.79584630099999998</v>
      </c>
      <c r="AK676" s="4">
        <f>IF(D676="M",(IF(AM676&lt;2.5,BMILMS!$D$21*AM676^3+BMILMS!$E$21*AM676^2+BMILMS!$F$21*AM676+BMILMS!$G$21,IF(AM676&lt;9.5,BMILMS!$D$22*AM676^3+BMILMS!$E$22*AM676^2+BMILMS!$F$22*AM676+BMILMS!$G$22,IF(AM676&lt;26.75,BMILMS!$D$23*AM676^3+BMILMS!$E$23*AM676^2+BMILMS!$F$23*AM676+BMILMS!$G$23,IF(AM676&lt;90,BMILMS!$D$24*AM676^3+BMILMS!$E$24*AM676^2+BMILMS!$F$24*AM676+BMILMS!$G$24,BMILMS!$D$25*AM676^3+BMILMS!$E$25*AM676^2+BMILMS!$F$25*AM676+BMILMS!$G$25))))),(IF(AM676&lt;2.5,BMILMS!$D$27*AM676^3+BMILMS!$E$27*AM676^2+BMILMS!$F$27*AM676+BMILMS!$G$27,IF(AM676&lt;9.5,BMILMS!$D$28*AM676^3+BMILMS!$E$28*AM676^2+BMILMS!$F$28*AM676+BMILMS!$G$28,IF(AM676&lt;26.75,BMILMS!$D$29*AM676^3+BMILMS!$E$29*AM676^2+BMILMS!$F$29*AM676+BMILMS!$G$29,IF(AM676&lt;90,BMILMS!$D$30*AM676^3+BMILMS!$E$30*AM676^2+BMILMS!$F$30*AM676+BMILMS!$G$30,IF(AM676&lt;150,BMILMS!$D$31*AM676^3+BMILMS!$E$31*AM676^2+BMILMS!$F$31*AM676+BMILMS!$G$31,BMILMS!$D$32*AM676^3+BMILMS!$E$32*AM676^2+BMILMS!$F$32*AM676+BMILMS!$G$32)))))))</f>
        <v>12.568967990000001</v>
      </c>
      <c r="AL676" s="4">
        <f>IF(D676="M",(IF(AM676&lt;90,BMILMS!$D$14*AM676^3+BMILMS!$E$14*AM676^2+BMILMS!$F$14*AM676+BMILMS!$G$14,BMILMS!$D$15*AM676^3+BMILMS!$E$15*AM676^2+BMILMS!$F$15*AM676+BMILMS!$G$15)),(IF(AM676&lt;90,BMILMS!$D$17*AM676^3+BMILMS!$E$17*AM676^2+BMILMS!$F$17*AM676+BMILMS!$G$17,BMILMS!$D$18*AM676^3+BMILMS!$E$18*AM676^2+BMILMS!$F$18*AM676+BMILMS!$G$18)))</f>
        <v>8.8969350000000003E-2</v>
      </c>
      <c r="AM676" s="4">
        <f t="shared" si="230"/>
        <v>0</v>
      </c>
      <c r="AO676" s="56">
        <f>IF(D676="M",WeightSDS!P$5*$AM676^7+WeightSDS!Q$5*$AM676^6+WeightSDS!R$5*$AM676^5+WeightSDS!S$5*$AM676^4+WeightSDS!T$5*$AM676^3+WeightSDS!U$5*$AM676^2+WeightSDS!V$5*$AM676+WeightSDS!W$5,IF($AM676&lt;186,WeightSDS!P$8*$AM676^7+WeightSDS!Q$8*$AM676^6+WeightSDS!R$8*$AM676^5+WeightSDS!S$8*$AM676^4+WeightSDS!T$8*$AM676^3+WeightSDS!U$8*$AM676^2+WeightSDS!V$8*$AM676+WeightSDS!W$8,WeightSDS!$U$9+WeightSDS!$V$9*($AM676-WeightSDS!$W$9)))</f>
        <v>0.75407122999999998</v>
      </c>
      <c r="AP676" s="4">
        <f>IF(D676="M",IF($AM676&lt;45,WeightSDS!M$23*$AM676^10+WeightSDS!N$23*$AM676^9+WeightSDS!O$23*$AM676^8+WeightSDS!P$23*$AM676^7+WeightSDS!Q$23*$AM676^6+WeightSDS!R$23*$AM676^5+WeightSDS!S$23*$AM676^4+WeightSDS!T$23*$AM676^3+WeightSDS!U$23*$AM676^2+WeightSDS!V$23*$AM676+WeightSDS!W$23,IF($AM676&lt;153,WeightSDS!M$25*$AM676^10+WeightSDS!N$25*$AM676^9+WeightSDS!O$25*$AM676^8+WeightSDS!P$25*$AM676^7+WeightSDS!Q$25*$AM676^6+WeightSDS!R$25*$AM676^5+WeightSDS!S$25*$AM676^4+WeightSDS!T$25*$AM676^3+WeightSDS!U$25*$AM676^2+WeightSDS!V$25*$AM676+WeightSDS!W$25,WeightSDS!M$27+WeightSDS!N$27/(1+EXP(WeightSDS!O$27+WeightSDS!P$27*$AM676)))),IF($AM676&lt;43.8,WeightSDS!M$29*$AM676^10+WeightSDS!N$29*$AM676^9+WeightSDS!O$29*$AM676^8+WeightSDS!P$29*$AM676^7+WeightSDS!Q$29*$AM676^6+WeightSDS!R$29*$AM676^5+WeightSDS!S$29*$AM676^4+WeightSDS!T$29*$AM676^3+WeightSDS!U$29*$AM676^2+WeightSDS!V$29*$AM676+WeightSDS!W$29-0.010431*(1-$AM676/210),IF($AM676&lt;123,WeightSDS!M$30*$AM676^10+WeightSDS!N$30*$AM676^9+WeightSDS!O$30*$AM676^8+WeightSDS!P$30*$AM676^7+WeightSDS!Q$30*$AM676^6+WeightSDS!R$30*$AM676^5+WeightSDS!S$30*$AM676^4+WeightSDS!T$30*$AM676^3+WeightSDS!U$30*$AM676^2+WeightSDS!V$30*$AM676+WeightSDS!W$30-0.010431*(1-1/$AM676),WeightSDS!M$32+WeightSDS!N$32/(1+EXP(WeightSDS!O$32+WeightSDS!P$32*$AM676))-0.010431*(1-$AM676/210))))</f>
        <v>2.9500001032655536</v>
      </c>
      <c r="AQ676" s="4">
        <f>IF(D676="M",IF($AM676&lt;162,WeightSDS!P$12*$AM676^7+WeightSDS!Q$12*$AM676^6+WeightSDS!R$12*$AM676^5+WeightSDS!S$12*$AM676^4+WeightSDS!T$12*$AM676^3+WeightSDS!U$12*$AM676^2+WeightSDS!V$12*$AM676+WeightSDS!W$12,WeightSDS!P$14*$AM676^7+WeightSDS!Q$14*$AM676^6+WeightSDS!R$14*$AM676^5+WeightSDS!S$14*$AM676^4+WeightSDS!T$14*$AM676^3+WeightSDS!U$14*$AM676^2+WeightSDS!V$14*$AM676+WeightSDS!W$14),IF($AM676&lt;156,WeightSDS!O$17*$AM676^8+WeightSDS!P$17*$AM676^7+WeightSDS!Q$17*$AM676^6+WeightSDS!R$17*$AM676^5+WeightSDS!S$17*$AM676^4+WeightSDS!T$17*$AM676^3+WeightSDS!U$17*$AM676^2+WeightSDS!V$17*$AM676+WeightSDS!W$17,IF($AM676&lt;186,WeightSDS!$U$18+(WeightSDS!$V$18-WeightSDS!$U$18)/24*($AM676-186)+WeightSDS!$W$18*(-$AM676+186)^2-0.005,WeightSDS!$U$18+(WeightSDS!$V$18-WeightSDS!$U$18)/24*($AM676-186)-0.005)))</f>
        <v>0.14604529399999999</v>
      </c>
      <c r="AT676" s="4">
        <f t="shared" si="217"/>
        <v>0.56299999999999994</v>
      </c>
      <c r="AU676" s="4">
        <f t="shared" si="218"/>
        <v>69</v>
      </c>
      <c r="AV676" s="4">
        <f t="shared" si="219"/>
        <v>0.51</v>
      </c>
    </row>
    <row r="677" spans="1:48" x14ac:dyDescent="0.15">
      <c r="A677" s="4"/>
      <c r="B677" s="21"/>
      <c r="C677" s="21"/>
      <c r="D677" s="21"/>
      <c r="E677" s="22"/>
      <c r="F677" s="22"/>
      <c r="G677" s="23"/>
      <c r="H677" s="23"/>
      <c r="I677" s="181"/>
      <c r="J677" s="8" t="str">
        <f t="shared" si="211"/>
        <v/>
      </c>
      <c r="K677" s="2" t="str">
        <f t="shared" si="220"/>
        <v/>
      </c>
      <c r="L677" s="2" t="str">
        <f t="shared" si="212"/>
        <v/>
      </c>
      <c r="M677" s="2" t="str">
        <f t="shared" si="221"/>
        <v/>
      </c>
      <c r="N677" s="2" t="str">
        <f t="shared" si="229"/>
        <v/>
      </c>
      <c r="O677" s="2" t="str">
        <f t="shared" si="222"/>
        <v/>
      </c>
      <c r="P677" s="8" t="str">
        <f t="shared" si="223"/>
        <v/>
      </c>
      <c r="Q677" s="8" t="str">
        <f t="shared" si="224"/>
        <v/>
      </c>
      <c r="R677" s="111" t="str">
        <f t="shared" si="225"/>
        <v/>
      </c>
      <c r="S677" s="44" t="str">
        <f t="shared" si="226"/>
        <v/>
      </c>
      <c r="T677" s="37" t="str">
        <f t="shared" si="227"/>
        <v/>
      </c>
      <c r="U677" s="44" t="str">
        <f t="shared" si="228"/>
        <v/>
      </c>
      <c r="V677" s="26"/>
      <c r="W677" s="26"/>
      <c r="X677" s="26"/>
      <c r="Y677" s="26"/>
      <c r="Z677" s="24"/>
      <c r="AA677" s="169">
        <f t="shared" si="213"/>
        <v>0</v>
      </c>
      <c r="AB677" s="4">
        <f t="shared" si="214"/>
        <v>0</v>
      </c>
      <c r="AC677" s="170">
        <f t="shared" si="231"/>
        <v>0</v>
      </c>
      <c r="AD677" s="58"/>
      <c r="AE677" s="58"/>
      <c r="AF677" s="58"/>
      <c r="AG677" s="59">
        <f t="shared" si="215"/>
        <v>9.0359999999999996</v>
      </c>
      <c r="AH677" s="59">
        <f t="shared" si="216"/>
        <v>-184.49199999999999</v>
      </c>
      <c r="AJ677" s="4">
        <f>IF(D677="M",IF(AM677&lt;78,BMILMS!$D$5*AM677^3+BMILMS!$E$5*AM677^2+BMILMS!$F$5*AM677+BMILMS!$G$5,IF(AM677&lt;150,BMILMS!$D$6*AM677^3+BMILMS!$E$6*AM677^2+BMILMS!$F$6*AM677+BMILMS!$G$6,BMILMS!$D$7*AM677^3+BMILMS!$E$7*AM677^2+BMILMS!$F$7*AM677+BMILMS!$G$7)),IF(AM677&lt;69,BMILMS!$D$9*AM677^3+BMILMS!$E$9*AM677^2+BMILMS!$F$9*AM677+BMILMS!$G$9,IF(AM677&lt;150,BMILMS!$D$10*AM677^3+BMILMS!$E$10*AM677^2+BMILMS!$F$10*AM677+BMILMS!$G$10,BMILMS!$D$11*AM677^3+BMILMS!$E$11*AM677^2+BMILMS!$F$11*AM677+BMILMS!$G$11)))</f>
        <v>0.79584630099999998</v>
      </c>
      <c r="AK677" s="4">
        <f>IF(D677="M",(IF(AM677&lt;2.5,BMILMS!$D$21*AM677^3+BMILMS!$E$21*AM677^2+BMILMS!$F$21*AM677+BMILMS!$G$21,IF(AM677&lt;9.5,BMILMS!$D$22*AM677^3+BMILMS!$E$22*AM677^2+BMILMS!$F$22*AM677+BMILMS!$G$22,IF(AM677&lt;26.75,BMILMS!$D$23*AM677^3+BMILMS!$E$23*AM677^2+BMILMS!$F$23*AM677+BMILMS!$G$23,IF(AM677&lt;90,BMILMS!$D$24*AM677^3+BMILMS!$E$24*AM677^2+BMILMS!$F$24*AM677+BMILMS!$G$24,BMILMS!$D$25*AM677^3+BMILMS!$E$25*AM677^2+BMILMS!$F$25*AM677+BMILMS!$G$25))))),(IF(AM677&lt;2.5,BMILMS!$D$27*AM677^3+BMILMS!$E$27*AM677^2+BMILMS!$F$27*AM677+BMILMS!$G$27,IF(AM677&lt;9.5,BMILMS!$D$28*AM677^3+BMILMS!$E$28*AM677^2+BMILMS!$F$28*AM677+BMILMS!$G$28,IF(AM677&lt;26.75,BMILMS!$D$29*AM677^3+BMILMS!$E$29*AM677^2+BMILMS!$F$29*AM677+BMILMS!$G$29,IF(AM677&lt;90,BMILMS!$D$30*AM677^3+BMILMS!$E$30*AM677^2+BMILMS!$F$30*AM677+BMILMS!$G$30,IF(AM677&lt;150,BMILMS!$D$31*AM677^3+BMILMS!$E$31*AM677^2+BMILMS!$F$31*AM677+BMILMS!$G$31,BMILMS!$D$32*AM677^3+BMILMS!$E$32*AM677^2+BMILMS!$F$32*AM677+BMILMS!$G$32)))))))</f>
        <v>12.568967990000001</v>
      </c>
      <c r="AL677" s="4">
        <f>IF(D677="M",(IF(AM677&lt;90,BMILMS!$D$14*AM677^3+BMILMS!$E$14*AM677^2+BMILMS!$F$14*AM677+BMILMS!$G$14,BMILMS!$D$15*AM677^3+BMILMS!$E$15*AM677^2+BMILMS!$F$15*AM677+BMILMS!$G$15)),(IF(AM677&lt;90,BMILMS!$D$17*AM677^3+BMILMS!$E$17*AM677^2+BMILMS!$F$17*AM677+BMILMS!$G$17,BMILMS!$D$18*AM677^3+BMILMS!$E$18*AM677^2+BMILMS!$F$18*AM677+BMILMS!$G$18)))</f>
        <v>8.8969350000000003E-2</v>
      </c>
      <c r="AM677" s="4">
        <f t="shared" si="230"/>
        <v>0</v>
      </c>
      <c r="AO677" s="56">
        <f>IF(D677="M",WeightSDS!P$5*$AM677^7+WeightSDS!Q$5*$AM677^6+WeightSDS!R$5*$AM677^5+WeightSDS!S$5*$AM677^4+WeightSDS!T$5*$AM677^3+WeightSDS!U$5*$AM677^2+WeightSDS!V$5*$AM677+WeightSDS!W$5,IF($AM677&lt;186,WeightSDS!P$8*$AM677^7+WeightSDS!Q$8*$AM677^6+WeightSDS!R$8*$AM677^5+WeightSDS!S$8*$AM677^4+WeightSDS!T$8*$AM677^3+WeightSDS!U$8*$AM677^2+WeightSDS!V$8*$AM677+WeightSDS!W$8,WeightSDS!$U$9+WeightSDS!$V$9*($AM677-WeightSDS!$W$9)))</f>
        <v>0.75407122999999998</v>
      </c>
      <c r="AP677" s="4">
        <f>IF(D677="M",IF($AM677&lt;45,WeightSDS!M$23*$AM677^10+WeightSDS!N$23*$AM677^9+WeightSDS!O$23*$AM677^8+WeightSDS!P$23*$AM677^7+WeightSDS!Q$23*$AM677^6+WeightSDS!R$23*$AM677^5+WeightSDS!S$23*$AM677^4+WeightSDS!T$23*$AM677^3+WeightSDS!U$23*$AM677^2+WeightSDS!V$23*$AM677+WeightSDS!W$23,IF($AM677&lt;153,WeightSDS!M$25*$AM677^10+WeightSDS!N$25*$AM677^9+WeightSDS!O$25*$AM677^8+WeightSDS!P$25*$AM677^7+WeightSDS!Q$25*$AM677^6+WeightSDS!R$25*$AM677^5+WeightSDS!S$25*$AM677^4+WeightSDS!T$25*$AM677^3+WeightSDS!U$25*$AM677^2+WeightSDS!V$25*$AM677+WeightSDS!W$25,WeightSDS!M$27+WeightSDS!N$27/(1+EXP(WeightSDS!O$27+WeightSDS!P$27*$AM677)))),IF($AM677&lt;43.8,WeightSDS!M$29*$AM677^10+WeightSDS!N$29*$AM677^9+WeightSDS!O$29*$AM677^8+WeightSDS!P$29*$AM677^7+WeightSDS!Q$29*$AM677^6+WeightSDS!R$29*$AM677^5+WeightSDS!S$29*$AM677^4+WeightSDS!T$29*$AM677^3+WeightSDS!U$29*$AM677^2+WeightSDS!V$29*$AM677+WeightSDS!W$29-0.010431*(1-$AM677/210),IF($AM677&lt;123,WeightSDS!M$30*$AM677^10+WeightSDS!N$30*$AM677^9+WeightSDS!O$30*$AM677^8+WeightSDS!P$30*$AM677^7+WeightSDS!Q$30*$AM677^6+WeightSDS!R$30*$AM677^5+WeightSDS!S$30*$AM677^4+WeightSDS!T$30*$AM677^3+WeightSDS!U$30*$AM677^2+WeightSDS!V$30*$AM677+WeightSDS!W$30-0.010431*(1-1/$AM677),WeightSDS!M$32+WeightSDS!N$32/(1+EXP(WeightSDS!O$32+WeightSDS!P$32*$AM677))-0.010431*(1-$AM677/210))))</f>
        <v>2.9500001032655536</v>
      </c>
      <c r="AQ677" s="4">
        <f>IF(D677="M",IF($AM677&lt;162,WeightSDS!P$12*$AM677^7+WeightSDS!Q$12*$AM677^6+WeightSDS!R$12*$AM677^5+WeightSDS!S$12*$AM677^4+WeightSDS!T$12*$AM677^3+WeightSDS!U$12*$AM677^2+WeightSDS!V$12*$AM677+WeightSDS!W$12,WeightSDS!P$14*$AM677^7+WeightSDS!Q$14*$AM677^6+WeightSDS!R$14*$AM677^5+WeightSDS!S$14*$AM677^4+WeightSDS!T$14*$AM677^3+WeightSDS!U$14*$AM677^2+WeightSDS!V$14*$AM677+WeightSDS!W$14),IF($AM677&lt;156,WeightSDS!O$17*$AM677^8+WeightSDS!P$17*$AM677^7+WeightSDS!Q$17*$AM677^6+WeightSDS!R$17*$AM677^5+WeightSDS!S$17*$AM677^4+WeightSDS!T$17*$AM677^3+WeightSDS!U$17*$AM677^2+WeightSDS!V$17*$AM677+WeightSDS!W$17,IF($AM677&lt;186,WeightSDS!$U$18+(WeightSDS!$V$18-WeightSDS!$U$18)/24*($AM677-186)+WeightSDS!$W$18*(-$AM677+186)^2-0.005,WeightSDS!$U$18+(WeightSDS!$V$18-WeightSDS!$U$18)/24*($AM677-186)-0.005)))</f>
        <v>0.14604529399999999</v>
      </c>
      <c r="AT677" s="4">
        <f t="shared" si="217"/>
        <v>0.56299999999999994</v>
      </c>
      <c r="AU677" s="4">
        <f t="shared" si="218"/>
        <v>69</v>
      </c>
      <c r="AV677" s="4">
        <f t="shared" si="219"/>
        <v>0.51</v>
      </c>
    </row>
    <row r="678" spans="1:48" x14ac:dyDescent="0.15">
      <c r="A678" s="4"/>
      <c r="B678" s="21"/>
      <c r="C678" s="21"/>
      <c r="D678" s="21"/>
      <c r="E678" s="22"/>
      <c r="F678" s="22"/>
      <c r="G678" s="23"/>
      <c r="H678" s="23"/>
      <c r="I678" s="181"/>
      <c r="J678" s="8" t="str">
        <f t="shared" si="211"/>
        <v/>
      </c>
      <c r="K678" s="2" t="str">
        <f t="shared" si="220"/>
        <v/>
      </c>
      <c r="L678" s="2" t="str">
        <f t="shared" si="212"/>
        <v/>
      </c>
      <c r="M678" s="2" t="str">
        <f t="shared" si="221"/>
        <v/>
      </c>
      <c r="N678" s="2" t="str">
        <f t="shared" si="229"/>
        <v/>
      </c>
      <c r="O678" s="2" t="str">
        <f t="shared" si="222"/>
        <v/>
      </c>
      <c r="P678" s="8" t="str">
        <f t="shared" si="223"/>
        <v/>
      </c>
      <c r="Q678" s="8" t="str">
        <f t="shared" si="224"/>
        <v/>
      </c>
      <c r="R678" s="111" t="str">
        <f t="shared" si="225"/>
        <v/>
      </c>
      <c r="S678" s="44" t="str">
        <f t="shared" si="226"/>
        <v/>
      </c>
      <c r="T678" s="37" t="str">
        <f t="shared" si="227"/>
        <v/>
      </c>
      <c r="U678" s="44" t="str">
        <f t="shared" si="228"/>
        <v/>
      </c>
      <c r="V678" s="26"/>
      <c r="W678" s="26"/>
      <c r="X678" s="26"/>
      <c r="Y678" s="26"/>
      <c r="Z678" s="24"/>
      <c r="AA678" s="169">
        <f t="shared" si="213"/>
        <v>0</v>
      </c>
      <c r="AB678" s="4">
        <f t="shared" si="214"/>
        <v>0</v>
      </c>
      <c r="AC678" s="170">
        <f t="shared" si="231"/>
        <v>0</v>
      </c>
      <c r="AD678" s="58"/>
      <c r="AE678" s="58"/>
      <c r="AF678" s="58"/>
      <c r="AG678" s="59">
        <f t="shared" si="215"/>
        <v>9.0359999999999996</v>
      </c>
      <c r="AH678" s="59">
        <f t="shared" si="216"/>
        <v>-184.49199999999999</v>
      </c>
      <c r="AJ678" s="4">
        <f>IF(D678="M",IF(AM678&lt;78,BMILMS!$D$5*AM678^3+BMILMS!$E$5*AM678^2+BMILMS!$F$5*AM678+BMILMS!$G$5,IF(AM678&lt;150,BMILMS!$D$6*AM678^3+BMILMS!$E$6*AM678^2+BMILMS!$F$6*AM678+BMILMS!$G$6,BMILMS!$D$7*AM678^3+BMILMS!$E$7*AM678^2+BMILMS!$F$7*AM678+BMILMS!$G$7)),IF(AM678&lt;69,BMILMS!$D$9*AM678^3+BMILMS!$E$9*AM678^2+BMILMS!$F$9*AM678+BMILMS!$G$9,IF(AM678&lt;150,BMILMS!$D$10*AM678^3+BMILMS!$E$10*AM678^2+BMILMS!$F$10*AM678+BMILMS!$G$10,BMILMS!$D$11*AM678^3+BMILMS!$E$11*AM678^2+BMILMS!$F$11*AM678+BMILMS!$G$11)))</f>
        <v>0.79584630099999998</v>
      </c>
      <c r="AK678" s="4">
        <f>IF(D678="M",(IF(AM678&lt;2.5,BMILMS!$D$21*AM678^3+BMILMS!$E$21*AM678^2+BMILMS!$F$21*AM678+BMILMS!$G$21,IF(AM678&lt;9.5,BMILMS!$D$22*AM678^3+BMILMS!$E$22*AM678^2+BMILMS!$F$22*AM678+BMILMS!$G$22,IF(AM678&lt;26.75,BMILMS!$D$23*AM678^3+BMILMS!$E$23*AM678^2+BMILMS!$F$23*AM678+BMILMS!$G$23,IF(AM678&lt;90,BMILMS!$D$24*AM678^3+BMILMS!$E$24*AM678^2+BMILMS!$F$24*AM678+BMILMS!$G$24,BMILMS!$D$25*AM678^3+BMILMS!$E$25*AM678^2+BMILMS!$F$25*AM678+BMILMS!$G$25))))),(IF(AM678&lt;2.5,BMILMS!$D$27*AM678^3+BMILMS!$E$27*AM678^2+BMILMS!$F$27*AM678+BMILMS!$G$27,IF(AM678&lt;9.5,BMILMS!$D$28*AM678^3+BMILMS!$E$28*AM678^2+BMILMS!$F$28*AM678+BMILMS!$G$28,IF(AM678&lt;26.75,BMILMS!$D$29*AM678^3+BMILMS!$E$29*AM678^2+BMILMS!$F$29*AM678+BMILMS!$G$29,IF(AM678&lt;90,BMILMS!$D$30*AM678^3+BMILMS!$E$30*AM678^2+BMILMS!$F$30*AM678+BMILMS!$G$30,IF(AM678&lt;150,BMILMS!$D$31*AM678^3+BMILMS!$E$31*AM678^2+BMILMS!$F$31*AM678+BMILMS!$G$31,BMILMS!$D$32*AM678^3+BMILMS!$E$32*AM678^2+BMILMS!$F$32*AM678+BMILMS!$G$32)))))))</f>
        <v>12.568967990000001</v>
      </c>
      <c r="AL678" s="4">
        <f>IF(D678="M",(IF(AM678&lt;90,BMILMS!$D$14*AM678^3+BMILMS!$E$14*AM678^2+BMILMS!$F$14*AM678+BMILMS!$G$14,BMILMS!$D$15*AM678^3+BMILMS!$E$15*AM678^2+BMILMS!$F$15*AM678+BMILMS!$G$15)),(IF(AM678&lt;90,BMILMS!$D$17*AM678^3+BMILMS!$E$17*AM678^2+BMILMS!$F$17*AM678+BMILMS!$G$17,BMILMS!$D$18*AM678^3+BMILMS!$E$18*AM678^2+BMILMS!$F$18*AM678+BMILMS!$G$18)))</f>
        <v>8.8969350000000003E-2</v>
      </c>
      <c r="AM678" s="4">
        <f t="shared" si="230"/>
        <v>0</v>
      </c>
      <c r="AO678" s="56">
        <f>IF(D678="M",WeightSDS!P$5*$AM678^7+WeightSDS!Q$5*$AM678^6+WeightSDS!R$5*$AM678^5+WeightSDS!S$5*$AM678^4+WeightSDS!T$5*$AM678^3+WeightSDS!U$5*$AM678^2+WeightSDS!V$5*$AM678+WeightSDS!W$5,IF($AM678&lt;186,WeightSDS!P$8*$AM678^7+WeightSDS!Q$8*$AM678^6+WeightSDS!R$8*$AM678^5+WeightSDS!S$8*$AM678^4+WeightSDS!T$8*$AM678^3+WeightSDS!U$8*$AM678^2+WeightSDS!V$8*$AM678+WeightSDS!W$8,WeightSDS!$U$9+WeightSDS!$V$9*($AM678-WeightSDS!$W$9)))</f>
        <v>0.75407122999999998</v>
      </c>
      <c r="AP678" s="4">
        <f>IF(D678="M",IF($AM678&lt;45,WeightSDS!M$23*$AM678^10+WeightSDS!N$23*$AM678^9+WeightSDS!O$23*$AM678^8+WeightSDS!P$23*$AM678^7+WeightSDS!Q$23*$AM678^6+WeightSDS!R$23*$AM678^5+WeightSDS!S$23*$AM678^4+WeightSDS!T$23*$AM678^3+WeightSDS!U$23*$AM678^2+WeightSDS!V$23*$AM678+WeightSDS!W$23,IF($AM678&lt;153,WeightSDS!M$25*$AM678^10+WeightSDS!N$25*$AM678^9+WeightSDS!O$25*$AM678^8+WeightSDS!P$25*$AM678^7+WeightSDS!Q$25*$AM678^6+WeightSDS!R$25*$AM678^5+WeightSDS!S$25*$AM678^4+WeightSDS!T$25*$AM678^3+WeightSDS!U$25*$AM678^2+WeightSDS!V$25*$AM678+WeightSDS!W$25,WeightSDS!M$27+WeightSDS!N$27/(1+EXP(WeightSDS!O$27+WeightSDS!P$27*$AM678)))),IF($AM678&lt;43.8,WeightSDS!M$29*$AM678^10+WeightSDS!N$29*$AM678^9+WeightSDS!O$29*$AM678^8+WeightSDS!P$29*$AM678^7+WeightSDS!Q$29*$AM678^6+WeightSDS!R$29*$AM678^5+WeightSDS!S$29*$AM678^4+WeightSDS!T$29*$AM678^3+WeightSDS!U$29*$AM678^2+WeightSDS!V$29*$AM678+WeightSDS!W$29-0.010431*(1-$AM678/210),IF($AM678&lt;123,WeightSDS!M$30*$AM678^10+WeightSDS!N$30*$AM678^9+WeightSDS!O$30*$AM678^8+WeightSDS!P$30*$AM678^7+WeightSDS!Q$30*$AM678^6+WeightSDS!R$30*$AM678^5+WeightSDS!S$30*$AM678^4+WeightSDS!T$30*$AM678^3+WeightSDS!U$30*$AM678^2+WeightSDS!V$30*$AM678+WeightSDS!W$30-0.010431*(1-1/$AM678),WeightSDS!M$32+WeightSDS!N$32/(1+EXP(WeightSDS!O$32+WeightSDS!P$32*$AM678))-0.010431*(1-$AM678/210))))</f>
        <v>2.9500001032655536</v>
      </c>
      <c r="AQ678" s="4">
        <f>IF(D678="M",IF($AM678&lt;162,WeightSDS!P$12*$AM678^7+WeightSDS!Q$12*$AM678^6+WeightSDS!R$12*$AM678^5+WeightSDS!S$12*$AM678^4+WeightSDS!T$12*$AM678^3+WeightSDS!U$12*$AM678^2+WeightSDS!V$12*$AM678+WeightSDS!W$12,WeightSDS!P$14*$AM678^7+WeightSDS!Q$14*$AM678^6+WeightSDS!R$14*$AM678^5+WeightSDS!S$14*$AM678^4+WeightSDS!T$14*$AM678^3+WeightSDS!U$14*$AM678^2+WeightSDS!V$14*$AM678+WeightSDS!W$14),IF($AM678&lt;156,WeightSDS!O$17*$AM678^8+WeightSDS!P$17*$AM678^7+WeightSDS!Q$17*$AM678^6+WeightSDS!R$17*$AM678^5+WeightSDS!S$17*$AM678^4+WeightSDS!T$17*$AM678^3+WeightSDS!U$17*$AM678^2+WeightSDS!V$17*$AM678+WeightSDS!W$17,IF($AM678&lt;186,WeightSDS!$U$18+(WeightSDS!$V$18-WeightSDS!$U$18)/24*($AM678-186)+WeightSDS!$W$18*(-$AM678+186)^2-0.005,WeightSDS!$U$18+(WeightSDS!$V$18-WeightSDS!$U$18)/24*($AM678-186)-0.005)))</f>
        <v>0.14604529399999999</v>
      </c>
      <c r="AT678" s="4">
        <f t="shared" si="217"/>
        <v>0.56299999999999994</v>
      </c>
      <c r="AU678" s="4">
        <f t="shared" si="218"/>
        <v>69</v>
      </c>
      <c r="AV678" s="4">
        <f t="shared" si="219"/>
        <v>0.51</v>
      </c>
    </row>
    <row r="679" spans="1:48" x14ac:dyDescent="0.15">
      <c r="A679" s="4"/>
      <c r="B679" s="21"/>
      <c r="C679" s="21"/>
      <c r="D679" s="21"/>
      <c r="E679" s="22"/>
      <c r="F679" s="22"/>
      <c r="G679" s="23"/>
      <c r="H679" s="23"/>
      <c r="I679" s="181"/>
      <c r="J679" s="8" t="str">
        <f t="shared" si="211"/>
        <v/>
      </c>
      <c r="K679" s="2" t="str">
        <f t="shared" si="220"/>
        <v/>
      </c>
      <c r="L679" s="2" t="str">
        <f t="shared" si="212"/>
        <v/>
      </c>
      <c r="M679" s="2" t="str">
        <f t="shared" si="221"/>
        <v/>
      </c>
      <c r="N679" s="2" t="str">
        <f t="shared" si="229"/>
        <v/>
      </c>
      <c r="O679" s="2" t="str">
        <f t="shared" si="222"/>
        <v/>
      </c>
      <c r="P679" s="8" t="str">
        <f t="shared" si="223"/>
        <v/>
      </c>
      <c r="Q679" s="8" t="str">
        <f t="shared" si="224"/>
        <v/>
      </c>
      <c r="R679" s="111" t="str">
        <f t="shared" si="225"/>
        <v/>
      </c>
      <c r="S679" s="44" t="str">
        <f t="shared" si="226"/>
        <v/>
      </c>
      <c r="T679" s="37" t="str">
        <f t="shared" si="227"/>
        <v/>
      </c>
      <c r="U679" s="44" t="str">
        <f t="shared" si="228"/>
        <v/>
      </c>
      <c r="V679" s="26"/>
      <c r="W679" s="26"/>
      <c r="X679" s="26"/>
      <c r="Y679" s="26"/>
      <c r="Z679" s="24"/>
      <c r="AA679" s="169">
        <f t="shared" si="213"/>
        <v>0</v>
      </c>
      <c r="AB679" s="4">
        <f t="shared" si="214"/>
        <v>0</v>
      </c>
      <c r="AC679" s="170">
        <f t="shared" si="231"/>
        <v>0</v>
      </c>
      <c r="AD679" s="58"/>
      <c r="AE679" s="58"/>
      <c r="AF679" s="58"/>
      <c r="AG679" s="59">
        <f t="shared" si="215"/>
        <v>9.0359999999999996</v>
      </c>
      <c r="AH679" s="59">
        <f t="shared" si="216"/>
        <v>-184.49199999999999</v>
      </c>
      <c r="AJ679" s="4">
        <f>IF(D679="M",IF(AM679&lt;78,BMILMS!$D$5*AM679^3+BMILMS!$E$5*AM679^2+BMILMS!$F$5*AM679+BMILMS!$G$5,IF(AM679&lt;150,BMILMS!$D$6*AM679^3+BMILMS!$E$6*AM679^2+BMILMS!$F$6*AM679+BMILMS!$G$6,BMILMS!$D$7*AM679^3+BMILMS!$E$7*AM679^2+BMILMS!$F$7*AM679+BMILMS!$G$7)),IF(AM679&lt;69,BMILMS!$D$9*AM679^3+BMILMS!$E$9*AM679^2+BMILMS!$F$9*AM679+BMILMS!$G$9,IF(AM679&lt;150,BMILMS!$D$10*AM679^3+BMILMS!$E$10*AM679^2+BMILMS!$F$10*AM679+BMILMS!$G$10,BMILMS!$D$11*AM679^3+BMILMS!$E$11*AM679^2+BMILMS!$F$11*AM679+BMILMS!$G$11)))</f>
        <v>0.79584630099999998</v>
      </c>
      <c r="AK679" s="4">
        <f>IF(D679="M",(IF(AM679&lt;2.5,BMILMS!$D$21*AM679^3+BMILMS!$E$21*AM679^2+BMILMS!$F$21*AM679+BMILMS!$G$21,IF(AM679&lt;9.5,BMILMS!$D$22*AM679^3+BMILMS!$E$22*AM679^2+BMILMS!$F$22*AM679+BMILMS!$G$22,IF(AM679&lt;26.75,BMILMS!$D$23*AM679^3+BMILMS!$E$23*AM679^2+BMILMS!$F$23*AM679+BMILMS!$G$23,IF(AM679&lt;90,BMILMS!$D$24*AM679^3+BMILMS!$E$24*AM679^2+BMILMS!$F$24*AM679+BMILMS!$G$24,BMILMS!$D$25*AM679^3+BMILMS!$E$25*AM679^2+BMILMS!$F$25*AM679+BMILMS!$G$25))))),(IF(AM679&lt;2.5,BMILMS!$D$27*AM679^3+BMILMS!$E$27*AM679^2+BMILMS!$F$27*AM679+BMILMS!$G$27,IF(AM679&lt;9.5,BMILMS!$D$28*AM679^3+BMILMS!$E$28*AM679^2+BMILMS!$F$28*AM679+BMILMS!$G$28,IF(AM679&lt;26.75,BMILMS!$D$29*AM679^3+BMILMS!$E$29*AM679^2+BMILMS!$F$29*AM679+BMILMS!$G$29,IF(AM679&lt;90,BMILMS!$D$30*AM679^3+BMILMS!$E$30*AM679^2+BMILMS!$F$30*AM679+BMILMS!$G$30,IF(AM679&lt;150,BMILMS!$D$31*AM679^3+BMILMS!$E$31*AM679^2+BMILMS!$F$31*AM679+BMILMS!$G$31,BMILMS!$D$32*AM679^3+BMILMS!$E$32*AM679^2+BMILMS!$F$32*AM679+BMILMS!$G$32)))))))</f>
        <v>12.568967990000001</v>
      </c>
      <c r="AL679" s="4">
        <f>IF(D679="M",(IF(AM679&lt;90,BMILMS!$D$14*AM679^3+BMILMS!$E$14*AM679^2+BMILMS!$F$14*AM679+BMILMS!$G$14,BMILMS!$D$15*AM679^3+BMILMS!$E$15*AM679^2+BMILMS!$F$15*AM679+BMILMS!$G$15)),(IF(AM679&lt;90,BMILMS!$D$17*AM679^3+BMILMS!$E$17*AM679^2+BMILMS!$F$17*AM679+BMILMS!$G$17,BMILMS!$D$18*AM679^3+BMILMS!$E$18*AM679^2+BMILMS!$F$18*AM679+BMILMS!$G$18)))</f>
        <v>8.8969350000000003E-2</v>
      </c>
      <c r="AM679" s="4">
        <f t="shared" si="230"/>
        <v>0</v>
      </c>
      <c r="AO679" s="56">
        <f>IF(D679="M",WeightSDS!P$5*$AM679^7+WeightSDS!Q$5*$AM679^6+WeightSDS!R$5*$AM679^5+WeightSDS!S$5*$AM679^4+WeightSDS!T$5*$AM679^3+WeightSDS!U$5*$AM679^2+WeightSDS!V$5*$AM679+WeightSDS!W$5,IF($AM679&lt;186,WeightSDS!P$8*$AM679^7+WeightSDS!Q$8*$AM679^6+WeightSDS!R$8*$AM679^5+WeightSDS!S$8*$AM679^4+WeightSDS!T$8*$AM679^3+WeightSDS!U$8*$AM679^2+WeightSDS!V$8*$AM679+WeightSDS!W$8,WeightSDS!$U$9+WeightSDS!$V$9*($AM679-WeightSDS!$W$9)))</f>
        <v>0.75407122999999998</v>
      </c>
      <c r="AP679" s="4">
        <f>IF(D679="M",IF($AM679&lt;45,WeightSDS!M$23*$AM679^10+WeightSDS!N$23*$AM679^9+WeightSDS!O$23*$AM679^8+WeightSDS!P$23*$AM679^7+WeightSDS!Q$23*$AM679^6+WeightSDS!R$23*$AM679^5+WeightSDS!S$23*$AM679^4+WeightSDS!T$23*$AM679^3+WeightSDS!U$23*$AM679^2+WeightSDS!V$23*$AM679+WeightSDS!W$23,IF($AM679&lt;153,WeightSDS!M$25*$AM679^10+WeightSDS!N$25*$AM679^9+WeightSDS!O$25*$AM679^8+WeightSDS!P$25*$AM679^7+WeightSDS!Q$25*$AM679^6+WeightSDS!R$25*$AM679^5+WeightSDS!S$25*$AM679^4+WeightSDS!T$25*$AM679^3+WeightSDS!U$25*$AM679^2+WeightSDS!V$25*$AM679+WeightSDS!W$25,WeightSDS!M$27+WeightSDS!N$27/(1+EXP(WeightSDS!O$27+WeightSDS!P$27*$AM679)))),IF($AM679&lt;43.8,WeightSDS!M$29*$AM679^10+WeightSDS!N$29*$AM679^9+WeightSDS!O$29*$AM679^8+WeightSDS!P$29*$AM679^7+WeightSDS!Q$29*$AM679^6+WeightSDS!R$29*$AM679^5+WeightSDS!S$29*$AM679^4+WeightSDS!T$29*$AM679^3+WeightSDS!U$29*$AM679^2+WeightSDS!V$29*$AM679+WeightSDS!W$29-0.010431*(1-$AM679/210),IF($AM679&lt;123,WeightSDS!M$30*$AM679^10+WeightSDS!N$30*$AM679^9+WeightSDS!O$30*$AM679^8+WeightSDS!P$30*$AM679^7+WeightSDS!Q$30*$AM679^6+WeightSDS!R$30*$AM679^5+WeightSDS!S$30*$AM679^4+WeightSDS!T$30*$AM679^3+WeightSDS!U$30*$AM679^2+WeightSDS!V$30*$AM679+WeightSDS!W$30-0.010431*(1-1/$AM679),WeightSDS!M$32+WeightSDS!N$32/(1+EXP(WeightSDS!O$32+WeightSDS!P$32*$AM679))-0.010431*(1-$AM679/210))))</f>
        <v>2.9500001032655536</v>
      </c>
      <c r="AQ679" s="4">
        <f>IF(D679="M",IF($AM679&lt;162,WeightSDS!P$12*$AM679^7+WeightSDS!Q$12*$AM679^6+WeightSDS!R$12*$AM679^5+WeightSDS!S$12*$AM679^4+WeightSDS!T$12*$AM679^3+WeightSDS!U$12*$AM679^2+WeightSDS!V$12*$AM679+WeightSDS!W$12,WeightSDS!P$14*$AM679^7+WeightSDS!Q$14*$AM679^6+WeightSDS!R$14*$AM679^5+WeightSDS!S$14*$AM679^4+WeightSDS!T$14*$AM679^3+WeightSDS!U$14*$AM679^2+WeightSDS!V$14*$AM679+WeightSDS!W$14),IF($AM679&lt;156,WeightSDS!O$17*$AM679^8+WeightSDS!P$17*$AM679^7+WeightSDS!Q$17*$AM679^6+WeightSDS!R$17*$AM679^5+WeightSDS!S$17*$AM679^4+WeightSDS!T$17*$AM679^3+WeightSDS!U$17*$AM679^2+WeightSDS!V$17*$AM679+WeightSDS!W$17,IF($AM679&lt;186,WeightSDS!$U$18+(WeightSDS!$V$18-WeightSDS!$U$18)/24*($AM679-186)+WeightSDS!$W$18*(-$AM679+186)^2-0.005,WeightSDS!$U$18+(WeightSDS!$V$18-WeightSDS!$U$18)/24*($AM679-186)-0.005)))</f>
        <v>0.14604529399999999</v>
      </c>
      <c r="AT679" s="4">
        <f t="shared" si="217"/>
        <v>0.56299999999999994</v>
      </c>
      <c r="AU679" s="4">
        <f t="shared" si="218"/>
        <v>69</v>
      </c>
      <c r="AV679" s="4">
        <f t="shared" si="219"/>
        <v>0.51</v>
      </c>
    </row>
    <row r="680" spans="1:48" x14ac:dyDescent="0.15">
      <c r="A680" s="4"/>
      <c r="B680" s="21"/>
      <c r="C680" s="21"/>
      <c r="D680" s="21"/>
      <c r="E680" s="22"/>
      <c r="F680" s="22"/>
      <c r="G680" s="23"/>
      <c r="H680" s="23"/>
      <c r="I680" s="181"/>
      <c r="J680" s="8" t="str">
        <f t="shared" si="211"/>
        <v/>
      </c>
      <c r="K680" s="2" t="str">
        <f t="shared" si="220"/>
        <v/>
      </c>
      <c r="L680" s="2" t="str">
        <f t="shared" si="212"/>
        <v/>
      </c>
      <c r="M680" s="2" t="str">
        <f t="shared" si="221"/>
        <v/>
      </c>
      <c r="N680" s="2" t="str">
        <f t="shared" si="229"/>
        <v/>
      </c>
      <c r="O680" s="2" t="str">
        <f t="shared" si="222"/>
        <v/>
      </c>
      <c r="P680" s="8" t="str">
        <f t="shared" si="223"/>
        <v/>
      </c>
      <c r="Q680" s="8" t="str">
        <f t="shared" si="224"/>
        <v/>
      </c>
      <c r="R680" s="111" t="str">
        <f t="shared" si="225"/>
        <v/>
      </c>
      <c r="S680" s="44" t="str">
        <f t="shared" si="226"/>
        <v/>
      </c>
      <c r="T680" s="37" t="str">
        <f t="shared" si="227"/>
        <v/>
      </c>
      <c r="U680" s="44" t="str">
        <f t="shared" si="228"/>
        <v/>
      </c>
      <c r="V680" s="26"/>
      <c r="W680" s="26"/>
      <c r="X680" s="26"/>
      <c r="Y680" s="26"/>
      <c r="Z680" s="24"/>
      <c r="AA680" s="169">
        <f t="shared" si="213"/>
        <v>0</v>
      </c>
      <c r="AB680" s="4">
        <f t="shared" si="214"/>
        <v>0</v>
      </c>
      <c r="AC680" s="170">
        <f t="shared" si="231"/>
        <v>0</v>
      </c>
      <c r="AD680" s="58"/>
      <c r="AE680" s="58"/>
      <c r="AF680" s="58"/>
      <c r="AG680" s="59">
        <f t="shared" si="215"/>
        <v>9.0359999999999996</v>
      </c>
      <c r="AH680" s="59">
        <f t="shared" si="216"/>
        <v>-184.49199999999999</v>
      </c>
      <c r="AJ680" s="4">
        <f>IF(D680="M",IF(AM680&lt;78,BMILMS!$D$5*AM680^3+BMILMS!$E$5*AM680^2+BMILMS!$F$5*AM680+BMILMS!$G$5,IF(AM680&lt;150,BMILMS!$D$6*AM680^3+BMILMS!$E$6*AM680^2+BMILMS!$F$6*AM680+BMILMS!$G$6,BMILMS!$D$7*AM680^3+BMILMS!$E$7*AM680^2+BMILMS!$F$7*AM680+BMILMS!$G$7)),IF(AM680&lt;69,BMILMS!$D$9*AM680^3+BMILMS!$E$9*AM680^2+BMILMS!$F$9*AM680+BMILMS!$G$9,IF(AM680&lt;150,BMILMS!$D$10*AM680^3+BMILMS!$E$10*AM680^2+BMILMS!$F$10*AM680+BMILMS!$G$10,BMILMS!$D$11*AM680^3+BMILMS!$E$11*AM680^2+BMILMS!$F$11*AM680+BMILMS!$G$11)))</f>
        <v>0.79584630099999998</v>
      </c>
      <c r="AK680" s="4">
        <f>IF(D680="M",(IF(AM680&lt;2.5,BMILMS!$D$21*AM680^3+BMILMS!$E$21*AM680^2+BMILMS!$F$21*AM680+BMILMS!$G$21,IF(AM680&lt;9.5,BMILMS!$D$22*AM680^3+BMILMS!$E$22*AM680^2+BMILMS!$F$22*AM680+BMILMS!$G$22,IF(AM680&lt;26.75,BMILMS!$D$23*AM680^3+BMILMS!$E$23*AM680^2+BMILMS!$F$23*AM680+BMILMS!$G$23,IF(AM680&lt;90,BMILMS!$D$24*AM680^3+BMILMS!$E$24*AM680^2+BMILMS!$F$24*AM680+BMILMS!$G$24,BMILMS!$D$25*AM680^3+BMILMS!$E$25*AM680^2+BMILMS!$F$25*AM680+BMILMS!$G$25))))),(IF(AM680&lt;2.5,BMILMS!$D$27*AM680^3+BMILMS!$E$27*AM680^2+BMILMS!$F$27*AM680+BMILMS!$G$27,IF(AM680&lt;9.5,BMILMS!$D$28*AM680^3+BMILMS!$E$28*AM680^2+BMILMS!$F$28*AM680+BMILMS!$G$28,IF(AM680&lt;26.75,BMILMS!$D$29*AM680^3+BMILMS!$E$29*AM680^2+BMILMS!$F$29*AM680+BMILMS!$G$29,IF(AM680&lt;90,BMILMS!$D$30*AM680^3+BMILMS!$E$30*AM680^2+BMILMS!$F$30*AM680+BMILMS!$G$30,IF(AM680&lt;150,BMILMS!$D$31*AM680^3+BMILMS!$E$31*AM680^2+BMILMS!$F$31*AM680+BMILMS!$G$31,BMILMS!$D$32*AM680^3+BMILMS!$E$32*AM680^2+BMILMS!$F$32*AM680+BMILMS!$G$32)))))))</f>
        <v>12.568967990000001</v>
      </c>
      <c r="AL680" s="4">
        <f>IF(D680="M",(IF(AM680&lt;90,BMILMS!$D$14*AM680^3+BMILMS!$E$14*AM680^2+BMILMS!$F$14*AM680+BMILMS!$G$14,BMILMS!$D$15*AM680^3+BMILMS!$E$15*AM680^2+BMILMS!$F$15*AM680+BMILMS!$G$15)),(IF(AM680&lt;90,BMILMS!$D$17*AM680^3+BMILMS!$E$17*AM680^2+BMILMS!$F$17*AM680+BMILMS!$G$17,BMILMS!$D$18*AM680^3+BMILMS!$E$18*AM680^2+BMILMS!$F$18*AM680+BMILMS!$G$18)))</f>
        <v>8.8969350000000003E-2</v>
      </c>
      <c r="AM680" s="4">
        <f t="shared" si="230"/>
        <v>0</v>
      </c>
      <c r="AO680" s="56">
        <f>IF(D680="M",WeightSDS!P$5*$AM680^7+WeightSDS!Q$5*$AM680^6+WeightSDS!R$5*$AM680^5+WeightSDS!S$5*$AM680^4+WeightSDS!T$5*$AM680^3+WeightSDS!U$5*$AM680^2+WeightSDS!V$5*$AM680+WeightSDS!W$5,IF($AM680&lt;186,WeightSDS!P$8*$AM680^7+WeightSDS!Q$8*$AM680^6+WeightSDS!R$8*$AM680^5+WeightSDS!S$8*$AM680^4+WeightSDS!T$8*$AM680^3+WeightSDS!U$8*$AM680^2+WeightSDS!V$8*$AM680+WeightSDS!W$8,WeightSDS!$U$9+WeightSDS!$V$9*($AM680-WeightSDS!$W$9)))</f>
        <v>0.75407122999999998</v>
      </c>
      <c r="AP680" s="4">
        <f>IF(D680="M",IF($AM680&lt;45,WeightSDS!M$23*$AM680^10+WeightSDS!N$23*$AM680^9+WeightSDS!O$23*$AM680^8+WeightSDS!P$23*$AM680^7+WeightSDS!Q$23*$AM680^6+WeightSDS!R$23*$AM680^5+WeightSDS!S$23*$AM680^4+WeightSDS!T$23*$AM680^3+WeightSDS!U$23*$AM680^2+WeightSDS!V$23*$AM680+WeightSDS!W$23,IF($AM680&lt;153,WeightSDS!M$25*$AM680^10+WeightSDS!N$25*$AM680^9+WeightSDS!O$25*$AM680^8+WeightSDS!P$25*$AM680^7+WeightSDS!Q$25*$AM680^6+WeightSDS!R$25*$AM680^5+WeightSDS!S$25*$AM680^4+WeightSDS!T$25*$AM680^3+WeightSDS!U$25*$AM680^2+WeightSDS!V$25*$AM680+WeightSDS!W$25,WeightSDS!M$27+WeightSDS!N$27/(1+EXP(WeightSDS!O$27+WeightSDS!P$27*$AM680)))),IF($AM680&lt;43.8,WeightSDS!M$29*$AM680^10+WeightSDS!N$29*$AM680^9+WeightSDS!O$29*$AM680^8+WeightSDS!P$29*$AM680^7+WeightSDS!Q$29*$AM680^6+WeightSDS!R$29*$AM680^5+WeightSDS!S$29*$AM680^4+WeightSDS!T$29*$AM680^3+WeightSDS!U$29*$AM680^2+WeightSDS!V$29*$AM680+WeightSDS!W$29-0.010431*(1-$AM680/210),IF($AM680&lt;123,WeightSDS!M$30*$AM680^10+WeightSDS!N$30*$AM680^9+WeightSDS!O$30*$AM680^8+WeightSDS!P$30*$AM680^7+WeightSDS!Q$30*$AM680^6+WeightSDS!R$30*$AM680^5+WeightSDS!S$30*$AM680^4+WeightSDS!T$30*$AM680^3+WeightSDS!U$30*$AM680^2+WeightSDS!V$30*$AM680+WeightSDS!W$30-0.010431*(1-1/$AM680),WeightSDS!M$32+WeightSDS!N$32/(1+EXP(WeightSDS!O$32+WeightSDS!P$32*$AM680))-0.010431*(1-$AM680/210))))</f>
        <v>2.9500001032655536</v>
      </c>
      <c r="AQ680" s="4">
        <f>IF(D680="M",IF($AM680&lt;162,WeightSDS!P$12*$AM680^7+WeightSDS!Q$12*$AM680^6+WeightSDS!R$12*$AM680^5+WeightSDS!S$12*$AM680^4+WeightSDS!T$12*$AM680^3+WeightSDS!U$12*$AM680^2+WeightSDS!V$12*$AM680+WeightSDS!W$12,WeightSDS!P$14*$AM680^7+WeightSDS!Q$14*$AM680^6+WeightSDS!R$14*$AM680^5+WeightSDS!S$14*$AM680^4+WeightSDS!T$14*$AM680^3+WeightSDS!U$14*$AM680^2+WeightSDS!V$14*$AM680+WeightSDS!W$14),IF($AM680&lt;156,WeightSDS!O$17*$AM680^8+WeightSDS!P$17*$AM680^7+WeightSDS!Q$17*$AM680^6+WeightSDS!R$17*$AM680^5+WeightSDS!S$17*$AM680^4+WeightSDS!T$17*$AM680^3+WeightSDS!U$17*$AM680^2+WeightSDS!V$17*$AM680+WeightSDS!W$17,IF($AM680&lt;186,WeightSDS!$U$18+(WeightSDS!$V$18-WeightSDS!$U$18)/24*($AM680-186)+WeightSDS!$W$18*(-$AM680+186)^2-0.005,WeightSDS!$U$18+(WeightSDS!$V$18-WeightSDS!$U$18)/24*($AM680-186)-0.005)))</f>
        <v>0.14604529399999999</v>
      </c>
      <c r="AT680" s="4">
        <f t="shared" si="217"/>
        <v>0.56299999999999994</v>
      </c>
      <c r="AU680" s="4">
        <f t="shared" si="218"/>
        <v>69</v>
      </c>
      <c r="AV680" s="4">
        <f t="shared" si="219"/>
        <v>0.51</v>
      </c>
    </row>
    <row r="681" spans="1:48" x14ac:dyDescent="0.15">
      <c r="A681" s="4"/>
      <c r="B681" s="21"/>
      <c r="C681" s="21"/>
      <c r="D681" s="21"/>
      <c r="E681" s="22"/>
      <c r="F681" s="22"/>
      <c r="G681" s="23"/>
      <c r="H681" s="23"/>
      <c r="I681" s="181"/>
      <c r="J681" s="8" t="str">
        <f t="shared" si="211"/>
        <v/>
      </c>
      <c r="K681" s="2" t="str">
        <f t="shared" si="220"/>
        <v/>
      </c>
      <c r="L681" s="2" t="str">
        <f t="shared" si="212"/>
        <v/>
      </c>
      <c r="M681" s="2" t="str">
        <f t="shared" si="221"/>
        <v/>
      </c>
      <c r="N681" s="2" t="str">
        <f t="shared" si="229"/>
        <v/>
      </c>
      <c r="O681" s="2" t="str">
        <f t="shared" si="222"/>
        <v/>
      </c>
      <c r="P681" s="8" t="str">
        <f t="shared" si="223"/>
        <v/>
      </c>
      <c r="Q681" s="8" t="str">
        <f t="shared" si="224"/>
        <v/>
      </c>
      <c r="R681" s="111" t="str">
        <f t="shared" si="225"/>
        <v/>
      </c>
      <c r="S681" s="44" t="str">
        <f t="shared" si="226"/>
        <v/>
      </c>
      <c r="T681" s="37" t="str">
        <f t="shared" si="227"/>
        <v/>
      </c>
      <c r="U681" s="44" t="str">
        <f t="shared" si="228"/>
        <v/>
      </c>
      <c r="V681" s="26"/>
      <c r="W681" s="26"/>
      <c r="X681" s="26"/>
      <c r="Y681" s="26"/>
      <c r="Z681" s="24"/>
      <c r="AA681" s="169">
        <f t="shared" si="213"/>
        <v>0</v>
      </c>
      <c r="AB681" s="4">
        <f t="shared" si="214"/>
        <v>0</v>
      </c>
      <c r="AC681" s="170">
        <f t="shared" si="231"/>
        <v>0</v>
      </c>
      <c r="AD681" s="58"/>
      <c r="AE681" s="58"/>
      <c r="AF681" s="58"/>
      <c r="AG681" s="59">
        <f t="shared" si="215"/>
        <v>9.0359999999999996</v>
      </c>
      <c r="AH681" s="59">
        <f t="shared" si="216"/>
        <v>-184.49199999999999</v>
      </c>
      <c r="AJ681" s="4">
        <f>IF(D681="M",IF(AM681&lt;78,BMILMS!$D$5*AM681^3+BMILMS!$E$5*AM681^2+BMILMS!$F$5*AM681+BMILMS!$G$5,IF(AM681&lt;150,BMILMS!$D$6*AM681^3+BMILMS!$E$6*AM681^2+BMILMS!$F$6*AM681+BMILMS!$G$6,BMILMS!$D$7*AM681^3+BMILMS!$E$7*AM681^2+BMILMS!$F$7*AM681+BMILMS!$G$7)),IF(AM681&lt;69,BMILMS!$D$9*AM681^3+BMILMS!$E$9*AM681^2+BMILMS!$F$9*AM681+BMILMS!$G$9,IF(AM681&lt;150,BMILMS!$D$10*AM681^3+BMILMS!$E$10*AM681^2+BMILMS!$F$10*AM681+BMILMS!$G$10,BMILMS!$D$11*AM681^3+BMILMS!$E$11*AM681^2+BMILMS!$F$11*AM681+BMILMS!$G$11)))</f>
        <v>0.79584630099999998</v>
      </c>
      <c r="AK681" s="4">
        <f>IF(D681="M",(IF(AM681&lt;2.5,BMILMS!$D$21*AM681^3+BMILMS!$E$21*AM681^2+BMILMS!$F$21*AM681+BMILMS!$G$21,IF(AM681&lt;9.5,BMILMS!$D$22*AM681^3+BMILMS!$E$22*AM681^2+BMILMS!$F$22*AM681+BMILMS!$G$22,IF(AM681&lt;26.75,BMILMS!$D$23*AM681^3+BMILMS!$E$23*AM681^2+BMILMS!$F$23*AM681+BMILMS!$G$23,IF(AM681&lt;90,BMILMS!$D$24*AM681^3+BMILMS!$E$24*AM681^2+BMILMS!$F$24*AM681+BMILMS!$G$24,BMILMS!$D$25*AM681^3+BMILMS!$E$25*AM681^2+BMILMS!$F$25*AM681+BMILMS!$G$25))))),(IF(AM681&lt;2.5,BMILMS!$D$27*AM681^3+BMILMS!$E$27*AM681^2+BMILMS!$F$27*AM681+BMILMS!$G$27,IF(AM681&lt;9.5,BMILMS!$D$28*AM681^3+BMILMS!$E$28*AM681^2+BMILMS!$F$28*AM681+BMILMS!$G$28,IF(AM681&lt;26.75,BMILMS!$D$29*AM681^3+BMILMS!$E$29*AM681^2+BMILMS!$F$29*AM681+BMILMS!$G$29,IF(AM681&lt;90,BMILMS!$D$30*AM681^3+BMILMS!$E$30*AM681^2+BMILMS!$F$30*AM681+BMILMS!$G$30,IF(AM681&lt;150,BMILMS!$D$31*AM681^3+BMILMS!$E$31*AM681^2+BMILMS!$F$31*AM681+BMILMS!$G$31,BMILMS!$D$32*AM681^3+BMILMS!$E$32*AM681^2+BMILMS!$F$32*AM681+BMILMS!$G$32)))))))</f>
        <v>12.568967990000001</v>
      </c>
      <c r="AL681" s="4">
        <f>IF(D681="M",(IF(AM681&lt;90,BMILMS!$D$14*AM681^3+BMILMS!$E$14*AM681^2+BMILMS!$F$14*AM681+BMILMS!$G$14,BMILMS!$D$15*AM681^3+BMILMS!$E$15*AM681^2+BMILMS!$F$15*AM681+BMILMS!$G$15)),(IF(AM681&lt;90,BMILMS!$D$17*AM681^3+BMILMS!$E$17*AM681^2+BMILMS!$F$17*AM681+BMILMS!$G$17,BMILMS!$D$18*AM681^3+BMILMS!$E$18*AM681^2+BMILMS!$F$18*AM681+BMILMS!$G$18)))</f>
        <v>8.8969350000000003E-2</v>
      </c>
      <c r="AM681" s="4">
        <f t="shared" si="230"/>
        <v>0</v>
      </c>
      <c r="AO681" s="56">
        <f>IF(D681="M",WeightSDS!P$5*$AM681^7+WeightSDS!Q$5*$AM681^6+WeightSDS!R$5*$AM681^5+WeightSDS!S$5*$AM681^4+WeightSDS!T$5*$AM681^3+WeightSDS!U$5*$AM681^2+WeightSDS!V$5*$AM681+WeightSDS!W$5,IF($AM681&lt;186,WeightSDS!P$8*$AM681^7+WeightSDS!Q$8*$AM681^6+WeightSDS!R$8*$AM681^5+WeightSDS!S$8*$AM681^4+WeightSDS!T$8*$AM681^3+WeightSDS!U$8*$AM681^2+WeightSDS!V$8*$AM681+WeightSDS!W$8,WeightSDS!$U$9+WeightSDS!$V$9*($AM681-WeightSDS!$W$9)))</f>
        <v>0.75407122999999998</v>
      </c>
      <c r="AP681" s="4">
        <f>IF(D681="M",IF($AM681&lt;45,WeightSDS!M$23*$AM681^10+WeightSDS!N$23*$AM681^9+WeightSDS!O$23*$AM681^8+WeightSDS!P$23*$AM681^7+WeightSDS!Q$23*$AM681^6+WeightSDS!R$23*$AM681^5+WeightSDS!S$23*$AM681^4+WeightSDS!T$23*$AM681^3+WeightSDS!U$23*$AM681^2+WeightSDS!V$23*$AM681+WeightSDS!W$23,IF($AM681&lt;153,WeightSDS!M$25*$AM681^10+WeightSDS!N$25*$AM681^9+WeightSDS!O$25*$AM681^8+WeightSDS!P$25*$AM681^7+WeightSDS!Q$25*$AM681^6+WeightSDS!R$25*$AM681^5+WeightSDS!S$25*$AM681^4+WeightSDS!T$25*$AM681^3+WeightSDS!U$25*$AM681^2+WeightSDS!V$25*$AM681+WeightSDS!W$25,WeightSDS!M$27+WeightSDS!N$27/(1+EXP(WeightSDS!O$27+WeightSDS!P$27*$AM681)))),IF($AM681&lt;43.8,WeightSDS!M$29*$AM681^10+WeightSDS!N$29*$AM681^9+WeightSDS!O$29*$AM681^8+WeightSDS!P$29*$AM681^7+WeightSDS!Q$29*$AM681^6+WeightSDS!R$29*$AM681^5+WeightSDS!S$29*$AM681^4+WeightSDS!T$29*$AM681^3+WeightSDS!U$29*$AM681^2+WeightSDS!V$29*$AM681+WeightSDS!W$29-0.010431*(1-$AM681/210),IF($AM681&lt;123,WeightSDS!M$30*$AM681^10+WeightSDS!N$30*$AM681^9+WeightSDS!O$30*$AM681^8+WeightSDS!P$30*$AM681^7+WeightSDS!Q$30*$AM681^6+WeightSDS!R$30*$AM681^5+WeightSDS!S$30*$AM681^4+WeightSDS!T$30*$AM681^3+WeightSDS!U$30*$AM681^2+WeightSDS!V$30*$AM681+WeightSDS!W$30-0.010431*(1-1/$AM681),WeightSDS!M$32+WeightSDS!N$32/(1+EXP(WeightSDS!O$32+WeightSDS!P$32*$AM681))-0.010431*(1-$AM681/210))))</f>
        <v>2.9500001032655536</v>
      </c>
      <c r="AQ681" s="4">
        <f>IF(D681="M",IF($AM681&lt;162,WeightSDS!P$12*$AM681^7+WeightSDS!Q$12*$AM681^6+WeightSDS!R$12*$AM681^5+WeightSDS!S$12*$AM681^4+WeightSDS!T$12*$AM681^3+WeightSDS!U$12*$AM681^2+WeightSDS!V$12*$AM681+WeightSDS!W$12,WeightSDS!P$14*$AM681^7+WeightSDS!Q$14*$AM681^6+WeightSDS!R$14*$AM681^5+WeightSDS!S$14*$AM681^4+WeightSDS!T$14*$AM681^3+WeightSDS!U$14*$AM681^2+WeightSDS!V$14*$AM681+WeightSDS!W$14),IF($AM681&lt;156,WeightSDS!O$17*$AM681^8+WeightSDS!P$17*$AM681^7+WeightSDS!Q$17*$AM681^6+WeightSDS!R$17*$AM681^5+WeightSDS!S$17*$AM681^4+WeightSDS!T$17*$AM681^3+WeightSDS!U$17*$AM681^2+WeightSDS!V$17*$AM681+WeightSDS!W$17,IF($AM681&lt;186,WeightSDS!$U$18+(WeightSDS!$V$18-WeightSDS!$U$18)/24*($AM681-186)+WeightSDS!$W$18*(-$AM681+186)^2-0.005,WeightSDS!$U$18+(WeightSDS!$V$18-WeightSDS!$U$18)/24*($AM681-186)-0.005)))</f>
        <v>0.14604529399999999</v>
      </c>
      <c r="AT681" s="4">
        <f t="shared" si="217"/>
        <v>0.56299999999999994</v>
      </c>
      <c r="AU681" s="4">
        <f t="shared" si="218"/>
        <v>69</v>
      </c>
      <c r="AV681" s="4">
        <f t="shared" si="219"/>
        <v>0.51</v>
      </c>
    </row>
    <row r="682" spans="1:48" x14ac:dyDescent="0.15">
      <c r="A682" s="4"/>
      <c r="B682" s="21"/>
      <c r="C682" s="21"/>
      <c r="D682" s="21"/>
      <c r="E682" s="22"/>
      <c r="F682" s="22"/>
      <c r="G682" s="23"/>
      <c r="H682" s="23"/>
      <c r="I682" s="181"/>
      <c r="J682" s="8" t="str">
        <f t="shared" si="211"/>
        <v/>
      </c>
      <c r="K682" s="2" t="str">
        <f t="shared" si="220"/>
        <v/>
      </c>
      <c r="L682" s="2" t="str">
        <f t="shared" si="212"/>
        <v/>
      </c>
      <c r="M682" s="2" t="str">
        <f t="shared" si="221"/>
        <v/>
      </c>
      <c r="N682" s="2" t="str">
        <f t="shared" si="229"/>
        <v/>
      </c>
      <c r="O682" s="2" t="str">
        <f t="shared" si="222"/>
        <v/>
      </c>
      <c r="P682" s="8" t="str">
        <f t="shared" si="223"/>
        <v/>
      </c>
      <c r="Q682" s="8" t="str">
        <f t="shared" si="224"/>
        <v/>
      </c>
      <c r="R682" s="111" t="str">
        <f t="shared" si="225"/>
        <v/>
      </c>
      <c r="S682" s="44" t="str">
        <f t="shared" si="226"/>
        <v/>
      </c>
      <c r="T682" s="37" t="str">
        <f t="shared" si="227"/>
        <v/>
      </c>
      <c r="U682" s="44" t="str">
        <f t="shared" si="228"/>
        <v/>
      </c>
      <c r="V682" s="26"/>
      <c r="W682" s="26"/>
      <c r="X682" s="26"/>
      <c r="Y682" s="26"/>
      <c r="Z682" s="24"/>
      <c r="AA682" s="169">
        <f t="shared" si="213"/>
        <v>0</v>
      </c>
      <c r="AB682" s="4">
        <f t="shared" si="214"/>
        <v>0</v>
      </c>
      <c r="AC682" s="170">
        <f t="shared" si="231"/>
        <v>0</v>
      </c>
      <c r="AD682" s="58"/>
      <c r="AE682" s="58"/>
      <c r="AF682" s="58"/>
      <c r="AG682" s="59">
        <f t="shared" si="215"/>
        <v>9.0359999999999996</v>
      </c>
      <c r="AH682" s="59">
        <f t="shared" si="216"/>
        <v>-184.49199999999999</v>
      </c>
      <c r="AJ682" s="4">
        <f>IF(D682="M",IF(AM682&lt;78,BMILMS!$D$5*AM682^3+BMILMS!$E$5*AM682^2+BMILMS!$F$5*AM682+BMILMS!$G$5,IF(AM682&lt;150,BMILMS!$D$6*AM682^3+BMILMS!$E$6*AM682^2+BMILMS!$F$6*AM682+BMILMS!$G$6,BMILMS!$D$7*AM682^3+BMILMS!$E$7*AM682^2+BMILMS!$F$7*AM682+BMILMS!$G$7)),IF(AM682&lt;69,BMILMS!$D$9*AM682^3+BMILMS!$E$9*AM682^2+BMILMS!$F$9*AM682+BMILMS!$G$9,IF(AM682&lt;150,BMILMS!$D$10*AM682^3+BMILMS!$E$10*AM682^2+BMILMS!$F$10*AM682+BMILMS!$G$10,BMILMS!$D$11*AM682^3+BMILMS!$E$11*AM682^2+BMILMS!$F$11*AM682+BMILMS!$G$11)))</f>
        <v>0.79584630099999998</v>
      </c>
      <c r="AK682" s="4">
        <f>IF(D682="M",(IF(AM682&lt;2.5,BMILMS!$D$21*AM682^3+BMILMS!$E$21*AM682^2+BMILMS!$F$21*AM682+BMILMS!$G$21,IF(AM682&lt;9.5,BMILMS!$D$22*AM682^3+BMILMS!$E$22*AM682^2+BMILMS!$F$22*AM682+BMILMS!$G$22,IF(AM682&lt;26.75,BMILMS!$D$23*AM682^3+BMILMS!$E$23*AM682^2+BMILMS!$F$23*AM682+BMILMS!$G$23,IF(AM682&lt;90,BMILMS!$D$24*AM682^3+BMILMS!$E$24*AM682^2+BMILMS!$F$24*AM682+BMILMS!$G$24,BMILMS!$D$25*AM682^3+BMILMS!$E$25*AM682^2+BMILMS!$F$25*AM682+BMILMS!$G$25))))),(IF(AM682&lt;2.5,BMILMS!$D$27*AM682^3+BMILMS!$E$27*AM682^2+BMILMS!$F$27*AM682+BMILMS!$G$27,IF(AM682&lt;9.5,BMILMS!$D$28*AM682^3+BMILMS!$E$28*AM682^2+BMILMS!$F$28*AM682+BMILMS!$G$28,IF(AM682&lt;26.75,BMILMS!$D$29*AM682^3+BMILMS!$E$29*AM682^2+BMILMS!$F$29*AM682+BMILMS!$G$29,IF(AM682&lt;90,BMILMS!$D$30*AM682^3+BMILMS!$E$30*AM682^2+BMILMS!$F$30*AM682+BMILMS!$G$30,IF(AM682&lt;150,BMILMS!$D$31*AM682^3+BMILMS!$E$31*AM682^2+BMILMS!$F$31*AM682+BMILMS!$G$31,BMILMS!$D$32*AM682^3+BMILMS!$E$32*AM682^2+BMILMS!$F$32*AM682+BMILMS!$G$32)))))))</f>
        <v>12.568967990000001</v>
      </c>
      <c r="AL682" s="4">
        <f>IF(D682="M",(IF(AM682&lt;90,BMILMS!$D$14*AM682^3+BMILMS!$E$14*AM682^2+BMILMS!$F$14*AM682+BMILMS!$G$14,BMILMS!$D$15*AM682^3+BMILMS!$E$15*AM682^2+BMILMS!$F$15*AM682+BMILMS!$G$15)),(IF(AM682&lt;90,BMILMS!$D$17*AM682^3+BMILMS!$E$17*AM682^2+BMILMS!$F$17*AM682+BMILMS!$G$17,BMILMS!$D$18*AM682^3+BMILMS!$E$18*AM682^2+BMILMS!$F$18*AM682+BMILMS!$G$18)))</f>
        <v>8.8969350000000003E-2</v>
      </c>
      <c r="AM682" s="4">
        <f t="shared" si="230"/>
        <v>0</v>
      </c>
      <c r="AO682" s="56">
        <f>IF(D682="M",WeightSDS!P$5*$AM682^7+WeightSDS!Q$5*$AM682^6+WeightSDS!R$5*$AM682^5+WeightSDS!S$5*$AM682^4+WeightSDS!T$5*$AM682^3+WeightSDS!U$5*$AM682^2+WeightSDS!V$5*$AM682+WeightSDS!W$5,IF($AM682&lt;186,WeightSDS!P$8*$AM682^7+WeightSDS!Q$8*$AM682^6+WeightSDS!R$8*$AM682^5+WeightSDS!S$8*$AM682^4+WeightSDS!T$8*$AM682^3+WeightSDS!U$8*$AM682^2+WeightSDS!V$8*$AM682+WeightSDS!W$8,WeightSDS!$U$9+WeightSDS!$V$9*($AM682-WeightSDS!$W$9)))</f>
        <v>0.75407122999999998</v>
      </c>
      <c r="AP682" s="4">
        <f>IF(D682="M",IF($AM682&lt;45,WeightSDS!M$23*$AM682^10+WeightSDS!N$23*$AM682^9+WeightSDS!O$23*$AM682^8+WeightSDS!P$23*$AM682^7+WeightSDS!Q$23*$AM682^6+WeightSDS!R$23*$AM682^5+WeightSDS!S$23*$AM682^4+WeightSDS!T$23*$AM682^3+WeightSDS!U$23*$AM682^2+WeightSDS!V$23*$AM682+WeightSDS!W$23,IF($AM682&lt;153,WeightSDS!M$25*$AM682^10+WeightSDS!N$25*$AM682^9+WeightSDS!O$25*$AM682^8+WeightSDS!P$25*$AM682^7+WeightSDS!Q$25*$AM682^6+WeightSDS!R$25*$AM682^5+WeightSDS!S$25*$AM682^4+WeightSDS!T$25*$AM682^3+WeightSDS!U$25*$AM682^2+WeightSDS!V$25*$AM682+WeightSDS!W$25,WeightSDS!M$27+WeightSDS!N$27/(1+EXP(WeightSDS!O$27+WeightSDS!P$27*$AM682)))),IF($AM682&lt;43.8,WeightSDS!M$29*$AM682^10+WeightSDS!N$29*$AM682^9+WeightSDS!O$29*$AM682^8+WeightSDS!P$29*$AM682^7+WeightSDS!Q$29*$AM682^6+WeightSDS!R$29*$AM682^5+WeightSDS!S$29*$AM682^4+WeightSDS!T$29*$AM682^3+WeightSDS!U$29*$AM682^2+WeightSDS!V$29*$AM682+WeightSDS!W$29-0.010431*(1-$AM682/210),IF($AM682&lt;123,WeightSDS!M$30*$AM682^10+WeightSDS!N$30*$AM682^9+WeightSDS!O$30*$AM682^8+WeightSDS!P$30*$AM682^7+WeightSDS!Q$30*$AM682^6+WeightSDS!R$30*$AM682^5+WeightSDS!S$30*$AM682^4+WeightSDS!T$30*$AM682^3+WeightSDS!U$30*$AM682^2+WeightSDS!V$30*$AM682+WeightSDS!W$30-0.010431*(1-1/$AM682),WeightSDS!M$32+WeightSDS!N$32/(1+EXP(WeightSDS!O$32+WeightSDS!P$32*$AM682))-0.010431*(1-$AM682/210))))</f>
        <v>2.9500001032655536</v>
      </c>
      <c r="AQ682" s="4">
        <f>IF(D682="M",IF($AM682&lt;162,WeightSDS!P$12*$AM682^7+WeightSDS!Q$12*$AM682^6+WeightSDS!R$12*$AM682^5+WeightSDS!S$12*$AM682^4+WeightSDS!T$12*$AM682^3+WeightSDS!U$12*$AM682^2+WeightSDS!V$12*$AM682+WeightSDS!W$12,WeightSDS!P$14*$AM682^7+WeightSDS!Q$14*$AM682^6+WeightSDS!R$14*$AM682^5+WeightSDS!S$14*$AM682^4+WeightSDS!T$14*$AM682^3+WeightSDS!U$14*$AM682^2+WeightSDS!V$14*$AM682+WeightSDS!W$14),IF($AM682&lt;156,WeightSDS!O$17*$AM682^8+WeightSDS!P$17*$AM682^7+WeightSDS!Q$17*$AM682^6+WeightSDS!R$17*$AM682^5+WeightSDS!S$17*$AM682^4+WeightSDS!T$17*$AM682^3+WeightSDS!U$17*$AM682^2+WeightSDS!V$17*$AM682+WeightSDS!W$17,IF($AM682&lt;186,WeightSDS!$U$18+(WeightSDS!$V$18-WeightSDS!$U$18)/24*($AM682-186)+WeightSDS!$W$18*(-$AM682+186)^2-0.005,WeightSDS!$U$18+(WeightSDS!$V$18-WeightSDS!$U$18)/24*($AM682-186)-0.005)))</f>
        <v>0.14604529399999999</v>
      </c>
      <c r="AT682" s="4">
        <f t="shared" si="217"/>
        <v>0.56299999999999994</v>
      </c>
      <c r="AU682" s="4">
        <f t="shared" si="218"/>
        <v>69</v>
      </c>
      <c r="AV682" s="4">
        <f t="shared" si="219"/>
        <v>0.51</v>
      </c>
    </row>
    <row r="683" spans="1:48" x14ac:dyDescent="0.15">
      <c r="A683" s="4"/>
      <c r="B683" s="21"/>
      <c r="C683" s="21"/>
      <c r="D683" s="21"/>
      <c r="E683" s="22"/>
      <c r="F683" s="22"/>
      <c r="G683" s="23"/>
      <c r="H683" s="23"/>
      <c r="I683" s="181"/>
      <c r="J683" s="8" t="str">
        <f t="shared" si="211"/>
        <v/>
      </c>
      <c r="K683" s="2" t="str">
        <f t="shared" si="220"/>
        <v/>
      </c>
      <c r="L683" s="2" t="str">
        <f t="shared" si="212"/>
        <v/>
      </c>
      <c r="M683" s="2" t="str">
        <f t="shared" si="221"/>
        <v/>
      </c>
      <c r="N683" s="2" t="str">
        <f t="shared" si="229"/>
        <v/>
      </c>
      <c r="O683" s="2" t="str">
        <f t="shared" si="222"/>
        <v/>
      </c>
      <c r="P683" s="8" t="str">
        <f t="shared" si="223"/>
        <v/>
      </c>
      <c r="Q683" s="8" t="str">
        <f t="shared" si="224"/>
        <v/>
      </c>
      <c r="R683" s="111" t="str">
        <f t="shared" si="225"/>
        <v/>
      </c>
      <c r="S683" s="44" t="str">
        <f t="shared" si="226"/>
        <v/>
      </c>
      <c r="T683" s="37" t="str">
        <f t="shared" si="227"/>
        <v/>
      </c>
      <c r="U683" s="44" t="str">
        <f t="shared" si="228"/>
        <v/>
      </c>
      <c r="V683" s="26"/>
      <c r="W683" s="26"/>
      <c r="X683" s="26"/>
      <c r="Y683" s="26"/>
      <c r="Z683" s="24"/>
      <c r="AA683" s="169">
        <f t="shared" si="213"/>
        <v>0</v>
      </c>
      <c r="AB683" s="4">
        <f t="shared" si="214"/>
        <v>0</v>
      </c>
      <c r="AC683" s="170">
        <f t="shared" si="231"/>
        <v>0</v>
      </c>
      <c r="AD683" s="58"/>
      <c r="AE683" s="58"/>
      <c r="AF683" s="58"/>
      <c r="AG683" s="59">
        <f t="shared" si="215"/>
        <v>9.0359999999999996</v>
      </c>
      <c r="AH683" s="59">
        <f t="shared" si="216"/>
        <v>-184.49199999999999</v>
      </c>
      <c r="AJ683" s="4">
        <f>IF(D683="M",IF(AM683&lt;78,BMILMS!$D$5*AM683^3+BMILMS!$E$5*AM683^2+BMILMS!$F$5*AM683+BMILMS!$G$5,IF(AM683&lt;150,BMILMS!$D$6*AM683^3+BMILMS!$E$6*AM683^2+BMILMS!$F$6*AM683+BMILMS!$G$6,BMILMS!$D$7*AM683^3+BMILMS!$E$7*AM683^2+BMILMS!$F$7*AM683+BMILMS!$G$7)),IF(AM683&lt;69,BMILMS!$D$9*AM683^3+BMILMS!$E$9*AM683^2+BMILMS!$F$9*AM683+BMILMS!$G$9,IF(AM683&lt;150,BMILMS!$D$10*AM683^3+BMILMS!$E$10*AM683^2+BMILMS!$F$10*AM683+BMILMS!$G$10,BMILMS!$D$11*AM683^3+BMILMS!$E$11*AM683^2+BMILMS!$F$11*AM683+BMILMS!$G$11)))</f>
        <v>0.79584630099999998</v>
      </c>
      <c r="AK683" s="4">
        <f>IF(D683="M",(IF(AM683&lt;2.5,BMILMS!$D$21*AM683^3+BMILMS!$E$21*AM683^2+BMILMS!$F$21*AM683+BMILMS!$G$21,IF(AM683&lt;9.5,BMILMS!$D$22*AM683^3+BMILMS!$E$22*AM683^2+BMILMS!$F$22*AM683+BMILMS!$G$22,IF(AM683&lt;26.75,BMILMS!$D$23*AM683^3+BMILMS!$E$23*AM683^2+BMILMS!$F$23*AM683+BMILMS!$G$23,IF(AM683&lt;90,BMILMS!$D$24*AM683^3+BMILMS!$E$24*AM683^2+BMILMS!$F$24*AM683+BMILMS!$G$24,BMILMS!$D$25*AM683^3+BMILMS!$E$25*AM683^2+BMILMS!$F$25*AM683+BMILMS!$G$25))))),(IF(AM683&lt;2.5,BMILMS!$D$27*AM683^3+BMILMS!$E$27*AM683^2+BMILMS!$F$27*AM683+BMILMS!$G$27,IF(AM683&lt;9.5,BMILMS!$D$28*AM683^3+BMILMS!$E$28*AM683^2+BMILMS!$F$28*AM683+BMILMS!$G$28,IF(AM683&lt;26.75,BMILMS!$D$29*AM683^3+BMILMS!$E$29*AM683^2+BMILMS!$F$29*AM683+BMILMS!$G$29,IF(AM683&lt;90,BMILMS!$D$30*AM683^3+BMILMS!$E$30*AM683^2+BMILMS!$F$30*AM683+BMILMS!$G$30,IF(AM683&lt;150,BMILMS!$D$31*AM683^3+BMILMS!$E$31*AM683^2+BMILMS!$F$31*AM683+BMILMS!$G$31,BMILMS!$D$32*AM683^3+BMILMS!$E$32*AM683^2+BMILMS!$F$32*AM683+BMILMS!$G$32)))))))</f>
        <v>12.568967990000001</v>
      </c>
      <c r="AL683" s="4">
        <f>IF(D683="M",(IF(AM683&lt;90,BMILMS!$D$14*AM683^3+BMILMS!$E$14*AM683^2+BMILMS!$F$14*AM683+BMILMS!$G$14,BMILMS!$D$15*AM683^3+BMILMS!$E$15*AM683^2+BMILMS!$F$15*AM683+BMILMS!$G$15)),(IF(AM683&lt;90,BMILMS!$D$17*AM683^3+BMILMS!$E$17*AM683^2+BMILMS!$F$17*AM683+BMILMS!$G$17,BMILMS!$D$18*AM683^3+BMILMS!$E$18*AM683^2+BMILMS!$F$18*AM683+BMILMS!$G$18)))</f>
        <v>8.8969350000000003E-2</v>
      </c>
      <c r="AM683" s="4">
        <f t="shared" si="230"/>
        <v>0</v>
      </c>
      <c r="AO683" s="56">
        <f>IF(D683="M",WeightSDS!P$5*$AM683^7+WeightSDS!Q$5*$AM683^6+WeightSDS!R$5*$AM683^5+WeightSDS!S$5*$AM683^4+WeightSDS!T$5*$AM683^3+WeightSDS!U$5*$AM683^2+WeightSDS!V$5*$AM683+WeightSDS!W$5,IF($AM683&lt;186,WeightSDS!P$8*$AM683^7+WeightSDS!Q$8*$AM683^6+WeightSDS!R$8*$AM683^5+WeightSDS!S$8*$AM683^4+WeightSDS!T$8*$AM683^3+WeightSDS!U$8*$AM683^2+WeightSDS!V$8*$AM683+WeightSDS!W$8,WeightSDS!$U$9+WeightSDS!$V$9*($AM683-WeightSDS!$W$9)))</f>
        <v>0.75407122999999998</v>
      </c>
      <c r="AP683" s="4">
        <f>IF(D683="M",IF($AM683&lt;45,WeightSDS!M$23*$AM683^10+WeightSDS!N$23*$AM683^9+WeightSDS!O$23*$AM683^8+WeightSDS!P$23*$AM683^7+WeightSDS!Q$23*$AM683^6+WeightSDS!R$23*$AM683^5+WeightSDS!S$23*$AM683^4+WeightSDS!T$23*$AM683^3+WeightSDS!U$23*$AM683^2+WeightSDS!V$23*$AM683+WeightSDS!W$23,IF($AM683&lt;153,WeightSDS!M$25*$AM683^10+WeightSDS!N$25*$AM683^9+WeightSDS!O$25*$AM683^8+WeightSDS!P$25*$AM683^7+WeightSDS!Q$25*$AM683^6+WeightSDS!R$25*$AM683^5+WeightSDS!S$25*$AM683^4+WeightSDS!T$25*$AM683^3+WeightSDS!U$25*$AM683^2+WeightSDS!V$25*$AM683+WeightSDS!W$25,WeightSDS!M$27+WeightSDS!N$27/(1+EXP(WeightSDS!O$27+WeightSDS!P$27*$AM683)))),IF($AM683&lt;43.8,WeightSDS!M$29*$AM683^10+WeightSDS!N$29*$AM683^9+WeightSDS!O$29*$AM683^8+WeightSDS!P$29*$AM683^7+WeightSDS!Q$29*$AM683^6+WeightSDS!R$29*$AM683^5+WeightSDS!S$29*$AM683^4+WeightSDS!T$29*$AM683^3+WeightSDS!U$29*$AM683^2+WeightSDS!V$29*$AM683+WeightSDS!W$29-0.010431*(1-$AM683/210),IF($AM683&lt;123,WeightSDS!M$30*$AM683^10+WeightSDS!N$30*$AM683^9+WeightSDS!O$30*$AM683^8+WeightSDS!P$30*$AM683^7+WeightSDS!Q$30*$AM683^6+WeightSDS!R$30*$AM683^5+WeightSDS!S$30*$AM683^4+WeightSDS!T$30*$AM683^3+WeightSDS!U$30*$AM683^2+WeightSDS!V$30*$AM683+WeightSDS!W$30-0.010431*(1-1/$AM683),WeightSDS!M$32+WeightSDS!N$32/(1+EXP(WeightSDS!O$32+WeightSDS!P$32*$AM683))-0.010431*(1-$AM683/210))))</f>
        <v>2.9500001032655536</v>
      </c>
      <c r="AQ683" s="4">
        <f>IF(D683="M",IF($AM683&lt;162,WeightSDS!P$12*$AM683^7+WeightSDS!Q$12*$AM683^6+WeightSDS!R$12*$AM683^5+WeightSDS!S$12*$AM683^4+WeightSDS!T$12*$AM683^3+WeightSDS!U$12*$AM683^2+WeightSDS!V$12*$AM683+WeightSDS!W$12,WeightSDS!P$14*$AM683^7+WeightSDS!Q$14*$AM683^6+WeightSDS!R$14*$AM683^5+WeightSDS!S$14*$AM683^4+WeightSDS!T$14*$AM683^3+WeightSDS!U$14*$AM683^2+WeightSDS!V$14*$AM683+WeightSDS!W$14),IF($AM683&lt;156,WeightSDS!O$17*$AM683^8+WeightSDS!P$17*$AM683^7+WeightSDS!Q$17*$AM683^6+WeightSDS!R$17*$AM683^5+WeightSDS!S$17*$AM683^4+WeightSDS!T$17*$AM683^3+WeightSDS!U$17*$AM683^2+WeightSDS!V$17*$AM683+WeightSDS!W$17,IF($AM683&lt;186,WeightSDS!$U$18+(WeightSDS!$V$18-WeightSDS!$U$18)/24*($AM683-186)+WeightSDS!$W$18*(-$AM683+186)^2-0.005,WeightSDS!$U$18+(WeightSDS!$V$18-WeightSDS!$U$18)/24*($AM683-186)-0.005)))</f>
        <v>0.14604529399999999</v>
      </c>
      <c r="AT683" s="4">
        <f t="shared" si="217"/>
        <v>0.56299999999999994</v>
      </c>
      <c r="AU683" s="4">
        <f t="shared" si="218"/>
        <v>69</v>
      </c>
      <c r="AV683" s="4">
        <f t="shared" si="219"/>
        <v>0.51</v>
      </c>
    </row>
    <row r="684" spans="1:48" x14ac:dyDescent="0.15">
      <c r="A684" s="4"/>
      <c r="B684" s="21"/>
      <c r="C684" s="21"/>
      <c r="D684" s="21"/>
      <c r="E684" s="22"/>
      <c r="F684" s="22"/>
      <c r="G684" s="23"/>
      <c r="H684" s="23"/>
      <c r="I684" s="181"/>
      <c r="J684" s="8" t="str">
        <f t="shared" si="211"/>
        <v/>
      </c>
      <c r="K684" s="2" t="str">
        <f t="shared" si="220"/>
        <v/>
      </c>
      <c r="L684" s="2" t="str">
        <f t="shared" si="212"/>
        <v/>
      </c>
      <c r="M684" s="2" t="str">
        <f t="shared" si="221"/>
        <v/>
      </c>
      <c r="N684" s="2" t="str">
        <f t="shared" si="229"/>
        <v/>
      </c>
      <c r="O684" s="2" t="str">
        <f t="shared" si="222"/>
        <v/>
      </c>
      <c r="P684" s="8" t="str">
        <f t="shared" si="223"/>
        <v/>
      </c>
      <c r="Q684" s="8" t="str">
        <f t="shared" si="224"/>
        <v/>
      </c>
      <c r="R684" s="111" t="str">
        <f t="shared" si="225"/>
        <v/>
      </c>
      <c r="S684" s="44" t="str">
        <f t="shared" si="226"/>
        <v/>
      </c>
      <c r="T684" s="37" t="str">
        <f t="shared" si="227"/>
        <v/>
      </c>
      <c r="U684" s="44" t="str">
        <f t="shared" si="228"/>
        <v/>
      </c>
      <c r="V684" s="26"/>
      <c r="W684" s="26"/>
      <c r="X684" s="26"/>
      <c r="Y684" s="26"/>
      <c r="Z684" s="24"/>
      <c r="AA684" s="169">
        <f t="shared" si="213"/>
        <v>0</v>
      </c>
      <c r="AB684" s="4">
        <f t="shared" si="214"/>
        <v>0</v>
      </c>
      <c r="AC684" s="170">
        <f t="shared" si="231"/>
        <v>0</v>
      </c>
      <c r="AD684" s="58"/>
      <c r="AE684" s="58"/>
      <c r="AF684" s="58"/>
      <c r="AG684" s="59">
        <f t="shared" si="215"/>
        <v>9.0359999999999996</v>
      </c>
      <c r="AH684" s="59">
        <f t="shared" si="216"/>
        <v>-184.49199999999999</v>
      </c>
      <c r="AJ684" s="4">
        <f>IF(D684="M",IF(AM684&lt;78,BMILMS!$D$5*AM684^3+BMILMS!$E$5*AM684^2+BMILMS!$F$5*AM684+BMILMS!$G$5,IF(AM684&lt;150,BMILMS!$D$6*AM684^3+BMILMS!$E$6*AM684^2+BMILMS!$F$6*AM684+BMILMS!$G$6,BMILMS!$D$7*AM684^3+BMILMS!$E$7*AM684^2+BMILMS!$F$7*AM684+BMILMS!$G$7)),IF(AM684&lt;69,BMILMS!$D$9*AM684^3+BMILMS!$E$9*AM684^2+BMILMS!$F$9*AM684+BMILMS!$G$9,IF(AM684&lt;150,BMILMS!$D$10*AM684^3+BMILMS!$E$10*AM684^2+BMILMS!$F$10*AM684+BMILMS!$G$10,BMILMS!$D$11*AM684^3+BMILMS!$E$11*AM684^2+BMILMS!$F$11*AM684+BMILMS!$G$11)))</f>
        <v>0.79584630099999998</v>
      </c>
      <c r="AK684" s="4">
        <f>IF(D684="M",(IF(AM684&lt;2.5,BMILMS!$D$21*AM684^3+BMILMS!$E$21*AM684^2+BMILMS!$F$21*AM684+BMILMS!$G$21,IF(AM684&lt;9.5,BMILMS!$D$22*AM684^3+BMILMS!$E$22*AM684^2+BMILMS!$F$22*AM684+BMILMS!$G$22,IF(AM684&lt;26.75,BMILMS!$D$23*AM684^3+BMILMS!$E$23*AM684^2+BMILMS!$F$23*AM684+BMILMS!$G$23,IF(AM684&lt;90,BMILMS!$D$24*AM684^3+BMILMS!$E$24*AM684^2+BMILMS!$F$24*AM684+BMILMS!$G$24,BMILMS!$D$25*AM684^3+BMILMS!$E$25*AM684^2+BMILMS!$F$25*AM684+BMILMS!$G$25))))),(IF(AM684&lt;2.5,BMILMS!$D$27*AM684^3+BMILMS!$E$27*AM684^2+BMILMS!$F$27*AM684+BMILMS!$G$27,IF(AM684&lt;9.5,BMILMS!$D$28*AM684^3+BMILMS!$E$28*AM684^2+BMILMS!$F$28*AM684+BMILMS!$G$28,IF(AM684&lt;26.75,BMILMS!$D$29*AM684^3+BMILMS!$E$29*AM684^2+BMILMS!$F$29*AM684+BMILMS!$G$29,IF(AM684&lt;90,BMILMS!$D$30*AM684^3+BMILMS!$E$30*AM684^2+BMILMS!$F$30*AM684+BMILMS!$G$30,IF(AM684&lt;150,BMILMS!$D$31*AM684^3+BMILMS!$E$31*AM684^2+BMILMS!$F$31*AM684+BMILMS!$G$31,BMILMS!$D$32*AM684^3+BMILMS!$E$32*AM684^2+BMILMS!$F$32*AM684+BMILMS!$G$32)))))))</f>
        <v>12.568967990000001</v>
      </c>
      <c r="AL684" s="4">
        <f>IF(D684="M",(IF(AM684&lt;90,BMILMS!$D$14*AM684^3+BMILMS!$E$14*AM684^2+BMILMS!$F$14*AM684+BMILMS!$G$14,BMILMS!$D$15*AM684^3+BMILMS!$E$15*AM684^2+BMILMS!$F$15*AM684+BMILMS!$G$15)),(IF(AM684&lt;90,BMILMS!$D$17*AM684^3+BMILMS!$E$17*AM684^2+BMILMS!$F$17*AM684+BMILMS!$G$17,BMILMS!$D$18*AM684^3+BMILMS!$E$18*AM684^2+BMILMS!$F$18*AM684+BMILMS!$G$18)))</f>
        <v>8.8969350000000003E-2</v>
      </c>
      <c r="AM684" s="4">
        <f t="shared" si="230"/>
        <v>0</v>
      </c>
      <c r="AO684" s="56">
        <f>IF(D684="M",WeightSDS!P$5*$AM684^7+WeightSDS!Q$5*$AM684^6+WeightSDS!R$5*$AM684^5+WeightSDS!S$5*$AM684^4+WeightSDS!T$5*$AM684^3+WeightSDS!U$5*$AM684^2+WeightSDS!V$5*$AM684+WeightSDS!W$5,IF($AM684&lt;186,WeightSDS!P$8*$AM684^7+WeightSDS!Q$8*$AM684^6+WeightSDS!R$8*$AM684^5+WeightSDS!S$8*$AM684^4+WeightSDS!T$8*$AM684^3+WeightSDS!U$8*$AM684^2+WeightSDS!V$8*$AM684+WeightSDS!W$8,WeightSDS!$U$9+WeightSDS!$V$9*($AM684-WeightSDS!$W$9)))</f>
        <v>0.75407122999999998</v>
      </c>
      <c r="AP684" s="4">
        <f>IF(D684="M",IF($AM684&lt;45,WeightSDS!M$23*$AM684^10+WeightSDS!N$23*$AM684^9+WeightSDS!O$23*$AM684^8+WeightSDS!P$23*$AM684^7+WeightSDS!Q$23*$AM684^6+WeightSDS!R$23*$AM684^5+WeightSDS!S$23*$AM684^4+WeightSDS!T$23*$AM684^3+WeightSDS!U$23*$AM684^2+WeightSDS!V$23*$AM684+WeightSDS!W$23,IF($AM684&lt;153,WeightSDS!M$25*$AM684^10+WeightSDS!N$25*$AM684^9+WeightSDS!O$25*$AM684^8+WeightSDS!P$25*$AM684^7+WeightSDS!Q$25*$AM684^6+WeightSDS!R$25*$AM684^5+WeightSDS!S$25*$AM684^4+WeightSDS!T$25*$AM684^3+WeightSDS!U$25*$AM684^2+WeightSDS!V$25*$AM684+WeightSDS!W$25,WeightSDS!M$27+WeightSDS!N$27/(1+EXP(WeightSDS!O$27+WeightSDS!P$27*$AM684)))),IF($AM684&lt;43.8,WeightSDS!M$29*$AM684^10+WeightSDS!N$29*$AM684^9+WeightSDS!O$29*$AM684^8+WeightSDS!P$29*$AM684^7+WeightSDS!Q$29*$AM684^6+WeightSDS!R$29*$AM684^5+WeightSDS!S$29*$AM684^4+WeightSDS!T$29*$AM684^3+WeightSDS!U$29*$AM684^2+WeightSDS!V$29*$AM684+WeightSDS!W$29-0.010431*(1-$AM684/210),IF($AM684&lt;123,WeightSDS!M$30*$AM684^10+WeightSDS!N$30*$AM684^9+WeightSDS!O$30*$AM684^8+WeightSDS!P$30*$AM684^7+WeightSDS!Q$30*$AM684^6+WeightSDS!R$30*$AM684^5+WeightSDS!S$30*$AM684^4+WeightSDS!T$30*$AM684^3+WeightSDS!U$30*$AM684^2+WeightSDS!V$30*$AM684+WeightSDS!W$30-0.010431*(1-1/$AM684),WeightSDS!M$32+WeightSDS!N$32/(1+EXP(WeightSDS!O$32+WeightSDS!P$32*$AM684))-0.010431*(1-$AM684/210))))</f>
        <v>2.9500001032655536</v>
      </c>
      <c r="AQ684" s="4">
        <f>IF(D684="M",IF($AM684&lt;162,WeightSDS!P$12*$AM684^7+WeightSDS!Q$12*$AM684^6+WeightSDS!R$12*$AM684^5+WeightSDS!S$12*$AM684^4+WeightSDS!T$12*$AM684^3+WeightSDS!U$12*$AM684^2+WeightSDS!V$12*$AM684+WeightSDS!W$12,WeightSDS!P$14*$AM684^7+WeightSDS!Q$14*$AM684^6+WeightSDS!R$14*$AM684^5+WeightSDS!S$14*$AM684^4+WeightSDS!T$14*$AM684^3+WeightSDS!U$14*$AM684^2+WeightSDS!V$14*$AM684+WeightSDS!W$14),IF($AM684&lt;156,WeightSDS!O$17*$AM684^8+WeightSDS!P$17*$AM684^7+WeightSDS!Q$17*$AM684^6+WeightSDS!R$17*$AM684^5+WeightSDS!S$17*$AM684^4+WeightSDS!T$17*$AM684^3+WeightSDS!U$17*$AM684^2+WeightSDS!V$17*$AM684+WeightSDS!W$17,IF($AM684&lt;186,WeightSDS!$U$18+(WeightSDS!$V$18-WeightSDS!$U$18)/24*($AM684-186)+WeightSDS!$W$18*(-$AM684+186)^2-0.005,WeightSDS!$U$18+(WeightSDS!$V$18-WeightSDS!$U$18)/24*($AM684-186)-0.005)))</f>
        <v>0.14604529399999999</v>
      </c>
      <c r="AT684" s="4">
        <f t="shared" si="217"/>
        <v>0.56299999999999994</v>
      </c>
      <c r="AU684" s="4">
        <f t="shared" si="218"/>
        <v>69</v>
      </c>
      <c r="AV684" s="4">
        <f t="shared" si="219"/>
        <v>0.51</v>
      </c>
    </row>
    <row r="685" spans="1:48" x14ac:dyDescent="0.15">
      <c r="A685" s="4"/>
      <c r="B685" s="21"/>
      <c r="C685" s="21"/>
      <c r="D685" s="21"/>
      <c r="E685" s="22"/>
      <c r="F685" s="22"/>
      <c r="G685" s="23"/>
      <c r="H685" s="23"/>
      <c r="I685" s="181"/>
      <c r="J685" s="8" t="str">
        <f t="shared" si="211"/>
        <v/>
      </c>
      <c r="K685" s="2" t="str">
        <f t="shared" si="220"/>
        <v/>
      </c>
      <c r="L685" s="2" t="str">
        <f t="shared" si="212"/>
        <v/>
      </c>
      <c r="M685" s="2" t="str">
        <f t="shared" si="221"/>
        <v/>
      </c>
      <c r="N685" s="2" t="str">
        <f t="shared" si="229"/>
        <v/>
      </c>
      <c r="O685" s="2" t="str">
        <f t="shared" si="222"/>
        <v/>
      </c>
      <c r="P685" s="8" t="str">
        <f t="shared" si="223"/>
        <v/>
      </c>
      <c r="Q685" s="8" t="str">
        <f t="shared" si="224"/>
        <v/>
      </c>
      <c r="R685" s="111" t="str">
        <f t="shared" si="225"/>
        <v/>
      </c>
      <c r="S685" s="44" t="str">
        <f t="shared" si="226"/>
        <v/>
      </c>
      <c r="T685" s="37" t="str">
        <f t="shared" si="227"/>
        <v/>
      </c>
      <c r="U685" s="44" t="str">
        <f t="shared" si="228"/>
        <v/>
      </c>
      <c r="V685" s="26"/>
      <c r="W685" s="26"/>
      <c r="X685" s="26"/>
      <c r="Y685" s="26"/>
      <c r="Z685" s="24"/>
      <c r="AA685" s="169">
        <f t="shared" si="213"/>
        <v>0</v>
      </c>
      <c r="AB685" s="4">
        <f t="shared" si="214"/>
        <v>0</v>
      </c>
      <c r="AC685" s="170">
        <f t="shared" si="231"/>
        <v>0</v>
      </c>
      <c r="AD685" s="58"/>
      <c r="AE685" s="58"/>
      <c r="AF685" s="58"/>
      <c r="AG685" s="59">
        <f t="shared" si="215"/>
        <v>9.0359999999999996</v>
      </c>
      <c r="AH685" s="59">
        <f t="shared" si="216"/>
        <v>-184.49199999999999</v>
      </c>
      <c r="AJ685" s="4">
        <f>IF(D685="M",IF(AM685&lt;78,BMILMS!$D$5*AM685^3+BMILMS!$E$5*AM685^2+BMILMS!$F$5*AM685+BMILMS!$G$5,IF(AM685&lt;150,BMILMS!$D$6*AM685^3+BMILMS!$E$6*AM685^2+BMILMS!$F$6*AM685+BMILMS!$G$6,BMILMS!$D$7*AM685^3+BMILMS!$E$7*AM685^2+BMILMS!$F$7*AM685+BMILMS!$G$7)),IF(AM685&lt;69,BMILMS!$D$9*AM685^3+BMILMS!$E$9*AM685^2+BMILMS!$F$9*AM685+BMILMS!$G$9,IF(AM685&lt;150,BMILMS!$D$10*AM685^3+BMILMS!$E$10*AM685^2+BMILMS!$F$10*AM685+BMILMS!$G$10,BMILMS!$D$11*AM685^3+BMILMS!$E$11*AM685^2+BMILMS!$F$11*AM685+BMILMS!$G$11)))</f>
        <v>0.79584630099999998</v>
      </c>
      <c r="AK685" s="4">
        <f>IF(D685="M",(IF(AM685&lt;2.5,BMILMS!$D$21*AM685^3+BMILMS!$E$21*AM685^2+BMILMS!$F$21*AM685+BMILMS!$G$21,IF(AM685&lt;9.5,BMILMS!$D$22*AM685^3+BMILMS!$E$22*AM685^2+BMILMS!$F$22*AM685+BMILMS!$G$22,IF(AM685&lt;26.75,BMILMS!$D$23*AM685^3+BMILMS!$E$23*AM685^2+BMILMS!$F$23*AM685+BMILMS!$G$23,IF(AM685&lt;90,BMILMS!$D$24*AM685^3+BMILMS!$E$24*AM685^2+BMILMS!$F$24*AM685+BMILMS!$G$24,BMILMS!$D$25*AM685^3+BMILMS!$E$25*AM685^2+BMILMS!$F$25*AM685+BMILMS!$G$25))))),(IF(AM685&lt;2.5,BMILMS!$D$27*AM685^3+BMILMS!$E$27*AM685^2+BMILMS!$F$27*AM685+BMILMS!$G$27,IF(AM685&lt;9.5,BMILMS!$D$28*AM685^3+BMILMS!$E$28*AM685^2+BMILMS!$F$28*AM685+BMILMS!$G$28,IF(AM685&lt;26.75,BMILMS!$D$29*AM685^3+BMILMS!$E$29*AM685^2+BMILMS!$F$29*AM685+BMILMS!$G$29,IF(AM685&lt;90,BMILMS!$D$30*AM685^3+BMILMS!$E$30*AM685^2+BMILMS!$F$30*AM685+BMILMS!$G$30,IF(AM685&lt;150,BMILMS!$D$31*AM685^3+BMILMS!$E$31*AM685^2+BMILMS!$F$31*AM685+BMILMS!$G$31,BMILMS!$D$32*AM685^3+BMILMS!$E$32*AM685^2+BMILMS!$F$32*AM685+BMILMS!$G$32)))))))</f>
        <v>12.568967990000001</v>
      </c>
      <c r="AL685" s="4">
        <f>IF(D685="M",(IF(AM685&lt;90,BMILMS!$D$14*AM685^3+BMILMS!$E$14*AM685^2+BMILMS!$F$14*AM685+BMILMS!$G$14,BMILMS!$D$15*AM685^3+BMILMS!$E$15*AM685^2+BMILMS!$F$15*AM685+BMILMS!$G$15)),(IF(AM685&lt;90,BMILMS!$D$17*AM685^3+BMILMS!$E$17*AM685^2+BMILMS!$F$17*AM685+BMILMS!$G$17,BMILMS!$D$18*AM685^3+BMILMS!$E$18*AM685^2+BMILMS!$F$18*AM685+BMILMS!$G$18)))</f>
        <v>8.8969350000000003E-2</v>
      </c>
      <c r="AM685" s="4">
        <f t="shared" si="230"/>
        <v>0</v>
      </c>
      <c r="AO685" s="56">
        <f>IF(D685="M",WeightSDS!P$5*$AM685^7+WeightSDS!Q$5*$AM685^6+WeightSDS!R$5*$AM685^5+WeightSDS!S$5*$AM685^4+WeightSDS!T$5*$AM685^3+WeightSDS!U$5*$AM685^2+WeightSDS!V$5*$AM685+WeightSDS!W$5,IF($AM685&lt;186,WeightSDS!P$8*$AM685^7+WeightSDS!Q$8*$AM685^6+WeightSDS!R$8*$AM685^5+WeightSDS!S$8*$AM685^4+WeightSDS!T$8*$AM685^3+WeightSDS!U$8*$AM685^2+WeightSDS!V$8*$AM685+WeightSDS!W$8,WeightSDS!$U$9+WeightSDS!$V$9*($AM685-WeightSDS!$W$9)))</f>
        <v>0.75407122999999998</v>
      </c>
      <c r="AP685" s="4">
        <f>IF(D685="M",IF($AM685&lt;45,WeightSDS!M$23*$AM685^10+WeightSDS!N$23*$AM685^9+WeightSDS!O$23*$AM685^8+WeightSDS!P$23*$AM685^7+WeightSDS!Q$23*$AM685^6+WeightSDS!R$23*$AM685^5+WeightSDS!S$23*$AM685^4+WeightSDS!T$23*$AM685^3+WeightSDS!U$23*$AM685^2+WeightSDS!V$23*$AM685+WeightSDS!W$23,IF($AM685&lt;153,WeightSDS!M$25*$AM685^10+WeightSDS!N$25*$AM685^9+WeightSDS!O$25*$AM685^8+WeightSDS!P$25*$AM685^7+WeightSDS!Q$25*$AM685^6+WeightSDS!R$25*$AM685^5+WeightSDS!S$25*$AM685^4+WeightSDS!T$25*$AM685^3+WeightSDS!U$25*$AM685^2+WeightSDS!V$25*$AM685+WeightSDS!W$25,WeightSDS!M$27+WeightSDS!N$27/(1+EXP(WeightSDS!O$27+WeightSDS!P$27*$AM685)))),IF($AM685&lt;43.8,WeightSDS!M$29*$AM685^10+WeightSDS!N$29*$AM685^9+WeightSDS!O$29*$AM685^8+WeightSDS!P$29*$AM685^7+WeightSDS!Q$29*$AM685^6+WeightSDS!R$29*$AM685^5+WeightSDS!S$29*$AM685^4+WeightSDS!T$29*$AM685^3+WeightSDS!U$29*$AM685^2+WeightSDS!V$29*$AM685+WeightSDS!W$29-0.010431*(1-$AM685/210),IF($AM685&lt;123,WeightSDS!M$30*$AM685^10+WeightSDS!N$30*$AM685^9+WeightSDS!O$30*$AM685^8+WeightSDS!P$30*$AM685^7+WeightSDS!Q$30*$AM685^6+WeightSDS!R$30*$AM685^5+WeightSDS!S$30*$AM685^4+WeightSDS!T$30*$AM685^3+WeightSDS!U$30*$AM685^2+WeightSDS!V$30*$AM685+WeightSDS!W$30-0.010431*(1-1/$AM685),WeightSDS!M$32+WeightSDS!N$32/(1+EXP(WeightSDS!O$32+WeightSDS!P$32*$AM685))-0.010431*(1-$AM685/210))))</f>
        <v>2.9500001032655536</v>
      </c>
      <c r="AQ685" s="4">
        <f>IF(D685="M",IF($AM685&lt;162,WeightSDS!P$12*$AM685^7+WeightSDS!Q$12*$AM685^6+WeightSDS!R$12*$AM685^5+WeightSDS!S$12*$AM685^4+WeightSDS!T$12*$AM685^3+WeightSDS!U$12*$AM685^2+WeightSDS!V$12*$AM685+WeightSDS!W$12,WeightSDS!P$14*$AM685^7+WeightSDS!Q$14*$AM685^6+WeightSDS!R$14*$AM685^5+WeightSDS!S$14*$AM685^4+WeightSDS!T$14*$AM685^3+WeightSDS!U$14*$AM685^2+WeightSDS!V$14*$AM685+WeightSDS!W$14),IF($AM685&lt;156,WeightSDS!O$17*$AM685^8+WeightSDS!P$17*$AM685^7+WeightSDS!Q$17*$AM685^6+WeightSDS!R$17*$AM685^5+WeightSDS!S$17*$AM685^4+WeightSDS!T$17*$AM685^3+WeightSDS!U$17*$AM685^2+WeightSDS!V$17*$AM685+WeightSDS!W$17,IF($AM685&lt;186,WeightSDS!$U$18+(WeightSDS!$V$18-WeightSDS!$U$18)/24*($AM685-186)+WeightSDS!$W$18*(-$AM685+186)^2-0.005,WeightSDS!$U$18+(WeightSDS!$V$18-WeightSDS!$U$18)/24*($AM685-186)-0.005)))</f>
        <v>0.14604529399999999</v>
      </c>
      <c r="AT685" s="4">
        <f t="shared" si="217"/>
        <v>0.56299999999999994</v>
      </c>
      <c r="AU685" s="4">
        <f t="shared" si="218"/>
        <v>69</v>
      </c>
      <c r="AV685" s="4">
        <f t="shared" si="219"/>
        <v>0.51</v>
      </c>
    </row>
    <row r="686" spans="1:48" x14ac:dyDescent="0.15">
      <c r="A686" s="4"/>
      <c r="B686" s="21"/>
      <c r="C686" s="21"/>
      <c r="D686" s="21"/>
      <c r="E686" s="22"/>
      <c r="F686" s="22"/>
      <c r="G686" s="23"/>
      <c r="H686" s="23"/>
      <c r="I686" s="181"/>
      <c r="J686" s="8" t="str">
        <f t="shared" si="211"/>
        <v/>
      </c>
      <c r="K686" s="2" t="str">
        <f t="shared" si="220"/>
        <v/>
      </c>
      <c r="L686" s="2" t="str">
        <f t="shared" si="212"/>
        <v/>
      </c>
      <c r="M686" s="2" t="str">
        <f t="shared" si="221"/>
        <v/>
      </c>
      <c r="N686" s="2" t="str">
        <f t="shared" si="229"/>
        <v/>
      </c>
      <c r="O686" s="2" t="str">
        <f t="shared" si="222"/>
        <v/>
      </c>
      <c r="P686" s="8" t="str">
        <f t="shared" si="223"/>
        <v/>
      </c>
      <c r="Q686" s="8" t="str">
        <f t="shared" si="224"/>
        <v/>
      </c>
      <c r="R686" s="111" t="str">
        <f t="shared" si="225"/>
        <v/>
      </c>
      <c r="S686" s="44" t="str">
        <f t="shared" si="226"/>
        <v/>
      </c>
      <c r="T686" s="37" t="str">
        <f t="shared" si="227"/>
        <v/>
      </c>
      <c r="U686" s="44" t="str">
        <f t="shared" si="228"/>
        <v/>
      </c>
      <c r="V686" s="26"/>
      <c r="W686" s="26"/>
      <c r="X686" s="26"/>
      <c r="Y686" s="26"/>
      <c r="Z686" s="24"/>
      <c r="AA686" s="169">
        <f t="shared" si="213"/>
        <v>0</v>
      </c>
      <c r="AB686" s="4">
        <f t="shared" si="214"/>
        <v>0</v>
      </c>
      <c r="AC686" s="170">
        <f t="shared" si="231"/>
        <v>0</v>
      </c>
      <c r="AD686" s="58"/>
      <c r="AE686" s="58"/>
      <c r="AF686" s="58"/>
      <c r="AG686" s="59">
        <f t="shared" si="215"/>
        <v>9.0359999999999996</v>
      </c>
      <c r="AH686" s="59">
        <f t="shared" si="216"/>
        <v>-184.49199999999999</v>
      </c>
      <c r="AJ686" s="4">
        <f>IF(D686="M",IF(AM686&lt;78,BMILMS!$D$5*AM686^3+BMILMS!$E$5*AM686^2+BMILMS!$F$5*AM686+BMILMS!$G$5,IF(AM686&lt;150,BMILMS!$D$6*AM686^3+BMILMS!$E$6*AM686^2+BMILMS!$F$6*AM686+BMILMS!$G$6,BMILMS!$D$7*AM686^3+BMILMS!$E$7*AM686^2+BMILMS!$F$7*AM686+BMILMS!$G$7)),IF(AM686&lt;69,BMILMS!$D$9*AM686^3+BMILMS!$E$9*AM686^2+BMILMS!$F$9*AM686+BMILMS!$G$9,IF(AM686&lt;150,BMILMS!$D$10*AM686^3+BMILMS!$E$10*AM686^2+BMILMS!$F$10*AM686+BMILMS!$G$10,BMILMS!$D$11*AM686^3+BMILMS!$E$11*AM686^2+BMILMS!$F$11*AM686+BMILMS!$G$11)))</f>
        <v>0.79584630099999998</v>
      </c>
      <c r="AK686" s="4">
        <f>IF(D686="M",(IF(AM686&lt;2.5,BMILMS!$D$21*AM686^3+BMILMS!$E$21*AM686^2+BMILMS!$F$21*AM686+BMILMS!$G$21,IF(AM686&lt;9.5,BMILMS!$D$22*AM686^3+BMILMS!$E$22*AM686^2+BMILMS!$F$22*AM686+BMILMS!$G$22,IF(AM686&lt;26.75,BMILMS!$D$23*AM686^3+BMILMS!$E$23*AM686^2+BMILMS!$F$23*AM686+BMILMS!$G$23,IF(AM686&lt;90,BMILMS!$D$24*AM686^3+BMILMS!$E$24*AM686^2+BMILMS!$F$24*AM686+BMILMS!$G$24,BMILMS!$D$25*AM686^3+BMILMS!$E$25*AM686^2+BMILMS!$F$25*AM686+BMILMS!$G$25))))),(IF(AM686&lt;2.5,BMILMS!$D$27*AM686^3+BMILMS!$E$27*AM686^2+BMILMS!$F$27*AM686+BMILMS!$G$27,IF(AM686&lt;9.5,BMILMS!$D$28*AM686^3+BMILMS!$E$28*AM686^2+BMILMS!$F$28*AM686+BMILMS!$G$28,IF(AM686&lt;26.75,BMILMS!$D$29*AM686^3+BMILMS!$E$29*AM686^2+BMILMS!$F$29*AM686+BMILMS!$G$29,IF(AM686&lt;90,BMILMS!$D$30*AM686^3+BMILMS!$E$30*AM686^2+BMILMS!$F$30*AM686+BMILMS!$G$30,IF(AM686&lt;150,BMILMS!$D$31*AM686^3+BMILMS!$E$31*AM686^2+BMILMS!$F$31*AM686+BMILMS!$G$31,BMILMS!$D$32*AM686^3+BMILMS!$E$32*AM686^2+BMILMS!$F$32*AM686+BMILMS!$G$32)))))))</f>
        <v>12.568967990000001</v>
      </c>
      <c r="AL686" s="4">
        <f>IF(D686="M",(IF(AM686&lt;90,BMILMS!$D$14*AM686^3+BMILMS!$E$14*AM686^2+BMILMS!$F$14*AM686+BMILMS!$G$14,BMILMS!$D$15*AM686^3+BMILMS!$E$15*AM686^2+BMILMS!$F$15*AM686+BMILMS!$G$15)),(IF(AM686&lt;90,BMILMS!$D$17*AM686^3+BMILMS!$E$17*AM686^2+BMILMS!$F$17*AM686+BMILMS!$G$17,BMILMS!$D$18*AM686^3+BMILMS!$E$18*AM686^2+BMILMS!$F$18*AM686+BMILMS!$G$18)))</f>
        <v>8.8969350000000003E-2</v>
      </c>
      <c r="AM686" s="4">
        <f t="shared" si="230"/>
        <v>0</v>
      </c>
      <c r="AO686" s="56">
        <f>IF(D686="M",WeightSDS!P$5*$AM686^7+WeightSDS!Q$5*$AM686^6+WeightSDS!R$5*$AM686^5+WeightSDS!S$5*$AM686^4+WeightSDS!T$5*$AM686^3+WeightSDS!U$5*$AM686^2+WeightSDS!V$5*$AM686+WeightSDS!W$5,IF($AM686&lt;186,WeightSDS!P$8*$AM686^7+WeightSDS!Q$8*$AM686^6+WeightSDS!R$8*$AM686^5+WeightSDS!S$8*$AM686^4+WeightSDS!T$8*$AM686^3+WeightSDS!U$8*$AM686^2+WeightSDS!V$8*$AM686+WeightSDS!W$8,WeightSDS!$U$9+WeightSDS!$V$9*($AM686-WeightSDS!$W$9)))</f>
        <v>0.75407122999999998</v>
      </c>
      <c r="AP686" s="4">
        <f>IF(D686="M",IF($AM686&lt;45,WeightSDS!M$23*$AM686^10+WeightSDS!N$23*$AM686^9+WeightSDS!O$23*$AM686^8+WeightSDS!P$23*$AM686^7+WeightSDS!Q$23*$AM686^6+WeightSDS!R$23*$AM686^5+WeightSDS!S$23*$AM686^4+WeightSDS!T$23*$AM686^3+WeightSDS!U$23*$AM686^2+WeightSDS!V$23*$AM686+WeightSDS!W$23,IF($AM686&lt;153,WeightSDS!M$25*$AM686^10+WeightSDS!N$25*$AM686^9+WeightSDS!O$25*$AM686^8+WeightSDS!P$25*$AM686^7+WeightSDS!Q$25*$AM686^6+WeightSDS!R$25*$AM686^5+WeightSDS!S$25*$AM686^4+WeightSDS!T$25*$AM686^3+WeightSDS!U$25*$AM686^2+WeightSDS!V$25*$AM686+WeightSDS!W$25,WeightSDS!M$27+WeightSDS!N$27/(1+EXP(WeightSDS!O$27+WeightSDS!P$27*$AM686)))),IF($AM686&lt;43.8,WeightSDS!M$29*$AM686^10+WeightSDS!N$29*$AM686^9+WeightSDS!O$29*$AM686^8+WeightSDS!P$29*$AM686^7+WeightSDS!Q$29*$AM686^6+WeightSDS!R$29*$AM686^5+WeightSDS!S$29*$AM686^4+WeightSDS!T$29*$AM686^3+WeightSDS!U$29*$AM686^2+WeightSDS!V$29*$AM686+WeightSDS!W$29-0.010431*(1-$AM686/210),IF($AM686&lt;123,WeightSDS!M$30*$AM686^10+WeightSDS!N$30*$AM686^9+WeightSDS!O$30*$AM686^8+WeightSDS!P$30*$AM686^7+WeightSDS!Q$30*$AM686^6+WeightSDS!R$30*$AM686^5+WeightSDS!S$30*$AM686^4+WeightSDS!T$30*$AM686^3+WeightSDS!U$30*$AM686^2+WeightSDS!V$30*$AM686+WeightSDS!W$30-0.010431*(1-1/$AM686),WeightSDS!M$32+WeightSDS!N$32/(1+EXP(WeightSDS!O$32+WeightSDS!P$32*$AM686))-0.010431*(1-$AM686/210))))</f>
        <v>2.9500001032655536</v>
      </c>
      <c r="AQ686" s="4">
        <f>IF(D686="M",IF($AM686&lt;162,WeightSDS!P$12*$AM686^7+WeightSDS!Q$12*$AM686^6+WeightSDS!R$12*$AM686^5+WeightSDS!S$12*$AM686^4+WeightSDS!T$12*$AM686^3+WeightSDS!U$12*$AM686^2+WeightSDS!V$12*$AM686+WeightSDS!W$12,WeightSDS!P$14*$AM686^7+WeightSDS!Q$14*$AM686^6+WeightSDS!R$14*$AM686^5+WeightSDS!S$14*$AM686^4+WeightSDS!T$14*$AM686^3+WeightSDS!U$14*$AM686^2+WeightSDS!V$14*$AM686+WeightSDS!W$14),IF($AM686&lt;156,WeightSDS!O$17*$AM686^8+WeightSDS!P$17*$AM686^7+WeightSDS!Q$17*$AM686^6+WeightSDS!R$17*$AM686^5+WeightSDS!S$17*$AM686^4+WeightSDS!T$17*$AM686^3+WeightSDS!U$17*$AM686^2+WeightSDS!V$17*$AM686+WeightSDS!W$17,IF($AM686&lt;186,WeightSDS!$U$18+(WeightSDS!$V$18-WeightSDS!$U$18)/24*($AM686-186)+WeightSDS!$W$18*(-$AM686+186)^2-0.005,WeightSDS!$U$18+(WeightSDS!$V$18-WeightSDS!$U$18)/24*($AM686-186)-0.005)))</f>
        <v>0.14604529399999999</v>
      </c>
      <c r="AT686" s="4">
        <f t="shared" si="217"/>
        <v>0.56299999999999994</v>
      </c>
      <c r="AU686" s="4">
        <f t="shared" si="218"/>
        <v>69</v>
      </c>
      <c r="AV686" s="4">
        <f t="shared" si="219"/>
        <v>0.51</v>
      </c>
    </row>
    <row r="687" spans="1:48" x14ac:dyDescent="0.15">
      <c r="A687" s="4"/>
      <c r="B687" s="21"/>
      <c r="C687" s="21"/>
      <c r="D687" s="21"/>
      <c r="E687" s="22"/>
      <c r="F687" s="22"/>
      <c r="G687" s="23"/>
      <c r="H687" s="23"/>
      <c r="I687" s="181"/>
      <c r="J687" s="8" t="str">
        <f t="shared" si="211"/>
        <v/>
      </c>
      <c r="K687" s="2" t="str">
        <f t="shared" si="220"/>
        <v/>
      </c>
      <c r="L687" s="2" t="str">
        <f t="shared" si="212"/>
        <v/>
      </c>
      <c r="M687" s="2" t="str">
        <f t="shared" si="221"/>
        <v/>
      </c>
      <c r="N687" s="2" t="str">
        <f t="shared" si="229"/>
        <v/>
      </c>
      <c r="O687" s="2" t="str">
        <f t="shared" si="222"/>
        <v/>
      </c>
      <c r="P687" s="8" t="str">
        <f t="shared" si="223"/>
        <v/>
      </c>
      <c r="Q687" s="8" t="str">
        <f t="shared" si="224"/>
        <v/>
      </c>
      <c r="R687" s="111" t="str">
        <f t="shared" si="225"/>
        <v/>
      </c>
      <c r="S687" s="44" t="str">
        <f t="shared" si="226"/>
        <v/>
      </c>
      <c r="T687" s="37" t="str">
        <f t="shared" si="227"/>
        <v/>
      </c>
      <c r="U687" s="44" t="str">
        <f t="shared" si="228"/>
        <v/>
      </c>
      <c r="V687" s="26"/>
      <c r="W687" s="26"/>
      <c r="X687" s="26"/>
      <c r="Y687" s="26"/>
      <c r="Z687" s="24"/>
      <c r="AA687" s="169">
        <f t="shared" si="213"/>
        <v>0</v>
      </c>
      <c r="AB687" s="4">
        <f t="shared" si="214"/>
        <v>0</v>
      </c>
      <c r="AC687" s="170">
        <f t="shared" si="231"/>
        <v>0</v>
      </c>
      <c r="AD687" s="58"/>
      <c r="AE687" s="58"/>
      <c r="AF687" s="58"/>
      <c r="AG687" s="59">
        <f t="shared" si="215"/>
        <v>9.0359999999999996</v>
      </c>
      <c r="AH687" s="59">
        <f t="shared" si="216"/>
        <v>-184.49199999999999</v>
      </c>
      <c r="AJ687" s="4">
        <f>IF(D687="M",IF(AM687&lt;78,BMILMS!$D$5*AM687^3+BMILMS!$E$5*AM687^2+BMILMS!$F$5*AM687+BMILMS!$G$5,IF(AM687&lt;150,BMILMS!$D$6*AM687^3+BMILMS!$E$6*AM687^2+BMILMS!$F$6*AM687+BMILMS!$G$6,BMILMS!$D$7*AM687^3+BMILMS!$E$7*AM687^2+BMILMS!$F$7*AM687+BMILMS!$G$7)),IF(AM687&lt;69,BMILMS!$D$9*AM687^3+BMILMS!$E$9*AM687^2+BMILMS!$F$9*AM687+BMILMS!$G$9,IF(AM687&lt;150,BMILMS!$D$10*AM687^3+BMILMS!$E$10*AM687^2+BMILMS!$F$10*AM687+BMILMS!$G$10,BMILMS!$D$11*AM687^3+BMILMS!$E$11*AM687^2+BMILMS!$F$11*AM687+BMILMS!$G$11)))</f>
        <v>0.79584630099999998</v>
      </c>
      <c r="AK687" s="4">
        <f>IF(D687="M",(IF(AM687&lt;2.5,BMILMS!$D$21*AM687^3+BMILMS!$E$21*AM687^2+BMILMS!$F$21*AM687+BMILMS!$G$21,IF(AM687&lt;9.5,BMILMS!$D$22*AM687^3+BMILMS!$E$22*AM687^2+BMILMS!$F$22*AM687+BMILMS!$G$22,IF(AM687&lt;26.75,BMILMS!$D$23*AM687^3+BMILMS!$E$23*AM687^2+BMILMS!$F$23*AM687+BMILMS!$G$23,IF(AM687&lt;90,BMILMS!$D$24*AM687^3+BMILMS!$E$24*AM687^2+BMILMS!$F$24*AM687+BMILMS!$G$24,BMILMS!$D$25*AM687^3+BMILMS!$E$25*AM687^2+BMILMS!$F$25*AM687+BMILMS!$G$25))))),(IF(AM687&lt;2.5,BMILMS!$D$27*AM687^3+BMILMS!$E$27*AM687^2+BMILMS!$F$27*AM687+BMILMS!$G$27,IF(AM687&lt;9.5,BMILMS!$D$28*AM687^3+BMILMS!$E$28*AM687^2+BMILMS!$F$28*AM687+BMILMS!$G$28,IF(AM687&lt;26.75,BMILMS!$D$29*AM687^3+BMILMS!$E$29*AM687^2+BMILMS!$F$29*AM687+BMILMS!$G$29,IF(AM687&lt;90,BMILMS!$D$30*AM687^3+BMILMS!$E$30*AM687^2+BMILMS!$F$30*AM687+BMILMS!$G$30,IF(AM687&lt;150,BMILMS!$D$31*AM687^3+BMILMS!$E$31*AM687^2+BMILMS!$F$31*AM687+BMILMS!$G$31,BMILMS!$D$32*AM687^3+BMILMS!$E$32*AM687^2+BMILMS!$F$32*AM687+BMILMS!$G$32)))))))</f>
        <v>12.568967990000001</v>
      </c>
      <c r="AL687" s="4">
        <f>IF(D687="M",(IF(AM687&lt;90,BMILMS!$D$14*AM687^3+BMILMS!$E$14*AM687^2+BMILMS!$F$14*AM687+BMILMS!$G$14,BMILMS!$D$15*AM687^3+BMILMS!$E$15*AM687^2+BMILMS!$F$15*AM687+BMILMS!$G$15)),(IF(AM687&lt;90,BMILMS!$D$17*AM687^3+BMILMS!$E$17*AM687^2+BMILMS!$F$17*AM687+BMILMS!$G$17,BMILMS!$D$18*AM687^3+BMILMS!$E$18*AM687^2+BMILMS!$F$18*AM687+BMILMS!$G$18)))</f>
        <v>8.8969350000000003E-2</v>
      </c>
      <c r="AM687" s="4">
        <f t="shared" si="230"/>
        <v>0</v>
      </c>
      <c r="AO687" s="56">
        <f>IF(D687="M",WeightSDS!P$5*$AM687^7+WeightSDS!Q$5*$AM687^6+WeightSDS!R$5*$AM687^5+WeightSDS!S$5*$AM687^4+WeightSDS!T$5*$AM687^3+WeightSDS!U$5*$AM687^2+WeightSDS!V$5*$AM687+WeightSDS!W$5,IF($AM687&lt;186,WeightSDS!P$8*$AM687^7+WeightSDS!Q$8*$AM687^6+WeightSDS!R$8*$AM687^5+WeightSDS!S$8*$AM687^4+WeightSDS!T$8*$AM687^3+WeightSDS!U$8*$AM687^2+WeightSDS!V$8*$AM687+WeightSDS!W$8,WeightSDS!$U$9+WeightSDS!$V$9*($AM687-WeightSDS!$W$9)))</f>
        <v>0.75407122999999998</v>
      </c>
      <c r="AP687" s="4">
        <f>IF(D687="M",IF($AM687&lt;45,WeightSDS!M$23*$AM687^10+WeightSDS!N$23*$AM687^9+WeightSDS!O$23*$AM687^8+WeightSDS!P$23*$AM687^7+WeightSDS!Q$23*$AM687^6+WeightSDS!R$23*$AM687^5+WeightSDS!S$23*$AM687^4+WeightSDS!T$23*$AM687^3+WeightSDS!U$23*$AM687^2+WeightSDS!V$23*$AM687+WeightSDS!W$23,IF($AM687&lt;153,WeightSDS!M$25*$AM687^10+WeightSDS!N$25*$AM687^9+WeightSDS!O$25*$AM687^8+WeightSDS!P$25*$AM687^7+WeightSDS!Q$25*$AM687^6+WeightSDS!R$25*$AM687^5+WeightSDS!S$25*$AM687^4+WeightSDS!T$25*$AM687^3+WeightSDS!U$25*$AM687^2+WeightSDS!V$25*$AM687+WeightSDS!W$25,WeightSDS!M$27+WeightSDS!N$27/(1+EXP(WeightSDS!O$27+WeightSDS!P$27*$AM687)))),IF($AM687&lt;43.8,WeightSDS!M$29*$AM687^10+WeightSDS!N$29*$AM687^9+WeightSDS!O$29*$AM687^8+WeightSDS!P$29*$AM687^7+WeightSDS!Q$29*$AM687^6+WeightSDS!R$29*$AM687^5+WeightSDS!S$29*$AM687^4+WeightSDS!T$29*$AM687^3+WeightSDS!U$29*$AM687^2+WeightSDS!V$29*$AM687+WeightSDS!W$29-0.010431*(1-$AM687/210),IF($AM687&lt;123,WeightSDS!M$30*$AM687^10+WeightSDS!N$30*$AM687^9+WeightSDS!O$30*$AM687^8+WeightSDS!P$30*$AM687^7+WeightSDS!Q$30*$AM687^6+WeightSDS!R$30*$AM687^5+WeightSDS!S$30*$AM687^4+WeightSDS!T$30*$AM687^3+WeightSDS!U$30*$AM687^2+WeightSDS!V$30*$AM687+WeightSDS!W$30-0.010431*(1-1/$AM687),WeightSDS!M$32+WeightSDS!N$32/(1+EXP(WeightSDS!O$32+WeightSDS!P$32*$AM687))-0.010431*(1-$AM687/210))))</f>
        <v>2.9500001032655536</v>
      </c>
      <c r="AQ687" s="4">
        <f>IF(D687="M",IF($AM687&lt;162,WeightSDS!P$12*$AM687^7+WeightSDS!Q$12*$AM687^6+WeightSDS!R$12*$AM687^5+WeightSDS!S$12*$AM687^4+WeightSDS!T$12*$AM687^3+WeightSDS!U$12*$AM687^2+WeightSDS!V$12*$AM687+WeightSDS!W$12,WeightSDS!P$14*$AM687^7+WeightSDS!Q$14*$AM687^6+WeightSDS!R$14*$AM687^5+WeightSDS!S$14*$AM687^4+WeightSDS!T$14*$AM687^3+WeightSDS!U$14*$AM687^2+WeightSDS!V$14*$AM687+WeightSDS!W$14),IF($AM687&lt;156,WeightSDS!O$17*$AM687^8+WeightSDS!P$17*$AM687^7+WeightSDS!Q$17*$AM687^6+WeightSDS!R$17*$AM687^5+WeightSDS!S$17*$AM687^4+WeightSDS!T$17*$AM687^3+WeightSDS!U$17*$AM687^2+WeightSDS!V$17*$AM687+WeightSDS!W$17,IF($AM687&lt;186,WeightSDS!$U$18+(WeightSDS!$V$18-WeightSDS!$U$18)/24*($AM687-186)+WeightSDS!$W$18*(-$AM687+186)^2-0.005,WeightSDS!$U$18+(WeightSDS!$V$18-WeightSDS!$U$18)/24*($AM687-186)-0.005)))</f>
        <v>0.14604529399999999</v>
      </c>
      <c r="AT687" s="4">
        <f t="shared" si="217"/>
        <v>0.56299999999999994</v>
      </c>
      <c r="AU687" s="4">
        <f t="shared" si="218"/>
        <v>69</v>
      </c>
      <c r="AV687" s="4">
        <f t="shared" si="219"/>
        <v>0.51</v>
      </c>
    </row>
    <row r="688" spans="1:48" x14ac:dyDescent="0.15">
      <c r="A688" s="4"/>
      <c r="B688" s="21"/>
      <c r="C688" s="21"/>
      <c r="D688" s="21"/>
      <c r="E688" s="22"/>
      <c r="F688" s="22"/>
      <c r="G688" s="23"/>
      <c r="H688" s="23"/>
      <c r="I688" s="181"/>
      <c r="J688" s="8" t="str">
        <f t="shared" si="211"/>
        <v/>
      </c>
      <c r="K688" s="2" t="str">
        <f t="shared" si="220"/>
        <v/>
      </c>
      <c r="L688" s="2" t="str">
        <f t="shared" si="212"/>
        <v/>
      </c>
      <c r="M688" s="2" t="str">
        <f t="shared" si="221"/>
        <v/>
      </c>
      <c r="N688" s="2" t="str">
        <f t="shared" si="229"/>
        <v/>
      </c>
      <c r="O688" s="2" t="str">
        <f t="shared" si="222"/>
        <v/>
      </c>
      <c r="P688" s="8" t="str">
        <f t="shared" si="223"/>
        <v/>
      </c>
      <c r="Q688" s="8" t="str">
        <f t="shared" si="224"/>
        <v/>
      </c>
      <c r="R688" s="111" t="str">
        <f t="shared" si="225"/>
        <v/>
      </c>
      <c r="S688" s="44" t="str">
        <f t="shared" si="226"/>
        <v/>
      </c>
      <c r="T688" s="37" t="str">
        <f t="shared" si="227"/>
        <v/>
      </c>
      <c r="U688" s="44" t="str">
        <f t="shared" si="228"/>
        <v/>
      </c>
      <c r="V688" s="26"/>
      <c r="W688" s="26"/>
      <c r="X688" s="26"/>
      <c r="Y688" s="26"/>
      <c r="Z688" s="24"/>
      <c r="AA688" s="169">
        <f t="shared" si="213"/>
        <v>0</v>
      </c>
      <c r="AB688" s="4">
        <f t="shared" si="214"/>
        <v>0</v>
      </c>
      <c r="AC688" s="170">
        <f t="shared" si="231"/>
        <v>0</v>
      </c>
      <c r="AD688" s="58"/>
      <c r="AE688" s="58"/>
      <c r="AF688" s="58"/>
      <c r="AG688" s="59">
        <f t="shared" si="215"/>
        <v>9.0359999999999996</v>
      </c>
      <c r="AH688" s="59">
        <f t="shared" si="216"/>
        <v>-184.49199999999999</v>
      </c>
      <c r="AJ688" s="4">
        <f>IF(D688="M",IF(AM688&lt;78,BMILMS!$D$5*AM688^3+BMILMS!$E$5*AM688^2+BMILMS!$F$5*AM688+BMILMS!$G$5,IF(AM688&lt;150,BMILMS!$D$6*AM688^3+BMILMS!$E$6*AM688^2+BMILMS!$F$6*AM688+BMILMS!$G$6,BMILMS!$D$7*AM688^3+BMILMS!$E$7*AM688^2+BMILMS!$F$7*AM688+BMILMS!$G$7)),IF(AM688&lt;69,BMILMS!$D$9*AM688^3+BMILMS!$E$9*AM688^2+BMILMS!$F$9*AM688+BMILMS!$G$9,IF(AM688&lt;150,BMILMS!$D$10*AM688^3+BMILMS!$E$10*AM688^2+BMILMS!$F$10*AM688+BMILMS!$G$10,BMILMS!$D$11*AM688^3+BMILMS!$E$11*AM688^2+BMILMS!$F$11*AM688+BMILMS!$G$11)))</f>
        <v>0.79584630099999998</v>
      </c>
      <c r="AK688" s="4">
        <f>IF(D688="M",(IF(AM688&lt;2.5,BMILMS!$D$21*AM688^3+BMILMS!$E$21*AM688^2+BMILMS!$F$21*AM688+BMILMS!$G$21,IF(AM688&lt;9.5,BMILMS!$D$22*AM688^3+BMILMS!$E$22*AM688^2+BMILMS!$F$22*AM688+BMILMS!$G$22,IF(AM688&lt;26.75,BMILMS!$D$23*AM688^3+BMILMS!$E$23*AM688^2+BMILMS!$F$23*AM688+BMILMS!$G$23,IF(AM688&lt;90,BMILMS!$D$24*AM688^3+BMILMS!$E$24*AM688^2+BMILMS!$F$24*AM688+BMILMS!$G$24,BMILMS!$D$25*AM688^3+BMILMS!$E$25*AM688^2+BMILMS!$F$25*AM688+BMILMS!$G$25))))),(IF(AM688&lt;2.5,BMILMS!$D$27*AM688^3+BMILMS!$E$27*AM688^2+BMILMS!$F$27*AM688+BMILMS!$G$27,IF(AM688&lt;9.5,BMILMS!$D$28*AM688^3+BMILMS!$E$28*AM688^2+BMILMS!$F$28*AM688+BMILMS!$G$28,IF(AM688&lt;26.75,BMILMS!$D$29*AM688^3+BMILMS!$E$29*AM688^2+BMILMS!$F$29*AM688+BMILMS!$G$29,IF(AM688&lt;90,BMILMS!$D$30*AM688^3+BMILMS!$E$30*AM688^2+BMILMS!$F$30*AM688+BMILMS!$G$30,IF(AM688&lt;150,BMILMS!$D$31*AM688^3+BMILMS!$E$31*AM688^2+BMILMS!$F$31*AM688+BMILMS!$G$31,BMILMS!$D$32*AM688^3+BMILMS!$E$32*AM688^2+BMILMS!$F$32*AM688+BMILMS!$G$32)))))))</f>
        <v>12.568967990000001</v>
      </c>
      <c r="AL688" s="4">
        <f>IF(D688="M",(IF(AM688&lt;90,BMILMS!$D$14*AM688^3+BMILMS!$E$14*AM688^2+BMILMS!$F$14*AM688+BMILMS!$G$14,BMILMS!$D$15*AM688^3+BMILMS!$E$15*AM688^2+BMILMS!$F$15*AM688+BMILMS!$G$15)),(IF(AM688&lt;90,BMILMS!$D$17*AM688^3+BMILMS!$E$17*AM688^2+BMILMS!$F$17*AM688+BMILMS!$G$17,BMILMS!$D$18*AM688^3+BMILMS!$E$18*AM688^2+BMILMS!$F$18*AM688+BMILMS!$G$18)))</f>
        <v>8.8969350000000003E-2</v>
      </c>
      <c r="AM688" s="4">
        <f t="shared" si="230"/>
        <v>0</v>
      </c>
      <c r="AO688" s="56">
        <f>IF(D688="M",WeightSDS!P$5*$AM688^7+WeightSDS!Q$5*$AM688^6+WeightSDS!R$5*$AM688^5+WeightSDS!S$5*$AM688^4+WeightSDS!T$5*$AM688^3+WeightSDS!U$5*$AM688^2+WeightSDS!V$5*$AM688+WeightSDS!W$5,IF($AM688&lt;186,WeightSDS!P$8*$AM688^7+WeightSDS!Q$8*$AM688^6+WeightSDS!R$8*$AM688^5+WeightSDS!S$8*$AM688^4+WeightSDS!T$8*$AM688^3+WeightSDS!U$8*$AM688^2+WeightSDS!V$8*$AM688+WeightSDS!W$8,WeightSDS!$U$9+WeightSDS!$V$9*($AM688-WeightSDS!$W$9)))</f>
        <v>0.75407122999999998</v>
      </c>
      <c r="AP688" s="4">
        <f>IF(D688="M",IF($AM688&lt;45,WeightSDS!M$23*$AM688^10+WeightSDS!N$23*$AM688^9+WeightSDS!O$23*$AM688^8+WeightSDS!P$23*$AM688^7+WeightSDS!Q$23*$AM688^6+WeightSDS!R$23*$AM688^5+WeightSDS!S$23*$AM688^4+WeightSDS!T$23*$AM688^3+WeightSDS!U$23*$AM688^2+WeightSDS!V$23*$AM688+WeightSDS!W$23,IF($AM688&lt;153,WeightSDS!M$25*$AM688^10+WeightSDS!N$25*$AM688^9+WeightSDS!O$25*$AM688^8+WeightSDS!P$25*$AM688^7+WeightSDS!Q$25*$AM688^6+WeightSDS!R$25*$AM688^5+WeightSDS!S$25*$AM688^4+WeightSDS!T$25*$AM688^3+WeightSDS!U$25*$AM688^2+WeightSDS!V$25*$AM688+WeightSDS!W$25,WeightSDS!M$27+WeightSDS!N$27/(1+EXP(WeightSDS!O$27+WeightSDS!P$27*$AM688)))),IF($AM688&lt;43.8,WeightSDS!M$29*$AM688^10+WeightSDS!N$29*$AM688^9+WeightSDS!O$29*$AM688^8+WeightSDS!P$29*$AM688^7+WeightSDS!Q$29*$AM688^6+WeightSDS!R$29*$AM688^5+WeightSDS!S$29*$AM688^4+WeightSDS!T$29*$AM688^3+WeightSDS!U$29*$AM688^2+WeightSDS!V$29*$AM688+WeightSDS!W$29-0.010431*(1-$AM688/210),IF($AM688&lt;123,WeightSDS!M$30*$AM688^10+WeightSDS!N$30*$AM688^9+WeightSDS!O$30*$AM688^8+WeightSDS!P$30*$AM688^7+WeightSDS!Q$30*$AM688^6+WeightSDS!R$30*$AM688^5+WeightSDS!S$30*$AM688^4+WeightSDS!T$30*$AM688^3+WeightSDS!U$30*$AM688^2+WeightSDS!V$30*$AM688+WeightSDS!W$30-0.010431*(1-1/$AM688),WeightSDS!M$32+WeightSDS!N$32/(1+EXP(WeightSDS!O$32+WeightSDS!P$32*$AM688))-0.010431*(1-$AM688/210))))</f>
        <v>2.9500001032655536</v>
      </c>
      <c r="AQ688" s="4">
        <f>IF(D688="M",IF($AM688&lt;162,WeightSDS!P$12*$AM688^7+WeightSDS!Q$12*$AM688^6+WeightSDS!R$12*$AM688^5+WeightSDS!S$12*$AM688^4+WeightSDS!T$12*$AM688^3+WeightSDS!U$12*$AM688^2+WeightSDS!V$12*$AM688+WeightSDS!W$12,WeightSDS!P$14*$AM688^7+WeightSDS!Q$14*$AM688^6+WeightSDS!R$14*$AM688^5+WeightSDS!S$14*$AM688^4+WeightSDS!T$14*$AM688^3+WeightSDS!U$14*$AM688^2+WeightSDS!V$14*$AM688+WeightSDS!W$14),IF($AM688&lt;156,WeightSDS!O$17*$AM688^8+WeightSDS!P$17*$AM688^7+WeightSDS!Q$17*$AM688^6+WeightSDS!R$17*$AM688^5+WeightSDS!S$17*$AM688^4+WeightSDS!T$17*$AM688^3+WeightSDS!U$17*$AM688^2+WeightSDS!V$17*$AM688+WeightSDS!W$17,IF($AM688&lt;186,WeightSDS!$U$18+(WeightSDS!$V$18-WeightSDS!$U$18)/24*($AM688-186)+WeightSDS!$W$18*(-$AM688+186)^2-0.005,WeightSDS!$U$18+(WeightSDS!$V$18-WeightSDS!$U$18)/24*($AM688-186)-0.005)))</f>
        <v>0.14604529399999999</v>
      </c>
      <c r="AT688" s="4">
        <f t="shared" si="217"/>
        <v>0.56299999999999994</v>
      </c>
      <c r="AU688" s="4">
        <f t="shared" si="218"/>
        <v>69</v>
      </c>
      <c r="AV688" s="4">
        <f t="shared" si="219"/>
        <v>0.51</v>
      </c>
    </row>
    <row r="689" spans="1:48" x14ac:dyDescent="0.15">
      <c r="A689" s="4"/>
      <c r="B689" s="21"/>
      <c r="C689" s="21"/>
      <c r="D689" s="21"/>
      <c r="E689" s="22"/>
      <c r="F689" s="22"/>
      <c r="G689" s="23"/>
      <c r="H689" s="23"/>
      <c r="I689" s="181"/>
      <c r="J689" s="8" t="str">
        <f t="shared" si="211"/>
        <v/>
      </c>
      <c r="K689" s="2" t="str">
        <f t="shared" si="220"/>
        <v/>
      </c>
      <c r="L689" s="2" t="str">
        <f t="shared" si="212"/>
        <v/>
      </c>
      <c r="M689" s="2" t="str">
        <f t="shared" si="221"/>
        <v/>
      </c>
      <c r="N689" s="2" t="str">
        <f t="shared" si="229"/>
        <v/>
      </c>
      <c r="O689" s="2" t="str">
        <f t="shared" si="222"/>
        <v/>
      </c>
      <c r="P689" s="8" t="str">
        <f t="shared" si="223"/>
        <v/>
      </c>
      <c r="Q689" s="8" t="str">
        <f t="shared" si="224"/>
        <v/>
      </c>
      <c r="R689" s="111" t="str">
        <f t="shared" si="225"/>
        <v/>
      </c>
      <c r="S689" s="44" t="str">
        <f t="shared" si="226"/>
        <v/>
      </c>
      <c r="T689" s="37" t="str">
        <f t="shared" si="227"/>
        <v/>
      </c>
      <c r="U689" s="44" t="str">
        <f t="shared" si="228"/>
        <v/>
      </c>
      <c r="V689" s="26"/>
      <c r="W689" s="26"/>
      <c r="X689" s="26"/>
      <c r="Y689" s="26"/>
      <c r="Z689" s="24"/>
      <c r="AA689" s="169">
        <f t="shared" si="213"/>
        <v>0</v>
      </c>
      <c r="AB689" s="4">
        <f t="shared" si="214"/>
        <v>0</v>
      </c>
      <c r="AC689" s="170">
        <f t="shared" si="231"/>
        <v>0</v>
      </c>
      <c r="AD689" s="58"/>
      <c r="AE689" s="58"/>
      <c r="AF689" s="58"/>
      <c r="AG689" s="59">
        <f t="shared" si="215"/>
        <v>9.0359999999999996</v>
      </c>
      <c r="AH689" s="59">
        <f t="shared" si="216"/>
        <v>-184.49199999999999</v>
      </c>
      <c r="AJ689" s="4">
        <f>IF(D689="M",IF(AM689&lt;78,BMILMS!$D$5*AM689^3+BMILMS!$E$5*AM689^2+BMILMS!$F$5*AM689+BMILMS!$G$5,IF(AM689&lt;150,BMILMS!$D$6*AM689^3+BMILMS!$E$6*AM689^2+BMILMS!$F$6*AM689+BMILMS!$G$6,BMILMS!$D$7*AM689^3+BMILMS!$E$7*AM689^2+BMILMS!$F$7*AM689+BMILMS!$G$7)),IF(AM689&lt;69,BMILMS!$D$9*AM689^3+BMILMS!$E$9*AM689^2+BMILMS!$F$9*AM689+BMILMS!$G$9,IF(AM689&lt;150,BMILMS!$D$10*AM689^3+BMILMS!$E$10*AM689^2+BMILMS!$F$10*AM689+BMILMS!$G$10,BMILMS!$D$11*AM689^3+BMILMS!$E$11*AM689^2+BMILMS!$F$11*AM689+BMILMS!$G$11)))</f>
        <v>0.79584630099999998</v>
      </c>
      <c r="AK689" s="4">
        <f>IF(D689="M",(IF(AM689&lt;2.5,BMILMS!$D$21*AM689^3+BMILMS!$E$21*AM689^2+BMILMS!$F$21*AM689+BMILMS!$G$21,IF(AM689&lt;9.5,BMILMS!$D$22*AM689^3+BMILMS!$E$22*AM689^2+BMILMS!$F$22*AM689+BMILMS!$G$22,IF(AM689&lt;26.75,BMILMS!$D$23*AM689^3+BMILMS!$E$23*AM689^2+BMILMS!$F$23*AM689+BMILMS!$G$23,IF(AM689&lt;90,BMILMS!$D$24*AM689^3+BMILMS!$E$24*AM689^2+BMILMS!$F$24*AM689+BMILMS!$G$24,BMILMS!$D$25*AM689^3+BMILMS!$E$25*AM689^2+BMILMS!$F$25*AM689+BMILMS!$G$25))))),(IF(AM689&lt;2.5,BMILMS!$D$27*AM689^3+BMILMS!$E$27*AM689^2+BMILMS!$F$27*AM689+BMILMS!$G$27,IF(AM689&lt;9.5,BMILMS!$D$28*AM689^3+BMILMS!$E$28*AM689^2+BMILMS!$F$28*AM689+BMILMS!$G$28,IF(AM689&lt;26.75,BMILMS!$D$29*AM689^3+BMILMS!$E$29*AM689^2+BMILMS!$F$29*AM689+BMILMS!$G$29,IF(AM689&lt;90,BMILMS!$D$30*AM689^3+BMILMS!$E$30*AM689^2+BMILMS!$F$30*AM689+BMILMS!$G$30,IF(AM689&lt;150,BMILMS!$D$31*AM689^3+BMILMS!$E$31*AM689^2+BMILMS!$F$31*AM689+BMILMS!$G$31,BMILMS!$D$32*AM689^3+BMILMS!$E$32*AM689^2+BMILMS!$F$32*AM689+BMILMS!$G$32)))))))</f>
        <v>12.568967990000001</v>
      </c>
      <c r="AL689" s="4">
        <f>IF(D689="M",(IF(AM689&lt;90,BMILMS!$D$14*AM689^3+BMILMS!$E$14*AM689^2+BMILMS!$F$14*AM689+BMILMS!$G$14,BMILMS!$D$15*AM689^3+BMILMS!$E$15*AM689^2+BMILMS!$F$15*AM689+BMILMS!$G$15)),(IF(AM689&lt;90,BMILMS!$D$17*AM689^3+BMILMS!$E$17*AM689^2+BMILMS!$F$17*AM689+BMILMS!$G$17,BMILMS!$D$18*AM689^3+BMILMS!$E$18*AM689^2+BMILMS!$F$18*AM689+BMILMS!$G$18)))</f>
        <v>8.8969350000000003E-2</v>
      </c>
      <c r="AM689" s="4">
        <f t="shared" si="230"/>
        <v>0</v>
      </c>
      <c r="AO689" s="56">
        <f>IF(D689="M",WeightSDS!P$5*$AM689^7+WeightSDS!Q$5*$AM689^6+WeightSDS!R$5*$AM689^5+WeightSDS!S$5*$AM689^4+WeightSDS!T$5*$AM689^3+WeightSDS!U$5*$AM689^2+WeightSDS!V$5*$AM689+WeightSDS!W$5,IF($AM689&lt;186,WeightSDS!P$8*$AM689^7+WeightSDS!Q$8*$AM689^6+WeightSDS!R$8*$AM689^5+WeightSDS!S$8*$AM689^4+WeightSDS!T$8*$AM689^3+WeightSDS!U$8*$AM689^2+WeightSDS!V$8*$AM689+WeightSDS!W$8,WeightSDS!$U$9+WeightSDS!$V$9*($AM689-WeightSDS!$W$9)))</f>
        <v>0.75407122999999998</v>
      </c>
      <c r="AP689" s="4">
        <f>IF(D689="M",IF($AM689&lt;45,WeightSDS!M$23*$AM689^10+WeightSDS!N$23*$AM689^9+WeightSDS!O$23*$AM689^8+WeightSDS!P$23*$AM689^7+WeightSDS!Q$23*$AM689^6+WeightSDS!R$23*$AM689^5+WeightSDS!S$23*$AM689^4+WeightSDS!T$23*$AM689^3+WeightSDS!U$23*$AM689^2+WeightSDS!V$23*$AM689+WeightSDS!W$23,IF($AM689&lt;153,WeightSDS!M$25*$AM689^10+WeightSDS!N$25*$AM689^9+WeightSDS!O$25*$AM689^8+WeightSDS!P$25*$AM689^7+WeightSDS!Q$25*$AM689^6+WeightSDS!R$25*$AM689^5+WeightSDS!S$25*$AM689^4+WeightSDS!T$25*$AM689^3+WeightSDS!U$25*$AM689^2+WeightSDS!V$25*$AM689+WeightSDS!W$25,WeightSDS!M$27+WeightSDS!N$27/(1+EXP(WeightSDS!O$27+WeightSDS!P$27*$AM689)))),IF($AM689&lt;43.8,WeightSDS!M$29*$AM689^10+WeightSDS!N$29*$AM689^9+WeightSDS!O$29*$AM689^8+WeightSDS!P$29*$AM689^7+WeightSDS!Q$29*$AM689^6+WeightSDS!R$29*$AM689^5+WeightSDS!S$29*$AM689^4+WeightSDS!T$29*$AM689^3+WeightSDS!U$29*$AM689^2+WeightSDS!V$29*$AM689+WeightSDS!W$29-0.010431*(1-$AM689/210),IF($AM689&lt;123,WeightSDS!M$30*$AM689^10+WeightSDS!N$30*$AM689^9+WeightSDS!O$30*$AM689^8+WeightSDS!P$30*$AM689^7+WeightSDS!Q$30*$AM689^6+WeightSDS!R$30*$AM689^5+WeightSDS!S$30*$AM689^4+WeightSDS!T$30*$AM689^3+WeightSDS!U$30*$AM689^2+WeightSDS!V$30*$AM689+WeightSDS!W$30-0.010431*(1-1/$AM689),WeightSDS!M$32+WeightSDS!N$32/(1+EXP(WeightSDS!O$32+WeightSDS!P$32*$AM689))-0.010431*(1-$AM689/210))))</f>
        <v>2.9500001032655536</v>
      </c>
      <c r="AQ689" s="4">
        <f>IF(D689="M",IF($AM689&lt;162,WeightSDS!P$12*$AM689^7+WeightSDS!Q$12*$AM689^6+WeightSDS!R$12*$AM689^5+WeightSDS!S$12*$AM689^4+WeightSDS!T$12*$AM689^3+WeightSDS!U$12*$AM689^2+WeightSDS!V$12*$AM689+WeightSDS!W$12,WeightSDS!P$14*$AM689^7+WeightSDS!Q$14*$AM689^6+WeightSDS!R$14*$AM689^5+WeightSDS!S$14*$AM689^4+WeightSDS!T$14*$AM689^3+WeightSDS!U$14*$AM689^2+WeightSDS!V$14*$AM689+WeightSDS!W$14),IF($AM689&lt;156,WeightSDS!O$17*$AM689^8+WeightSDS!P$17*$AM689^7+WeightSDS!Q$17*$AM689^6+WeightSDS!R$17*$AM689^5+WeightSDS!S$17*$AM689^4+WeightSDS!T$17*$AM689^3+WeightSDS!U$17*$AM689^2+WeightSDS!V$17*$AM689+WeightSDS!W$17,IF($AM689&lt;186,WeightSDS!$U$18+(WeightSDS!$V$18-WeightSDS!$U$18)/24*($AM689-186)+WeightSDS!$W$18*(-$AM689+186)^2-0.005,WeightSDS!$U$18+(WeightSDS!$V$18-WeightSDS!$U$18)/24*($AM689-186)-0.005)))</f>
        <v>0.14604529399999999</v>
      </c>
      <c r="AT689" s="4">
        <f t="shared" si="217"/>
        <v>0.56299999999999994</v>
      </c>
      <c r="AU689" s="4">
        <f t="shared" si="218"/>
        <v>69</v>
      </c>
      <c r="AV689" s="4">
        <f t="shared" si="219"/>
        <v>0.51</v>
      </c>
    </row>
    <row r="690" spans="1:48" x14ac:dyDescent="0.15">
      <c r="A690" s="4"/>
      <c r="B690" s="21"/>
      <c r="C690" s="21"/>
      <c r="D690" s="21"/>
      <c r="E690" s="22"/>
      <c r="F690" s="22"/>
      <c r="G690" s="23"/>
      <c r="H690" s="23"/>
      <c r="I690" s="181"/>
      <c r="J690" s="8" t="str">
        <f t="shared" si="211"/>
        <v/>
      </c>
      <c r="K690" s="2" t="str">
        <f t="shared" si="220"/>
        <v/>
      </c>
      <c r="L690" s="2" t="str">
        <f t="shared" si="212"/>
        <v/>
      </c>
      <c r="M690" s="2" t="str">
        <f t="shared" si="221"/>
        <v/>
      </c>
      <c r="N690" s="2" t="str">
        <f t="shared" si="229"/>
        <v/>
      </c>
      <c r="O690" s="2" t="str">
        <f t="shared" si="222"/>
        <v/>
      </c>
      <c r="P690" s="8" t="str">
        <f t="shared" si="223"/>
        <v/>
      </c>
      <c r="Q690" s="8" t="str">
        <f t="shared" si="224"/>
        <v/>
      </c>
      <c r="R690" s="111" t="str">
        <f t="shared" si="225"/>
        <v/>
      </c>
      <c r="S690" s="44" t="str">
        <f t="shared" si="226"/>
        <v/>
      </c>
      <c r="T690" s="37" t="str">
        <f t="shared" si="227"/>
        <v/>
      </c>
      <c r="U690" s="44" t="str">
        <f t="shared" si="228"/>
        <v/>
      </c>
      <c r="V690" s="26"/>
      <c r="W690" s="26"/>
      <c r="X690" s="26"/>
      <c r="Y690" s="26"/>
      <c r="Z690" s="24"/>
      <c r="AA690" s="169">
        <f t="shared" si="213"/>
        <v>0</v>
      </c>
      <c r="AB690" s="4">
        <f t="shared" si="214"/>
        <v>0</v>
      </c>
      <c r="AC690" s="170">
        <f t="shared" si="231"/>
        <v>0</v>
      </c>
      <c r="AD690" s="58"/>
      <c r="AE690" s="58"/>
      <c r="AF690" s="58"/>
      <c r="AG690" s="59">
        <f t="shared" si="215"/>
        <v>9.0359999999999996</v>
      </c>
      <c r="AH690" s="59">
        <f t="shared" si="216"/>
        <v>-184.49199999999999</v>
      </c>
      <c r="AJ690" s="4">
        <f>IF(D690="M",IF(AM690&lt;78,BMILMS!$D$5*AM690^3+BMILMS!$E$5*AM690^2+BMILMS!$F$5*AM690+BMILMS!$G$5,IF(AM690&lt;150,BMILMS!$D$6*AM690^3+BMILMS!$E$6*AM690^2+BMILMS!$F$6*AM690+BMILMS!$G$6,BMILMS!$D$7*AM690^3+BMILMS!$E$7*AM690^2+BMILMS!$F$7*AM690+BMILMS!$G$7)),IF(AM690&lt;69,BMILMS!$D$9*AM690^3+BMILMS!$E$9*AM690^2+BMILMS!$F$9*AM690+BMILMS!$G$9,IF(AM690&lt;150,BMILMS!$D$10*AM690^3+BMILMS!$E$10*AM690^2+BMILMS!$F$10*AM690+BMILMS!$G$10,BMILMS!$D$11*AM690^3+BMILMS!$E$11*AM690^2+BMILMS!$F$11*AM690+BMILMS!$G$11)))</f>
        <v>0.79584630099999998</v>
      </c>
      <c r="AK690" s="4">
        <f>IF(D690="M",(IF(AM690&lt;2.5,BMILMS!$D$21*AM690^3+BMILMS!$E$21*AM690^2+BMILMS!$F$21*AM690+BMILMS!$G$21,IF(AM690&lt;9.5,BMILMS!$D$22*AM690^3+BMILMS!$E$22*AM690^2+BMILMS!$F$22*AM690+BMILMS!$G$22,IF(AM690&lt;26.75,BMILMS!$D$23*AM690^3+BMILMS!$E$23*AM690^2+BMILMS!$F$23*AM690+BMILMS!$G$23,IF(AM690&lt;90,BMILMS!$D$24*AM690^3+BMILMS!$E$24*AM690^2+BMILMS!$F$24*AM690+BMILMS!$G$24,BMILMS!$D$25*AM690^3+BMILMS!$E$25*AM690^2+BMILMS!$F$25*AM690+BMILMS!$G$25))))),(IF(AM690&lt;2.5,BMILMS!$D$27*AM690^3+BMILMS!$E$27*AM690^2+BMILMS!$F$27*AM690+BMILMS!$G$27,IF(AM690&lt;9.5,BMILMS!$D$28*AM690^3+BMILMS!$E$28*AM690^2+BMILMS!$F$28*AM690+BMILMS!$G$28,IF(AM690&lt;26.75,BMILMS!$D$29*AM690^3+BMILMS!$E$29*AM690^2+BMILMS!$F$29*AM690+BMILMS!$G$29,IF(AM690&lt;90,BMILMS!$D$30*AM690^3+BMILMS!$E$30*AM690^2+BMILMS!$F$30*AM690+BMILMS!$G$30,IF(AM690&lt;150,BMILMS!$D$31*AM690^3+BMILMS!$E$31*AM690^2+BMILMS!$F$31*AM690+BMILMS!$G$31,BMILMS!$D$32*AM690^3+BMILMS!$E$32*AM690^2+BMILMS!$F$32*AM690+BMILMS!$G$32)))))))</f>
        <v>12.568967990000001</v>
      </c>
      <c r="AL690" s="4">
        <f>IF(D690="M",(IF(AM690&lt;90,BMILMS!$D$14*AM690^3+BMILMS!$E$14*AM690^2+BMILMS!$F$14*AM690+BMILMS!$G$14,BMILMS!$D$15*AM690^3+BMILMS!$E$15*AM690^2+BMILMS!$F$15*AM690+BMILMS!$G$15)),(IF(AM690&lt;90,BMILMS!$D$17*AM690^3+BMILMS!$E$17*AM690^2+BMILMS!$F$17*AM690+BMILMS!$G$17,BMILMS!$D$18*AM690^3+BMILMS!$E$18*AM690^2+BMILMS!$F$18*AM690+BMILMS!$G$18)))</f>
        <v>8.8969350000000003E-2</v>
      </c>
      <c r="AM690" s="4">
        <f t="shared" si="230"/>
        <v>0</v>
      </c>
      <c r="AO690" s="56">
        <f>IF(D690="M",WeightSDS!P$5*$AM690^7+WeightSDS!Q$5*$AM690^6+WeightSDS!R$5*$AM690^5+WeightSDS!S$5*$AM690^4+WeightSDS!T$5*$AM690^3+WeightSDS!U$5*$AM690^2+WeightSDS!V$5*$AM690+WeightSDS!W$5,IF($AM690&lt;186,WeightSDS!P$8*$AM690^7+WeightSDS!Q$8*$AM690^6+WeightSDS!R$8*$AM690^5+WeightSDS!S$8*$AM690^4+WeightSDS!T$8*$AM690^3+WeightSDS!U$8*$AM690^2+WeightSDS!V$8*$AM690+WeightSDS!W$8,WeightSDS!$U$9+WeightSDS!$V$9*($AM690-WeightSDS!$W$9)))</f>
        <v>0.75407122999999998</v>
      </c>
      <c r="AP690" s="4">
        <f>IF(D690="M",IF($AM690&lt;45,WeightSDS!M$23*$AM690^10+WeightSDS!N$23*$AM690^9+WeightSDS!O$23*$AM690^8+WeightSDS!P$23*$AM690^7+WeightSDS!Q$23*$AM690^6+WeightSDS!R$23*$AM690^5+WeightSDS!S$23*$AM690^4+WeightSDS!T$23*$AM690^3+WeightSDS!U$23*$AM690^2+WeightSDS!V$23*$AM690+WeightSDS!W$23,IF($AM690&lt;153,WeightSDS!M$25*$AM690^10+WeightSDS!N$25*$AM690^9+WeightSDS!O$25*$AM690^8+WeightSDS!P$25*$AM690^7+WeightSDS!Q$25*$AM690^6+WeightSDS!R$25*$AM690^5+WeightSDS!S$25*$AM690^4+WeightSDS!T$25*$AM690^3+WeightSDS!U$25*$AM690^2+WeightSDS!V$25*$AM690+WeightSDS!W$25,WeightSDS!M$27+WeightSDS!N$27/(1+EXP(WeightSDS!O$27+WeightSDS!P$27*$AM690)))),IF($AM690&lt;43.8,WeightSDS!M$29*$AM690^10+WeightSDS!N$29*$AM690^9+WeightSDS!O$29*$AM690^8+WeightSDS!P$29*$AM690^7+WeightSDS!Q$29*$AM690^6+WeightSDS!R$29*$AM690^5+WeightSDS!S$29*$AM690^4+WeightSDS!T$29*$AM690^3+WeightSDS!U$29*$AM690^2+WeightSDS!V$29*$AM690+WeightSDS!W$29-0.010431*(1-$AM690/210),IF($AM690&lt;123,WeightSDS!M$30*$AM690^10+WeightSDS!N$30*$AM690^9+WeightSDS!O$30*$AM690^8+WeightSDS!P$30*$AM690^7+WeightSDS!Q$30*$AM690^6+WeightSDS!R$30*$AM690^5+WeightSDS!S$30*$AM690^4+WeightSDS!T$30*$AM690^3+WeightSDS!U$30*$AM690^2+WeightSDS!V$30*$AM690+WeightSDS!W$30-0.010431*(1-1/$AM690),WeightSDS!M$32+WeightSDS!N$32/(1+EXP(WeightSDS!O$32+WeightSDS!P$32*$AM690))-0.010431*(1-$AM690/210))))</f>
        <v>2.9500001032655536</v>
      </c>
      <c r="AQ690" s="4">
        <f>IF(D690="M",IF($AM690&lt;162,WeightSDS!P$12*$AM690^7+WeightSDS!Q$12*$AM690^6+WeightSDS!R$12*$AM690^5+WeightSDS!S$12*$AM690^4+WeightSDS!T$12*$AM690^3+WeightSDS!U$12*$AM690^2+WeightSDS!V$12*$AM690+WeightSDS!W$12,WeightSDS!P$14*$AM690^7+WeightSDS!Q$14*$AM690^6+WeightSDS!R$14*$AM690^5+WeightSDS!S$14*$AM690^4+WeightSDS!T$14*$AM690^3+WeightSDS!U$14*$AM690^2+WeightSDS!V$14*$AM690+WeightSDS!W$14),IF($AM690&lt;156,WeightSDS!O$17*$AM690^8+WeightSDS!P$17*$AM690^7+WeightSDS!Q$17*$AM690^6+WeightSDS!R$17*$AM690^5+WeightSDS!S$17*$AM690^4+WeightSDS!T$17*$AM690^3+WeightSDS!U$17*$AM690^2+WeightSDS!V$17*$AM690+WeightSDS!W$17,IF($AM690&lt;186,WeightSDS!$U$18+(WeightSDS!$V$18-WeightSDS!$U$18)/24*($AM690-186)+WeightSDS!$W$18*(-$AM690+186)^2-0.005,WeightSDS!$U$18+(WeightSDS!$V$18-WeightSDS!$U$18)/24*($AM690-186)-0.005)))</f>
        <v>0.14604529399999999</v>
      </c>
      <c r="AT690" s="4">
        <f t="shared" si="217"/>
        <v>0.56299999999999994</v>
      </c>
      <c r="AU690" s="4">
        <f t="shared" si="218"/>
        <v>69</v>
      </c>
      <c r="AV690" s="4">
        <f t="shared" si="219"/>
        <v>0.51</v>
      </c>
    </row>
    <row r="691" spans="1:48" x14ac:dyDescent="0.15">
      <c r="A691" s="4"/>
      <c r="B691" s="21"/>
      <c r="C691" s="21"/>
      <c r="D691" s="21"/>
      <c r="E691" s="22"/>
      <c r="F691" s="22"/>
      <c r="G691" s="23"/>
      <c r="H691" s="23"/>
      <c r="I691" s="181"/>
      <c r="J691" s="8" t="str">
        <f t="shared" si="211"/>
        <v/>
      </c>
      <c r="K691" s="2" t="str">
        <f t="shared" si="220"/>
        <v/>
      </c>
      <c r="L691" s="2" t="str">
        <f t="shared" si="212"/>
        <v/>
      </c>
      <c r="M691" s="2" t="str">
        <f t="shared" si="221"/>
        <v/>
      </c>
      <c r="N691" s="2" t="str">
        <f t="shared" si="229"/>
        <v/>
      </c>
      <c r="O691" s="2" t="str">
        <f t="shared" si="222"/>
        <v/>
      </c>
      <c r="P691" s="8" t="str">
        <f t="shared" si="223"/>
        <v/>
      </c>
      <c r="Q691" s="8" t="str">
        <f t="shared" si="224"/>
        <v/>
      </c>
      <c r="R691" s="111" t="str">
        <f t="shared" si="225"/>
        <v/>
      </c>
      <c r="S691" s="44" t="str">
        <f t="shared" si="226"/>
        <v/>
      </c>
      <c r="T691" s="37" t="str">
        <f t="shared" si="227"/>
        <v/>
      </c>
      <c r="U691" s="44" t="str">
        <f t="shared" si="228"/>
        <v/>
      </c>
      <c r="V691" s="26"/>
      <c r="W691" s="26"/>
      <c r="X691" s="26"/>
      <c r="Y691" s="26"/>
      <c r="Z691" s="24"/>
      <c r="AA691" s="169">
        <f t="shared" si="213"/>
        <v>0</v>
      </c>
      <c r="AB691" s="4">
        <f t="shared" si="214"/>
        <v>0</v>
      </c>
      <c r="AC691" s="170">
        <f t="shared" si="231"/>
        <v>0</v>
      </c>
      <c r="AD691" s="58"/>
      <c r="AE691" s="58"/>
      <c r="AF691" s="58"/>
      <c r="AG691" s="59">
        <f t="shared" si="215"/>
        <v>9.0359999999999996</v>
      </c>
      <c r="AH691" s="59">
        <f t="shared" si="216"/>
        <v>-184.49199999999999</v>
      </c>
      <c r="AJ691" s="4">
        <f>IF(D691="M",IF(AM691&lt;78,BMILMS!$D$5*AM691^3+BMILMS!$E$5*AM691^2+BMILMS!$F$5*AM691+BMILMS!$G$5,IF(AM691&lt;150,BMILMS!$D$6*AM691^3+BMILMS!$E$6*AM691^2+BMILMS!$F$6*AM691+BMILMS!$G$6,BMILMS!$D$7*AM691^3+BMILMS!$E$7*AM691^2+BMILMS!$F$7*AM691+BMILMS!$G$7)),IF(AM691&lt;69,BMILMS!$D$9*AM691^3+BMILMS!$E$9*AM691^2+BMILMS!$F$9*AM691+BMILMS!$G$9,IF(AM691&lt;150,BMILMS!$D$10*AM691^3+BMILMS!$E$10*AM691^2+BMILMS!$F$10*AM691+BMILMS!$G$10,BMILMS!$D$11*AM691^3+BMILMS!$E$11*AM691^2+BMILMS!$F$11*AM691+BMILMS!$G$11)))</f>
        <v>0.79584630099999998</v>
      </c>
      <c r="AK691" s="4">
        <f>IF(D691="M",(IF(AM691&lt;2.5,BMILMS!$D$21*AM691^3+BMILMS!$E$21*AM691^2+BMILMS!$F$21*AM691+BMILMS!$G$21,IF(AM691&lt;9.5,BMILMS!$D$22*AM691^3+BMILMS!$E$22*AM691^2+BMILMS!$F$22*AM691+BMILMS!$G$22,IF(AM691&lt;26.75,BMILMS!$D$23*AM691^3+BMILMS!$E$23*AM691^2+BMILMS!$F$23*AM691+BMILMS!$G$23,IF(AM691&lt;90,BMILMS!$D$24*AM691^3+BMILMS!$E$24*AM691^2+BMILMS!$F$24*AM691+BMILMS!$G$24,BMILMS!$D$25*AM691^3+BMILMS!$E$25*AM691^2+BMILMS!$F$25*AM691+BMILMS!$G$25))))),(IF(AM691&lt;2.5,BMILMS!$D$27*AM691^3+BMILMS!$E$27*AM691^2+BMILMS!$F$27*AM691+BMILMS!$G$27,IF(AM691&lt;9.5,BMILMS!$D$28*AM691^3+BMILMS!$E$28*AM691^2+BMILMS!$F$28*AM691+BMILMS!$G$28,IF(AM691&lt;26.75,BMILMS!$D$29*AM691^3+BMILMS!$E$29*AM691^2+BMILMS!$F$29*AM691+BMILMS!$G$29,IF(AM691&lt;90,BMILMS!$D$30*AM691^3+BMILMS!$E$30*AM691^2+BMILMS!$F$30*AM691+BMILMS!$G$30,IF(AM691&lt;150,BMILMS!$D$31*AM691^3+BMILMS!$E$31*AM691^2+BMILMS!$F$31*AM691+BMILMS!$G$31,BMILMS!$D$32*AM691^3+BMILMS!$E$32*AM691^2+BMILMS!$F$32*AM691+BMILMS!$G$32)))))))</f>
        <v>12.568967990000001</v>
      </c>
      <c r="AL691" s="4">
        <f>IF(D691="M",(IF(AM691&lt;90,BMILMS!$D$14*AM691^3+BMILMS!$E$14*AM691^2+BMILMS!$F$14*AM691+BMILMS!$G$14,BMILMS!$D$15*AM691^3+BMILMS!$E$15*AM691^2+BMILMS!$F$15*AM691+BMILMS!$G$15)),(IF(AM691&lt;90,BMILMS!$D$17*AM691^3+BMILMS!$E$17*AM691^2+BMILMS!$F$17*AM691+BMILMS!$G$17,BMILMS!$D$18*AM691^3+BMILMS!$E$18*AM691^2+BMILMS!$F$18*AM691+BMILMS!$G$18)))</f>
        <v>8.8969350000000003E-2</v>
      </c>
      <c r="AM691" s="4">
        <f t="shared" si="230"/>
        <v>0</v>
      </c>
      <c r="AO691" s="56">
        <f>IF(D691="M",WeightSDS!P$5*$AM691^7+WeightSDS!Q$5*$AM691^6+WeightSDS!R$5*$AM691^5+WeightSDS!S$5*$AM691^4+WeightSDS!T$5*$AM691^3+WeightSDS!U$5*$AM691^2+WeightSDS!V$5*$AM691+WeightSDS!W$5,IF($AM691&lt;186,WeightSDS!P$8*$AM691^7+WeightSDS!Q$8*$AM691^6+WeightSDS!R$8*$AM691^5+WeightSDS!S$8*$AM691^4+WeightSDS!T$8*$AM691^3+WeightSDS!U$8*$AM691^2+WeightSDS!V$8*$AM691+WeightSDS!W$8,WeightSDS!$U$9+WeightSDS!$V$9*($AM691-WeightSDS!$W$9)))</f>
        <v>0.75407122999999998</v>
      </c>
      <c r="AP691" s="4">
        <f>IF(D691="M",IF($AM691&lt;45,WeightSDS!M$23*$AM691^10+WeightSDS!N$23*$AM691^9+WeightSDS!O$23*$AM691^8+WeightSDS!P$23*$AM691^7+WeightSDS!Q$23*$AM691^6+WeightSDS!R$23*$AM691^5+WeightSDS!S$23*$AM691^4+WeightSDS!T$23*$AM691^3+WeightSDS!U$23*$AM691^2+WeightSDS!V$23*$AM691+WeightSDS!W$23,IF($AM691&lt;153,WeightSDS!M$25*$AM691^10+WeightSDS!N$25*$AM691^9+WeightSDS!O$25*$AM691^8+WeightSDS!P$25*$AM691^7+WeightSDS!Q$25*$AM691^6+WeightSDS!R$25*$AM691^5+WeightSDS!S$25*$AM691^4+WeightSDS!T$25*$AM691^3+WeightSDS!U$25*$AM691^2+WeightSDS!V$25*$AM691+WeightSDS!W$25,WeightSDS!M$27+WeightSDS!N$27/(1+EXP(WeightSDS!O$27+WeightSDS!P$27*$AM691)))),IF($AM691&lt;43.8,WeightSDS!M$29*$AM691^10+WeightSDS!N$29*$AM691^9+WeightSDS!O$29*$AM691^8+WeightSDS!P$29*$AM691^7+WeightSDS!Q$29*$AM691^6+WeightSDS!R$29*$AM691^5+WeightSDS!S$29*$AM691^4+WeightSDS!T$29*$AM691^3+WeightSDS!U$29*$AM691^2+WeightSDS!V$29*$AM691+WeightSDS!W$29-0.010431*(1-$AM691/210),IF($AM691&lt;123,WeightSDS!M$30*$AM691^10+WeightSDS!N$30*$AM691^9+WeightSDS!O$30*$AM691^8+WeightSDS!P$30*$AM691^7+WeightSDS!Q$30*$AM691^6+WeightSDS!R$30*$AM691^5+WeightSDS!S$30*$AM691^4+WeightSDS!T$30*$AM691^3+WeightSDS!U$30*$AM691^2+WeightSDS!V$30*$AM691+WeightSDS!W$30-0.010431*(1-1/$AM691),WeightSDS!M$32+WeightSDS!N$32/(1+EXP(WeightSDS!O$32+WeightSDS!P$32*$AM691))-0.010431*(1-$AM691/210))))</f>
        <v>2.9500001032655536</v>
      </c>
      <c r="AQ691" s="4">
        <f>IF(D691="M",IF($AM691&lt;162,WeightSDS!P$12*$AM691^7+WeightSDS!Q$12*$AM691^6+WeightSDS!R$12*$AM691^5+WeightSDS!S$12*$AM691^4+WeightSDS!T$12*$AM691^3+WeightSDS!U$12*$AM691^2+WeightSDS!V$12*$AM691+WeightSDS!W$12,WeightSDS!P$14*$AM691^7+WeightSDS!Q$14*$AM691^6+WeightSDS!R$14*$AM691^5+WeightSDS!S$14*$AM691^4+WeightSDS!T$14*$AM691^3+WeightSDS!U$14*$AM691^2+WeightSDS!V$14*$AM691+WeightSDS!W$14),IF($AM691&lt;156,WeightSDS!O$17*$AM691^8+WeightSDS!P$17*$AM691^7+WeightSDS!Q$17*$AM691^6+WeightSDS!R$17*$AM691^5+WeightSDS!S$17*$AM691^4+WeightSDS!T$17*$AM691^3+WeightSDS!U$17*$AM691^2+WeightSDS!V$17*$AM691+WeightSDS!W$17,IF($AM691&lt;186,WeightSDS!$U$18+(WeightSDS!$V$18-WeightSDS!$U$18)/24*($AM691-186)+WeightSDS!$W$18*(-$AM691+186)^2-0.005,WeightSDS!$U$18+(WeightSDS!$V$18-WeightSDS!$U$18)/24*($AM691-186)-0.005)))</f>
        <v>0.14604529399999999</v>
      </c>
      <c r="AT691" s="4">
        <f t="shared" si="217"/>
        <v>0.56299999999999994</v>
      </c>
      <c r="AU691" s="4">
        <f t="shared" si="218"/>
        <v>69</v>
      </c>
      <c r="AV691" s="4">
        <f t="shared" si="219"/>
        <v>0.51</v>
      </c>
    </row>
    <row r="692" spans="1:48" x14ac:dyDescent="0.15">
      <c r="A692" s="4"/>
      <c r="B692" s="21"/>
      <c r="C692" s="21"/>
      <c r="D692" s="21"/>
      <c r="E692" s="22"/>
      <c r="F692" s="22"/>
      <c r="G692" s="23"/>
      <c r="H692" s="23"/>
      <c r="I692" s="181"/>
      <c r="J692" s="8" t="str">
        <f t="shared" si="211"/>
        <v/>
      </c>
      <c r="K692" s="2" t="str">
        <f t="shared" si="220"/>
        <v/>
      </c>
      <c r="L692" s="2" t="str">
        <f t="shared" si="212"/>
        <v/>
      </c>
      <c r="M692" s="2" t="str">
        <f t="shared" si="221"/>
        <v/>
      </c>
      <c r="N692" s="2" t="str">
        <f t="shared" si="229"/>
        <v/>
      </c>
      <c r="O692" s="2" t="str">
        <f t="shared" si="222"/>
        <v/>
      </c>
      <c r="P692" s="8" t="str">
        <f t="shared" si="223"/>
        <v/>
      </c>
      <c r="Q692" s="8" t="str">
        <f t="shared" si="224"/>
        <v/>
      </c>
      <c r="R692" s="111" t="str">
        <f t="shared" si="225"/>
        <v/>
      </c>
      <c r="S692" s="44" t="str">
        <f t="shared" si="226"/>
        <v/>
      </c>
      <c r="T692" s="37" t="str">
        <f t="shared" si="227"/>
        <v/>
      </c>
      <c r="U692" s="44" t="str">
        <f t="shared" si="228"/>
        <v/>
      </c>
      <c r="V692" s="26"/>
      <c r="W692" s="26"/>
      <c r="X692" s="26"/>
      <c r="Y692" s="26"/>
      <c r="Z692" s="24"/>
      <c r="AA692" s="169">
        <f t="shared" si="213"/>
        <v>0</v>
      </c>
      <c r="AB692" s="4">
        <f t="shared" si="214"/>
        <v>0</v>
      </c>
      <c r="AC692" s="170">
        <f t="shared" si="231"/>
        <v>0</v>
      </c>
      <c r="AD692" s="58"/>
      <c r="AE692" s="58"/>
      <c r="AF692" s="58"/>
      <c r="AG692" s="59">
        <f t="shared" si="215"/>
        <v>9.0359999999999996</v>
      </c>
      <c r="AH692" s="59">
        <f t="shared" si="216"/>
        <v>-184.49199999999999</v>
      </c>
      <c r="AJ692" s="4">
        <f>IF(D692="M",IF(AM692&lt;78,BMILMS!$D$5*AM692^3+BMILMS!$E$5*AM692^2+BMILMS!$F$5*AM692+BMILMS!$G$5,IF(AM692&lt;150,BMILMS!$D$6*AM692^3+BMILMS!$E$6*AM692^2+BMILMS!$F$6*AM692+BMILMS!$G$6,BMILMS!$D$7*AM692^3+BMILMS!$E$7*AM692^2+BMILMS!$F$7*AM692+BMILMS!$G$7)),IF(AM692&lt;69,BMILMS!$D$9*AM692^3+BMILMS!$E$9*AM692^2+BMILMS!$F$9*AM692+BMILMS!$G$9,IF(AM692&lt;150,BMILMS!$D$10*AM692^3+BMILMS!$E$10*AM692^2+BMILMS!$F$10*AM692+BMILMS!$G$10,BMILMS!$D$11*AM692^3+BMILMS!$E$11*AM692^2+BMILMS!$F$11*AM692+BMILMS!$G$11)))</f>
        <v>0.79584630099999998</v>
      </c>
      <c r="AK692" s="4">
        <f>IF(D692="M",(IF(AM692&lt;2.5,BMILMS!$D$21*AM692^3+BMILMS!$E$21*AM692^2+BMILMS!$F$21*AM692+BMILMS!$G$21,IF(AM692&lt;9.5,BMILMS!$D$22*AM692^3+BMILMS!$E$22*AM692^2+BMILMS!$F$22*AM692+BMILMS!$G$22,IF(AM692&lt;26.75,BMILMS!$D$23*AM692^3+BMILMS!$E$23*AM692^2+BMILMS!$F$23*AM692+BMILMS!$G$23,IF(AM692&lt;90,BMILMS!$D$24*AM692^3+BMILMS!$E$24*AM692^2+BMILMS!$F$24*AM692+BMILMS!$G$24,BMILMS!$D$25*AM692^3+BMILMS!$E$25*AM692^2+BMILMS!$F$25*AM692+BMILMS!$G$25))))),(IF(AM692&lt;2.5,BMILMS!$D$27*AM692^3+BMILMS!$E$27*AM692^2+BMILMS!$F$27*AM692+BMILMS!$G$27,IF(AM692&lt;9.5,BMILMS!$D$28*AM692^3+BMILMS!$E$28*AM692^2+BMILMS!$F$28*AM692+BMILMS!$G$28,IF(AM692&lt;26.75,BMILMS!$D$29*AM692^3+BMILMS!$E$29*AM692^2+BMILMS!$F$29*AM692+BMILMS!$G$29,IF(AM692&lt;90,BMILMS!$D$30*AM692^3+BMILMS!$E$30*AM692^2+BMILMS!$F$30*AM692+BMILMS!$G$30,IF(AM692&lt;150,BMILMS!$D$31*AM692^3+BMILMS!$E$31*AM692^2+BMILMS!$F$31*AM692+BMILMS!$G$31,BMILMS!$D$32*AM692^3+BMILMS!$E$32*AM692^2+BMILMS!$F$32*AM692+BMILMS!$G$32)))))))</f>
        <v>12.568967990000001</v>
      </c>
      <c r="AL692" s="4">
        <f>IF(D692="M",(IF(AM692&lt;90,BMILMS!$D$14*AM692^3+BMILMS!$E$14*AM692^2+BMILMS!$F$14*AM692+BMILMS!$G$14,BMILMS!$D$15*AM692^3+BMILMS!$E$15*AM692^2+BMILMS!$F$15*AM692+BMILMS!$G$15)),(IF(AM692&lt;90,BMILMS!$D$17*AM692^3+BMILMS!$E$17*AM692^2+BMILMS!$F$17*AM692+BMILMS!$G$17,BMILMS!$D$18*AM692^3+BMILMS!$E$18*AM692^2+BMILMS!$F$18*AM692+BMILMS!$G$18)))</f>
        <v>8.8969350000000003E-2</v>
      </c>
      <c r="AM692" s="4">
        <f t="shared" si="230"/>
        <v>0</v>
      </c>
      <c r="AO692" s="56">
        <f>IF(D692="M",WeightSDS!P$5*$AM692^7+WeightSDS!Q$5*$AM692^6+WeightSDS!R$5*$AM692^5+WeightSDS!S$5*$AM692^4+WeightSDS!T$5*$AM692^3+WeightSDS!U$5*$AM692^2+WeightSDS!V$5*$AM692+WeightSDS!W$5,IF($AM692&lt;186,WeightSDS!P$8*$AM692^7+WeightSDS!Q$8*$AM692^6+WeightSDS!R$8*$AM692^5+WeightSDS!S$8*$AM692^4+WeightSDS!T$8*$AM692^3+WeightSDS!U$8*$AM692^2+WeightSDS!V$8*$AM692+WeightSDS!W$8,WeightSDS!$U$9+WeightSDS!$V$9*($AM692-WeightSDS!$W$9)))</f>
        <v>0.75407122999999998</v>
      </c>
      <c r="AP692" s="4">
        <f>IF(D692="M",IF($AM692&lt;45,WeightSDS!M$23*$AM692^10+WeightSDS!N$23*$AM692^9+WeightSDS!O$23*$AM692^8+WeightSDS!P$23*$AM692^7+WeightSDS!Q$23*$AM692^6+WeightSDS!R$23*$AM692^5+WeightSDS!S$23*$AM692^4+WeightSDS!T$23*$AM692^3+WeightSDS!U$23*$AM692^2+WeightSDS!V$23*$AM692+WeightSDS!W$23,IF($AM692&lt;153,WeightSDS!M$25*$AM692^10+WeightSDS!N$25*$AM692^9+WeightSDS!O$25*$AM692^8+WeightSDS!P$25*$AM692^7+WeightSDS!Q$25*$AM692^6+WeightSDS!R$25*$AM692^5+WeightSDS!S$25*$AM692^4+WeightSDS!T$25*$AM692^3+WeightSDS!U$25*$AM692^2+WeightSDS!V$25*$AM692+WeightSDS!W$25,WeightSDS!M$27+WeightSDS!N$27/(1+EXP(WeightSDS!O$27+WeightSDS!P$27*$AM692)))),IF($AM692&lt;43.8,WeightSDS!M$29*$AM692^10+WeightSDS!N$29*$AM692^9+WeightSDS!O$29*$AM692^8+WeightSDS!P$29*$AM692^7+WeightSDS!Q$29*$AM692^6+WeightSDS!R$29*$AM692^5+WeightSDS!S$29*$AM692^4+WeightSDS!T$29*$AM692^3+WeightSDS!U$29*$AM692^2+WeightSDS!V$29*$AM692+WeightSDS!W$29-0.010431*(1-$AM692/210),IF($AM692&lt;123,WeightSDS!M$30*$AM692^10+WeightSDS!N$30*$AM692^9+WeightSDS!O$30*$AM692^8+WeightSDS!P$30*$AM692^7+WeightSDS!Q$30*$AM692^6+WeightSDS!R$30*$AM692^5+WeightSDS!S$30*$AM692^4+WeightSDS!T$30*$AM692^3+WeightSDS!U$30*$AM692^2+WeightSDS!V$30*$AM692+WeightSDS!W$30-0.010431*(1-1/$AM692),WeightSDS!M$32+WeightSDS!N$32/(1+EXP(WeightSDS!O$32+WeightSDS!P$32*$AM692))-0.010431*(1-$AM692/210))))</f>
        <v>2.9500001032655536</v>
      </c>
      <c r="AQ692" s="4">
        <f>IF(D692="M",IF($AM692&lt;162,WeightSDS!P$12*$AM692^7+WeightSDS!Q$12*$AM692^6+WeightSDS!R$12*$AM692^5+WeightSDS!S$12*$AM692^4+WeightSDS!T$12*$AM692^3+WeightSDS!U$12*$AM692^2+WeightSDS!V$12*$AM692+WeightSDS!W$12,WeightSDS!P$14*$AM692^7+WeightSDS!Q$14*$AM692^6+WeightSDS!R$14*$AM692^5+WeightSDS!S$14*$AM692^4+WeightSDS!T$14*$AM692^3+WeightSDS!U$14*$AM692^2+WeightSDS!V$14*$AM692+WeightSDS!W$14),IF($AM692&lt;156,WeightSDS!O$17*$AM692^8+WeightSDS!P$17*$AM692^7+WeightSDS!Q$17*$AM692^6+WeightSDS!R$17*$AM692^5+WeightSDS!S$17*$AM692^4+WeightSDS!T$17*$AM692^3+WeightSDS!U$17*$AM692^2+WeightSDS!V$17*$AM692+WeightSDS!W$17,IF($AM692&lt;186,WeightSDS!$U$18+(WeightSDS!$V$18-WeightSDS!$U$18)/24*($AM692-186)+WeightSDS!$W$18*(-$AM692+186)^2-0.005,WeightSDS!$U$18+(WeightSDS!$V$18-WeightSDS!$U$18)/24*($AM692-186)-0.005)))</f>
        <v>0.14604529399999999</v>
      </c>
      <c r="AT692" s="4">
        <f t="shared" si="217"/>
        <v>0.56299999999999994</v>
      </c>
      <c r="AU692" s="4">
        <f t="shared" si="218"/>
        <v>69</v>
      </c>
      <c r="AV692" s="4">
        <f t="shared" si="219"/>
        <v>0.51</v>
      </c>
    </row>
    <row r="693" spans="1:48" x14ac:dyDescent="0.15">
      <c r="A693" s="4"/>
      <c r="B693" s="21"/>
      <c r="C693" s="21"/>
      <c r="D693" s="21"/>
      <c r="E693" s="22"/>
      <c r="F693" s="22"/>
      <c r="G693" s="23"/>
      <c r="H693" s="23"/>
      <c r="I693" s="181"/>
      <c r="J693" s="8" t="str">
        <f t="shared" si="211"/>
        <v/>
      </c>
      <c r="K693" s="2" t="str">
        <f t="shared" si="220"/>
        <v/>
      </c>
      <c r="L693" s="2" t="str">
        <f t="shared" si="212"/>
        <v/>
      </c>
      <c r="M693" s="2" t="str">
        <f t="shared" si="221"/>
        <v/>
      </c>
      <c r="N693" s="2" t="str">
        <f t="shared" si="229"/>
        <v/>
      </c>
      <c r="O693" s="2" t="str">
        <f t="shared" si="222"/>
        <v/>
      </c>
      <c r="P693" s="8" t="str">
        <f t="shared" si="223"/>
        <v/>
      </c>
      <c r="Q693" s="8" t="str">
        <f t="shared" si="224"/>
        <v/>
      </c>
      <c r="R693" s="111" t="str">
        <f t="shared" si="225"/>
        <v/>
      </c>
      <c r="S693" s="44" t="str">
        <f t="shared" si="226"/>
        <v/>
      </c>
      <c r="T693" s="37" t="str">
        <f t="shared" si="227"/>
        <v/>
      </c>
      <c r="U693" s="44" t="str">
        <f t="shared" si="228"/>
        <v/>
      </c>
      <c r="V693" s="26"/>
      <c r="W693" s="26"/>
      <c r="X693" s="26"/>
      <c r="Y693" s="26"/>
      <c r="Z693" s="24"/>
      <c r="AA693" s="169">
        <f t="shared" si="213"/>
        <v>0</v>
      </c>
      <c r="AB693" s="4">
        <f t="shared" si="214"/>
        <v>0</v>
      </c>
      <c r="AC693" s="170">
        <f t="shared" si="231"/>
        <v>0</v>
      </c>
      <c r="AD693" s="58"/>
      <c r="AE693" s="58"/>
      <c r="AF693" s="58"/>
      <c r="AG693" s="59">
        <f t="shared" si="215"/>
        <v>9.0359999999999996</v>
      </c>
      <c r="AH693" s="59">
        <f t="shared" si="216"/>
        <v>-184.49199999999999</v>
      </c>
      <c r="AJ693" s="4">
        <f>IF(D693="M",IF(AM693&lt;78,BMILMS!$D$5*AM693^3+BMILMS!$E$5*AM693^2+BMILMS!$F$5*AM693+BMILMS!$G$5,IF(AM693&lt;150,BMILMS!$D$6*AM693^3+BMILMS!$E$6*AM693^2+BMILMS!$F$6*AM693+BMILMS!$G$6,BMILMS!$D$7*AM693^3+BMILMS!$E$7*AM693^2+BMILMS!$F$7*AM693+BMILMS!$G$7)),IF(AM693&lt;69,BMILMS!$D$9*AM693^3+BMILMS!$E$9*AM693^2+BMILMS!$F$9*AM693+BMILMS!$G$9,IF(AM693&lt;150,BMILMS!$D$10*AM693^3+BMILMS!$E$10*AM693^2+BMILMS!$F$10*AM693+BMILMS!$G$10,BMILMS!$D$11*AM693^3+BMILMS!$E$11*AM693^2+BMILMS!$F$11*AM693+BMILMS!$G$11)))</f>
        <v>0.79584630099999998</v>
      </c>
      <c r="AK693" s="4">
        <f>IF(D693="M",(IF(AM693&lt;2.5,BMILMS!$D$21*AM693^3+BMILMS!$E$21*AM693^2+BMILMS!$F$21*AM693+BMILMS!$G$21,IF(AM693&lt;9.5,BMILMS!$D$22*AM693^3+BMILMS!$E$22*AM693^2+BMILMS!$F$22*AM693+BMILMS!$G$22,IF(AM693&lt;26.75,BMILMS!$D$23*AM693^3+BMILMS!$E$23*AM693^2+BMILMS!$F$23*AM693+BMILMS!$G$23,IF(AM693&lt;90,BMILMS!$D$24*AM693^3+BMILMS!$E$24*AM693^2+BMILMS!$F$24*AM693+BMILMS!$G$24,BMILMS!$D$25*AM693^3+BMILMS!$E$25*AM693^2+BMILMS!$F$25*AM693+BMILMS!$G$25))))),(IF(AM693&lt;2.5,BMILMS!$D$27*AM693^3+BMILMS!$E$27*AM693^2+BMILMS!$F$27*AM693+BMILMS!$G$27,IF(AM693&lt;9.5,BMILMS!$D$28*AM693^3+BMILMS!$E$28*AM693^2+BMILMS!$F$28*AM693+BMILMS!$G$28,IF(AM693&lt;26.75,BMILMS!$D$29*AM693^3+BMILMS!$E$29*AM693^2+BMILMS!$F$29*AM693+BMILMS!$G$29,IF(AM693&lt;90,BMILMS!$D$30*AM693^3+BMILMS!$E$30*AM693^2+BMILMS!$F$30*AM693+BMILMS!$G$30,IF(AM693&lt;150,BMILMS!$D$31*AM693^3+BMILMS!$E$31*AM693^2+BMILMS!$F$31*AM693+BMILMS!$G$31,BMILMS!$D$32*AM693^3+BMILMS!$E$32*AM693^2+BMILMS!$F$32*AM693+BMILMS!$G$32)))))))</f>
        <v>12.568967990000001</v>
      </c>
      <c r="AL693" s="4">
        <f>IF(D693="M",(IF(AM693&lt;90,BMILMS!$D$14*AM693^3+BMILMS!$E$14*AM693^2+BMILMS!$F$14*AM693+BMILMS!$G$14,BMILMS!$D$15*AM693^3+BMILMS!$E$15*AM693^2+BMILMS!$F$15*AM693+BMILMS!$G$15)),(IF(AM693&lt;90,BMILMS!$D$17*AM693^3+BMILMS!$E$17*AM693^2+BMILMS!$F$17*AM693+BMILMS!$G$17,BMILMS!$D$18*AM693^3+BMILMS!$E$18*AM693^2+BMILMS!$F$18*AM693+BMILMS!$G$18)))</f>
        <v>8.8969350000000003E-2</v>
      </c>
      <c r="AM693" s="4">
        <f t="shared" si="230"/>
        <v>0</v>
      </c>
      <c r="AO693" s="56">
        <f>IF(D693="M",WeightSDS!P$5*$AM693^7+WeightSDS!Q$5*$AM693^6+WeightSDS!R$5*$AM693^5+WeightSDS!S$5*$AM693^4+WeightSDS!T$5*$AM693^3+WeightSDS!U$5*$AM693^2+WeightSDS!V$5*$AM693+WeightSDS!W$5,IF($AM693&lt;186,WeightSDS!P$8*$AM693^7+WeightSDS!Q$8*$AM693^6+WeightSDS!R$8*$AM693^5+WeightSDS!S$8*$AM693^4+WeightSDS!T$8*$AM693^3+WeightSDS!U$8*$AM693^2+WeightSDS!V$8*$AM693+WeightSDS!W$8,WeightSDS!$U$9+WeightSDS!$V$9*($AM693-WeightSDS!$W$9)))</f>
        <v>0.75407122999999998</v>
      </c>
      <c r="AP693" s="4">
        <f>IF(D693="M",IF($AM693&lt;45,WeightSDS!M$23*$AM693^10+WeightSDS!N$23*$AM693^9+WeightSDS!O$23*$AM693^8+WeightSDS!P$23*$AM693^7+WeightSDS!Q$23*$AM693^6+WeightSDS!R$23*$AM693^5+WeightSDS!S$23*$AM693^4+WeightSDS!T$23*$AM693^3+WeightSDS!U$23*$AM693^2+WeightSDS!V$23*$AM693+WeightSDS!W$23,IF($AM693&lt;153,WeightSDS!M$25*$AM693^10+WeightSDS!N$25*$AM693^9+WeightSDS!O$25*$AM693^8+WeightSDS!P$25*$AM693^7+WeightSDS!Q$25*$AM693^6+WeightSDS!R$25*$AM693^5+WeightSDS!S$25*$AM693^4+WeightSDS!T$25*$AM693^3+WeightSDS!U$25*$AM693^2+WeightSDS!V$25*$AM693+WeightSDS!W$25,WeightSDS!M$27+WeightSDS!N$27/(1+EXP(WeightSDS!O$27+WeightSDS!P$27*$AM693)))),IF($AM693&lt;43.8,WeightSDS!M$29*$AM693^10+WeightSDS!N$29*$AM693^9+WeightSDS!O$29*$AM693^8+WeightSDS!P$29*$AM693^7+WeightSDS!Q$29*$AM693^6+WeightSDS!R$29*$AM693^5+WeightSDS!S$29*$AM693^4+WeightSDS!T$29*$AM693^3+WeightSDS!U$29*$AM693^2+WeightSDS!V$29*$AM693+WeightSDS!W$29-0.010431*(1-$AM693/210),IF($AM693&lt;123,WeightSDS!M$30*$AM693^10+WeightSDS!N$30*$AM693^9+WeightSDS!O$30*$AM693^8+WeightSDS!P$30*$AM693^7+WeightSDS!Q$30*$AM693^6+WeightSDS!R$30*$AM693^5+WeightSDS!S$30*$AM693^4+WeightSDS!T$30*$AM693^3+WeightSDS!U$30*$AM693^2+WeightSDS!V$30*$AM693+WeightSDS!W$30-0.010431*(1-1/$AM693),WeightSDS!M$32+WeightSDS!N$32/(1+EXP(WeightSDS!O$32+WeightSDS!P$32*$AM693))-0.010431*(1-$AM693/210))))</f>
        <v>2.9500001032655536</v>
      </c>
      <c r="AQ693" s="4">
        <f>IF(D693="M",IF($AM693&lt;162,WeightSDS!P$12*$AM693^7+WeightSDS!Q$12*$AM693^6+WeightSDS!R$12*$AM693^5+WeightSDS!S$12*$AM693^4+WeightSDS!T$12*$AM693^3+WeightSDS!U$12*$AM693^2+WeightSDS!V$12*$AM693+WeightSDS!W$12,WeightSDS!P$14*$AM693^7+WeightSDS!Q$14*$AM693^6+WeightSDS!R$14*$AM693^5+WeightSDS!S$14*$AM693^4+WeightSDS!T$14*$AM693^3+WeightSDS!U$14*$AM693^2+WeightSDS!V$14*$AM693+WeightSDS!W$14),IF($AM693&lt;156,WeightSDS!O$17*$AM693^8+WeightSDS!P$17*$AM693^7+WeightSDS!Q$17*$AM693^6+WeightSDS!R$17*$AM693^5+WeightSDS!S$17*$AM693^4+WeightSDS!T$17*$AM693^3+WeightSDS!U$17*$AM693^2+WeightSDS!V$17*$AM693+WeightSDS!W$17,IF($AM693&lt;186,WeightSDS!$U$18+(WeightSDS!$V$18-WeightSDS!$U$18)/24*($AM693-186)+WeightSDS!$W$18*(-$AM693+186)^2-0.005,WeightSDS!$U$18+(WeightSDS!$V$18-WeightSDS!$U$18)/24*($AM693-186)-0.005)))</f>
        <v>0.14604529399999999</v>
      </c>
      <c r="AT693" s="4">
        <f t="shared" si="217"/>
        <v>0.56299999999999994</v>
      </c>
      <c r="AU693" s="4">
        <f t="shared" si="218"/>
        <v>69</v>
      </c>
      <c r="AV693" s="4">
        <f t="shared" si="219"/>
        <v>0.51</v>
      </c>
    </row>
    <row r="694" spans="1:48" x14ac:dyDescent="0.15">
      <c r="A694" s="4"/>
      <c r="B694" s="21"/>
      <c r="C694" s="21"/>
      <c r="D694" s="21"/>
      <c r="E694" s="22"/>
      <c r="F694" s="22"/>
      <c r="G694" s="23"/>
      <c r="H694" s="23"/>
      <c r="I694" s="181"/>
      <c r="J694" s="8" t="str">
        <f t="shared" si="211"/>
        <v/>
      </c>
      <c r="K694" s="2" t="str">
        <f t="shared" si="220"/>
        <v/>
      </c>
      <c r="L694" s="2" t="str">
        <f t="shared" si="212"/>
        <v/>
      </c>
      <c r="M694" s="2" t="str">
        <f t="shared" si="221"/>
        <v/>
      </c>
      <c r="N694" s="2" t="str">
        <f t="shared" si="229"/>
        <v/>
      </c>
      <c r="O694" s="2" t="str">
        <f t="shared" si="222"/>
        <v/>
      </c>
      <c r="P694" s="8" t="str">
        <f t="shared" si="223"/>
        <v/>
      </c>
      <c r="Q694" s="8" t="str">
        <f t="shared" si="224"/>
        <v/>
      </c>
      <c r="R694" s="111" t="str">
        <f t="shared" si="225"/>
        <v/>
      </c>
      <c r="S694" s="44" t="str">
        <f t="shared" si="226"/>
        <v/>
      </c>
      <c r="T694" s="37" t="str">
        <f t="shared" si="227"/>
        <v/>
      </c>
      <c r="U694" s="44" t="str">
        <f t="shared" si="228"/>
        <v/>
      </c>
      <c r="V694" s="26"/>
      <c r="W694" s="26"/>
      <c r="X694" s="26"/>
      <c r="Y694" s="26"/>
      <c r="Z694" s="24"/>
      <c r="AA694" s="169">
        <f t="shared" si="213"/>
        <v>0</v>
      </c>
      <c r="AB694" s="4">
        <f t="shared" si="214"/>
        <v>0</v>
      </c>
      <c r="AC694" s="170">
        <f t="shared" si="231"/>
        <v>0</v>
      </c>
      <c r="AD694" s="58"/>
      <c r="AE694" s="58"/>
      <c r="AF694" s="58"/>
      <c r="AG694" s="59">
        <f t="shared" si="215"/>
        <v>9.0359999999999996</v>
      </c>
      <c r="AH694" s="59">
        <f t="shared" si="216"/>
        <v>-184.49199999999999</v>
      </c>
      <c r="AJ694" s="4">
        <f>IF(D694="M",IF(AM694&lt;78,BMILMS!$D$5*AM694^3+BMILMS!$E$5*AM694^2+BMILMS!$F$5*AM694+BMILMS!$G$5,IF(AM694&lt;150,BMILMS!$D$6*AM694^3+BMILMS!$E$6*AM694^2+BMILMS!$F$6*AM694+BMILMS!$G$6,BMILMS!$D$7*AM694^3+BMILMS!$E$7*AM694^2+BMILMS!$F$7*AM694+BMILMS!$G$7)),IF(AM694&lt;69,BMILMS!$D$9*AM694^3+BMILMS!$E$9*AM694^2+BMILMS!$F$9*AM694+BMILMS!$G$9,IF(AM694&lt;150,BMILMS!$D$10*AM694^3+BMILMS!$E$10*AM694^2+BMILMS!$F$10*AM694+BMILMS!$G$10,BMILMS!$D$11*AM694^3+BMILMS!$E$11*AM694^2+BMILMS!$F$11*AM694+BMILMS!$G$11)))</f>
        <v>0.79584630099999998</v>
      </c>
      <c r="AK694" s="4">
        <f>IF(D694="M",(IF(AM694&lt;2.5,BMILMS!$D$21*AM694^3+BMILMS!$E$21*AM694^2+BMILMS!$F$21*AM694+BMILMS!$G$21,IF(AM694&lt;9.5,BMILMS!$D$22*AM694^3+BMILMS!$E$22*AM694^2+BMILMS!$F$22*AM694+BMILMS!$G$22,IF(AM694&lt;26.75,BMILMS!$D$23*AM694^3+BMILMS!$E$23*AM694^2+BMILMS!$F$23*AM694+BMILMS!$G$23,IF(AM694&lt;90,BMILMS!$D$24*AM694^3+BMILMS!$E$24*AM694^2+BMILMS!$F$24*AM694+BMILMS!$G$24,BMILMS!$D$25*AM694^3+BMILMS!$E$25*AM694^2+BMILMS!$F$25*AM694+BMILMS!$G$25))))),(IF(AM694&lt;2.5,BMILMS!$D$27*AM694^3+BMILMS!$E$27*AM694^2+BMILMS!$F$27*AM694+BMILMS!$G$27,IF(AM694&lt;9.5,BMILMS!$D$28*AM694^3+BMILMS!$E$28*AM694^2+BMILMS!$F$28*AM694+BMILMS!$G$28,IF(AM694&lt;26.75,BMILMS!$D$29*AM694^3+BMILMS!$E$29*AM694^2+BMILMS!$F$29*AM694+BMILMS!$G$29,IF(AM694&lt;90,BMILMS!$D$30*AM694^3+BMILMS!$E$30*AM694^2+BMILMS!$F$30*AM694+BMILMS!$G$30,IF(AM694&lt;150,BMILMS!$D$31*AM694^3+BMILMS!$E$31*AM694^2+BMILMS!$F$31*AM694+BMILMS!$G$31,BMILMS!$D$32*AM694^3+BMILMS!$E$32*AM694^2+BMILMS!$F$32*AM694+BMILMS!$G$32)))))))</f>
        <v>12.568967990000001</v>
      </c>
      <c r="AL694" s="4">
        <f>IF(D694="M",(IF(AM694&lt;90,BMILMS!$D$14*AM694^3+BMILMS!$E$14*AM694^2+BMILMS!$F$14*AM694+BMILMS!$G$14,BMILMS!$D$15*AM694^3+BMILMS!$E$15*AM694^2+BMILMS!$F$15*AM694+BMILMS!$G$15)),(IF(AM694&lt;90,BMILMS!$D$17*AM694^3+BMILMS!$E$17*AM694^2+BMILMS!$F$17*AM694+BMILMS!$G$17,BMILMS!$D$18*AM694^3+BMILMS!$E$18*AM694^2+BMILMS!$F$18*AM694+BMILMS!$G$18)))</f>
        <v>8.8969350000000003E-2</v>
      </c>
      <c r="AM694" s="4">
        <f t="shared" si="230"/>
        <v>0</v>
      </c>
      <c r="AO694" s="56">
        <f>IF(D694="M",WeightSDS!P$5*$AM694^7+WeightSDS!Q$5*$AM694^6+WeightSDS!R$5*$AM694^5+WeightSDS!S$5*$AM694^4+WeightSDS!T$5*$AM694^3+WeightSDS!U$5*$AM694^2+WeightSDS!V$5*$AM694+WeightSDS!W$5,IF($AM694&lt;186,WeightSDS!P$8*$AM694^7+WeightSDS!Q$8*$AM694^6+WeightSDS!R$8*$AM694^5+WeightSDS!S$8*$AM694^4+WeightSDS!T$8*$AM694^3+WeightSDS!U$8*$AM694^2+WeightSDS!V$8*$AM694+WeightSDS!W$8,WeightSDS!$U$9+WeightSDS!$V$9*($AM694-WeightSDS!$W$9)))</f>
        <v>0.75407122999999998</v>
      </c>
      <c r="AP694" s="4">
        <f>IF(D694="M",IF($AM694&lt;45,WeightSDS!M$23*$AM694^10+WeightSDS!N$23*$AM694^9+WeightSDS!O$23*$AM694^8+WeightSDS!P$23*$AM694^7+WeightSDS!Q$23*$AM694^6+WeightSDS!R$23*$AM694^5+WeightSDS!S$23*$AM694^4+WeightSDS!T$23*$AM694^3+WeightSDS!U$23*$AM694^2+WeightSDS!V$23*$AM694+WeightSDS!W$23,IF($AM694&lt;153,WeightSDS!M$25*$AM694^10+WeightSDS!N$25*$AM694^9+WeightSDS!O$25*$AM694^8+WeightSDS!P$25*$AM694^7+WeightSDS!Q$25*$AM694^6+WeightSDS!R$25*$AM694^5+WeightSDS!S$25*$AM694^4+WeightSDS!T$25*$AM694^3+WeightSDS!U$25*$AM694^2+WeightSDS!V$25*$AM694+WeightSDS!W$25,WeightSDS!M$27+WeightSDS!N$27/(1+EXP(WeightSDS!O$27+WeightSDS!P$27*$AM694)))),IF($AM694&lt;43.8,WeightSDS!M$29*$AM694^10+WeightSDS!N$29*$AM694^9+WeightSDS!O$29*$AM694^8+WeightSDS!P$29*$AM694^7+WeightSDS!Q$29*$AM694^6+WeightSDS!R$29*$AM694^5+WeightSDS!S$29*$AM694^4+WeightSDS!T$29*$AM694^3+WeightSDS!U$29*$AM694^2+WeightSDS!V$29*$AM694+WeightSDS!W$29-0.010431*(1-$AM694/210),IF($AM694&lt;123,WeightSDS!M$30*$AM694^10+WeightSDS!N$30*$AM694^9+WeightSDS!O$30*$AM694^8+WeightSDS!P$30*$AM694^7+WeightSDS!Q$30*$AM694^6+WeightSDS!R$30*$AM694^5+WeightSDS!S$30*$AM694^4+WeightSDS!T$30*$AM694^3+WeightSDS!U$30*$AM694^2+WeightSDS!V$30*$AM694+WeightSDS!W$30-0.010431*(1-1/$AM694),WeightSDS!M$32+WeightSDS!N$32/(1+EXP(WeightSDS!O$32+WeightSDS!P$32*$AM694))-0.010431*(1-$AM694/210))))</f>
        <v>2.9500001032655536</v>
      </c>
      <c r="AQ694" s="4">
        <f>IF(D694="M",IF($AM694&lt;162,WeightSDS!P$12*$AM694^7+WeightSDS!Q$12*$AM694^6+WeightSDS!R$12*$AM694^5+WeightSDS!S$12*$AM694^4+WeightSDS!T$12*$AM694^3+WeightSDS!U$12*$AM694^2+WeightSDS!V$12*$AM694+WeightSDS!W$12,WeightSDS!P$14*$AM694^7+WeightSDS!Q$14*$AM694^6+WeightSDS!R$14*$AM694^5+WeightSDS!S$14*$AM694^4+WeightSDS!T$14*$AM694^3+WeightSDS!U$14*$AM694^2+WeightSDS!V$14*$AM694+WeightSDS!W$14),IF($AM694&lt;156,WeightSDS!O$17*$AM694^8+WeightSDS!P$17*$AM694^7+WeightSDS!Q$17*$AM694^6+WeightSDS!R$17*$AM694^5+WeightSDS!S$17*$AM694^4+WeightSDS!T$17*$AM694^3+WeightSDS!U$17*$AM694^2+WeightSDS!V$17*$AM694+WeightSDS!W$17,IF($AM694&lt;186,WeightSDS!$U$18+(WeightSDS!$V$18-WeightSDS!$U$18)/24*($AM694-186)+WeightSDS!$W$18*(-$AM694+186)^2-0.005,WeightSDS!$U$18+(WeightSDS!$V$18-WeightSDS!$U$18)/24*($AM694-186)-0.005)))</f>
        <v>0.14604529399999999</v>
      </c>
      <c r="AT694" s="4">
        <f t="shared" si="217"/>
        <v>0.56299999999999994</v>
      </c>
      <c r="AU694" s="4">
        <f t="shared" si="218"/>
        <v>69</v>
      </c>
      <c r="AV694" s="4">
        <f t="shared" si="219"/>
        <v>0.51</v>
      </c>
    </row>
    <row r="695" spans="1:48" x14ac:dyDescent="0.15">
      <c r="A695" s="4"/>
      <c r="B695" s="21"/>
      <c r="C695" s="21"/>
      <c r="D695" s="21"/>
      <c r="E695" s="22"/>
      <c r="F695" s="22"/>
      <c r="G695" s="23"/>
      <c r="H695" s="23"/>
      <c r="I695" s="181"/>
      <c r="J695" s="8" t="str">
        <f t="shared" si="211"/>
        <v/>
      </c>
      <c r="K695" s="2" t="str">
        <f t="shared" si="220"/>
        <v/>
      </c>
      <c r="L695" s="2" t="str">
        <f t="shared" si="212"/>
        <v/>
      </c>
      <c r="M695" s="2" t="str">
        <f t="shared" si="221"/>
        <v/>
      </c>
      <c r="N695" s="2" t="str">
        <f t="shared" si="229"/>
        <v/>
      </c>
      <c r="O695" s="2" t="str">
        <f t="shared" si="222"/>
        <v/>
      </c>
      <c r="P695" s="8" t="str">
        <f t="shared" si="223"/>
        <v/>
      </c>
      <c r="Q695" s="8" t="str">
        <f t="shared" si="224"/>
        <v/>
      </c>
      <c r="R695" s="111" t="str">
        <f t="shared" si="225"/>
        <v/>
      </c>
      <c r="S695" s="44" t="str">
        <f t="shared" si="226"/>
        <v/>
      </c>
      <c r="T695" s="37" t="str">
        <f t="shared" si="227"/>
        <v/>
      </c>
      <c r="U695" s="44" t="str">
        <f t="shared" si="228"/>
        <v/>
      </c>
      <c r="V695" s="26"/>
      <c r="W695" s="26"/>
      <c r="X695" s="26"/>
      <c r="Y695" s="26"/>
      <c r="Z695" s="24"/>
      <c r="AA695" s="169">
        <f t="shared" si="213"/>
        <v>0</v>
      </c>
      <c r="AB695" s="4">
        <f t="shared" si="214"/>
        <v>0</v>
      </c>
      <c r="AC695" s="170">
        <f t="shared" si="231"/>
        <v>0</v>
      </c>
      <c r="AD695" s="58"/>
      <c r="AE695" s="58"/>
      <c r="AF695" s="58"/>
      <c r="AG695" s="59">
        <f t="shared" si="215"/>
        <v>9.0359999999999996</v>
      </c>
      <c r="AH695" s="59">
        <f t="shared" si="216"/>
        <v>-184.49199999999999</v>
      </c>
      <c r="AJ695" s="4">
        <f>IF(D695="M",IF(AM695&lt;78,BMILMS!$D$5*AM695^3+BMILMS!$E$5*AM695^2+BMILMS!$F$5*AM695+BMILMS!$G$5,IF(AM695&lt;150,BMILMS!$D$6*AM695^3+BMILMS!$E$6*AM695^2+BMILMS!$F$6*AM695+BMILMS!$G$6,BMILMS!$D$7*AM695^3+BMILMS!$E$7*AM695^2+BMILMS!$F$7*AM695+BMILMS!$G$7)),IF(AM695&lt;69,BMILMS!$D$9*AM695^3+BMILMS!$E$9*AM695^2+BMILMS!$F$9*AM695+BMILMS!$G$9,IF(AM695&lt;150,BMILMS!$D$10*AM695^3+BMILMS!$E$10*AM695^2+BMILMS!$F$10*AM695+BMILMS!$G$10,BMILMS!$D$11*AM695^3+BMILMS!$E$11*AM695^2+BMILMS!$F$11*AM695+BMILMS!$G$11)))</f>
        <v>0.79584630099999998</v>
      </c>
      <c r="AK695" s="4">
        <f>IF(D695="M",(IF(AM695&lt;2.5,BMILMS!$D$21*AM695^3+BMILMS!$E$21*AM695^2+BMILMS!$F$21*AM695+BMILMS!$G$21,IF(AM695&lt;9.5,BMILMS!$D$22*AM695^3+BMILMS!$E$22*AM695^2+BMILMS!$F$22*AM695+BMILMS!$G$22,IF(AM695&lt;26.75,BMILMS!$D$23*AM695^3+BMILMS!$E$23*AM695^2+BMILMS!$F$23*AM695+BMILMS!$G$23,IF(AM695&lt;90,BMILMS!$D$24*AM695^3+BMILMS!$E$24*AM695^2+BMILMS!$F$24*AM695+BMILMS!$G$24,BMILMS!$D$25*AM695^3+BMILMS!$E$25*AM695^2+BMILMS!$F$25*AM695+BMILMS!$G$25))))),(IF(AM695&lt;2.5,BMILMS!$D$27*AM695^3+BMILMS!$E$27*AM695^2+BMILMS!$F$27*AM695+BMILMS!$G$27,IF(AM695&lt;9.5,BMILMS!$D$28*AM695^3+BMILMS!$E$28*AM695^2+BMILMS!$F$28*AM695+BMILMS!$G$28,IF(AM695&lt;26.75,BMILMS!$D$29*AM695^3+BMILMS!$E$29*AM695^2+BMILMS!$F$29*AM695+BMILMS!$G$29,IF(AM695&lt;90,BMILMS!$D$30*AM695^3+BMILMS!$E$30*AM695^2+BMILMS!$F$30*AM695+BMILMS!$G$30,IF(AM695&lt;150,BMILMS!$D$31*AM695^3+BMILMS!$E$31*AM695^2+BMILMS!$F$31*AM695+BMILMS!$G$31,BMILMS!$D$32*AM695^3+BMILMS!$E$32*AM695^2+BMILMS!$F$32*AM695+BMILMS!$G$32)))))))</f>
        <v>12.568967990000001</v>
      </c>
      <c r="AL695" s="4">
        <f>IF(D695="M",(IF(AM695&lt;90,BMILMS!$D$14*AM695^3+BMILMS!$E$14*AM695^2+BMILMS!$F$14*AM695+BMILMS!$G$14,BMILMS!$D$15*AM695^3+BMILMS!$E$15*AM695^2+BMILMS!$F$15*AM695+BMILMS!$G$15)),(IF(AM695&lt;90,BMILMS!$D$17*AM695^3+BMILMS!$E$17*AM695^2+BMILMS!$F$17*AM695+BMILMS!$G$17,BMILMS!$D$18*AM695^3+BMILMS!$E$18*AM695^2+BMILMS!$F$18*AM695+BMILMS!$G$18)))</f>
        <v>8.8969350000000003E-2</v>
      </c>
      <c r="AM695" s="4">
        <f t="shared" si="230"/>
        <v>0</v>
      </c>
      <c r="AO695" s="56">
        <f>IF(D695="M",WeightSDS!P$5*$AM695^7+WeightSDS!Q$5*$AM695^6+WeightSDS!R$5*$AM695^5+WeightSDS!S$5*$AM695^4+WeightSDS!T$5*$AM695^3+WeightSDS!U$5*$AM695^2+WeightSDS!V$5*$AM695+WeightSDS!W$5,IF($AM695&lt;186,WeightSDS!P$8*$AM695^7+WeightSDS!Q$8*$AM695^6+WeightSDS!R$8*$AM695^5+WeightSDS!S$8*$AM695^4+WeightSDS!T$8*$AM695^3+WeightSDS!U$8*$AM695^2+WeightSDS!V$8*$AM695+WeightSDS!W$8,WeightSDS!$U$9+WeightSDS!$V$9*($AM695-WeightSDS!$W$9)))</f>
        <v>0.75407122999999998</v>
      </c>
      <c r="AP695" s="4">
        <f>IF(D695="M",IF($AM695&lt;45,WeightSDS!M$23*$AM695^10+WeightSDS!N$23*$AM695^9+WeightSDS!O$23*$AM695^8+WeightSDS!P$23*$AM695^7+WeightSDS!Q$23*$AM695^6+WeightSDS!R$23*$AM695^5+WeightSDS!S$23*$AM695^4+WeightSDS!T$23*$AM695^3+WeightSDS!U$23*$AM695^2+WeightSDS!V$23*$AM695+WeightSDS!W$23,IF($AM695&lt;153,WeightSDS!M$25*$AM695^10+WeightSDS!N$25*$AM695^9+WeightSDS!O$25*$AM695^8+WeightSDS!P$25*$AM695^7+WeightSDS!Q$25*$AM695^6+WeightSDS!R$25*$AM695^5+WeightSDS!S$25*$AM695^4+WeightSDS!T$25*$AM695^3+WeightSDS!U$25*$AM695^2+WeightSDS!V$25*$AM695+WeightSDS!W$25,WeightSDS!M$27+WeightSDS!N$27/(1+EXP(WeightSDS!O$27+WeightSDS!P$27*$AM695)))),IF($AM695&lt;43.8,WeightSDS!M$29*$AM695^10+WeightSDS!N$29*$AM695^9+WeightSDS!O$29*$AM695^8+WeightSDS!P$29*$AM695^7+WeightSDS!Q$29*$AM695^6+WeightSDS!R$29*$AM695^5+WeightSDS!S$29*$AM695^4+WeightSDS!T$29*$AM695^3+WeightSDS!U$29*$AM695^2+WeightSDS!V$29*$AM695+WeightSDS!W$29-0.010431*(1-$AM695/210),IF($AM695&lt;123,WeightSDS!M$30*$AM695^10+WeightSDS!N$30*$AM695^9+WeightSDS!O$30*$AM695^8+WeightSDS!P$30*$AM695^7+WeightSDS!Q$30*$AM695^6+WeightSDS!R$30*$AM695^5+WeightSDS!S$30*$AM695^4+WeightSDS!T$30*$AM695^3+WeightSDS!U$30*$AM695^2+WeightSDS!V$30*$AM695+WeightSDS!W$30-0.010431*(1-1/$AM695),WeightSDS!M$32+WeightSDS!N$32/(1+EXP(WeightSDS!O$32+WeightSDS!P$32*$AM695))-0.010431*(1-$AM695/210))))</f>
        <v>2.9500001032655536</v>
      </c>
      <c r="AQ695" s="4">
        <f>IF(D695="M",IF($AM695&lt;162,WeightSDS!P$12*$AM695^7+WeightSDS!Q$12*$AM695^6+WeightSDS!R$12*$AM695^5+WeightSDS!S$12*$AM695^4+WeightSDS!T$12*$AM695^3+WeightSDS!U$12*$AM695^2+WeightSDS!V$12*$AM695+WeightSDS!W$12,WeightSDS!P$14*$AM695^7+WeightSDS!Q$14*$AM695^6+WeightSDS!R$14*$AM695^5+WeightSDS!S$14*$AM695^4+WeightSDS!T$14*$AM695^3+WeightSDS!U$14*$AM695^2+WeightSDS!V$14*$AM695+WeightSDS!W$14),IF($AM695&lt;156,WeightSDS!O$17*$AM695^8+WeightSDS!P$17*$AM695^7+WeightSDS!Q$17*$AM695^6+WeightSDS!R$17*$AM695^5+WeightSDS!S$17*$AM695^4+WeightSDS!T$17*$AM695^3+WeightSDS!U$17*$AM695^2+WeightSDS!V$17*$AM695+WeightSDS!W$17,IF($AM695&lt;186,WeightSDS!$U$18+(WeightSDS!$V$18-WeightSDS!$U$18)/24*($AM695-186)+WeightSDS!$W$18*(-$AM695+186)^2-0.005,WeightSDS!$U$18+(WeightSDS!$V$18-WeightSDS!$U$18)/24*($AM695-186)-0.005)))</f>
        <v>0.14604529399999999</v>
      </c>
      <c r="AT695" s="4">
        <f t="shared" si="217"/>
        <v>0.56299999999999994</v>
      </c>
      <c r="AU695" s="4">
        <f t="shared" si="218"/>
        <v>69</v>
      </c>
      <c r="AV695" s="4">
        <f t="shared" si="219"/>
        <v>0.51</v>
      </c>
    </row>
    <row r="696" spans="1:48" x14ac:dyDescent="0.15">
      <c r="A696" s="4"/>
      <c r="B696" s="21"/>
      <c r="C696" s="21"/>
      <c r="D696" s="21"/>
      <c r="E696" s="22"/>
      <c r="F696" s="22"/>
      <c r="G696" s="23"/>
      <c r="H696" s="23"/>
      <c r="I696" s="181"/>
      <c r="J696" s="8" t="str">
        <f t="shared" si="211"/>
        <v/>
      </c>
      <c r="K696" s="2" t="str">
        <f t="shared" si="220"/>
        <v/>
      </c>
      <c r="L696" s="2" t="str">
        <f t="shared" si="212"/>
        <v/>
      </c>
      <c r="M696" s="2" t="str">
        <f t="shared" si="221"/>
        <v/>
      </c>
      <c r="N696" s="2" t="str">
        <f t="shared" si="229"/>
        <v/>
      </c>
      <c r="O696" s="2" t="str">
        <f t="shared" si="222"/>
        <v/>
      </c>
      <c r="P696" s="8" t="str">
        <f t="shared" si="223"/>
        <v/>
      </c>
      <c r="Q696" s="8" t="str">
        <f t="shared" si="224"/>
        <v/>
      </c>
      <c r="R696" s="111" t="str">
        <f t="shared" si="225"/>
        <v/>
      </c>
      <c r="S696" s="44" t="str">
        <f t="shared" si="226"/>
        <v/>
      </c>
      <c r="T696" s="37" t="str">
        <f t="shared" si="227"/>
        <v/>
      </c>
      <c r="U696" s="44" t="str">
        <f t="shared" si="228"/>
        <v/>
      </c>
      <c r="V696" s="26"/>
      <c r="W696" s="26"/>
      <c r="X696" s="26"/>
      <c r="Y696" s="26"/>
      <c r="Z696" s="24"/>
      <c r="AA696" s="169">
        <f t="shared" si="213"/>
        <v>0</v>
      </c>
      <c r="AB696" s="4">
        <f t="shared" si="214"/>
        <v>0</v>
      </c>
      <c r="AC696" s="170">
        <f t="shared" si="231"/>
        <v>0</v>
      </c>
      <c r="AD696" s="58"/>
      <c r="AE696" s="58"/>
      <c r="AF696" s="58"/>
      <c r="AG696" s="59">
        <f t="shared" si="215"/>
        <v>9.0359999999999996</v>
      </c>
      <c r="AH696" s="59">
        <f t="shared" si="216"/>
        <v>-184.49199999999999</v>
      </c>
      <c r="AJ696" s="4">
        <f>IF(D696="M",IF(AM696&lt;78,BMILMS!$D$5*AM696^3+BMILMS!$E$5*AM696^2+BMILMS!$F$5*AM696+BMILMS!$G$5,IF(AM696&lt;150,BMILMS!$D$6*AM696^3+BMILMS!$E$6*AM696^2+BMILMS!$F$6*AM696+BMILMS!$G$6,BMILMS!$D$7*AM696^3+BMILMS!$E$7*AM696^2+BMILMS!$F$7*AM696+BMILMS!$G$7)),IF(AM696&lt;69,BMILMS!$D$9*AM696^3+BMILMS!$E$9*AM696^2+BMILMS!$F$9*AM696+BMILMS!$G$9,IF(AM696&lt;150,BMILMS!$D$10*AM696^3+BMILMS!$E$10*AM696^2+BMILMS!$F$10*AM696+BMILMS!$G$10,BMILMS!$D$11*AM696^3+BMILMS!$E$11*AM696^2+BMILMS!$F$11*AM696+BMILMS!$G$11)))</f>
        <v>0.79584630099999998</v>
      </c>
      <c r="AK696" s="4">
        <f>IF(D696="M",(IF(AM696&lt;2.5,BMILMS!$D$21*AM696^3+BMILMS!$E$21*AM696^2+BMILMS!$F$21*AM696+BMILMS!$G$21,IF(AM696&lt;9.5,BMILMS!$D$22*AM696^3+BMILMS!$E$22*AM696^2+BMILMS!$F$22*AM696+BMILMS!$G$22,IF(AM696&lt;26.75,BMILMS!$D$23*AM696^3+BMILMS!$E$23*AM696^2+BMILMS!$F$23*AM696+BMILMS!$G$23,IF(AM696&lt;90,BMILMS!$D$24*AM696^3+BMILMS!$E$24*AM696^2+BMILMS!$F$24*AM696+BMILMS!$G$24,BMILMS!$D$25*AM696^3+BMILMS!$E$25*AM696^2+BMILMS!$F$25*AM696+BMILMS!$G$25))))),(IF(AM696&lt;2.5,BMILMS!$D$27*AM696^3+BMILMS!$E$27*AM696^2+BMILMS!$F$27*AM696+BMILMS!$G$27,IF(AM696&lt;9.5,BMILMS!$D$28*AM696^3+BMILMS!$E$28*AM696^2+BMILMS!$F$28*AM696+BMILMS!$G$28,IF(AM696&lt;26.75,BMILMS!$D$29*AM696^3+BMILMS!$E$29*AM696^2+BMILMS!$F$29*AM696+BMILMS!$G$29,IF(AM696&lt;90,BMILMS!$D$30*AM696^3+BMILMS!$E$30*AM696^2+BMILMS!$F$30*AM696+BMILMS!$G$30,IF(AM696&lt;150,BMILMS!$D$31*AM696^3+BMILMS!$E$31*AM696^2+BMILMS!$F$31*AM696+BMILMS!$G$31,BMILMS!$D$32*AM696^3+BMILMS!$E$32*AM696^2+BMILMS!$F$32*AM696+BMILMS!$G$32)))))))</f>
        <v>12.568967990000001</v>
      </c>
      <c r="AL696" s="4">
        <f>IF(D696="M",(IF(AM696&lt;90,BMILMS!$D$14*AM696^3+BMILMS!$E$14*AM696^2+BMILMS!$F$14*AM696+BMILMS!$G$14,BMILMS!$D$15*AM696^3+BMILMS!$E$15*AM696^2+BMILMS!$F$15*AM696+BMILMS!$G$15)),(IF(AM696&lt;90,BMILMS!$D$17*AM696^3+BMILMS!$E$17*AM696^2+BMILMS!$F$17*AM696+BMILMS!$G$17,BMILMS!$D$18*AM696^3+BMILMS!$E$18*AM696^2+BMILMS!$F$18*AM696+BMILMS!$G$18)))</f>
        <v>8.8969350000000003E-2</v>
      </c>
      <c r="AM696" s="4">
        <f t="shared" si="230"/>
        <v>0</v>
      </c>
      <c r="AO696" s="56">
        <f>IF(D696="M",WeightSDS!P$5*$AM696^7+WeightSDS!Q$5*$AM696^6+WeightSDS!R$5*$AM696^5+WeightSDS!S$5*$AM696^4+WeightSDS!T$5*$AM696^3+WeightSDS!U$5*$AM696^2+WeightSDS!V$5*$AM696+WeightSDS!W$5,IF($AM696&lt;186,WeightSDS!P$8*$AM696^7+WeightSDS!Q$8*$AM696^6+WeightSDS!R$8*$AM696^5+WeightSDS!S$8*$AM696^4+WeightSDS!T$8*$AM696^3+WeightSDS!U$8*$AM696^2+WeightSDS!V$8*$AM696+WeightSDS!W$8,WeightSDS!$U$9+WeightSDS!$V$9*($AM696-WeightSDS!$W$9)))</f>
        <v>0.75407122999999998</v>
      </c>
      <c r="AP696" s="4">
        <f>IF(D696="M",IF($AM696&lt;45,WeightSDS!M$23*$AM696^10+WeightSDS!N$23*$AM696^9+WeightSDS!O$23*$AM696^8+WeightSDS!P$23*$AM696^7+WeightSDS!Q$23*$AM696^6+WeightSDS!R$23*$AM696^5+WeightSDS!S$23*$AM696^4+WeightSDS!T$23*$AM696^3+WeightSDS!U$23*$AM696^2+WeightSDS!V$23*$AM696+WeightSDS!W$23,IF($AM696&lt;153,WeightSDS!M$25*$AM696^10+WeightSDS!N$25*$AM696^9+WeightSDS!O$25*$AM696^8+WeightSDS!P$25*$AM696^7+WeightSDS!Q$25*$AM696^6+WeightSDS!R$25*$AM696^5+WeightSDS!S$25*$AM696^4+WeightSDS!T$25*$AM696^3+WeightSDS!U$25*$AM696^2+WeightSDS!V$25*$AM696+WeightSDS!W$25,WeightSDS!M$27+WeightSDS!N$27/(1+EXP(WeightSDS!O$27+WeightSDS!P$27*$AM696)))),IF($AM696&lt;43.8,WeightSDS!M$29*$AM696^10+WeightSDS!N$29*$AM696^9+WeightSDS!O$29*$AM696^8+WeightSDS!P$29*$AM696^7+WeightSDS!Q$29*$AM696^6+WeightSDS!R$29*$AM696^5+WeightSDS!S$29*$AM696^4+WeightSDS!T$29*$AM696^3+WeightSDS!U$29*$AM696^2+WeightSDS!V$29*$AM696+WeightSDS!W$29-0.010431*(1-$AM696/210),IF($AM696&lt;123,WeightSDS!M$30*$AM696^10+WeightSDS!N$30*$AM696^9+WeightSDS!O$30*$AM696^8+WeightSDS!P$30*$AM696^7+WeightSDS!Q$30*$AM696^6+WeightSDS!R$30*$AM696^5+WeightSDS!S$30*$AM696^4+WeightSDS!T$30*$AM696^3+WeightSDS!U$30*$AM696^2+WeightSDS!V$30*$AM696+WeightSDS!W$30-0.010431*(1-1/$AM696),WeightSDS!M$32+WeightSDS!N$32/(1+EXP(WeightSDS!O$32+WeightSDS!P$32*$AM696))-0.010431*(1-$AM696/210))))</f>
        <v>2.9500001032655536</v>
      </c>
      <c r="AQ696" s="4">
        <f>IF(D696="M",IF($AM696&lt;162,WeightSDS!P$12*$AM696^7+WeightSDS!Q$12*$AM696^6+WeightSDS!R$12*$AM696^5+WeightSDS!S$12*$AM696^4+WeightSDS!T$12*$AM696^3+WeightSDS!U$12*$AM696^2+WeightSDS!V$12*$AM696+WeightSDS!W$12,WeightSDS!P$14*$AM696^7+WeightSDS!Q$14*$AM696^6+WeightSDS!R$14*$AM696^5+WeightSDS!S$14*$AM696^4+WeightSDS!T$14*$AM696^3+WeightSDS!U$14*$AM696^2+WeightSDS!V$14*$AM696+WeightSDS!W$14),IF($AM696&lt;156,WeightSDS!O$17*$AM696^8+WeightSDS!P$17*$AM696^7+WeightSDS!Q$17*$AM696^6+WeightSDS!R$17*$AM696^5+WeightSDS!S$17*$AM696^4+WeightSDS!T$17*$AM696^3+WeightSDS!U$17*$AM696^2+WeightSDS!V$17*$AM696+WeightSDS!W$17,IF($AM696&lt;186,WeightSDS!$U$18+(WeightSDS!$V$18-WeightSDS!$U$18)/24*($AM696-186)+WeightSDS!$W$18*(-$AM696+186)^2-0.005,WeightSDS!$U$18+(WeightSDS!$V$18-WeightSDS!$U$18)/24*($AM696-186)-0.005)))</f>
        <v>0.14604529399999999</v>
      </c>
      <c r="AT696" s="4">
        <f t="shared" si="217"/>
        <v>0.56299999999999994</v>
      </c>
      <c r="AU696" s="4">
        <f t="shared" si="218"/>
        <v>69</v>
      </c>
      <c r="AV696" s="4">
        <f t="shared" si="219"/>
        <v>0.51</v>
      </c>
    </row>
    <row r="697" spans="1:48" x14ac:dyDescent="0.15">
      <c r="A697" s="4"/>
      <c r="B697" s="21"/>
      <c r="C697" s="21"/>
      <c r="D697" s="21"/>
      <c r="E697" s="22"/>
      <c r="F697" s="22"/>
      <c r="G697" s="23"/>
      <c r="H697" s="23"/>
      <c r="I697" s="181"/>
      <c r="J697" s="8" t="str">
        <f t="shared" si="211"/>
        <v/>
      </c>
      <c r="K697" s="2" t="str">
        <f t="shared" si="220"/>
        <v/>
      </c>
      <c r="L697" s="2" t="str">
        <f t="shared" si="212"/>
        <v/>
      </c>
      <c r="M697" s="2" t="str">
        <f t="shared" si="221"/>
        <v/>
      </c>
      <c r="N697" s="2" t="str">
        <f t="shared" si="229"/>
        <v/>
      </c>
      <c r="O697" s="2" t="str">
        <f t="shared" si="222"/>
        <v/>
      </c>
      <c r="P697" s="8" t="str">
        <f t="shared" si="223"/>
        <v/>
      </c>
      <c r="Q697" s="8" t="str">
        <f t="shared" si="224"/>
        <v/>
      </c>
      <c r="R697" s="111" t="str">
        <f t="shared" si="225"/>
        <v/>
      </c>
      <c r="S697" s="44" t="str">
        <f t="shared" si="226"/>
        <v/>
      </c>
      <c r="T697" s="37" t="str">
        <f t="shared" si="227"/>
        <v/>
      </c>
      <c r="U697" s="44" t="str">
        <f t="shared" si="228"/>
        <v/>
      </c>
      <c r="V697" s="26"/>
      <c r="W697" s="26"/>
      <c r="X697" s="26"/>
      <c r="Y697" s="26"/>
      <c r="Z697" s="24"/>
      <c r="AA697" s="169">
        <f t="shared" si="213"/>
        <v>0</v>
      </c>
      <c r="AB697" s="4">
        <f t="shared" si="214"/>
        <v>0</v>
      </c>
      <c r="AC697" s="170">
        <f t="shared" si="231"/>
        <v>0</v>
      </c>
      <c r="AD697" s="58"/>
      <c r="AE697" s="58"/>
      <c r="AF697" s="58"/>
      <c r="AG697" s="59">
        <f t="shared" si="215"/>
        <v>9.0359999999999996</v>
      </c>
      <c r="AH697" s="59">
        <f t="shared" si="216"/>
        <v>-184.49199999999999</v>
      </c>
      <c r="AJ697" s="4">
        <f>IF(D697="M",IF(AM697&lt;78,BMILMS!$D$5*AM697^3+BMILMS!$E$5*AM697^2+BMILMS!$F$5*AM697+BMILMS!$G$5,IF(AM697&lt;150,BMILMS!$D$6*AM697^3+BMILMS!$E$6*AM697^2+BMILMS!$F$6*AM697+BMILMS!$G$6,BMILMS!$D$7*AM697^3+BMILMS!$E$7*AM697^2+BMILMS!$F$7*AM697+BMILMS!$G$7)),IF(AM697&lt;69,BMILMS!$D$9*AM697^3+BMILMS!$E$9*AM697^2+BMILMS!$F$9*AM697+BMILMS!$G$9,IF(AM697&lt;150,BMILMS!$D$10*AM697^3+BMILMS!$E$10*AM697^2+BMILMS!$F$10*AM697+BMILMS!$G$10,BMILMS!$D$11*AM697^3+BMILMS!$E$11*AM697^2+BMILMS!$F$11*AM697+BMILMS!$G$11)))</f>
        <v>0.79584630099999998</v>
      </c>
      <c r="AK697" s="4">
        <f>IF(D697="M",(IF(AM697&lt;2.5,BMILMS!$D$21*AM697^3+BMILMS!$E$21*AM697^2+BMILMS!$F$21*AM697+BMILMS!$G$21,IF(AM697&lt;9.5,BMILMS!$D$22*AM697^3+BMILMS!$E$22*AM697^2+BMILMS!$F$22*AM697+BMILMS!$G$22,IF(AM697&lt;26.75,BMILMS!$D$23*AM697^3+BMILMS!$E$23*AM697^2+BMILMS!$F$23*AM697+BMILMS!$G$23,IF(AM697&lt;90,BMILMS!$D$24*AM697^3+BMILMS!$E$24*AM697^2+BMILMS!$F$24*AM697+BMILMS!$G$24,BMILMS!$D$25*AM697^3+BMILMS!$E$25*AM697^2+BMILMS!$F$25*AM697+BMILMS!$G$25))))),(IF(AM697&lt;2.5,BMILMS!$D$27*AM697^3+BMILMS!$E$27*AM697^2+BMILMS!$F$27*AM697+BMILMS!$G$27,IF(AM697&lt;9.5,BMILMS!$D$28*AM697^3+BMILMS!$E$28*AM697^2+BMILMS!$F$28*AM697+BMILMS!$G$28,IF(AM697&lt;26.75,BMILMS!$D$29*AM697^3+BMILMS!$E$29*AM697^2+BMILMS!$F$29*AM697+BMILMS!$G$29,IF(AM697&lt;90,BMILMS!$D$30*AM697^3+BMILMS!$E$30*AM697^2+BMILMS!$F$30*AM697+BMILMS!$G$30,IF(AM697&lt;150,BMILMS!$D$31*AM697^3+BMILMS!$E$31*AM697^2+BMILMS!$F$31*AM697+BMILMS!$G$31,BMILMS!$D$32*AM697^3+BMILMS!$E$32*AM697^2+BMILMS!$F$32*AM697+BMILMS!$G$32)))))))</f>
        <v>12.568967990000001</v>
      </c>
      <c r="AL697" s="4">
        <f>IF(D697="M",(IF(AM697&lt;90,BMILMS!$D$14*AM697^3+BMILMS!$E$14*AM697^2+BMILMS!$F$14*AM697+BMILMS!$G$14,BMILMS!$D$15*AM697^3+BMILMS!$E$15*AM697^2+BMILMS!$F$15*AM697+BMILMS!$G$15)),(IF(AM697&lt;90,BMILMS!$D$17*AM697^3+BMILMS!$E$17*AM697^2+BMILMS!$F$17*AM697+BMILMS!$G$17,BMILMS!$D$18*AM697^3+BMILMS!$E$18*AM697^2+BMILMS!$F$18*AM697+BMILMS!$G$18)))</f>
        <v>8.8969350000000003E-2</v>
      </c>
      <c r="AM697" s="4">
        <f t="shared" si="230"/>
        <v>0</v>
      </c>
      <c r="AO697" s="56">
        <f>IF(D697="M",WeightSDS!P$5*$AM697^7+WeightSDS!Q$5*$AM697^6+WeightSDS!R$5*$AM697^5+WeightSDS!S$5*$AM697^4+WeightSDS!T$5*$AM697^3+WeightSDS!U$5*$AM697^2+WeightSDS!V$5*$AM697+WeightSDS!W$5,IF($AM697&lt;186,WeightSDS!P$8*$AM697^7+WeightSDS!Q$8*$AM697^6+WeightSDS!R$8*$AM697^5+WeightSDS!S$8*$AM697^4+WeightSDS!T$8*$AM697^3+WeightSDS!U$8*$AM697^2+WeightSDS!V$8*$AM697+WeightSDS!W$8,WeightSDS!$U$9+WeightSDS!$V$9*($AM697-WeightSDS!$W$9)))</f>
        <v>0.75407122999999998</v>
      </c>
      <c r="AP697" s="4">
        <f>IF(D697="M",IF($AM697&lt;45,WeightSDS!M$23*$AM697^10+WeightSDS!N$23*$AM697^9+WeightSDS!O$23*$AM697^8+WeightSDS!P$23*$AM697^7+WeightSDS!Q$23*$AM697^6+WeightSDS!R$23*$AM697^5+WeightSDS!S$23*$AM697^4+WeightSDS!T$23*$AM697^3+WeightSDS!U$23*$AM697^2+WeightSDS!V$23*$AM697+WeightSDS!W$23,IF($AM697&lt;153,WeightSDS!M$25*$AM697^10+WeightSDS!N$25*$AM697^9+WeightSDS!O$25*$AM697^8+WeightSDS!P$25*$AM697^7+WeightSDS!Q$25*$AM697^6+WeightSDS!R$25*$AM697^5+WeightSDS!S$25*$AM697^4+WeightSDS!T$25*$AM697^3+WeightSDS!U$25*$AM697^2+WeightSDS!V$25*$AM697+WeightSDS!W$25,WeightSDS!M$27+WeightSDS!N$27/(1+EXP(WeightSDS!O$27+WeightSDS!P$27*$AM697)))),IF($AM697&lt;43.8,WeightSDS!M$29*$AM697^10+WeightSDS!N$29*$AM697^9+WeightSDS!O$29*$AM697^8+WeightSDS!P$29*$AM697^7+WeightSDS!Q$29*$AM697^6+WeightSDS!R$29*$AM697^5+WeightSDS!S$29*$AM697^4+WeightSDS!T$29*$AM697^3+WeightSDS!U$29*$AM697^2+WeightSDS!V$29*$AM697+WeightSDS!W$29-0.010431*(1-$AM697/210),IF($AM697&lt;123,WeightSDS!M$30*$AM697^10+WeightSDS!N$30*$AM697^9+WeightSDS!O$30*$AM697^8+WeightSDS!P$30*$AM697^7+WeightSDS!Q$30*$AM697^6+WeightSDS!R$30*$AM697^5+WeightSDS!S$30*$AM697^4+WeightSDS!T$30*$AM697^3+WeightSDS!U$30*$AM697^2+WeightSDS!V$30*$AM697+WeightSDS!W$30-0.010431*(1-1/$AM697),WeightSDS!M$32+WeightSDS!N$32/(1+EXP(WeightSDS!O$32+WeightSDS!P$32*$AM697))-0.010431*(1-$AM697/210))))</f>
        <v>2.9500001032655536</v>
      </c>
      <c r="AQ697" s="4">
        <f>IF(D697="M",IF($AM697&lt;162,WeightSDS!P$12*$AM697^7+WeightSDS!Q$12*$AM697^6+WeightSDS!R$12*$AM697^5+WeightSDS!S$12*$AM697^4+WeightSDS!T$12*$AM697^3+WeightSDS!U$12*$AM697^2+WeightSDS!V$12*$AM697+WeightSDS!W$12,WeightSDS!P$14*$AM697^7+WeightSDS!Q$14*$AM697^6+WeightSDS!R$14*$AM697^5+WeightSDS!S$14*$AM697^4+WeightSDS!T$14*$AM697^3+WeightSDS!U$14*$AM697^2+WeightSDS!V$14*$AM697+WeightSDS!W$14),IF($AM697&lt;156,WeightSDS!O$17*$AM697^8+WeightSDS!P$17*$AM697^7+WeightSDS!Q$17*$AM697^6+WeightSDS!R$17*$AM697^5+WeightSDS!S$17*$AM697^4+WeightSDS!T$17*$AM697^3+WeightSDS!U$17*$AM697^2+WeightSDS!V$17*$AM697+WeightSDS!W$17,IF($AM697&lt;186,WeightSDS!$U$18+(WeightSDS!$V$18-WeightSDS!$U$18)/24*($AM697-186)+WeightSDS!$W$18*(-$AM697+186)^2-0.005,WeightSDS!$U$18+(WeightSDS!$V$18-WeightSDS!$U$18)/24*($AM697-186)-0.005)))</f>
        <v>0.14604529399999999</v>
      </c>
      <c r="AT697" s="4">
        <f t="shared" si="217"/>
        <v>0.56299999999999994</v>
      </c>
      <c r="AU697" s="4">
        <f t="shared" si="218"/>
        <v>69</v>
      </c>
      <c r="AV697" s="4">
        <f t="shared" si="219"/>
        <v>0.51</v>
      </c>
    </row>
    <row r="698" spans="1:48" x14ac:dyDescent="0.15">
      <c r="A698" s="4"/>
      <c r="B698" s="21"/>
      <c r="C698" s="21"/>
      <c r="D698" s="21"/>
      <c r="E698" s="22"/>
      <c r="F698" s="22"/>
      <c r="G698" s="23"/>
      <c r="H698" s="23"/>
      <c r="I698" s="181"/>
      <c r="J698" s="8" t="str">
        <f t="shared" si="211"/>
        <v/>
      </c>
      <c r="K698" s="2" t="str">
        <f t="shared" si="220"/>
        <v/>
      </c>
      <c r="L698" s="2" t="str">
        <f t="shared" si="212"/>
        <v/>
      </c>
      <c r="M698" s="2" t="str">
        <f t="shared" si="221"/>
        <v/>
      </c>
      <c r="N698" s="2" t="str">
        <f t="shared" si="229"/>
        <v/>
      </c>
      <c r="O698" s="2" t="str">
        <f t="shared" si="222"/>
        <v/>
      </c>
      <c r="P698" s="8" t="str">
        <f t="shared" si="223"/>
        <v/>
      </c>
      <c r="Q698" s="8" t="str">
        <f t="shared" si="224"/>
        <v/>
      </c>
      <c r="R698" s="111" t="str">
        <f t="shared" si="225"/>
        <v/>
      </c>
      <c r="S698" s="44" t="str">
        <f t="shared" si="226"/>
        <v/>
      </c>
      <c r="T698" s="37" t="str">
        <f t="shared" si="227"/>
        <v/>
      </c>
      <c r="U698" s="44" t="str">
        <f t="shared" si="228"/>
        <v/>
      </c>
      <c r="V698" s="26"/>
      <c r="W698" s="26"/>
      <c r="X698" s="26"/>
      <c r="Y698" s="26"/>
      <c r="Z698" s="24"/>
      <c r="AA698" s="169">
        <f t="shared" si="213"/>
        <v>0</v>
      </c>
      <c r="AB698" s="4">
        <f t="shared" si="214"/>
        <v>0</v>
      </c>
      <c r="AC698" s="170">
        <f t="shared" si="231"/>
        <v>0</v>
      </c>
      <c r="AD698" s="58"/>
      <c r="AE698" s="58"/>
      <c r="AF698" s="58"/>
      <c r="AG698" s="59">
        <f t="shared" si="215"/>
        <v>9.0359999999999996</v>
      </c>
      <c r="AH698" s="59">
        <f t="shared" si="216"/>
        <v>-184.49199999999999</v>
      </c>
      <c r="AJ698" s="4">
        <f>IF(D698="M",IF(AM698&lt;78,BMILMS!$D$5*AM698^3+BMILMS!$E$5*AM698^2+BMILMS!$F$5*AM698+BMILMS!$G$5,IF(AM698&lt;150,BMILMS!$D$6*AM698^3+BMILMS!$E$6*AM698^2+BMILMS!$F$6*AM698+BMILMS!$G$6,BMILMS!$D$7*AM698^3+BMILMS!$E$7*AM698^2+BMILMS!$F$7*AM698+BMILMS!$G$7)),IF(AM698&lt;69,BMILMS!$D$9*AM698^3+BMILMS!$E$9*AM698^2+BMILMS!$F$9*AM698+BMILMS!$G$9,IF(AM698&lt;150,BMILMS!$D$10*AM698^3+BMILMS!$E$10*AM698^2+BMILMS!$F$10*AM698+BMILMS!$G$10,BMILMS!$D$11*AM698^3+BMILMS!$E$11*AM698^2+BMILMS!$F$11*AM698+BMILMS!$G$11)))</f>
        <v>0.79584630099999998</v>
      </c>
      <c r="AK698" s="4">
        <f>IF(D698="M",(IF(AM698&lt;2.5,BMILMS!$D$21*AM698^3+BMILMS!$E$21*AM698^2+BMILMS!$F$21*AM698+BMILMS!$G$21,IF(AM698&lt;9.5,BMILMS!$D$22*AM698^3+BMILMS!$E$22*AM698^2+BMILMS!$F$22*AM698+BMILMS!$G$22,IF(AM698&lt;26.75,BMILMS!$D$23*AM698^3+BMILMS!$E$23*AM698^2+BMILMS!$F$23*AM698+BMILMS!$G$23,IF(AM698&lt;90,BMILMS!$D$24*AM698^3+BMILMS!$E$24*AM698^2+BMILMS!$F$24*AM698+BMILMS!$G$24,BMILMS!$D$25*AM698^3+BMILMS!$E$25*AM698^2+BMILMS!$F$25*AM698+BMILMS!$G$25))))),(IF(AM698&lt;2.5,BMILMS!$D$27*AM698^3+BMILMS!$E$27*AM698^2+BMILMS!$F$27*AM698+BMILMS!$G$27,IF(AM698&lt;9.5,BMILMS!$D$28*AM698^3+BMILMS!$E$28*AM698^2+BMILMS!$F$28*AM698+BMILMS!$G$28,IF(AM698&lt;26.75,BMILMS!$D$29*AM698^3+BMILMS!$E$29*AM698^2+BMILMS!$F$29*AM698+BMILMS!$G$29,IF(AM698&lt;90,BMILMS!$D$30*AM698^3+BMILMS!$E$30*AM698^2+BMILMS!$F$30*AM698+BMILMS!$G$30,IF(AM698&lt;150,BMILMS!$D$31*AM698^3+BMILMS!$E$31*AM698^2+BMILMS!$F$31*AM698+BMILMS!$G$31,BMILMS!$D$32*AM698^3+BMILMS!$E$32*AM698^2+BMILMS!$F$32*AM698+BMILMS!$G$32)))))))</f>
        <v>12.568967990000001</v>
      </c>
      <c r="AL698" s="4">
        <f>IF(D698="M",(IF(AM698&lt;90,BMILMS!$D$14*AM698^3+BMILMS!$E$14*AM698^2+BMILMS!$F$14*AM698+BMILMS!$G$14,BMILMS!$D$15*AM698^3+BMILMS!$E$15*AM698^2+BMILMS!$F$15*AM698+BMILMS!$G$15)),(IF(AM698&lt;90,BMILMS!$D$17*AM698^3+BMILMS!$E$17*AM698^2+BMILMS!$F$17*AM698+BMILMS!$G$17,BMILMS!$D$18*AM698^3+BMILMS!$E$18*AM698^2+BMILMS!$F$18*AM698+BMILMS!$G$18)))</f>
        <v>8.8969350000000003E-2</v>
      </c>
      <c r="AM698" s="4">
        <f t="shared" si="230"/>
        <v>0</v>
      </c>
      <c r="AO698" s="56">
        <f>IF(D698="M",WeightSDS!P$5*$AM698^7+WeightSDS!Q$5*$AM698^6+WeightSDS!R$5*$AM698^5+WeightSDS!S$5*$AM698^4+WeightSDS!T$5*$AM698^3+WeightSDS!U$5*$AM698^2+WeightSDS!V$5*$AM698+WeightSDS!W$5,IF($AM698&lt;186,WeightSDS!P$8*$AM698^7+WeightSDS!Q$8*$AM698^6+WeightSDS!R$8*$AM698^5+WeightSDS!S$8*$AM698^4+WeightSDS!T$8*$AM698^3+WeightSDS!U$8*$AM698^2+WeightSDS!V$8*$AM698+WeightSDS!W$8,WeightSDS!$U$9+WeightSDS!$V$9*($AM698-WeightSDS!$W$9)))</f>
        <v>0.75407122999999998</v>
      </c>
      <c r="AP698" s="4">
        <f>IF(D698="M",IF($AM698&lt;45,WeightSDS!M$23*$AM698^10+WeightSDS!N$23*$AM698^9+WeightSDS!O$23*$AM698^8+WeightSDS!P$23*$AM698^7+WeightSDS!Q$23*$AM698^6+WeightSDS!R$23*$AM698^5+WeightSDS!S$23*$AM698^4+WeightSDS!T$23*$AM698^3+WeightSDS!U$23*$AM698^2+WeightSDS!V$23*$AM698+WeightSDS!W$23,IF($AM698&lt;153,WeightSDS!M$25*$AM698^10+WeightSDS!N$25*$AM698^9+WeightSDS!O$25*$AM698^8+WeightSDS!P$25*$AM698^7+WeightSDS!Q$25*$AM698^6+WeightSDS!R$25*$AM698^5+WeightSDS!S$25*$AM698^4+WeightSDS!T$25*$AM698^3+WeightSDS!U$25*$AM698^2+WeightSDS!V$25*$AM698+WeightSDS!W$25,WeightSDS!M$27+WeightSDS!N$27/(1+EXP(WeightSDS!O$27+WeightSDS!P$27*$AM698)))),IF($AM698&lt;43.8,WeightSDS!M$29*$AM698^10+WeightSDS!N$29*$AM698^9+WeightSDS!O$29*$AM698^8+WeightSDS!P$29*$AM698^7+WeightSDS!Q$29*$AM698^6+WeightSDS!R$29*$AM698^5+WeightSDS!S$29*$AM698^4+WeightSDS!T$29*$AM698^3+WeightSDS!U$29*$AM698^2+WeightSDS!V$29*$AM698+WeightSDS!W$29-0.010431*(1-$AM698/210),IF($AM698&lt;123,WeightSDS!M$30*$AM698^10+WeightSDS!N$30*$AM698^9+WeightSDS!O$30*$AM698^8+WeightSDS!P$30*$AM698^7+WeightSDS!Q$30*$AM698^6+WeightSDS!R$30*$AM698^5+WeightSDS!S$30*$AM698^4+WeightSDS!T$30*$AM698^3+WeightSDS!U$30*$AM698^2+WeightSDS!V$30*$AM698+WeightSDS!W$30-0.010431*(1-1/$AM698),WeightSDS!M$32+WeightSDS!N$32/(1+EXP(WeightSDS!O$32+WeightSDS!P$32*$AM698))-0.010431*(1-$AM698/210))))</f>
        <v>2.9500001032655536</v>
      </c>
      <c r="AQ698" s="4">
        <f>IF(D698="M",IF($AM698&lt;162,WeightSDS!P$12*$AM698^7+WeightSDS!Q$12*$AM698^6+WeightSDS!R$12*$AM698^5+WeightSDS!S$12*$AM698^4+WeightSDS!T$12*$AM698^3+WeightSDS!U$12*$AM698^2+WeightSDS!V$12*$AM698+WeightSDS!W$12,WeightSDS!P$14*$AM698^7+WeightSDS!Q$14*$AM698^6+WeightSDS!R$14*$AM698^5+WeightSDS!S$14*$AM698^4+WeightSDS!T$14*$AM698^3+WeightSDS!U$14*$AM698^2+WeightSDS!V$14*$AM698+WeightSDS!W$14),IF($AM698&lt;156,WeightSDS!O$17*$AM698^8+WeightSDS!P$17*$AM698^7+WeightSDS!Q$17*$AM698^6+WeightSDS!R$17*$AM698^5+WeightSDS!S$17*$AM698^4+WeightSDS!T$17*$AM698^3+WeightSDS!U$17*$AM698^2+WeightSDS!V$17*$AM698+WeightSDS!W$17,IF($AM698&lt;186,WeightSDS!$U$18+(WeightSDS!$V$18-WeightSDS!$U$18)/24*($AM698-186)+WeightSDS!$W$18*(-$AM698+186)^2-0.005,WeightSDS!$U$18+(WeightSDS!$V$18-WeightSDS!$U$18)/24*($AM698-186)-0.005)))</f>
        <v>0.14604529399999999</v>
      </c>
      <c r="AT698" s="4">
        <f t="shared" si="217"/>
        <v>0.56299999999999994</v>
      </c>
      <c r="AU698" s="4">
        <f t="shared" si="218"/>
        <v>69</v>
      </c>
      <c r="AV698" s="4">
        <f t="shared" si="219"/>
        <v>0.51</v>
      </c>
    </row>
    <row r="699" spans="1:48" x14ac:dyDescent="0.15">
      <c r="A699" s="4"/>
      <c r="B699" s="21"/>
      <c r="C699" s="21"/>
      <c r="D699" s="21"/>
      <c r="E699" s="22"/>
      <c r="F699" s="22"/>
      <c r="G699" s="23"/>
      <c r="H699" s="23"/>
      <c r="I699" s="181"/>
      <c r="J699" s="8" t="str">
        <f t="shared" si="211"/>
        <v/>
      </c>
      <c r="K699" s="2" t="str">
        <f t="shared" si="220"/>
        <v/>
      </c>
      <c r="L699" s="2" t="str">
        <f t="shared" si="212"/>
        <v/>
      </c>
      <c r="M699" s="2" t="str">
        <f t="shared" si="221"/>
        <v/>
      </c>
      <c r="N699" s="2" t="str">
        <f t="shared" si="229"/>
        <v/>
      </c>
      <c r="O699" s="2" t="str">
        <f t="shared" si="222"/>
        <v/>
      </c>
      <c r="P699" s="8" t="str">
        <f t="shared" si="223"/>
        <v/>
      </c>
      <c r="Q699" s="8" t="str">
        <f t="shared" si="224"/>
        <v/>
      </c>
      <c r="R699" s="111" t="str">
        <f t="shared" si="225"/>
        <v/>
      </c>
      <c r="S699" s="44" t="str">
        <f t="shared" si="226"/>
        <v/>
      </c>
      <c r="T699" s="37" t="str">
        <f t="shared" si="227"/>
        <v/>
      </c>
      <c r="U699" s="44" t="str">
        <f t="shared" si="228"/>
        <v/>
      </c>
      <c r="V699" s="26"/>
      <c r="W699" s="26"/>
      <c r="X699" s="26"/>
      <c r="Y699" s="26"/>
      <c r="Z699" s="24"/>
      <c r="AA699" s="169">
        <f t="shared" si="213"/>
        <v>0</v>
      </c>
      <c r="AB699" s="4">
        <f t="shared" si="214"/>
        <v>0</v>
      </c>
      <c r="AC699" s="170">
        <f t="shared" si="231"/>
        <v>0</v>
      </c>
      <c r="AD699" s="58"/>
      <c r="AE699" s="58"/>
      <c r="AF699" s="58"/>
      <c r="AG699" s="59">
        <f t="shared" si="215"/>
        <v>9.0359999999999996</v>
      </c>
      <c r="AH699" s="59">
        <f t="shared" si="216"/>
        <v>-184.49199999999999</v>
      </c>
      <c r="AJ699" s="4">
        <f>IF(D699="M",IF(AM699&lt;78,BMILMS!$D$5*AM699^3+BMILMS!$E$5*AM699^2+BMILMS!$F$5*AM699+BMILMS!$G$5,IF(AM699&lt;150,BMILMS!$D$6*AM699^3+BMILMS!$E$6*AM699^2+BMILMS!$F$6*AM699+BMILMS!$G$6,BMILMS!$D$7*AM699^3+BMILMS!$E$7*AM699^2+BMILMS!$F$7*AM699+BMILMS!$G$7)),IF(AM699&lt;69,BMILMS!$D$9*AM699^3+BMILMS!$E$9*AM699^2+BMILMS!$F$9*AM699+BMILMS!$G$9,IF(AM699&lt;150,BMILMS!$D$10*AM699^3+BMILMS!$E$10*AM699^2+BMILMS!$F$10*AM699+BMILMS!$G$10,BMILMS!$D$11*AM699^3+BMILMS!$E$11*AM699^2+BMILMS!$F$11*AM699+BMILMS!$G$11)))</f>
        <v>0.79584630099999998</v>
      </c>
      <c r="AK699" s="4">
        <f>IF(D699="M",(IF(AM699&lt;2.5,BMILMS!$D$21*AM699^3+BMILMS!$E$21*AM699^2+BMILMS!$F$21*AM699+BMILMS!$G$21,IF(AM699&lt;9.5,BMILMS!$D$22*AM699^3+BMILMS!$E$22*AM699^2+BMILMS!$F$22*AM699+BMILMS!$G$22,IF(AM699&lt;26.75,BMILMS!$D$23*AM699^3+BMILMS!$E$23*AM699^2+BMILMS!$F$23*AM699+BMILMS!$G$23,IF(AM699&lt;90,BMILMS!$D$24*AM699^3+BMILMS!$E$24*AM699^2+BMILMS!$F$24*AM699+BMILMS!$G$24,BMILMS!$D$25*AM699^3+BMILMS!$E$25*AM699^2+BMILMS!$F$25*AM699+BMILMS!$G$25))))),(IF(AM699&lt;2.5,BMILMS!$D$27*AM699^3+BMILMS!$E$27*AM699^2+BMILMS!$F$27*AM699+BMILMS!$G$27,IF(AM699&lt;9.5,BMILMS!$D$28*AM699^3+BMILMS!$E$28*AM699^2+BMILMS!$F$28*AM699+BMILMS!$G$28,IF(AM699&lt;26.75,BMILMS!$D$29*AM699^3+BMILMS!$E$29*AM699^2+BMILMS!$F$29*AM699+BMILMS!$G$29,IF(AM699&lt;90,BMILMS!$D$30*AM699^3+BMILMS!$E$30*AM699^2+BMILMS!$F$30*AM699+BMILMS!$G$30,IF(AM699&lt;150,BMILMS!$D$31*AM699^3+BMILMS!$E$31*AM699^2+BMILMS!$F$31*AM699+BMILMS!$G$31,BMILMS!$D$32*AM699^3+BMILMS!$E$32*AM699^2+BMILMS!$F$32*AM699+BMILMS!$G$32)))))))</f>
        <v>12.568967990000001</v>
      </c>
      <c r="AL699" s="4">
        <f>IF(D699="M",(IF(AM699&lt;90,BMILMS!$D$14*AM699^3+BMILMS!$E$14*AM699^2+BMILMS!$F$14*AM699+BMILMS!$G$14,BMILMS!$D$15*AM699^3+BMILMS!$E$15*AM699^2+BMILMS!$F$15*AM699+BMILMS!$G$15)),(IF(AM699&lt;90,BMILMS!$D$17*AM699^3+BMILMS!$E$17*AM699^2+BMILMS!$F$17*AM699+BMILMS!$G$17,BMILMS!$D$18*AM699^3+BMILMS!$E$18*AM699^2+BMILMS!$F$18*AM699+BMILMS!$G$18)))</f>
        <v>8.8969350000000003E-2</v>
      </c>
      <c r="AM699" s="4">
        <f t="shared" si="230"/>
        <v>0</v>
      </c>
      <c r="AO699" s="56">
        <f>IF(D699="M",WeightSDS!P$5*$AM699^7+WeightSDS!Q$5*$AM699^6+WeightSDS!R$5*$AM699^5+WeightSDS!S$5*$AM699^4+WeightSDS!T$5*$AM699^3+WeightSDS!U$5*$AM699^2+WeightSDS!V$5*$AM699+WeightSDS!W$5,IF($AM699&lt;186,WeightSDS!P$8*$AM699^7+WeightSDS!Q$8*$AM699^6+WeightSDS!R$8*$AM699^5+WeightSDS!S$8*$AM699^4+WeightSDS!T$8*$AM699^3+WeightSDS!U$8*$AM699^2+WeightSDS!V$8*$AM699+WeightSDS!W$8,WeightSDS!$U$9+WeightSDS!$V$9*($AM699-WeightSDS!$W$9)))</f>
        <v>0.75407122999999998</v>
      </c>
      <c r="AP699" s="4">
        <f>IF(D699="M",IF($AM699&lt;45,WeightSDS!M$23*$AM699^10+WeightSDS!N$23*$AM699^9+WeightSDS!O$23*$AM699^8+WeightSDS!P$23*$AM699^7+WeightSDS!Q$23*$AM699^6+WeightSDS!R$23*$AM699^5+WeightSDS!S$23*$AM699^4+WeightSDS!T$23*$AM699^3+WeightSDS!U$23*$AM699^2+WeightSDS!V$23*$AM699+WeightSDS!W$23,IF($AM699&lt;153,WeightSDS!M$25*$AM699^10+WeightSDS!N$25*$AM699^9+WeightSDS!O$25*$AM699^8+WeightSDS!P$25*$AM699^7+WeightSDS!Q$25*$AM699^6+WeightSDS!R$25*$AM699^5+WeightSDS!S$25*$AM699^4+WeightSDS!T$25*$AM699^3+WeightSDS!U$25*$AM699^2+WeightSDS!V$25*$AM699+WeightSDS!W$25,WeightSDS!M$27+WeightSDS!N$27/(1+EXP(WeightSDS!O$27+WeightSDS!P$27*$AM699)))),IF($AM699&lt;43.8,WeightSDS!M$29*$AM699^10+WeightSDS!N$29*$AM699^9+WeightSDS!O$29*$AM699^8+WeightSDS!P$29*$AM699^7+WeightSDS!Q$29*$AM699^6+WeightSDS!R$29*$AM699^5+WeightSDS!S$29*$AM699^4+WeightSDS!T$29*$AM699^3+WeightSDS!U$29*$AM699^2+WeightSDS!V$29*$AM699+WeightSDS!W$29-0.010431*(1-$AM699/210),IF($AM699&lt;123,WeightSDS!M$30*$AM699^10+WeightSDS!N$30*$AM699^9+WeightSDS!O$30*$AM699^8+WeightSDS!P$30*$AM699^7+WeightSDS!Q$30*$AM699^6+WeightSDS!R$30*$AM699^5+WeightSDS!S$30*$AM699^4+WeightSDS!T$30*$AM699^3+WeightSDS!U$30*$AM699^2+WeightSDS!V$30*$AM699+WeightSDS!W$30-0.010431*(1-1/$AM699),WeightSDS!M$32+WeightSDS!N$32/(1+EXP(WeightSDS!O$32+WeightSDS!P$32*$AM699))-0.010431*(1-$AM699/210))))</f>
        <v>2.9500001032655536</v>
      </c>
      <c r="AQ699" s="4">
        <f>IF(D699="M",IF($AM699&lt;162,WeightSDS!P$12*$AM699^7+WeightSDS!Q$12*$AM699^6+WeightSDS!R$12*$AM699^5+WeightSDS!S$12*$AM699^4+WeightSDS!T$12*$AM699^3+WeightSDS!U$12*$AM699^2+WeightSDS!V$12*$AM699+WeightSDS!W$12,WeightSDS!P$14*$AM699^7+WeightSDS!Q$14*$AM699^6+WeightSDS!R$14*$AM699^5+WeightSDS!S$14*$AM699^4+WeightSDS!T$14*$AM699^3+WeightSDS!U$14*$AM699^2+WeightSDS!V$14*$AM699+WeightSDS!W$14),IF($AM699&lt;156,WeightSDS!O$17*$AM699^8+WeightSDS!P$17*$AM699^7+WeightSDS!Q$17*$AM699^6+WeightSDS!R$17*$AM699^5+WeightSDS!S$17*$AM699^4+WeightSDS!T$17*$AM699^3+WeightSDS!U$17*$AM699^2+WeightSDS!V$17*$AM699+WeightSDS!W$17,IF($AM699&lt;186,WeightSDS!$U$18+(WeightSDS!$V$18-WeightSDS!$U$18)/24*($AM699-186)+WeightSDS!$W$18*(-$AM699+186)^2-0.005,WeightSDS!$U$18+(WeightSDS!$V$18-WeightSDS!$U$18)/24*($AM699-186)-0.005)))</f>
        <v>0.14604529399999999</v>
      </c>
      <c r="AT699" s="4">
        <f t="shared" si="217"/>
        <v>0.56299999999999994</v>
      </c>
      <c r="AU699" s="4">
        <f t="shared" si="218"/>
        <v>69</v>
      </c>
      <c r="AV699" s="4">
        <f t="shared" si="219"/>
        <v>0.51</v>
      </c>
    </row>
    <row r="700" spans="1:48" x14ac:dyDescent="0.15">
      <c r="A700" s="4"/>
      <c r="B700" s="21"/>
      <c r="C700" s="21"/>
      <c r="D700" s="21"/>
      <c r="E700" s="22"/>
      <c r="F700" s="22"/>
      <c r="G700" s="23"/>
      <c r="H700" s="23"/>
      <c r="I700" s="181"/>
      <c r="J700" s="8" t="str">
        <f t="shared" si="211"/>
        <v/>
      </c>
      <c r="K700" s="2" t="str">
        <f t="shared" si="220"/>
        <v/>
      </c>
      <c r="L700" s="2" t="str">
        <f t="shared" si="212"/>
        <v/>
      </c>
      <c r="M700" s="2" t="str">
        <f t="shared" si="221"/>
        <v/>
      </c>
      <c r="N700" s="2" t="str">
        <f t="shared" si="229"/>
        <v/>
      </c>
      <c r="O700" s="2" t="str">
        <f t="shared" si="222"/>
        <v/>
      </c>
      <c r="P700" s="8" t="str">
        <f t="shared" si="223"/>
        <v/>
      </c>
      <c r="Q700" s="8" t="str">
        <f t="shared" si="224"/>
        <v/>
      </c>
      <c r="R700" s="111" t="str">
        <f t="shared" si="225"/>
        <v/>
      </c>
      <c r="S700" s="44" t="str">
        <f t="shared" si="226"/>
        <v/>
      </c>
      <c r="T700" s="37" t="str">
        <f t="shared" si="227"/>
        <v/>
      </c>
      <c r="U700" s="44" t="str">
        <f t="shared" si="228"/>
        <v/>
      </c>
      <c r="V700" s="26"/>
      <c r="W700" s="26"/>
      <c r="X700" s="26"/>
      <c r="Y700" s="26"/>
      <c r="Z700" s="24"/>
      <c r="AA700" s="169">
        <f t="shared" si="213"/>
        <v>0</v>
      </c>
      <c r="AB700" s="4">
        <f t="shared" si="214"/>
        <v>0</v>
      </c>
      <c r="AC700" s="170">
        <f t="shared" si="231"/>
        <v>0</v>
      </c>
      <c r="AD700" s="58"/>
      <c r="AE700" s="58"/>
      <c r="AF700" s="58"/>
      <c r="AG700" s="59">
        <f t="shared" si="215"/>
        <v>9.0359999999999996</v>
      </c>
      <c r="AH700" s="59">
        <f t="shared" si="216"/>
        <v>-184.49199999999999</v>
      </c>
      <c r="AJ700" s="4">
        <f>IF(D700="M",IF(AM700&lt;78,BMILMS!$D$5*AM700^3+BMILMS!$E$5*AM700^2+BMILMS!$F$5*AM700+BMILMS!$G$5,IF(AM700&lt;150,BMILMS!$D$6*AM700^3+BMILMS!$E$6*AM700^2+BMILMS!$F$6*AM700+BMILMS!$G$6,BMILMS!$D$7*AM700^3+BMILMS!$E$7*AM700^2+BMILMS!$F$7*AM700+BMILMS!$G$7)),IF(AM700&lt;69,BMILMS!$D$9*AM700^3+BMILMS!$E$9*AM700^2+BMILMS!$F$9*AM700+BMILMS!$G$9,IF(AM700&lt;150,BMILMS!$D$10*AM700^3+BMILMS!$E$10*AM700^2+BMILMS!$F$10*AM700+BMILMS!$G$10,BMILMS!$D$11*AM700^3+BMILMS!$E$11*AM700^2+BMILMS!$F$11*AM700+BMILMS!$G$11)))</f>
        <v>0.79584630099999998</v>
      </c>
      <c r="AK700" s="4">
        <f>IF(D700="M",(IF(AM700&lt;2.5,BMILMS!$D$21*AM700^3+BMILMS!$E$21*AM700^2+BMILMS!$F$21*AM700+BMILMS!$G$21,IF(AM700&lt;9.5,BMILMS!$D$22*AM700^3+BMILMS!$E$22*AM700^2+BMILMS!$F$22*AM700+BMILMS!$G$22,IF(AM700&lt;26.75,BMILMS!$D$23*AM700^3+BMILMS!$E$23*AM700^2+BMILMS!$F$23*AM700+BMILMS!$G$23,IF(AM700&lt;90,BMILMS!$D$24*AM700^3+BMILMS!$E$24*AM700^2+BMILMS!$F$24*AM700+BMILMS!$G$24,BMILMS!$D$25*AM700^3+BMILMS!$E$25*AM700^2+BMILMS!$F$25*AM700+BMILMS!$G$25))))),(IF(AM700&lt;2.5,BMILMS!$D$27*AM700^3+BMILMS!$E$27*AM700^2+BMILMS!$F$27*AM700+BMILMS!$G$27,IF(AM700&lt;9.5,BMILMS!$D$28*AM700^3+BMILMS!$E$28*AM700^2+BMILMS!$F$28*AM700+BMILMS!$G$28,IF(AM700&lt;26.75,BMILMS!$D$29*AM700^3+BMILMS!$E$29*AM700^2+BMILMS!$F$29*AM700+BMILMS!$G$29,IF(AM700&lt;90,BMILMS!$D$30*AM700^3+BMILMS!$E$30*AM700^2+BMILMS!$F$30*AM700+BMILMS!$G$30,IF(AM700&lt;150,BMILMS!$D$31*AM700^3+BMILMS!$E$31*AM700^2+BMILMS!$F$31*AM700+BMILMS!$G$31,BMILMS!$D$32*AM700^3+BMILMS!$E$32*AM700^2+BMILMS!$F$32*AM700+BMILMS!$G$32)))))))</f>
        <v>12.568967990000001</v>
      </c>
      <c r="AL700" s="4">
        <f>IF(D700="M",(IF(AM700&lt;90,BMILMS!$D$14*AM700^3+BMILMS!$E$14*AM700^2+BMILMS!$F$14*AM700+BMILMS!$G$14,BMILMS!$D$15*AM700^3+BMILMS!$E$15*AM700^2+BMILMS!$F$15*AM700+BMILMS!$G$15)),(IF(AM700&lt;90,BMILMS!$D$17*AM700^3+BMILMS!$E$17*AM700^2+BMILMS!$F$17*AM700+BMILMS!$G$17,BMILMS!$D$18*AM700^3+BMILMS!$E$18*AM700^2+BMILMS!$F$18*AM700+BMILMS!$G$18)))</f>
        <v>8.8969350000000003E-2</v>
      </c>
      <c r="AM700" s="4">
        <f t="shared" si="230"/>
        <v>0</v>
      </c>
      <c r="AO700" s="56">
        <f>IF(D700="M",WeightSDS!P$5*$AM700^7+WeightSDS!Q$5*$AM700^6+WeightSDS!R$5*$AM700^5+WeightSDS!S$5*$AM700^4+WeightSDS!T$5*$AM700^3+WeightSDS!U$5*$AM700^2+WeightSDS!V$5*$AM700+WeightSDS!W$5,IF($AM700&lt;186,WeightSDS!P$8*$AM700^7+WeightSDS!Q$8*$AM700^6+WeightSDS!R$8*$AM700^5+WeightSDS!S$8*$AM700^4+WeightSDS!T$8*$AM700^3+WeightSDS!U$8*$AM700^2+WeightSDS!V$8*$AM700+WeightSDS!W$8,WeightSDS!$U$9+WeightSDS!$V$9*($AM700-WeightSDS!$W$9)))</f>
        <v>0.75407122999999998</v>
      </c>
      <c r="AP700" s="4">
        <f>IF(D700="M",IF($AM700&lt;45,WeightSDS!M$23*$AM700^10+WeightSDS!N$23*$AM700^9+WeightSDS!O$23*$AM700^8+WeightSDS!P$23*$AM700^7+WeightSDS!Q$23*$AM700^6+WeightSDS!R$23*$AM700^5+WeightSDS!S$23*$AM700^4+WeightSDS!T$23*$AM700^3+WeightSDS!U$23*$AM700^2+WeightSDS!V$23*$AM700+WeightSDS!W$23,IF($AM700&lt;153,WeightSDS!M$25*$AM700^10+WeightSDS!N$25*$AM700^9+WeightSDS!O$25*$AM700^8+WeightSDS!P$25*$AM700^7+WeightSDS!Q$25*$AM700^6+WeightSDS!R$25*$AM700^5+WeightSDS!S$25*$AM700^4+WeightSDS!T$25*$AM700^3+WeightSDS!U$25*$AM700^2+WeightSDS!V$25*$AM700+WeightSDS!W$25,WeightSDS!M$27+WeightSDS!N$27/(1+EXP(WeightSDS!O$27+WeightSDS!P$27*$AM700)))),IF($AM700&lt;43.8,WeightSDS!M$29*$AM700^10+WeightSDS!N$29*$AM700^9+WeightSDS!O$29*$AM700^8+WeightSDS!P$29*$AM700^7+WeightSDS!Q$29*$AM700^6+WeightSDS!R$29*$AM700^5+WeightSDS!S$29*$AM700^4+WeightSDS!T$29*$AM700^3+WeightSDS!U$29*$AM700^2+WeightSDS!V$29*$AM700+WeightSDS!W$29-0.010431*(1-$AM700/210),IF($AM700&lt;123,WeightSDS!M$30*$AM700^10+WeightSDS!N$30*$AM700^9+WeightSDS!O$30*$AM700^8+WeightSDS!P$30*$AM700^7+WeightSDS!Q$30*$AM700^6+WeightSDS!R$30*$AM700^5+WeightSDS!S$30*$AM700^4+WeightSDS!T$30*$AM700^3+WeightSDS!U$30*$AM700^2+WeightSDS!V$30*$AM700+WeightSDS!W$30-0.010431*(1-1/$AM700),WeightSDS!M$32+WeightSDS!N$32/(1+EXP(WeightSDS!O$32+WeightSDS!P$32*$AM700))-0.010431*(1-$AM700/210))))</f>
        <v>2.9500001032655536</v>
      </c>
      <c r="AQ700" s="4">
        <f>IF(D700="M",IF($AM700&lt;162,WeightSDS!P$12*$AM700^7+WeightSDS!Q$12*$AM700^6+WeightSDS!R$12*$AM700^5+WeightSDS!S$12*$AM700^4+WeightSDS!T$12*$AM700^3+WeightSDS!U$12*$AM700^2+WeightSDS!V$12*$AM700+WeightSDS!W$12,WeightSDS!P$14*$AM700^7+WeightSDS!Q$14*$AM700^6+WeightSDS!R$14*$AM700^5+WeightSDS!S$14*$AM700^4+WeightSDS!T$14*$AM700^3+WeightSDS!U$14*$AM700^2+WeightSDS!V$14*$AM700+WeightSDS!W$14),IF($AM700&lt;156,WeightSDS!O$17*$AM700^8+WeightSDS!P$17*$AM700^7+WeightSDS!Q$17*$AM700^6+WeightSDS!R$17*$AM700^5+WeightSDS!S$17*$AM700^4+WeightSDS!T$17*$AM700^3+WeightSDS!U$17*$AM700^2+WeightSDS!V$17*$AM700+WeightSDS!W$17,IF($AM700&lt;186,WeightSDS!$U$18+(WeightSDS!$V$18-WeightSDS!$U$18)/24*($AM700-186)+WeightSDS!$W$18*(-$AM700+186)^2-0.005,WeightSDS!$U$18+(WeightSDS!$V$18-WeightSDS!$U$18)/24*($AM700-186)-0.005)))</f>
        <v>0.14604529399999999</v>
      </c>
      <c r="AT700" s="4">
        <f t="shared" si="217"/>
        <v>0.56299999999999994</v>
      </c>
      <c r="AU700" s="4">
        <f t="shared" si="218"/>
        <v>69</v>
      </c>
      <c r="AV700" s="4">
        <f t="shared" si="219"/>
        <v>0.51</v>
      </c>
    </row>
    <row r="701" spans="1:48" x14ac:dyDescent="0.15">
      <c r="A701" s="4"/>
      <c r="B701" s="21"/>
      <c r="C701" s="21"/>
      <c r="D701" s="21"/>
      <c r="E701" s="22"/>
      <c r="F701" s="22"/>
      <c r="G701" s="23"/>
      <c r="H701" s="23"/>
      <c r="I701" s="181"/>
      <c r="J701" s="8" t="str">
        <f t="shared" si="211"/>
        <v/>
      </c>
      <c r="K701" s="2" t="str">
        <f t="shared" si="220"/>
        <v/>
      </c>
      <c r="L701" s="2" t="str">
        <f t="shared" si="212"/>
        <v/>
      </c>
      <c r="M701" s="2" t="str">
        <f t="shared" si="221"/>
        <v/>
      </c>
      <c r="N701" s="2" t="str">
        <f t="shared" si="229"/>
        <v/>
      </c>
      <c r="O701" s="2" t="str">
        <f t="shared" si="222"/>
        <v/>
      </c>
      <c r="P701" s="8" t="str">
        <f t="shared" si="223"/>
        <v/>
      </c>
      <c r="Q701" s="8" t="str">
        <f t="shared" si="224"/>
        <v/>
      </c>
      <c r="R701" s="111" t="str">
        <f t="shared" si="225"/>
        <v/>
      </c>
      <c r="S701" s="44" t="str">
        <f t="shared" si="226"/>
        <v/>
      </c>
      <c r="T701" s="37" t="str">
        <f t="shared" si="227"/>
        <v/>
      </c>
      <c r="U701" s="44" t="str">
        <f t="shared" si="228"/>
        <v/>
      </c>
      <c r="V701" s="26"/>
      <c r="W701" s="26"/>
      <c r="X701" s="26"/>
      <c r="Y701" s="26"/>
      <c r="Z701" s="24"/>
      <c r="AA701" s="169">
        <f t="shared" si="213"/>
        <v>0</v>
      </c>
      <c r="AB701" s="4">
        <f t="shared" si="214"/>
        <v>0</v>
      </c>
      <c r="AC701" s="170">
        <f t="shared" si="231"/>
        <v>0</v>
      </c>
      <c r="AD701" s="58"/>
      <c r="AE701" s="58"/>
      <c r="AF701" s="58"/>
      <c r="AG701" s="59">
        <f t="shared" si="215"/>
        <v>9.0359999999999996</v>
      </c>
      <c r="AH701" s="59">
        <f t="shared" si="216"/>
        <v>-184.49199999999999</v>
      </c>
      <c r="AJ701" s="4">
        <f>IF(D701="M",IF(AM701&lt;78,BMILMS!$D$5*AM701^3+BMILMS!$E$5*AM701^2+BMILMS!$F$5*AM701+BMILMS!$G$5,IF(AM701&lt;150,BMILMS!$D$6*AM701^3+BMILMS!$E$6*AM701^2+BMILMS!$F$6*AM701+BMILMS!$G$6,BMILMS!$D$7*AM701^3+BMILMS!$E$7*AM701^2+BMILMS!$F$7*AM701+BMILMS!$G$7)),IF(AM701&lt;69,BMILMS!$D$9*AM701^3+BMILMS!$E$9*AM701^2+BMILMS!$F$9*AM701+BMILMS!$G$9,IF(AM701&lt;150,BMILMS!$D$10*AM701^3+BMILMS!$E$10*AM701^2+BMILMS!$F$10*AM701+BMILMS!$G$10,BMILMS!$D$11*AM701^3+BMILMS!$E$11*AM701^2+BMILMS!$F$11*AM701+BMILMS!$G$11)))</f>
        <v>0.79584630099999998</v>
      </c>
      <c r="AK701" s="4">
        <f>IF(D701="M",(IF(AM701&lt;2.5,BMILMS!$D$21*AM701^3+BMILMS!$E$21*AM701^2+BMILMS!$F$21*AM701+BMILMS!$G$21,IF(AM701&lt;9.5,BMILMS!$D$22*AM701^3+BMILMS!$E$22*AM701^2+BMILMS!$F$22*AM701+BMILMS!$G$22,IF(AM701&lt;26.75,BMILMS!$D$23*AM701^3+BMILMS!$E$23*AM701^2+BMILMS!$F$23*AM701+BMILMS!$G$23,IF(AM701&lt;90,BMILMS!$D$24*AM701^3+BMILMS!$E$24*AM701^2+BMILMS!$F$24*AM701+BMILMS!$G$24,BMILMS!$D$25*AM701^3+BMILMS!$E$25*AM701^2+BMILMS!$F$25*AM701+BMILMS!$G$25))))),(IF(AM701&lt;2.5,BMILMS!$D$27*AM701^3+BMILMS!$E$27*AM701^2+BMILMS!$F$27*AM701+BMILMS!$G$27,IF(AM701&lt;9.5,BMILMS!$D$28*AM701^3+BMILMS!$E$28*AM701^2+BMILMS!$F$28*AM701+BMILMS!$G$28,IF(AM701&lt;26.75,BMILMS!$D$29*AM701^3+BMILMS!$E$29*AM701^2+BMILMS!$F$29*AM701+BMILMS!$G$29,IF(AM701&lt;90,BMILMS!$D$30*AM701^3+BMILMS!$E$30*AM701^2+BMILMS!$F$30*AM701+BMILMS!$G$30,IF(AM701&lt;150,BMILMS!$D$31*AM701^3+BMILMS!$E$31*AM701^2+BMILMS!$F$31*AM701+BMILMS!$G$31,BMILMS!$D$32*AM701^3+BMILMS!$E$32*AM701^2+BMILMS!$F$32*AM701+BMILMS!$G$32)))))))</f>
        <v>12.568967990000001</v>
      </c>
      <c r="AL701" s="4">
        <f>IF(D701="M",(IF(AM701&lt;90,BMILMS!$D$14*AM701^3+BMILMS!$E$14*AM701^2+BMILMS!$F$14*AM701+BMILMS!$G$14,BMILMS!$D$15*AM701^3+BMILMS!$E$15*AM701^2+BMILMS!$F$15*AM701+BMILMS!$G$15)),(IF(AM701&lt;90,BMILMS!$D$17*AM701^3+BMILMS!$E$17*AM701^2+BMILMS!$F$17*AM701+BMILMS!$G$17,BMILMS!$D$18*AM701^3+BMILMS!$E$18*AM701^2+BMILMS!$F$18*AM701+BMILMS!$G$18)))</f>
        <v>8.8969350000000003E-2</v>
      </c>
      <c r="AM701" s="4">
        <f t="shared" si="230"/>
        <v>0</v>
      </c>
      <c r="AO701" s="56">
        <f>IF(D701="M",WeightSDS!P$5*$AM701^7+WeightSDS!Q$5*$AM701^6+WeightSDS!R$5*$AM701^5+WeightSDS!S$5*$AM701^4+WeightSDS!T$5*$AM701^3+WeightSDS!U$5*$AM701^2+WeightSDS!V$5*$AM701+WeightSDS!W$5,IF($AM701&lt;186,WeightSDS!P$8*$AM701^7+WeightSDS!Q$8*$AM701^6+WeightSDS!R$8*$AM701^5+WeightSDS!S$8*$AM701^4+WeightSDS!T$8*$AM701^3+WeightSDS!U$8*$AM701^2+WeightSDS!V$8*$AM701+WeightSDS!W$8,WeightSDS!$U$9+WeightSDS!$V$9*($AM701-WeightSDS!$W$9)))</f>
        <v>0.75407122999999998</v>
      </c>
      <c r="AP701" s="4">
        <f>IF(D701="M",IF($AM701&lt;45,WeightSDS!M$23*$AM701^10+WeightSDS!N$23*$AM701^9+WeightSDS!O$23*$AM701^8+WeightSDS!P$23*$AM701^7+WeightSDS!Q$23*$AM701^6+WeightSDS!R$23*$AM701^5+WeightSDS!S$23*$AM701^4+WeightSDS!T$23*$AM701^3+WeightSDS!U$23*$AM701^2+WeightSDS!V$23*$AM701+WeightSDS!W$23,IF($AM701&lt;153,WeightSDS!M$25*$AM701^10+WeightSDS!N$25*$AM701^9+WeightSDS!O$25*$AM701^8+WeightSDS!P$25*$AM701^7+WeightSDS!Q$25*$AM701^6+WeightSDS!R$25*$AM701^5+WeightSDS!S$25*$AM701^4+WeightSDS!T$25*$AM701^3+WeightSDS!U$25*$AM701^2+WeightSDS!V$25*$AM701+WeightSDS!W$25,WeightSDS!M$27+WeightSDS!N$27/(1+EXP(WeightSDS!O$27+WeightSDS!P$27*$AM701)))),IF($AM701&lt;43.8,WeightSDS!M$29*$AM701^10+WeightSDS!N$29*$AM701^9+WeightSDS!O$29*$AM701^8+WeightSDS!P$29*$AM701^7+WeightSDS!Q$29*$AM701^6+WeightSDS!R$29*$AM701^5+WeightSDS!S$29*$AM701^4+WeightSDS!T$29*$AM701^3+WeightSDS!U$29*$AM701^2+WeightSDS!V$29*$AM701+WeightSDS!W$29-0.010431*(1-$AM701/210),IF($AM701&lt;123,WeightSDS!M$30*$AM701^10+WeightSDS!N$30*$AM701^9+WeightSDS!O$30*$AM701^8+WeightSDS!P$30*$AM701^7+WeightSDS!Q$30*$AM701^6+WeightSDS!R$30*$AM701^5+WeightSDS!S$30*$AM701^4+WeightSDS!T$30*$AM701^3+WeightSDS!U$30*$AM701^2+WeightSDS!V$30*$AM701+WeightSDS!W$30-0.010431*(1-1/$AM701),WeightSDS!M$32+WeightSDS!N$32/(1+EXP(WeightSDS!O$32+WeightSDS!P$32*$AM701))-0.010431*(1-$AM701/210))))</f>
        <v>2.9500001032655536</v>
      </c>
      <c r="AQ701" s="4">
        <f>IF(D701="M",IF($AM701&lt;162,WeightSDS!P$12*$AM701^7+WeightSDS!Q$12*$AM701^6+WeightSDS!R$12*$AM701^5+WeightSDS!S$12*$AM701^4+WeightSDS!T$12*$AM701^3+WeightSDS!U$12*$AM701^2+WeightSDS!V$12*$AM701+WeightSDS!W$12,WeightSDS!P$14*$AM701^7+WeightSDS!Q$14*$AM701^6+WeightSDS!R$14*$AM701^5+WeightSDS!S$14*$AM701^4+WeightSDS!T$14*$AM701^3+WeightSDS!U$14*$AM701^2+WeightSDS!V$14*$AM701+WeightSDS!W$14),IF($AM701&lt;156,WeightSDS!O$17*$AM701^8+WeightSDS!P$17*$AM701^7+WeightSDS!Q$17*$AM701^6+WeightSDS!R$17*$AM701^5+WeightSDS!S$17*$AM701^4+WeightSDS!T$17*$AM701^3+WeightSDS!U$17*$AM701^2+WeightSDS!V$17*$AM701+WeightSDS!W$17,IF($AM701&lt;186,WeightSDS!$U$18+(WeightSDS!$V$18-WeightSDS!$U$18)/24*($AM701-186)+WeightSDS!$W$18*(-$AM701+186)^2-0.005,WeightSDS!$U$18+(WeightSDS!$V$18-WeightSDS!$U$18)/24*($AM701-186)-0.005)))</f>
        <v>0.14604529399999999</v>
      </c>
      <c r="AT701" s="4">
        <f t="shared" si="217"/>
        <v>0.56299999999999994</v>
      </c>
      <c r="AU701" s="4">
        <f t="shared" si="218"/>
        <v>69</v>
      </c>
      <c r="AV701" s="4">
        <f t="shared" si="219"/>
        <v>0.51</v>
      </c>
    </row>
    <row r="702" spans="1:48" x14ac:dyDescent="0.15">
      <c r="A702" s="4"/>
      <c r="B702" s="21"/>
      <c r="C702" s="21"/>
      <c r="D702" s="21"/>
      <c r="E702" s="22"/>
      <c r="F702" s="22"/>
      <c r="G702" s="23"/>
      <c r="H702" s="23"/>
      <c r="I702" s="181"/>
      <c r="J702" s="8" t="str">
        <f t="shared" si="211"/>
        <v/>
      </c>
      <c r="K702" s="2" t="str">
        <f t="shared" si="220"/>
        <v/>
      </c>
      <c r="L702" s="2" t="str">
        <f t="shared" si="212"/>
        <v/>
      </c>
      <c r="M702" s="2" t="str">
        <f t="shared" si="221"/>
        <v/>
      </c>
      <c r="N702" s="2" t="str">
        <f t="shared" si="229"/>
        <v/>
      </c>
      <c r="O702" s="2" t="str">
        <f t="shared" si="222"/>
        <v/>
      </c>
      <c r="P702" s="8" t="str">
        <f t="shared" si="223"/>
        <v/>
      </c>
      <c r="Q702" s="8" t="str">
        <f t="shared" si="224"/>
        <v/>
      </c>
      <c r="R702" s="111" t="str">
        <f t="shared" si="225"/>
        <v/>
      </c>
      <c r="S702" s="44" t="str">
        <f t="shared" si="226"/>
        <v/>
      </c>
      <c r="T702" s="37" t="str">
        <f t="shared" si="227"/>
        <v/>
      </c>
      <c r="U702" s="44" t="str">
        <f t="shared" si="228"/>
        <v/>
      </c>
      <c r="V702" s="26"/>
      <c r="W702" s="26"/>
      <c r="X702" s="26"/>
      <c r="Y702" s="26"/>
      <c r="Z702" s="24"/>
      <c r="AA702" s="169">
        <f t="shared" si="213"/>
        <v>0</v>
      </c>
      <c r="AB702" s="4">
        <f t="shared" si="214"/>
        <v>0</v>
      </c>
      <c r="AC702" s="170">
        <f t="shared" si="231"/>
        <v>0</v>
      </c>
      <c r="AD702" s="58"/>
      <c r="AE702" s="58"/>
      <c r="AF702" s="58"/>
      <c r="AG702" s="59">
        <f t="shared" si="215"/>
        <v>9.0359999999999996</v>
      </c>
      <c r="AH702" s="59">
        <f t="shared" si="216"/>
        <v>-184.49199999999999</v>
      </c>
      <c r="AJ702" s="4">
        <f>IF(D702="M",IF(AM702&lt;78,BMILMS!$D$5*AM702^3+BMILMS!$E$5*AM702^2+BMILMS!$F$5*AM702+BMILMS!$G$5,IF(AM702&lt;150,BMILMS!$D$6*AM702^3+BMILMS!$E$6*AM702^2+BMILMS!$F$6*AM702+BMILMS!$G$6,BMILMS!$D$7*AM702^3+BMILMS!$E$7*AM702^2+BMILMS!$F$7*AM702+BMILMS!$G$7)),IF(AM702&lt;69,BMILMS!$D$9*AM702^3+BMILMS!$E$9*AM702^2+BMILMS!$F$9*AM702+BMILMS!$G$9,IF(AM702&lt;150,BMILMS!$D$10*AM702^3+BMILMS!$E$10*AM702^2+BMILMS!$F$10*AM702+BMILMS!$G$10,BMILMS!$D$11*AM702^3+BMILMS!$E$11*AM702^2+BMILMS!$F$11*AM702+BMILMS!$G$11)))</f>
        <v>0.79584630099999998</v>
      </c>
      <c r="AK702" s="4">
        <f>IF(D702="M",(IF(AM702&lt;2.5,BMILMS!$D$21*AM702^3+BMILMS!$E$21*AM702^2+BMILMS!$F$21*AM702+BMILMS!$G$21,IF(AM702&lt;9.5,BMILMS!$D$22*AM702^3+BMILMS!$E$22*AM702^2+BMILMS!$F$22*AM702+BMILMS!$G$22,IF(AM702&lt;26.75,BMILMS!$D$23*AM702^3+BMILMS!$E$23*AM702^2+BMILMS!$F$23*AM702+BMILMS!$G$23,IF(AM702&lt;90,BMILMS!$D$24*AM702^3+BMILMS!$E$24*AM702^2+BMILMS!$F$24*AM702+BMILMS!$G$24,BMILMS!$D$25*AM702^3+BMILMS!$E$25*AM702^2+BMILMS!$F$25*AM702+BMILMS!$G$25))))),(IF(AM702&lt;2.5,BMILMS!$D$27*AM702^3+BMILMS!$E$27*AM702^2+BMILMS!$F$27*AM702+BMILMS!$G$27,IF(AM702&lt;9.5,BMILMS!$D$28*AM702^3+BMILMS!$E$28*AM702^2+BMILMS!$F$28*AM702+BMILMS!$G$28,IF(AM702&lt;26.75,BMILMS!$D$29*AM702^3+BMILMS!$E$29*AM702^2+BMILMS!$F$29*AM702+BMILMS!$G$29,IF(AM702&lt;90,BMILMS!$D$30*AM702^3+BMILMS!$E$30*AM702^2+BMILMS!$F$30*AM702+BMILMS!$G$30,IF(AM702&lt;150,BMILMS!$D$31*AM702^3+BMILMS!$E$31*AM702^2+BMILMS!$F$31*AM702+BMILMS!$G$31,BMILMS!$D$32*AM702^3+BMILMS!$E$32*AM702^2+BMILMS!$F$32*AM702+BMILMS!$G$32)))))))</f>
        <v>12.568967990000001</v>
      </c>
      <c r="AL702" s="4">
        <f>IF(D702="M",(IF(AM702&lt;90,BMILMS!$D$14*AM702^3+BMILMS!$E$14*AM702^2+BMILMS!$F$14*AM702+BMILMS!$G$14,BMILMS!$D$15*AM702^3+BMILMS!$E$15*AM702^2+BMILMS!$F$15*AM702+BMILMS!$G$15)),(IF(AM702&lt;90,BMILMS!$D$17*AM702^3+BMILMS!$E$17*AM702^2+BMILMS!$F$17*AM702+BMILMS!$G$17,BMILMS!$D$18*AM702^3+BMILMS!$E$18*AM702^2+BMILMS!$F$18*AM702+BMILMS!$G$18)))</f>
        <v>8.8969350000000003E-2</v>
      </c>
      <c r="AM702" s="4">
        <f t="shared" si="230"/>
        <v>0</v>
      </c>
      <c r="AO702" s="56">
        <f>IF(D702="M",WeightSDS!P$5*$AM702^7+WeightSDS!Q$5*$AM702^6+WeightSDS!R$5*$AM702^5+WeightSDS!S$5*$AM702^4+WeightSDS!T$5*$AM702^3+WeightSDS!U$5*$AM702^2+WeightSDS!V$5*$AM702+WeightSDS!W$5,IF($AM702&lt;186,WeightSDS!P$8*$AM702^7+WeightSDS!Q$8*$AM702^6+WeightSDS!R$8*$AM702^5+WeightSDS!S$8*$AM702^4+WeightSDS!T$8*$AM702^3+WeightSDS!U$8*$AM702^2+WeightSDS!V$8*$AM702+WeightSDS!W$8,WeightSDS!$U$9+WeightSDS!$V$9*($AM702-WeightSDS!$W$9)))</f>
        <v>0.75407122999999998</v>
      </c>
      <c r="AP702" s="4">
        <f>IF(D702="M",IF($AM702&lt;45,WeightSDS!M$23*$AM702^10+WeightSDS!N$23*$AM702^9+WeightSDS!O$23*$AM702^8+WeightSDS!P$23*$AM702^7+WeightSDS!Q$23*$AM702^6+WeightSDS!R$23*$AM702^5+WeightSDS!S$23*$AM702^4+WeightSDS!T$23*$AM702^3+WeightSDS!U$23*$AM702^2+WeightSDS!V$23*$AM702+WeightSDS!W$23,IF($AM702&lt;153,WeightSDS!M$25*$AM702^10+WeightSDS!N$25*$AM702^9+WeightSDS!O$25*$AM702^8+WeightSDS!P$25*$AM702^7+WeightSDS!Q$25*$AM702^6+WeightSDS!R$25*$AM702^5+WeightSDS!S$25*$AM702^4+WeightSDS!T$25*$AM702^3+WeightSDS!U$25*$AM702^2+WeightSDS!V$25*$AM702+WeightSDS!W$25,WeightSDS!M$27+WeightSDS!N$27/(1+EXP(WeightSDS!O$27+WeightSDS!P$27*$AM702)))),IF($AM702&lt;43.8,WeightSDS!M$29*$AM702^10+WeightSDS!N$29*$AM702^9+WeightSDS!O$29*$AM702^8+WeightSDS!P$29*$AM702^7+WeightSDS!Q$29*$AM702^6+WeightSDS!R$29*$AM702^5+WeightSDS!S$29*$AM702^4+WeightSDS!T$29*$AM702^3+WeightSDS!U$29*$AM702^2+WeightSDS!V$29*$AM702+WeightSDS!W$29-0.010431*(1-$AM702/210),IF($AM702&lt;123,WeightSDS!M$30*$AM702^10+WeightSDS!N$30*$AM702^9+WeightSDS!O$30*$AM702^8+WeightSDS!P$30*$AM702^7+WeightSDS!Q$30*$AM702^6+WeightSDS!R$30*$AM702^5+WeightSDS!S$30*$AM702^4+WeightSDS!T$30*$AM702^3+WeightSDS!U$30*$AM702^2+WeightSDS!V$30*$AM702+WeightSDS!W$30-0.010431*(1-1/$AM702),WeightSDS!M$32+WeightSDS!N$32/(1+EXP(WeightSDS!O$32+WeightSDS!P$32*$AM702))-0.010431*(1-$AM702/210))))</f>
        <v>2.9500001032655536</v>
      </c>
      <c r="AQ702" s="4">
        <f>IF(D702="M",IF($AM702&lt;162,WeightSDS!P$12*$AM702^7+WeightSDS!Q$12*$AM702^6+WeightSDS!R$12*$AM702^5+WeightSDS!S$12*$AM702^4+WeightSDS!T$12*$AM702^3+WeightSDS!U$12*$AM702^2+WeightSDS!V$12*$AM702+WeightSDS!W$12,WeightSDS!P$14*$AM702^7+WeightSDS!Q$14*$AM702^6+WeightSDS!R$14*$AM702^5+WeightSDS!S$14*$AM702^4+WeightSDS!T$14*$AM702^3+WeightSDS!U$14*$AM702^2+WeightSDS!V$14*$AM702+WeightSDS!W$14),IF($AM702&lt;156,WeightSDS!O$17*$AM702^8+WeightSDS!P$17*$AM702^7+WeightSDS!Q$17*$AM702^6+WeightSDS!R$17*$AM702^5+WeightSDS!S$17*$AM702^4+WeightSDS!T$17*$AM702^3+WeightSDS!U$17*$AM702^2+WeightSDS!V$17*$AM702+WeightSDS!W$17,IF($AM702&lt;186,WeightSDS!$U$18+(WeightSDS!$V$18-WeightSDS!$U$18)/24*($AM702-186)+WeightSDS!$W$18*(-$AM702+186)^2-0.005,WeightSDS!$U$18+(WeightSDS!$V$18-WeightSDS!$U$18)/24*($AM702-186)-0.005)))</f>
        <v>0.14604529399999999</v>
      </c>
      <c r="AT702" s="4">
        <f t="shared" si="217"/>
        <v>0.56299999999999994</v>
      </c>
      <c r="AU702" s="4">
        <f t="shared" si="218"/>
        <v>69</v>
      </c>
      <c r="AV702" s="4">
        <f t="shared" si="219"/>
        <v>0.51</v>
      </c>
    </row>
    <row r="703" spans="1:48" x14ac:dyDescent="0.15">
      <c r="A703" s="4"/>
      <c r="B703" s="21"/>
      <c r="C703" s="21"/>
      <c r="D703" s="21"/>
      <c r="E703" s="22"/>
      <c r="F703" s="22"/>
      <c r="G703" s="23"/>
      <c r="H703" s="23"/>
      <c r="I703" s="181"/>
      <c r="J703" s="8" t="str">
        <f t="shared" si="211"/>
        <v/>
      </c>
      <c r="K703" s="2" t="str">
        <f t="shared" si="220"/>
        <v/>
      </c>
      <c r="L703" s="2" t="str">
        <f t="shared" si="212"/>
        <v/>
      </c>
      <c r="M703" s="2" t="str">
        <f t="shared" si="221"/>
        <v/>
      </c>
      <c r="N703" s="2" t="str">
        <f t="shared" si="229"/>
        <v/>
      </c>
      <c r="O703" s="2" t="str">
        <f t="shared" si="222"/>
        <v/>
      </c>
      <c r="P703" s="8" t="str">
        <f t="shared" si="223"/>
        <v/>
      </c>
      <c r="Q703" s="8" t="str">
        <f t="shared" si="224"/>
        <v/>
      </c>
      <c r="R703" s="111" t="str">
        <f t="shared" si="225"/>
        <v/>
      </c>
      <c r="S703" s="44" t="str">
        <f t="shared" si="226"/>
        <v/>
      </c>
      <c r="T703" s="37" t="str">
        <f t="shared" si="227"/>
        <v/>
      </c>
      <c r="U703" s="44" t="str">
        <f t="shared" si="228"/>
        <v/>
      </c>
      <c r="V703" s="26"/>
      <c r="W703" s="26"/>
      <c r="X703" s="26"/>
      <c r="Y703" s="26"/>
      <c r="Z703" s="24"/>
      <c r="AA703" s="169">
        <f t="shared" si="213"/>
        <v>0</v>
      </c>
      <c r="AB703" s="4">
        <f t="shared" si="214"/>
        <v>0</v>
      </c>
      <c r="AC703" s="170">
        <f t="shared" si="231"/>
        <v>0</v>
      </c>
      <c r="AD703" s="58"/>
      <c r="AE703" s="58"/>
      <c r="AF703" s="58"/>
      <c r="AG703" s="59">
        <f t="shared" si="215"/>
        <v>9.0359999999999996</v>
      </c>
      <c r="AH703" s="59">
        <f t="shared" si="216"/>
        <v>-184.49199999999999</v>
      </c>
      <c r="AJ703" s="4">
        <f>IF(D703="M",IF(AM703&lt;78,BMILMS!$D$5*AM703^3+BMILMS!$E$5*AM703^2+BMILMS!$F$5*AM703+BMILMS!$G$5,IF(AM703&lt;150,BMILMS!$D$6*AM703^3+BMILMS!$E$6*AM703^2+BMILMS!$F$6*AM703+BMILMS!$G$6,BMILMS!$D$7*AM703^3+BMILMS!$E$7*AM703^2+BMILMS!$F$7*AM703+BMILMS!$G$7)),IF(AM703&lt;69,BMILMS!$D$9*AM703^3+BMILMS!$E$9*AM703^2+BMILMS!$F$9*AM703+BMILMS!$G$9,IF(AM703&lt;150,BMILMS!$D$10*AM703^3+BMILMS!$E$10*AM703^2+BMILMS!$F$10*AM703+BMILMS!$G$10,BMILMS!$D$11*AM703^3+BMILMS!$E$11*AM703^2+BMILMS!$F$11*AM703+BMILMS!$G$11)))</f>
        <v>0.79584630099999998</v>
      </c>
      <c r="AK703" s="4">
        <f>IF(D703="M",(IF(AM703&lt;2.5,BMILMS!$D$21*AM703^3+BMILMS!$E$21*AM703^2+BMILMS!$F$21*AM703+BMILMS!$G$21,IF(AM703&lt;9.5,BMILMS!$D$22*AM703^3+BMILMS!$E$22*AM703^2+BMILMS!$F$22*AM703+BMILMS!$G$22,IF(AM703&lt;26.75,BMILMS!$D$23*AM703^3+BMILMS!$E$23*AM703^2+BMILMS!$F$23*AM703+BMILMS!$G$23,IF(AM703&lt;90,BMILMS!$D$24*AM703^3+BMILMS!$E$24*AM703^2+BMILMS!$F$24*AM703+BMILMS!$G$24,BMILMS!$D$25*AM703^3+BMILMS!$E$25*AM703^2+BMILMS!$F$25*AM703+BMILMS!$G$25))))),(IF(AM703&lt;2.5,BMILMS!$D$27*AM703^3+BMILMS!$E$27*AM703^2+BMILMS!$F$27*AM703+BMILMS!$G$27,IF(AM703&lt;9.5,BMILMS!$D$28*AM703^3+BMILMS!$E$28*AM703^2+BMILMS!$F$28*AM703+BMILMS!$G$28,IF(AM703&lt;26.75,BMILMS!$D$29*AM703^3+BMILMS!$E$29*AM703^2+BMILMS!$F$29*AM703+BMILMS!$G$29,IF(AM703&lt;90,BMILMS!$D$30*AM703^3+BMILMS!$E$30*AM703^2+BMILMS!$F$30*AM703+BMILMS!$G$30,IF(AM703&lt;150,BMILMS!$D$31*AM703^3+BMILMS!$E$31*AM703^2+BMILMS!$F$31*AM703+BMILMS!$G$31,BMILMS!$D$32*AM703^3+BMILMS!$E$32*AM703^2+BMILMS!$F$32*AM703+BMILMS!$G$32)))))))</f>
        <v>12.568967990000001</v>
      </c>
      <c r="AL703" s="4">
        <f>IF(D703="M",(IF(AM703&lt;90,BMILMS!$D$14*AM703^3+BMILMS!$E$14*AM703^2+BMILMS!$F$14*AM703+BMILMS!$G$14,BMILMS!$D$15*AM703^3+BMILMS!$E$15*AM703^2+BMILMS!$F$15*AM703+BMILMS!$G$15)),(IF(AM703&lt;90,BMILMS!$D$17*AM703^3+BMILMS!$E$17*AM703^2+BMILMS!$F$17*AM703+BMILMS!$G$17,BMILMS!$D$18*AM703^3+BMILMS!$E$18*AM703^2+BMILMS!$F$18*AM703+BMILMS!$G$18)))</f>
        <v>8.8969350000000003E-2</v>
      </c>
      <c r="AM703" s="4">
        <f t="shared" si="230"/>
        <v>0</v>
      </c>
      <c r="AO703" s="56">
        <f>IF(D703="M",WeightSDS!P$5*$AM703^7+WeightSDS!Q$5*$AM703^6+WeightSDS!R$5*$AM703^5+WeightSDS!S$5*$AM703^4+WeightSDS!T$5*$AM703^3+WeightSDS!U$5*$AM703^2+WeightSDS!V$5*$AM703+WeightSDS!W$5,IF($AM703&lt;186,WeightSDS!P$8*$AM703^7+WeightSDS!Q$8*$AM703^6+WeightSDS!R$8*$AM703^5+WeightSDS!S$8*$AM703^4+WeightSDS!T$8*$AM703^3+WeightSDS!U$8*$AM703^2+WeightSDS!V$8*$AM703+WeightSDS!W$8,WeightSDS!$U$9+WeightSDS!$V$9*($AM703-WeightSDS!$W$9)))</f>
        <v>0.75407122999999998</v>
      </c>
      <c r="AP703" s="4">
        <f>IF(D703="M",IF($AM703&lt;45,WeightSDS!M$23*$AM703^10+WeightSDS!N$23*$AM703^9+WeightSDS!O$23*$AM703^8+WeightSDS!P$23*$AM703^7+WeightSDS!Q$23*$AM703^6+WeightSDS!R$23*$AM703^5+WeightSDS!S$23*$AM703^4+WeightSDS!T$23*$AM703^3+WeightSDS!U$23*$AM703^2+WeightSDS!V$23*$AM703+WeightSDS!W$23,IF($AM703&lt;153,WeightSDS!M$25*$AM703^10+WeightSDS!N$25*$AM703^9+WeightSDS!O$25*$AM703^8+WeightSDS!P$25*$AM703^7+WeightSDS!Q$25*$AM703^6+WeightSDS!R$25*$AM703^5+WeightSDS!S$25*$AM703^4+WeightSDS!T$25*$AM703^3+WeightSDS!U$25*$AM703^2+WeightSDS!V$25*$AM703+WeightSDS!W$25,WeightSDS!M$27+WeightSDS!N$27/(1+EXP(WeightSDS!O$27+WeightSDS!P$27*$AM703)))),IF($AM703&lt;43.8,WeightSDS!M$29*$AM703^10+WeightSDS!N$29*$AM703^9+WeightSDS!O$29*$AM703^8+WeightSDS!P$29*$AM703^7+WeightSDS!Q$29*$AM703^6+WeightSDS!R$29*$AM703^5+WeightSDS!S$29*$AM703^4+WeightSDS!T$29*$AM703^3+WeightSDS!U$29*$AM703^2+WeightSDS!V$29*$AM703+WeightSDS!W$29-0.010431*(1-$AM703/210),IF($AM703&lt;123,WeightSDS!M$30*$AM703^10+WeightSDS!N$30*$AM703^9+WeightSDS!O$30*$AM703^8+WeightSDS!P$30*$AM703^7+WeightSDS!Q$30*$AM703^6+WeightSDS!R$30*$AM703^5+WeightSDS!S$30*$AM703^4+WeightSDS!T$30*$AM703^3+WeightSDS!U$30*$AM703^2+WeightSDS!V$30*$AM703+WeightSDS!W$30-0.010431*(1-1/$AM703),WeightSDS!M$32+WeightSDS!N$32/(1+EXP(WeightSDS!O$32+WeightSDS!P$32*$AM703))-0.010431*(1-$AM703/210))))</f>
        <v>2.9500001032655536</v>
      </c>
      <c r="AQ703" s="4">
        <f>IF(D703="M",IF($AM703&lt;162,WeightSDS!P$12*$AM703^7+WeightSDS!Q$12*$AM703^6+WeightSDS!R$12*$AM703^5+WeightSDS!S$12*$AM703^4+WeightSDS!T$12*$AM703^3+WeightSDS!U$12*$AM703^2+WeightSDS!V$12*$AM703+WeightSDS!W$12,WeightSDS!P$14*$AM703^7+WeightSDS!Q$14*$AM703^6+WeightSDS!R$14*$AM703^5+WeightSDS!S$14*$AM703^4+WeightSDS!T$14*$AM703^3+WeightSDS!U$14*$AM703^2+WeightSDS!V$14*$AM703+WeightSDS!W$14),IF($AM703&lt;156,WeightSDS!O$17*$AM703^8+WeightSDS!P$17*$AM703^7+WeightSDS!Q$17*$AM703^6+WeightSDS!R$17*$AM703^5+WeightSDS!S$17*$AM703^4+WeightSDS!T$17*$AM703^3+WeightSDS!U$17*$AM703^2+WeightSDS!V$17*$AM703+WeightSDS!W$17,IF($AM703&lt;186,WeightSDS!$U$18+(WeightSDS!$V$18-WeightSDS!$U$18)/24*($AM703-186)+WeightSDS!$W$18*(-$AM703+186)^2-0.005,WeightSDS!$U$18+(WeightSDS!$V$18-WeightSDS!$U$18)/24*($AM703-186)-0.005)))</f>
        <v>0.14604529399999999</v>
      </c>
      <c r="AT703" s="4">
        <f t="shared" si="217"/>
        <v>0.56299999999999994</v>
      </c>
      <c r="AU703" s="4">
        <f t="shared" si="218"/>
        <v>69</v>
      </c>
      <c r="AV703" s="4">
        <f t="shared" si="219"/>
        <v>0.51</v>
      </c>
    </row>
    <row r="704" spans="1:48" x14ac:dyDescent="0.15">
      <c r="A704" s="4"/>
      <c r="B704" s="21"/>
      <c r="C704" s="21"/>
      <c r="D704" s="21"/>
      <c r="E704" s="22"/>
      <c r="F704" s="22"/>
      <c r="G704" s="23"/>
      <c r="H704" s="23"/>
      <c r="I704" s="181"/>
      <c r="J704" s="8" t="str">
        <f t="shared" si="211"/>
        <v/>
      </c>
      <c r="K704" s="2" t="str">
        <f t="shared" si="220"/>
        <v/>
      </c>
      <c r="L704" s="2" t="str">
        <f t="shared" si="212"/>
        <v/>
      </c>
      <c r="M704" s="2" t="str">
        <f t="shared" si="221"/>
        <v/>
      </c>
      <c r="N704" s="2" t="str">
        <f t="shared" si="229"/>
        <v/>
      </c>
      <c r="O704" s="2" t="str">
        <f t="shared" si="222"/>
        <v/>
      </c>
      <c r="P704" s="8" t="str">
        <f t="shared" si="223"/>
        <v/>
      </c>
      <c r="Q704" s="8" t="str">
        <f t="shared" si="224"/>
        <v/>
      </c>
      <c r="R704" s="111" t="str">
        <f t="shared" si="225"/>
        <v/>
      </c>
      <c r="S704" s="44" t="str">
        <f t="shared" si="226"/>
        <v/>
      </c>
      <c r="T704" s="37" t="str">
        <f t="shared" si="227"/>
        <v/>
      </c>
      <c r="U704" s="44" t="str">
        <f t="shared" si="228"/>
        <v/>
      </c>
      <c r="V704" s="26"/>
      <c r="W704" s="26"/>
      <c r="X704" s="26"/>
      <c r="Y704" s="26"/>
      <c r="Z704" s="24"/>
      <c r="AA704" s="169">
        <f t="shared" si="213"/>
        <v>0</v>
      </c>
      <c r="AB704" s="4">
        <f t="shared" si="214"/>
        <v>0</v>
      </c>
      <c r="AC704" s="170">
        <f t="shared" si="231"/>
        <v>0</v>
      </c>
      <c r="AD704" s="58"/>
      <c r="AE704" s="58"/>
      <c r="AF704" s="58"/>
      <c r="AG704" s="59">
        <f t="shared" si="215"/>
        <v>9.0359999999999996</v>
      </c>
      <c r="AH704" s="59">
        <f t="shared" si="216"/>
        <v>-184.49199999999999</v>
      </c>
      <c r="AJ704" s="4">
        <f>IF(D704="M",IF(AM704&lt;78,BMILMS!$D$5*AM704^3+BMILMS!$E$5*AM704^2+BMILMS!$F$5*AM704+BMILMS!$G$5,IF(AM704&lt;150,BMILMS!$D$6*AM704^3+BMILMS!$E$6*AM704^2+BMILMS!$F$6*AM704+BMILMS!$G$6,BMILMS!$D$7*AM704^3+BMILMS!$E$7*AM704^2+BMILMS!$F$7*AM704+BMILMS!$G$7)),IF(AM704&lt;69,BMILMS!$D$9*AM704^3+BMILMS!$E$9*AM704^2+BMILMS!$F$9*AM704+BMILMS!$G$9,IF(AM704&lt;150,BMILMS!$D$10*AM704^3+BMILMS!$E$10*AM704^2+BMILMS!$F$10*AM704+BMILMS!$G$10,BMILMS!$D$11*AM704^3+BMILMS!$E$11*AM704^2+BMILMS!$F$11*AM704+BMILMS!$G$11)))</f>
        <v>0.79584630099999998</v>
      </c>
      <c r="AK704" s="4">
        <f>IF(D704="M",(IF(AM704&lt;2.5,BMILMS!$D$21*AM704^3+BMILMS!$E$21*AM704^2+BMILMS!$F$21*AM704+BMILMS!$G$21,IF(AM704&lt;9.5,BMILMS!$D$22*AM704^3+BMILMS!$E$22*AM704^2+BMILMS!$F$22*AM704+BMILMS!$G$22,IF(AM704&lt;26.75,BMILMS!$D$23*AM704^3+BMILMS!$E$23*AM704^2+BMILMS!$F$23*AM704+BMILMS!$G$23,IF(AM704&lt;90,BMILMS!$D$24*AM704^3+BMILMS!$E$24*AM704^2+BMILMS!$F$24*AM704+BMILMS!$G$24,BMILMS!$D$25*AM704^3+BMILMS!$E$25*AM704^2+BMILMS!$F$25*AM704+BMILMS!$G$25))))),(IF(AM704&lt;2.5,BMILMS!$D$27*AM704^3+BMILMS!$E$27*AM704^2+BMILMS!$F$27*AM704+BMILMS!$G$27,IF(AM704&lt;9.5,BMILMS!$D$28*AM704^3+BMILMS!$E$28*AM704^2+BMILMS!$F$28*AM704+BMILMS!$G$28,IF(AM704&lt;26.75,BMILMS!$D$29*AM704^3+BMILMS!$E$29*AM704^2+BMILMS!$F$29*AM704+BMILMS!$G$29,IF(AM704&lt;90,BMILMS!$D$30*AM704^3+BMILMS!$E$30*AM704^2+BMILMS!$F$30*AM704+BMILMS!$G$30,IF(AM704&lt;150,BMILMS!$D$31*AM704^3+BMILMS!$E$31*AM704^2+BMILMS!$F$31*AM704+BMILMS!$G$31,BMILMS!$D$32*AM704^3+BMILMS!$E$32*AM704^2+BMILMS!$F$32*AM704+BMILMS!$G$32)))))))</f>
        <v>12.568967990000001</v>
      </c>
      <c r="AL704" s="4">
        <f>IF(D704="M",(IF(AM704&lt;90,BMILMS!$D$14*AM704^3+BMILMS!$E$14*AM704^2+BMILMS!$F$14*AM704+BMILMS!$G$14,BMILMS!$D$15*AM704^3+BMILMS!$E$15*AM704^2+BMILMS!$F$15*AM704+BMILMS!$G$15)),(IF(AM704&lt;90,BMILMS!$D$17*AM704^3+BMILMS!$E$17*AM704^2+BMILMS!$F$17*AM704+BMILMS!$G$17,BMILMS!$D$18*AM704^3+BMILMS!$E$18*AM704^2+BMILMS!$F$18*AM704+BMILMS!$G$18)))</f>
        <v>8.8969350000000003E-2</v>
      </c>
      <c r="AM704" s="4">
        <f t="shared" si="230"/>
        <v>0</v>
      </c>
      <c r="AO704" s="56">
        <f>IF(D704="M",WeightSDS!P$5*$AM704^7+WeightSDS!Q$5*$AM704^6+WeightSDS!R$5*$AM704^5+WeightSDS!S$5*$AM704^4+WeightSDS!T$5*$AM704^3+WeightSDS!U$5*$AM704^2+WeightSDS!V$5*$AM704+WeightSDS!W$5,IF($AM704&lt;186,WeightSDS!P$8*$AM704^7+WeightSDS!Q$8*$AM704^6+WeightSDS!R$8*$AM704^5+WeightSDS!S$8*$AM704^4+WeightSDS!T$8*$AM704^3+WeightSDS!U$8*$AM704^2+WeightSDS!V$8*$AM704+WeightSDS!W$8,WeightSDS!$U$9+WeightSDS!$V$9*($AM704-WeightSDS!$W$9)))</f>
        <v>0.75407122999999998</v>
      </c>
      <c r="AP704" s="4">
        <f>IF(D704="M",IF($AM704&lt;45,WeightSDS!M$23*$AM704^10+WeightSDS!N$23*$AM704^9+WeightSDS!O$23*$AM704^8+WeightSDS!P$23*$AM704^7+WeightSDS!Q$23*$AM704^6+WeightSDS!R$23*$AM704^5+WeightSDS!S$23*$AM704^4+WeightSDS!T$23*$AM704^3+WeightSDS!U$23*$AM704^2+WeightSDS!V$23*$AM704+WeightSDS!W$23,IF($AM704&lt;153,WeightSDS!M$25*$AM704^10+WeightSDS!N$25*$AM704^9+WeightSDS!O$25*$AM704^8+WeightSDS!P$25*$AM704^7+WeightSDS!Q$25*$AM704^6+WeightSDS!R$25*$AM704^5+WeightSDS!S$25*$AM704^4+WeightSDS!T$25*$AM704^3+WeightSDS!U$25*$AM704^2+WeightSDS!V$25*$AM704+WeightSDS!W$25,WeightSDS!M$27+WeightSDS!N$27/(1+EXP(WeightSDS!O$27+WeightSDS!P$27*$AM704)))),IF($AM704&lt;43.8,WeightSDS!M$29*$AM704^10+WeightSDS!N$29*$AM704^9+WeightSDS!O$29*$AM704^8+WeightSDS!P$29*$AM704^7+WeightSDS!Q$29*$AM704^6+WeightSDS!R$29*$AM704^5+WeightSDS!S$29*$AM704^4+WeightSDS!T$29*$AM704^3+WeightSDS!U$29*$AM704^2+WeightSDS!V$29*$AM704+WeightSDS!W$29-0.010431*(1-$AM704/210),IF($AM704&lt;123,WeightSDS!M$30*$AM704^10+WeightSDS!N$30*$AM704^9+WeightSDS!O$30*$AM704^8+WeightSDS!P$30*$AM704^7+WeightSDS!Q$30*$AM704^6+WeightSDS!R$30*$AM704^5+WeightSDS!S$30*$AM704^4+WeightSDS!T$30*$AM704^3+WeightSDS!U$30*$AM704^2+WeightSDS!V$30*$AM704+WeightSDS!W$30-0.010431*(1-1/$AM704),WeightSDS!M$32+WeightSDS!N$32/(1+EXP(WeightSDS!O$32+WeightSDS!P$32*$AM704))-0.010431*(1-$AM704/210))))</f>
        <v>2.9500001032655536</v>
      </c>
      <c r="AQ704" s="4">
        <f>IF(D704="M",IF($AM704&lt;162,WeightSDS!P$12*$AM704^7+WeightSDS!Q$12*$AM704^6+WeightSDS!R$12*$AM704^5+WeightSDS!S$12*$AM704^4+WeightSDS!T$12*$AM704^3+WeightSDS!U$12*$AM704^2+WeightSDS!V$12*$AM704+WeightSDS!W$12,WeightSDS!P$14*$AM704^7+WeightSDS!Q$14*$AM704^6+WeightSDS!R$14*$AM704^5+WeightSDS!S$14*$AM704^4+WeightSDS!T$14*$AM704^3+WeightSDS!U$14*$AM704^2+WeightSDS!V$14*$AM704+WeightSDS!W$14),IF($AM704&lt;156,WeightSDS!O$17*$AM704^8+WeightSDS!P$17*$AM704^7+WeightSDS!Q$17*$AM704^6+WeightSDS!R$17*$AM704^5+WeightSDS!S$17*$AM704^4+WeightSDS!T$17*$AM704^3+WeightSDS!U$17*$AM704^2+WeightSDS!V$17*$AM704+WeightSDS!W$17,IF($AM704&lt;186,WeightSDS!$U$18+(WeightSDS!$V$18-WeightSDS!$U$18)/24*($AM704-186)+WeightSDS!$W$18*(-$AM704+186)^2-0.005,WeightSDS!$U$18+(WeightSDS!$V$18-WeightSDS!$U$18)/24*($AM704-186)-0.005)))</f>
        <v>0.14604529399999999</v>
      </c>
      <c r="AT704" s="4">
        <f t="shared" si="217"/>
        <v>0.56299999999999994</v>
      </c>
      <c r="AU704" s="4">
        <f t="shared" si="218"/>
        <v>69</v>
      </c>
      <c r="AV704" s="4">
        <f t="shared" si="219"/>
        <v>0.51</v>
      </c>
    </row>
    <row r="705" spans="1:48" x14ac:dyDescent="0.15">
      <c r="A705" s="4"/>
      <c r="B705" s="21"/>
      <c r="C705" s="21"/>
      <c r="D705" s="21"/>
      <c r="E705" s="22"/>
      <c r="F705" s="22"/>
      <c r="G705" s="23"/>
      <c r="H705" s="23"/>
      <c r="I705" s="181"/>
      <c r="J705" s="8" t="str">
        <f t="shared" si="211"/>
        <v/>
      </c>
      <c r="K705" s="2" t="str">
        <f t="shared" si="220"/>
        <v/>
      </c>
      <c r="L705" s="2" t="str">
        <f t="shared" si="212"/>
        <v/>
      </c>
      <c r="M705" s="2" t="str">
        <f t="shared" si="221"/>
        <v/>
      </c>
      <c r="N705" s="2" t="str">
        <f t="shared" si="229"/>
        <v/>
      </c>
      <c r="O705" s="2" t="str">
        <f t="shared" si="222"/>
        <v/>
      </c>
      <c r="P705" s="8" t="str">
        <f t="shared" si="223"/>
        <v/>
      </c>
      <c r="Q705" s="8" t="str">
        <f t="shared" si="224"/>
        <v/>
      </c>
      <c r="R705" s="111" t="str">
        <f t="shared" si="225"/>
        <v/>
      </c>
      <c r="S705" s="44" t="str">
        <f t="shared" si="226"/>
        <v/>
      </c>
      <c r="T705" s="37" t="str">
        <f t="shared" si="227"/>
        <v/>
      </c>
      <c r="U705" s="44" t="str">
        <f t="shared" si="228"/>
        <v/>
      </c>
      <c r="V705" s="26"/>
      <c r="W705" s="26"/>
      <c r="X705" s="26"/>
      <c r="Y705" s="26"/>
      <c r="Z705" s="24"/>
      <c r="AA705" s="169">
        <f t="shared" si="213"/>
        <v>0</v>
      </c>
      <c r="AB705" s="4">
        <f t="shared" si="214"/>
        <v>0</v>
      </c>
      <c r="AC705" s="170">
        <f t="shared" si="231"/>
        <v>0</v>
      </c>
      <c r="AD705" s="58"/>
      <c r="AE705" s="58"/>
      <c r="AF705" s="58"/>
      <c r="AG705" s="59">
        <f t="shared" si="215"/>
        <v>9.0359999999999996</v>
      </c>
      <c r="AH705" s="59">
        <f t="shared" si="216"/>
        <v>-184.49199999999999</v>
      </c>
      <c r="AJ705" s="4">
        <f>IF(D705="M",IF(AM705&lt;78,BMILMS!$D$5*AM705^3+BMILMS!$E$5*AM705^2+BMILMS!$F$5*AM705+BMILMS!$G$5,IF(AM705&lt;150,BMILMS!$D$6*AM705^3+BMILMS!$E$6*AM705^2+BMILMS!$F$6*AM705+BMILMS!$G$6,BMILMS!$D$7*AM705^3+BMILMS!$E$7*AM705^2+BMILMS!$F$7*AM705+BMILMS!$G$7)),IF(AM705&lt;69,BMILMS!$D$9*AM705^3+BMILMS!$E$9*AM705^2+BMILMS!$F$9*AM705+BMILMS!$G$9,IF(AM705&lt;150,BMILMS!$D$10*AM705^3+BMILMS!$E$10*AM705^2+BMILMS!$F$10*AM705+BMILMS!$G$10,BMILMS!$D$11*AM705^3+BMILMS!$E$11*AM705^2+BMILMS!$F$11*AM705+BMILMS!$G$11)))</f>
        <v>0.79584630099999998</v>
      </c>
      <c r="AK705" s="4">
        <f>IF(D705="M",(IF(AM705&lt;2.5,BMILMS!$D$21*AM705^3+BMILMS!$E$21*AM705^2+BMILMS!$F$21*AM705+BMILMS!$G$21,IF(AM705&lt;9.5,BMILMS!$D$22*AM705^3+BMILMS!$E$22*AM705^2+BMILMS!$F$22*AM705+BMILMS!$G$22,IF(AM705&lt;26.75,BMILMS!$D$23*AM705^3+BMILMS!$E$23*AM705^2+BMILMS!$F$23*AM705+BMILMS!$G$23,IF(AM705&lt;90,BMILMS!$D$24*AM705^3+BMILMS!$E$24*AM705^2+BMILMS!$F$24*AM705+BMILMS!$G$24,BMILMS!$D$25*AM705^3+BMILMS!$E$25*AM705^2+BMILMS!$F$25*AM705+BMILMS!$G$25))))),(IF(AM705&lt;2.5,BMILMS!$D$27*AM705^3+BMILMS!$E$27*AM705^2+BMILMS!$F$27*AM705+BMILMS!$G$27,IF(AM705&lt;9.5,BMILMS!$D$28*AM705^3+BMILMS!$E$28*AM705^2+BMILMS!$F$28*AM705+BMILMS!$G$28,IF(AM705&lt;26.75,BMILMS!$D$29*AM705^3+BMILMS!$E$29*AM705^2+BMILMS!$F$29*AM705+BMILMS!$G$29,IF(AM705&lt;90,BMILMS!$D$30*AM705^3+BMILMS!$E$30*AM705^2+BMILMS!$F$30*AM705+BMILMS!$G$30,IF(AM705&lt;150,BMILMS!$D$31*AM705^3+BMILMS!$E$31*AM705^2+BMILMS!$F$31*AM705+BMILMS!$G$31,BMILMS!$D$32*AM705^3+BMILMS!$E$32*AM705^2+BMILMS!$F$32*AM705+BMILMS!$G$32)))))))</f>
        <v>12.568967990000001</v>
      </c>
      <c r="AL705" s="4">
        <f>IF(D705="M",(IF(AM705&lt;90,BMILMS!$D$14*AM705^3+BMILMS!$E$14*AM705^2+BMILMS!$F$14*AM705+BMILMS!$G$14,BMILMS!$D$15*AM705^3+BMILMS!$E$15*AM705^2+BMILMS!$F$15*AM705+BMILMS!$G$15)),(IF(AM705&lt;90,BMILMS!$D$17*AM705^3+BMILMS!$E$17*AM705^2+BMILMS!$F$17*AM705+BMILMS!$G$17,BMILMS!$D$18*AM705^3+BMILMS!$E$18*AM705^2+BMILMS!$F$18*AM705+BMILMS!$G$18)))</f>
        <v>8.8969350000000003E-2</v>
      </c>
      <c r="AM705" s="4">
        <f t="shared" si="230"/>
        <v>0</v>
      </c>
      <c r="AO705" s="56">
        <f>IF(D705="M",WeightSDS!P$5*$AM705^7+WeightSDS!Q$5*$AM705^6+WeightSDS!R$5*$AM705^5+WeightSDS!S$5*$AM705^4+WeightSDS!T$5*$AM705^3+WeightSDS!U$5*$AM705^2+WeightSDS!V$5*$AM705+WeightSDS!W$5,IF($AM705&lt;186,WeightSDS!P$8*$AM705^7+WeightSDS!Q$8*$AM705^6+WeightSDS!R$8*$AM705^5+WeightSDS!S$8*$AM705^4+WeightSDS!T$8*$AM705^3+WeightSDS!U$8*$AM705^2+WeightSDS!V$8*$AM705+WeightSDS!W$8,WeightSDS!$U$9+WeightSDS!$V$9*($AM705-WeightSDS!$W$9)))</f>
        <v>0.75407122999999998</v>
      </c>
      <c r="AP705" s="4">
        <f>IF(D705="M",IF($AM705&lt;45,WeightSDS!M$23*$AM705^10+WeightSDS!N$23*$AM705^9+WeightSDS!O$23*$AM705^8+WeightSDS!P$23*$AM705^7+WeightSDS!Q$23*$AM705^6+WeightSDS!R$23*$AM705^5+WeightSDS!S$23*$AM705^4+WeightSDS!T$23*$AM705^3+WeightSDS!U$23*$AM705^2+WeightSDS!V$23*$AM705+WeightSDS!W$23,IF($AM705&lt;153,WeightSDS!M$25*$AM705^10+WeightSDS!N$25*$AM705^9+WeightSDS!O$25*$AM705^8+WeightSDS!P$25*$AM705^7+WeightSDS!Q$25*$AM705^6+WeightSDS!R$25*$AM705^5+WeightSDS!S$25*$AM705^4+WeightSDS!T$25*$AM705^3+WeightSDS!U$25*$AM705^2+WeightSDS!V$25*$AM705+WeightSDS!W$25,WeightSDS!M$27+WeightSDS!N$27/(1+EXP(WeightSDS!O$27+WeightSDS!P$27*$AM705)))),IF($AM705&lt;43.8,WeightSDS!M$29*$AM705^10+WeightSDS!N$29*$AM705^9+WeightSDS!O$29*$AM705^8+WeightSDS!P$29*$AM705^7+WeightSDS!Q$29*$AM705^6+WeightSDS!R$29*$AM705^5+WeightSDS!S$29*$AM705^4+WeightSDS!T$29*$AM705^3+WeightSDS!U$29*$AM705^2+WeightSDS!V$29*$AM705+WeightSDS!W$29-0.010431*(1-$AM705/210),IF($AM705&lt;123,WeightSDS!M$30*$AM705^10+WeightSDS!N$30*$AM705^9+WeightSDS!O$30*$AM705^8+WeightSDS!P$30*$AM705^7+WeightSDS!Q$30*$AM705^6+WeightSDS!R$30*$AM705^5+WeightSDS!S$30*$AM705^4+WeightSDS!T$30*$AM705^3+WeightSDS!U$30*$AM705^2+WeightSDS!V$30*$AM705+WeightSDS!W$30-0.010431*(1-1/$AM705),WeightSDS!M$32+WeightSDS!N$32/(1+EXP(WeightSDS!O$32+WeightSDS!P$32*$AM705))-0.010431*(1-$AM705/210))))</f>
        <v>2.9500001032655536</v>
      </c>
      <c r="AQ705" s="4">
        <f>IF(D705="M",IF($AM705&lt;162,WeightSDS!P$12*$AM705^7+WeightSDS!Q$12*$AM705^6+WeightSDS!R$12*$AM705^5+WeightSDS!S$12*$AM705^4+WeightSDS!T$12*$AM705^3+WeightSDS!U$12*$AM705^2+WeightSDS!V$12*$AM705+WeightSDS!W$12,WeightSDS!P$14*$AM705^7+WeightSDS!Q$14*$AM705^6+WeightSDS!R$14*$AM705^5+WeightSDS!S$14*$AM705^4+WeightSDS!T$14*$AM705^3+WeightSDS!U$14*$AM705^2+WeightSDS!V$14*$AM705+WeightSDS!W$14),IF($AM705&lt;156,WeightSDS!O$17*$AM705^8+WeightSDS!P$17*$AM705^7+WeightSDS!Q$17*$AM705^6+WeightSDS!R$17*$AM705^5+WeightSDS!S$17*$AM705^4+WeightSDS!T$17*$AM705^3+WeightSDS!U$17*$AM705^2+WeightSDS!V$17*$AM705+WeightSDS!W$17,IF($AM705&lt;186,WeightSDS!$U$18+(WeightSDS!$V$18-WeightSDS!$U$18)/24*($AM705-186)+WeightSDS!$W$18*(-$AM705+186)^2-0.005,WeightSDS!$U$18+(WeightSDS!$V$18-WeightSDS!$U$18)/24*($AM705-186)-0.005)))</f>
        <v>0.14604529399999999</v>
      </c>
      <c r="AT705" s="4">
        <f t="shared" si="217"/>
        <v>0.56299999999999994</v>
      </c>
      <c r="AU705" s="4">
        <f t="shared" si="218"/>
        <v>69</v>
      </c>
      <c r="AV705" s="4">
        <f t="shared" si="219"/>
        <v>0.51</v>
      </c>
    </row>
    <row r="706" spans="1:48" x14ac:dyDescent="0.15">
      <c r="A706" s="4"/>
      <c r="B706" s="21"/>
      <c r="C706" s="21"/>
      <c r="D706" s="21"/>
      <c r="E706" s="22"/>
      <c r="F706" s="22"/>
      <c r="G706" s="23"/>
      <c r="H706" s="23"/>
      <c r="I706" s="181"/>
      <c r="J706" s="8" t="str">
        <f t="shared" si="211"/>
        <v/>
      </c>
      <c r="K706" s="2" t="str">
        <f t="shared" si="220"/>
        <v/>
      </c>
      <c r="L706" s="2" t="str">
        <f t="shared" si="212"/>
        <v/>
      </c>
      <c r="M706" s="2" t="str">
        <f t="shared" si="221"/>
        <v/>
      </c>
      <c r="N706" s="2" t="str">
        <f t="shared" si="229"/>
        <v/>
      </c>
      <c r="O706" s="2" t="str">
        <f t="shared" si="222"/>
        <v/>
      </c>
      <c r="P706" s="8" t="str">
        <f t="shared" si="223"/>
        <v/>
      </c>
      <c r="Q706" s="8" t="str">
        <f t="shared" si="224"/>
        <v/>
      </c>
      <c r="R706" s="111" t="str">
        <f t="shared" si="225"/>
        <v/>
      </c>
      <c r="S706" s="44" t="str">
        <f t="shared" si="226"/>
        <v/>
      </c>
      <c r="T706" s="37" t="str">
        <f t="shared" si="227"/>
        <v/>
      </c>
      <c r="U706" s="44" t="str">
        <f t="shared" si="228"/>
        <v/>
      </c>
      <c r="V706" s="26"/>
      <c r="W706" s="26"/>
      <c r="X706" s="26"/>
      <c r="Y706" s="26"/>
      <c r="Z706" s="24"/>
      <c r="AA706" s="169">
        <f t="shared" si="213"/>
        <v>0</v>
      </c>
      <c r="AB706" s="4">
        <f t="shared" si="214"/>
        <v>0</v>
      </c>
      <c r="AC706" s="170">
        <f t="shared" si="231"/>
        <v>0</v>
      </c>
      <c r="AD706" s="58"/>
      <c r="AE706" s="58"/>
      <c r="AF706" s="58"/>
      <c r="AG706" s="59">
        <f t="shared" si="215"/>
        <v>9.0359999999999996</v>
      </c>
      <c r="AH706" s="59">
        <f t="shared" si="216"/>
        <v>-184.49199999999999</v>
      </c>
      <c r="AJ706" s="4">
        <f>IF(D706="M",IF(AM706&lt;78,BMILMS!$D$5*AM706^3+BMILMS!$E$5*AM706^2+BMILMS!$F$5*AM706+BMILMS!$G$5,IF(AM706&lt;150,BMILMS!$D$6*AM706^3+BMILMS!$E$6*AM706^2+BMILMS!$F$6*AM706+BMILMS!$G$6,BMILMS!$D$7*AM706^3+BMILMS!$E$7*AM706^2+BMILMS!$F$7*AM706+BMILMS!$G$7)),IF(AM706&lt;69,BMILMS!$D$9*AM706^3+BMILMS!$E$9*AM706^2+BMILMS!$F$9*AM706+BMILMS!$G$9,IF(AM706&lt;150,BMILMS!$D$10*AM706^3+BMILMS!$E$10*AM706^2+BMILMS!$F$10*AM706+BMILMS!$G$10,BMILMS!$D$11*AM706^3+BMILMS!$E$11*AM706^2+BMILMS!$F$11*AM706+BMILMS!$G$11)))</f>
        <v>0.79584630099999998</v>
      </c>
      <c r="AK706" s="4">
        <f>IF(D706="M",(IF(AM706&lt;2.5,BMILMS!$D$21*AM706^3+BMILMS!$E$21*AM706^2+BMILMS!$F$21*AM706+BMILMS!$G$21,IF(AM706&lt;9.5,BMILMS!$D$22*AM706^3+BMILMS!$E$22*AM706^2+BMILMS!$F$22*AM706+BMILMS!$G$22,IF(AM706&lt;26.75,BMILMS!$D$23*AM706^3+BMILMS!$E$23*AM706^2+BMILMS!$F$23*AM706+BMILMS!$G$23,IF(AM706&lt;90,BMILMS!$D$24*AM706^3+BMILMS!$E$24*AM706^2+BMILMS!$F$24*AM706+BMILMS!$G$24,BMILMS!$D$25*AM706^3+BMILMS!$E$25*AM706^2+BMILMS!$F$25*AM706+BMILMS!$G$25))))),(IF(AM706&lt;2.5,BMILMS!$D$27*AM706^3+BMILMS!$E$27*AM706^2+BMILMS!$F$27*AM706+BMILMS!$G$27,IF(AM706&lt;9.5,BMILMS!$D$28*AM706^3+BMILMS!$E$28*AM706^2+BMILMS!$F$28*AM706+BMILMS!$G$28,IF(AM706&lt;26.75,BMILMS!$D$29*AM706^3+BMILMS!$E$29*AM706^2+BMILMS!$F$29*AM706+BMILMS!$G$29,IF(AM706&lt;90,BMILMS!$D$30*AM706^3+BMILMS!$E$30*AM706^2+BMILMS!$F$30*AM706+BMILMS!$G$30,IF(AM706&lt;150,BMILMS!$D$31*AM706^3+BMILMS!$E$31*AM706^2+BMILMS!$F$31*AM706+BMILMS!$G$31,BMILMS!$D$32*AM706^3+BMILMS!$E$32*AM706^2+BMILMS!$F$32*AM706+BMILMS!$G$32)))))))</f>
        <v>12.568967990000001</v>
      </c>
      <c r="AL706" s="4">
        <f>IF(D706="M",(IF(AM706&lt;90,BMILMS!$D$14*AM706^3+BMILMS!$E$14*AM706^2+BMILMS!$F$14*AM706+BMILMS!$G$14,BMILMS!$D$15*AM706^3+BMILMS!$E$15*AM706^2+BMILMS!$F$15*AM706+BMILMS!$G$15)),(IF(AM706&lt;90,BMILMS!$D$17*AM706^3+BMILMS!$E$17*AM706^2+BMILMS!$F$17*AM706+BMILMS!$G$17,BMILMS!$D$18*AM706^3+BMILMS!$E$18*AM706^2+BMILMS!$F$18*AM706+BMILMS!$G$18)))</f>
        <v>8.8969350000000003E-2</v>
      </c>
      <c r="AM706" s="4">
        <f t="shared" si="230"/>
        <v>0</v>
      </c>
      <c r="AO706" s="56">
        <f>IF(D706="M",WeightSDS!P$5*$AM706^7+WeightSDS!Q$5*$AM706^6+WeightSDS!R$5*$AM706^5+WeightSDS!S$5*$AM706^4+WeightSDS!T$5*$AM706^3+WeightSDS!U$5*$AM706^2+WeightSDS!V$5*$AM706+WeightSDS!W$5,IF($AM706&lt;186,WeightSDS!P$8*$AM706^7+WeightSDS!Q$8*$AM706^6+WeightSDS!R$8*$AM706^5+WeightSDS!S$8*$AM706^4+WeightSDS!T$8*$AM706^3+WeightSDS!U$8*$AM706^2+WeightSDS!V$8*$AM706+WeightSDS!W$8,WeightSDS!$U$9+WeightSDS!$V$9*($AM706-WeightSDS!$W$9)))</f>
        <v>0.75407122999999998</v>
      </c>
      <c r="AP706" s="4">
        <f>IF(D706="M",IF($AM706&lt;45,WeightSDS!M$23*$AM706^10+WeightSDS!N$23*$AM706^9+WeightSDS!O$23*$AM706^8+WeightSDS!P$23*$AM706^7+WeightSDS!Q$23*$AM706^6+WeightSDS!R$23*$AM706^5+WeightSDS!S$23*$AM706^4+WeightSDS!T$23*$AM706^3+WeightSDS!U$23*$AM706^2+WeightSDS!V$23*$AM706+WeightSDS!W$23,IF($AM706&lt;153,WeightSDS!M$25*$AM706^10+WeightSDS!N$25*$AM706^9+WeightSDS!O$25*$AM706^8+WeightSDS!P$25*$AM706^7+WeightSDS!Q$25*$AM706^6+WeightSDS!R$25*$AM706^5+WeightSDS!S$25*$AM706^4+WeightSDS!T$25*$AM706^3+WeightSDS!U$25*$AM706^2+WeightSDS!V$25*$AM706+WeightSDS!W$25,WeightSDS!M$27+WeightSDS!N$27/(1+EXP(WeightSDS!O$27+WeightSDS!P$27*$AM706)))),IF($AM706&lt;43.8,WeightSDS!M$29*$AM706^10+WeightSDS!N$29*$AM706^9+WeightSDS!O$29*$AM706^8+WeightSDS!P$29*$AM706^7+WeightSDS!Q$29*$AM706^6+WeightSDS!R$29*$AM706^5+WeightSDS!S$29*$AM706^4+WeightSDS!T$29*$AM706^3+WeightSDS!U$29*$AM706^2+WeightSDS!V$29*$AM706+WeightSDS!W$29-0.010431*(1-$AM706/210),IF($AM706&lt;123,WeightSDS!M$30*$AM706^10+WeightSDS!N$30*$AM706^9+WeightSDS!O$30*$AM706^8+WeightSDS!P$30*$AM706^7+WeightSDS!Q$30*$AM706^6+WeightSDS!R$30*$AM706^5+WeightSDS!S$30*$AM706^4+WeightSDS!T$30*$AM706^3+WeightSDS!U$30*$AM706^2+WeightSDS!V$30*$AM706+WeightSDS!W$30-0.010431*(1-1/$AM706),WeightSDS!M$32+WeightSDS!N$32/(1+EXP(WeightSDS!O$32+WeightSDS!P$32*$AM706))-0.010431*(1-$AM706/210))))</f>
        <v>2.9500001032655536</v>
      </c>
      <c r="AQ706" s="4">
        <f>IF(D706="M",IF($AM706&lt;162,WeightSDS!P$12*$AM706^7+WeightSDS!Q$12*$AM706^6+WeightSDS!R$12*$AM706^5+WeightSDS!S$12*$AM706^4+WeightSDS!T$12*$AM706^3+WeightSDS!U$12*$AM706^2+WeightSDS!V$12*$AM706+WeightSDS!W$12,WeightSDS!P$14*$AM706^7+WeightSDS!Q$14*$AM706^6+WeightSDS!R$14*$AM706^5+WeightSDS!S$14*$AM706^4+WeightSDS!T$14*$AM706^3+WeightSDS!U$14*$AM706^2+WeightSDS!V$14*$AM706+WeightSDS!W$14),IF($AM706&lt;156,WeightSDS!O$17*$AM706^8+WeightSDS!P$17*$AM706^7+WeightSDS!Q$17*$AM706^6+WeightSDS!R$17*$AM706^5+WeightSDS!S$17*$AM706^4+WeightSDS!T$17*$AM706^3+WeightSDS!U$17*$AM706^2+WeightSDS!V$17*$AM706+WeightSDS!W$17,IF($AM706&lt;186,WeightSDS!$U$18+(WeightSDS!$V$18-WeightSDS!$U$18)/24*($AM706-186)+WeightSDS!$W$18*(-$AM706+186)^2-0.005,WeightSDS!$U$18+(WeightSDS!$V$18-WeightSDS!$U$18)/24*($AM706-186)-0.005)))</f>
        <v>0.14604529399999999</v>
      </c>
      <c r="AT706" s="4">
        <f t="shared" si="217"/>
        <v>0.56299999999999994</v>
      </c>
      <c r="AU706" s="4">
        <f t="shared" si="218"/>
        <v>69</v>
      </c>
      <c r="AV706" s="4">
        <f t="shared" si="219"/>
        <v>0.51</v>
      </c>
    </row>
    <row r="707" spans="1:48" x14ac:dyDescent="0.15">
      <c r="A707" s="4"/>
      <c r="B707" s="21"/>
      <c r="C707" s="21"/>
      <c r="D707" s="21"/>
      <c r="E707" s="22"/>
      <c r="F707" s="22"/>
      <c r="G707" s="23"/>
      <c r="H707" s="23"/>
      <c r="I707" s="181"/>
      <c r="J707" s="8" t="str">
        <f t="shared" ref="J707:J770" si="232">IF(COUNTA(D707,E707,F707,G707)=4,IF(AA707+AB707/12&gt;17.583,"       *",(G707-(INDEX(IF(D707="F",Hfemalemean,Hmalemean),AB707+1,AA707+1)))/(INDEX(IF(D707="F",Hfemalesd,Hmalesd),AB707+1,AA707+1))),"")</f>
        <v/>
      </c>
      <c r="K707" s="2" t="str">
        <f t="shared" si="220"/>
        <v/>
      </c>
      <c r="L707" s="2" t="str">
        <f t="shared" ref="L707:L770" si="233">IF(COUNTA(D707,E707,F707,G707,H707)&lt;5,"",IF(T707&lt;6,"       *",IF(AA707+AB707/12&gt;=17.583,"       *",(H707-G707*INDEX(IF(D707="F",muratafemale,muratamale),AA707-4,1)-INDEX(IF(D707="F",muratafemale,muratamale),AA707-4,2))/(G707*INDEX(IF(D707="F",muratafemale,muratamale),AA707-4,1)+INDEX(IF(D707="F",muratafemale,muratamale),AA707-4,2))*100)))</f>
        <v/>
      </c>
      <c r="M707" s="2" t="str">
        <f t="shared" si="221"/>
        <v/>
      </c>
      <c r="N707" s="2" t="str">
        <f t="shared" si="229"/>
        <v/>
      </c>
      <c r="O707" s="2" t="str">
        <f t="shared" si="222"/>
        <v/>
      </c>
      <c r="P707" s="8" t="str">
        <f t="shared" si="223"/>
        <v/>
      </c>
      <c r="Q707" s="8" t="str">
        <f t="shared" si="224"/>
        <v/>
      </c>
      <c r="R707" s="111" t="str">
        <f t="shared" si="225"/>
        <v/>
      </c>
      <c r="S707" s="44" t="str">
        <f t="shared" si="226"/>
        <v/>
      </c>
      <c r="T707" s="37" t="str">
        <f t="shared" si="227"/>
        <v/>
      </c>
      <c r="U707" s="44" t="str">
        <f t="shared" si="228"/>
        <v/>
      </c>
      <c r="V707" s="26"/>
      <c r="W707" s="26"/>
      <c r="X707" s="26"/>
      <c r="Y707" s="26"/>
      <c r="Z707" s="24"/>
      <c r="AA707" s="169">
        <f t="shared" ref="AA707:AA770" si="234">DATEDIF(E707,F707,"Y")</f>
        <v>0</v>
      </c>
      <c r="AB707" s="4">
        <f t="shared" ref="AB707:AB770" si="235">DATEDIF(E707,F707,"YM")</f>
        <v>0</v>
      </c>
      <c r="AC707" s="170">
        <f t="shared" si="231"/>
        <v>0</v>
      </c>
      <c r="AD707" s="58"/>
      <c r="AE707" s="58"/>
      <c r="AF707" s="58"/>
      <c r="AG707" s="59">
        <f t="shared" ref="AG707:AG770" si="236">IF(D707="M",2.06*10^-3*G707^2-0.1166*G707+6.5273,2.49*10^-3*G707^2-0.1858*G707+9.036)</f>
        <v>9.0359999999999996</v>
      </c>
      <c r="AH707" s="59">
        <f t="shared" ref="AH707:AH770" si="237">((G707/100)^3*INDEX(itoOI,IF(D707="M",0,3)+IF(G707&lt;140,1,IF(G707&lt;=149,2,3)),1)+(G707/100)^2*INDEX(itoOI,IF(D707="M",0,3)+IF(G707&lt;140,1,IF(G707&lt;=149,2,3)),2)+(G707/100)*INDEX(itoOI,IF(D707="M",0,3)+IF(G707&lt;140,1,IF(G707&lt;=149,2,3)),3)+INDEX(itoOI,IF(D707="M",0,3)+IF(G707&lt;140,1,IF(G707&lt;=149,2,3)),4))</f>
        <v>-184.49199999999999</v>
      </c>
      <c r="AJ707" s="4">
        <f>IF(D707="M",IF(AM707&lt;78,BMILMS!$D$5*AM707^3+BMILMS!$E$5*AM707^2+BMILMS!$F$5*AM707+BMILMS!$G$5,IF(AM707&lt;150,BMILMS!$D$6*AM707^3+BMILMS!$E$6*AM707^2+BMILMS!$F$6*AM707+BMILMS!$G$6,BMILMS!$D$7*AM707^3+BMILMS!$E$7*AM707^2+BMILMS!$F$7*AM707+BMILMS!$G$7)),IF(AM707&lt;69,BMILMS!$D$9*AM707^3+BMILMS!$E$9*AM707^2+BMILMS!$F$9*AM707+BMILMS!$G$9,IF(AM707&lt;150,BMILMS!$D$10*AM707^3+BMILMS!$E$10*AM707^2+BMILMS!$F$10*AM707+BMILMS!$G$10,BMILMS!$D$11*AM707^3+BMILMS!$E$11*AM707^2+BMILMS!$F$11*AM707+BMILMS!$G$11)))</f>
        <v>0.79584630099999998</v>
      </c>
      <c r="AK707" s="4">
        <f>IF(D707="M",(IF(AM707&lt;2.5,BMILMS!$D$21*AM707^3+BMILMS!$E$21*AM707^2+BMILMS!$F$21*AM707+BMILMS!$G$21,IF(AM707&lt;9.5,BMILMS!$D$22*AM707^3+BMILMS!$E$22*AM707^2+BMILMS!$F$22*AM707+BMILMS!$G$22,IF(AM707&lt;26.75,BMILMS!$D$23*AM707^3+BMILMS!$E$23*AM707^2+BMILMS!$F$23*AM707+BMILMS!$G$23,IF(AM707&lt;90,BMILMS!$D$24*AM707^3+BMILMS!$E$24*AM707^2+BMILMS!$F$24*AM707+BMILMS!$G$24,BMILMS!$D$25*AM707^3+BMILMS!$E$25*AM707^2+BMILMS!$F$25*AM707+BMILMS!$G$25))))),(IF(AM707&lt;2.5,BMILMS!$D$27*AM707^3+BMILMS!$E$27*AM707^2+BMILMS!$F$27*AM707+BMILMS!$G$27,IF(AM707&lt;9.5,BMILMS!$D$28*AM707^3+BMILMS!$E$28*AM707^2+BMILMS!$F$28*AM707+BMILMS!$G$28,IF(AM707&lt;26.75,BMILMS!$D$29*AM707^3+BMILMS!$E$29*AM707^2+BMILMS!$F$29*AM707+BMILMS!$G$29,IF(AM707&lt;90,BMILMS!$D$30*AM707^3+BMILMS!$E$30*AM707^2+BMILMS!$F$30*AM707+BMILMS!$G$30,IF(AM707&lt;150,BMILMS!$D$31*AM707^3+BMILMS!$E$31*AM707^2+BMILMS!$F$31*AM707+BMILMS!$G$31,BMILMS!$D$32*AM707^3+BMILMS!$E$32*AM707^2+BMILMS!$F$32*AM707+BMILMS!$G$32)))))))</f>
        <v>12.568967990000001</v>
      </c>
      <c r="AL707" s="4">
        <f>IF(D707="M",(IF(AM707&lt;90,BMILMS!$D$14*AM707^3+BMILMS!$E$14*AM707^2+BMILMS!$F$14*AM707+BMILMS!$G$14,BMILMS!$D$15*AM707^3+BMILMS!$E$15*AM707^2+BMILMS!$F$15*AM707+BMILMS!$G$15)),(IF(AM707&lt;90,BMILMS!$D$17*AM707^3+BMILMS!$E$17*AM707^2+BMILMS!$F$17*AM707+BMILMS!$G$17,BMILMS!$D$18*AM707^3+BMILMS!$E$18*AM707^2+BMILMS!$F$18*AM707+BMILMS!$G$18)))</f>
        <v>8.8969350000000003E-2</v>
      </c>
      <c r="AM707" s="4">
        <f t="shared" si="230"/>
        <v>0</v>
      </c>
      <c r="AO707" s="56">
        <f>IF(D707="M",WeightSDS!P$5*$AM707^7+WeightSDS!Q$5*$AM707^6+WeightSDS!R$5*$AM707^5+WeightSDS!S$5*$AM707^4+WeightSDS!T$5*$AM707^3+WeightSDS!U$5*$AM707^2+WeightSDS!V$5*$AM707+WeightSDS!W$5,IF($AM707&lt;186,WeightSDS!P$8*$AM707^7+WeightSDS!Q$8*$AM707^6+WeightSDS!R$8*$AM707^5+WeightSDS!S$8*$AM707^4+WeightSDS!T$8*$AM707^3+WeightSDS!U$8*$AM707^2+WeightSDS!V$8*$AM707+WeightSDS!W$8,WeightSDS!$U$9+WeightSDS!$V$9*($AM707-WeightSDS!$W$9)))</f>
        <v>0.75407122999999998</v>
      </c>
      <c r="AP707" s="4">
        <f>IF(D707="M",IF($AM707&lt;45,WeightSDS!M$23*$AM707^10+WeightSDS!N$23*$AM707^9+WeightSDS!O$23*$AM707^8+WeightSDS!P$23*$AM707^7+WeightSDS!Q$23*$AM707^6+WeightSDS!R$23*$AM707^5+WeightSDS!S$23*$AM707^4+WeightSDS!T$23*$AM707^3+WeightSDS!U$23*$AM707^2+WeightSDS!V$23*$AM707+WeightSDS!W$23,IF($AM707&lt;153,WeightSDS!M$25*$AM707^10+WeightSDS!N$25*$AM707^9+WeightSDS!O$25*$AM707^8+WeightSDS!P$25*$AM707^7+WeightSDS!Q$25*$AM707^6+WeightSDS!R$25*$AM707^5+WeightSDS!S$25*$AM707^4+WeightSDS!T$25*$AM707^3+WeightSDS!U$25*$AM707^2+WeightSDS!V$25*$AM707+WeightSDS!W$25,WeightSDS!M$27+WeightSDS!N$27/(1+EXP(WeightSDS!O$27+WeightSDS!P$27*$AM707)))),IF($AM707&lt;43.8,WeightSDS!M$29*$AM707^10+WeightSDS!N$29*$AM707^9+WeightSDS!O$29*$AM707^8+WeightSDS!P$29*$AM707^7+WeightSDS!Q$29*$AM707^6+WeightSDS!R$29*$AM707^5+WeightSDS!S$29*$AM707^4+WeightSDS!T$29*$AM707^3+WeightSDS!U$29*$AM707^2+WeightSDS!V$29*$AM707+WeightSDS!W$29-0.010431*(1-$AM707/210),IF($AM707&lt;123,WeightSDS!M$30*$AM707^10+WeightSDS!N$30*$AM707^9+WeightSDS!O$30*$AM707^8+WeightSDS!P$30*$AM707^7+WeightSDS!Q$30*$AM707^6+WeightSDS!R$30*$AM707^5+WeightSDS!S$30*$AM707^4+WeightSDS!T$30*$AM707^3+WeightSDS!U$30*$AM707^2+WeightSDS!V$30*$AM707+WeightSDS!W$30-0.010431*(1-1/$AM707),WeightSDS!M$32+WeightSDS!N$32/(1+EXP(WeightSDS!O$32+WeightSDS!P$32*$AM707))-0.010431*(1-$AM707/210))))</f>
        <v>2.9500001032655536</v>
      </c>
      <c r="AQ707" s="4">
        <f>IF(D707="M",IF($AM707&lt;162,WeightSDS!P$12*$AM707^7+WeightSDS!Q$12*$AM707^6+WeightSDS!R$12*$AM707^5+WeightSDS!S$12*$AM707^4+WeightSDS!T$12*$AM707^3+WeightSDS!U$12*$AM707^2+WeightSDS!V$12*$AM707+WeightSDS!W$12,WeightSDS!P$14*$AM707^7+WeightSDS!Q$14*$AM707^6+WeightSDS!R$14*$AM707^5+WeightSDS!S$14*$AM707^4+WeightSDS!T$14*$AM707^3+WeightSDS!U$14*$AM707^2+WeightSDS!V$14*$AM707+WeightSDS!W$14),IF($AM707&lt;156,WeightSDS!O$17*$AM707^8+WeightSDS!P$17*$AM707^7+WeightSDS!Q$17*$AM707^6+WeightSDS!R$17*$AM707^5+WeightSDS!S$17*$AM707^4+WeightSDS!T$17*$AM707^3+WeightSDS!U$17*$AM707^2+WeightSDS!V$17*$AM707+WeightSDS!W$17,IF($AM707&lt;186,WeightSDS!$U$18+(WeightSDS!$V$18-WeightSDS!$U$18)/24*($AM707-186)+WeightSDS!$W$18*(-$AM707+186)^2-0.005,WeightSDS!$U$18+(WeightSDS!$V$18-WeightSDS!$U$18)/24*($AM707-186)-0.005)))</f>
        <v>0.14604529399999999</v>
      </c>
      <c r="AT707" s="4">
        <f t="shared" ref="AT707:AT770" si="238">INDEX(IF(D707="M",IGFmale, IGFfemale), AA707+1,1)</f>
        <v>0.56299999999999994</v>
      </c>
      <c r="AU707" s="4">
        <f t="shared" ref="AU707:AU770" si="239">INDEX(IF(D707="M",IGFmale, IGFfemale), AA707+1,2)</f>
        <v>69</v>
      </c>
      <c r="AV707" s="4">
        <f t="shared" ref="AV707:AV770" si="240">INDEX(IF(D707="M",IGFmale, IGFfemale), AA707+1,3)</f>
        <v>0.51</v>
      </c>
    </row>
    <row r="708" spans="1:48" x14ac:dyDescent="0.15">
      <c r="A708" s="4"/>
      <c r="B708" s="21"/>
      <c r="C708" s="21"/>
      <c r="D708" s="21"/>
      <c r="E708" s="22"/>
      <c r="F708" s="22"/>
      <c r="G708" s="23"/>
      <c r="H708" s="23"/>
      <c r="I708" s="181"/>
      <c r="J708" s="8" t="str">
        <f t="shared" si="232"/>
        <v/>
      </c>
      <c r="K708" s="2" t="str">
        <f t="shared" ref="K708:K771" si="241">IF(COUNTA(D708,E708,F708,G708,H708)=5,IF(T708&lt;1,"       *",IF(T708&gt;=6,"       *",IF(G708&gt;=120,"       *",IF(G708&lt;70,"       *",(H708-AG708)/AG708*100)))),"")</f>
        <v/>
      </c>
      <c r="L708" s="2" t="str">
        <f t="shared" si="233"/>
        <v/>
      </c>
      <c r="M708" s="2" t="str">
        <f t="shared" ref="M708:M771" si="242">IF(COUNTA(D708,E708,F708,G708,H708)=5,IF(G708&gt;=IF(D708="M",181,174),"*",IF(G708&lt;101,"       *",IF(T708&lt;6,"       *",IF(AA708+AB708/12&gt;=17.583,"*",(H708-AH708)/AH708*100)))),"")</f>
        <v/>
      </c>
      <c r="N708" s="2" t="str">
        <f t="shared" si="229"/>
        <v/>
      </c>
      <c r="O708" s="2" t="str">
        <f t="shared" ref="O708:O771" si="243">IF(COUNTA(D708,E708,F708,G708,H708)=5,IF(AA708+AB708/12&gt;17.583,"   *",NORMSDIST(((N708/AK708)^(AJ708)-1)/AJ708/AL708)*100),"")</f>
        <v/>
      </c>
      <c r="P708" s="8" t="str">
        <f t="shared" ref="P708:P771" si="244">IF(COUNTA(D708,E708,F708,G708,H708)=5,IF(AA708+AB708/12&gt;17.583,"   *",((N708/AK708)^(AJ708)-1)/AJ708/AL708),"")</f>
        <v/>
      </c>
      <c r="Q708" s="8" t="str">
        <f t="shared" ref="Q708:Q771" si="245">IF(COUNTA(D708,E708,F708,H708)=4,IF(AA708+AB708/12&gt;17.583,"   *",((H708/AP708)^(AO708)-1)/AO708/AQ708),"")</f>
        <v/>
      </c>
      <c r="R708" s="111" t="str">
        <f t="shared" ref="R708:R771" si="246">IF(COUNTA(D708,E708,F708,I708)=4,IF(AC708&gt;77,"*",NORMSDIST(((I708/AU708)^(AT708)-1)/AT708/AV708)*100),"")</f>
        <v/>
      </c>
      <c r="S708" s="44" t="str">
        <f t="shared" ref="S708:S771" si="247">IF(COUNTA(D708,E708,F708,I708)=4,IF(AC708&gt;77,"*",((I708/AU708)^(AT708)-1)/AT708/AV708),"")</f>
        <v/>
      </c>
      <c r="T708" s="37" t="str">
        <f t="shared" ref="T708:T771" si="248">IF(COUNTA(E708,F708)=2,AC708,"")</f>
        <v/>
      </c>
      <c r="U708" s="44" t="str">
        <f t="shared" ref="U708:U771" si="249">IF(COUNTA(E708,F708)=2,AA708&amp;"歳"&amp;AB708&amp;"か月","")</f>
        <v/>
      </c>
      <c r="V708" s="26"/>
      <c r="W708" s="26"/>
      <c r="X708" s="26"/>
      <c r="Y708" s="26"/>
      <c r="Z708" s="24"/>
      <c r="AA708" s="169">
        <f t="shared" si="234"/>
        <v>0</v>
      </c>
      <c r="AB708" s="4">
        <f t="shared" si="235"/>
        <v>0</v>
      </c>
      <c r="AC708" s="170">
        <f t="shared" si="231"/>
        <v>0</v>
      </c>
      <c r="AD708" s="58"/>
      <c r="AE708" s="58"/>
      <c r="AF708" s="58"/>
      <c r="AG708" s="59">
        <f t="shared" si="236"/>
        <v>9.0359999999999996</v>
      </c>
      <c r="AH708" s="59">
        <f t="shared" si="237"/>
        <v>-184.49199999999999</v>
      </c>
      <c r="AJ708" s="4">
        <f>IF(D708="M",IF(AM708&lt;78,BMILMS!$D$5*AM708^3+BMILMS!$E$5*AM708^2+BMILMS!$F$5*AM708+BMILMS!$G$5,IF(AM708&lt;150,BMILMS!$D$6*AM708^3+BMILMS!$E$6*AM708^2+BMILMS!$F$6*AM708+BMILMS!$G$6,BMILMS!$D$7*AM708^3+BMILMS!$E$7*AM708^2+BMILMS!$F$7*AM708+BMILMS!$G$7)),IF(AM708&lt;69,BMILMS!$D$9*AM708^3+BMILMS!$E$9*AM708^2+BMILMS!$F$9*AM708+BMILMS!$G$9,IF(AM708&lt;150,BMILMS!$D$10*AM708^3+BMILMS!$E$10*AM708^2+BMILMS!$F$10*AM708+BMILMS!$G$10,BMILMS!$D$11*AM708^3+BMILMS!$E$11*AM708^2+BMILMS!$F$11*AM708+BMILMS!$G$11)))</f>
        <v>0.79584630099999998</v>
      </c>
      <c r="AK708" s="4">
        <f>IF(D708="M",(IF(AM708&lt;2.5,BMILMS!$D$21*AM708^3+BMILMS!$E$21*AM708^2+BMILMS!$F$21*AM708+BMILMS!$G$21,IF(AM708&lt;9.5,BMILMS!$D$22*AM708^3+BMILMS!$E$22*AM708^2+BMILMS!$F$22*AM708+BMILMS!$G$22,IF(AM708&lt;26.75,BMILMS!$D$23*AM708^3+BMILMS!$E$23*AM708^2+BMILMS!$F$23*AM708+BMILMS!$G$23,IF(AM708&lt;90,BMILMS!$D$24*AM708^3+BMILMS!$E$24*AM708^2+BMILMS!$F$24*AM708+BMILMS!$G$24,BMILMS!$D$25*AM708^3+BMILMS!$E$25*AM708^2+BMILMS!$F$25*AM708+BMILMS!$G$25))))),(IF(AM708&lt;2.5,BMILMS!$D$27*AM708^3+BMILMS!$E$27*AM708^2+BMILMS!$F$27*AM708+BMILMS!$G$27,IF(AM708&lt;9.5,BMILMS!$D$28*AM708^3+BMILMS!$E$28*AM708^2+BMILMS!$F$28*AM708+BMILMS!$G$28,IF(AM708&lt;26.75,BMILMS!$D$29*AM708^3+BMILMS!$E$29*AM708^2+BMILMS!$F$29*AM708+BMILMS!$G$29,IF(AM708&lt;90,BMILMS!$D$30*AM708^3+BMILMS!$E$30*AM708^2+BMILMS!$F$30*AM708+BMILMS!$G$30,IF(AM708&lt;150,BMILMS!$D$31*AM708^3+BMILMS!$E$31*AM708^2+BMILMS!$F$31*AM708+BMILMS!$G$31,BMILMS!$D$32*AM708^3+BMILMS!$E$32*AM708^2+BMILMS!$F$32*AM708+BMILMS!$G$32)))))))</f>
        <v>12.568967990000001</v>
      </c>
      <c r="AL708" s="4">
        <f>IF(D708="M",(IF(AM708&lt;90,BMILMS!$D$14*AM708^3+BMILMS!$E$14*AM708^2+BMILMS!$F$14*AM708+BMILMS!$G$14,BMILMS!$D$15*AM708^3+BMILMS!$E$15*AM708^2+BMILMS!$F$15*AM708+BMILMS!$G$15)),(IF(AM708&lt;90,BMILMS!$D$17*AM708^3+BMILMS!$E$17*AM708^2+BMILMS!$F$17*AM708+BMILMS!$G$17,BMILMS!$D$18*AM708^3+BMILMS!$E$18*AM708^2+BMILMS!$F$18*AM708+BMILMS!$G$18)))</f>
        <v>8.8969350000000003E-2</v>
      </c>
      <c r="AM708" s="4">
        <f t="shared" si="230"/>
        <v>0</v>
      </c>
      <c r="AO708" s="56">
        <f>IF(D708="M",WeightSDS!P$5*$AM708^7+WeightSDS!Q$5*$AM708^6+WeightSDS!R$5*$AM708^5+WeightSDS!S$5*$AM708^4+WeightSDS!T$5*$AM708^3+WeightSDS!U$5*$AM708^2+WeightSDS!V$5*$AM708+WeightSDS!W$5,IF($AM708&lt;186,WeightSDS!P$8*$AM708^7+WeightSDS!Q$8*$AM708^6+WeightSDS!R$8*$AM708^5+WeightSDS!S$8*$AM708^4+WeightSDS!T$8*$AM708^3+WeightSDS!U$8*$AM708^2+WeightSDS!V$8*$AM708+WeightSDS!W$8,WeightSDS!$U$9+WeightSDS!$V$9*($AM708-WeightSDS!$W$9)))</f>
        <v>0.75407122999999998</v>
      </c>
      <c r="AP708" s="4">
        <f>IF(D708="M",IF($AM708&lt;45,WeightSDS!M$23*$AM708^10+WeightSDS!N$23*$AM708^9+WeightSDS!O$23*$AM708^8+WeightSDS!P$23*$AM708^7+WeightSDS!Q$23*$AM708^6+WeightSDS!R$23*$AM708^5+WeightSDS!S$23*$AM708^4+WeightSDS!T$23*$AM708^3+WeightSDS!U$23*$AM708^2+WeightSDS!V$23*$AM708+WeightSDS!W$23,IF($AM708&lt;153,WeightSDS!M$25*$AM708^10+WeightSDS!N$25*$AM708^9+WeightSDS!O$25*$AM708^8+WeightSDS!P$25*$AM708^7+WeightSDS!Q$25*$AM708^6+WeightSDS!R$25*$AM708^5+WeightSDS!S$25*$AM708^4+WeightSDS!T$25*$AM708^3+WeightSDS!U$25*$AM708^2+WeightSDS!V$25*$AM708+WeightSDS!W$25,WeightSDS!M$27+WeightSDS!N$27/(1+EXP(WeightSDS!O$27+WeightSDS!P$27*$AM708)))),IF($AM708&lt;43.8,WeightSDS!M$29*$AM708^10+WeightSDS!N$29*$AM708^9+WeightSDS!O$29*$AM708^8+WeightSDS!P$29*$AM708^7+WeightSDS!Q$29*$AM708^6+WeightSDS!R$29*$AM708^5+WeightSDS!S$29*$AM708^4+WeightSDS!T$29*$AM708^3+WeightSDS!U$29*$AM708^2+WeightSDS!V$29*$AM708+WeightSDS!W$29-0.010431*(1-$AM708/210),IF($AM708&lt;123,WeightSDS!M$30*$AM708^10+WeightSDS!N$30*$AM708^9+WeightSDS!O$30*$AM708^8+WeightSDS!P$30*$AM708^7+WeightSDS!Q$30*$AM708^6+WeightSDS!R$30*$AM708^5+WeightSDS!S$30*$AM708^4+WeightSDS!T$30*$AM708^3+WeightSDS!U$30*$AM708^2+WeightSDS!V$30*$AM708+WeightSDS!W$30-0.010431*(1-1/$AM708),WeightSDS!M$32+WeightSDS!N$32/(1+EXP(WeightSDS!O$32+WeightSDS!P$32*$AM708))-0.010431*(1-$AM708/210))))</f>
        <v>2.9500001032655536</v>
      </c>
      <c r="AQ708" s="4">
        <f>IF(D708="M",IF($AM708&lt;162,WeightSDS!P$12*$AM708^7+WeightSDS!Q$12*$AM708^6+WeightSDS!R$12*$AM708^5+WeightSDS!S$12*$AM708^4+WeightSDS!T$12*$AM708^3+WeightSDS!U$12*$AM708^2+WeightSDS!V$12*$AM708+WeightSDS!W$12,WeightSDS!P$14*$AM708^7+WeightSDS!Q$14*$AM708^6+WeightSDS!R$14*$AM708^5+WeightSDS!S$14*$AM708^4+WeightSDS!T$14*$AM708^3+WeightSDS!U$14*$AM708^2+WeightSDS!V$14*$AM708+WeightSDS!W$14),IF($AM708&lt;156,WeightSDS!O$17*$AM708^8+WeightSDS!P$17*$AM708^7+WeightSDS!Q$17*$AM708^6+WeightSDS!R$17*$AM708^5+WeightSDS!S$17*$AM708^4+WeightSDS!T$17*$AM708^3+WeightSDS!U$17*$AM708^2+WeightSDS!V$17*$AM708+WeightSDS!W$17,IF($AM708&lt;186,WeightSDS!$U$18+(WeightSDS!$V$18-WeightSDS!$U$18)/24*($AM708-186)+WeightSDS!$W$18*(-$AM708+186)^2-0.005,WeightSDS!$U$18+(WeightSDS!$V$18-WeightSDS!$U$18)/24*($AM708-186)-0.005)))</f>
        <v>0.14604529399999999</v>
      </c>
      <c r="AT708" s="4">
        <f t="shared" si="238"/>
        <v>0.56299999999999994</v>
      </c>
      <c r="AU708" s="4">
        <f t="shared" si="239"/>
        <v>69</v>
      </c>
      <c r="AV708" s="4">
        <f t="shared" si="240"/>
        <v>0.51</v>
      </c>
    </row>
    <row r="709" spans="1:48" x14ac:dyDescent="0.15">
      <c r="A709" s="4"/>
      <c r="B709" s="21"/>
      <c r="C709" s="21"/>
      <c r="D709" s="21"/>
      <c r="E709" s="22"/>
      <c r="F709" s="22"/>
      <c r="G709" s="23"/>
      <c r="H709" s="23"/>
      <c r="I709" s="181"/>
      <c r="J709" s="8" t="str">
        <f t="shared" si="232"/>
        <v/>
      </c>
      <c r="K709" s="2" t="str">
        <f t="shared" si="241"/>
        <v/>
      </c>
      <c r="L709" s="2" t="str">
        <f t="shared" si="233"/>
        <v/>
      </c>
      <c r="M709" s="2" t="str">
        <f t="shared" si="242"/>
        <v/>
      </c>
      <c r="N709" s="2" t="str">
        <f t="shared" si="229"/>
        <v/>
      </c>
      <c r="O709" s="2" t="str">
        <f t="shared" si="243"/>
        <v/>
      </c>
      <c r="P709" s="8" t="str">
        <f t="shared" si="244"/>
        <v/>
      </c>
      <c r="Q709" s="8" t="str">
        <f t="shared" si="245"/>
        <v/>
      </c>
      <c r="R709" s="111" t="str">
        <f t="shared" si="246"/>
        <v/>
      </c>
      <c r="S709" s="44" t="str">
        <f t="shared" si="247"/>
        <v/>
      </c>
      <c r="T709" s="37" t="str">
        <f t="shared" si="248"/>
        <v/>
      </c>
      <c r="U709" s="44" t="str">
        <f t="shared" si="249"/>
        <v/>
      </c>
      <c r="V709" s="26"/>
      <c r="W709" s="26"/>
      <c r="X709" s="26"/>
      <c r="Y709" s="26"/>
      <c r="Z709" s="24"/>
      <c r="AA709" s="169">
        <f t="shared" si="234"/>
        <v>0</v>
      </c>
      <c r="AB709" s="4">
        <f t="shared" si="235"/>
        <v>0</v>
      </c>
      <c r="AC709" s="170">
        <f t="shared" si="231"/>
        <v>0</v>
      </c>
      <c r="AD709" s="58"/>
      <c r="AE709" s="58"/>
      <c r="AF709" s="58"/>
      <c r="AG709" s="59">
        <f t="shared" si="236"/>
        <v>9.0359999999999996</v>
      </c>
      <c r="AH709" s="59">
        <f t="shared" si="237"/>
        <v>-184.49199999999999</v>
      </c>
      <c r="AJ709" s="4">
        <f>IF(D709="M",IF(AM709&lt;78,BMILMS!$D$5*AM709^3+BMILMS!$E$5*AM709^2+BMILMS!$F$5*AM709+BMILMS!$G$5,IF(AM709&lt;150,BMILMS!$D$6*AM709^3+BMILMS!$E$6*AM709^2+BMILMS!$F$6*AM709+BMILMS!$G$6,BMILMS!$D$7*AM709^3+BMILMS!$E$7*AM709^2+BMILMS!$F$7*AM709+BMILMS!$G$7)),IF(AM709&lt;69,BMILMS!$D$9*AM709^3+BMILMS!$E$9*AM709^2+BMILMS!$F$9*AM709+BMILMS!$G$9,IF(AM709&lt;150,BMILMS!$D$10*AM709^3+BMILMS!$E$10*AM709^2+BMILMS!$F$10*AM709+BMILMS!$G$10,BMILMS!$D$11*AM709^3+BMILMS!$E$11*AM709^2+BMILMS!$F$11*AM709+BMILMS!$G$11)))</f>
        <v>0.79584630099999998</v>
      </c>
      <c r="AK709" s="4">
        <f>IF(D709="M",(IF(AM709&lt;2.5,BMILMS!$D$21*AM709^3+BMILMS!$E$21*AM709^2+BMILMS!$F$21*AM709+BMILMS!$G$21,IF(AM709&lt;9.5,BMILMS!$D$22*AM709^3+BMILMS!$E$22*AM709^2+BMILMS!$F$22*AM709+BMILMS!$G$22,IF(AM709&lt;26.75,BMILMS!$D$23*AM709^3+BMILMS!$E$23*AM709^2+BMILMS!$F$23*AM709+BMILMS!$G$23,IF(AM709&lt;90,BMILMS!$D$24*AM709^3+BMILMS!$E$24*AM709^2+BMILMS!$F$24*AM709+BMILMS!$G$24,BMILMS!$D$25*AM709^3+BMILMS!$E$25*AM709^2+BMILMS!$F$25*AM709+BMILMS!$G$25))))),(IF(AM709&lt;2.5,BMILMS!$D$27*AM709^3+BMILMS!$E$27*AM709^2+BMILMS!$F$27*AM709+BMILMS!$G$27,IF(AM709&lt;9.5,BMILMS!$D$28*AM709^3+BMILMS!$E$28*AM709^2+BMILMS!$F$28*AM709+BMILMS!$G$28,IF(AM709&lt;26.75,BMILMS!$D$29*AM709^3+BMILMS!$E$29*AM709^2+BMILMS!$F$29*AM709+BMILMS!$G$29,IF(AM709&lt;90,BMILMS!$D$30*AM709^3+BMILMS!$E$30*AM709^2+BMILMS!$F$30*AM709+BMILMS!$G$30,IF(AM709&lt;150,BMILMS!$D$31*AM709^3+BMILMS!$E$31*AM709^2+BMILMS!$F$31*AM709+BMILMS!$G$31,BMILMS!$D$32*AM709^3+BMILMS!$E$32*AM709^2+BMILMS!$F$32*AM709+BMILMS!$G$32)))))))</f>
        <v>12.568967990000001</v>
      </c>
      <c r="AL709" s="4">
        <f>IF(D709="M",(IF(AM709&lt;90,BMILMS!$D$14*AM709^3+BMILMS!$E$14*AM709^2+BMILMS!$F$14*AM709+BMILMS!$G$14,BMILMS!$D$15*AM709^3+BMILMS!$E$15*AM709^2+BMILMS!$F$15*AM709+BMILMS!$G$15)),(IF(AM709&lt;90,BMILMS!$D$17*AM709^3+BMILMS!$E$17*AM709^2+BMILMS!$F$17*AM709+BMILMS!$G$17,BMILMS!$D$18*AM709^3+BMILMS!$E$18*AM709^2+BMILMS!$F$18*AM709+BMILMS!$G$18)))</f>
        <v>8.8969350000000003E-2</v>
      </c>
      <c r="AM709" s="4">
        <f t="shared" si="230"/>
        <v>0</v>
      </c>
      <c r="AO709" s="56">
        <f>IF(D709="M",WeightSDS!P$5*$AM709^7+WeightSDS!Q$5*$AM709^6+WeightSDS!R$5*$AM709^5+WeightSDS!S$5*$AM709^4+WeightSDS!T$5*$AM709^3+WeightSDS!U$5*$AM709^2+WeightSDS!V$5*$AM709+WeightSDS!W$5,IF($AM709&lt;186,WeightSDS!P$8*$AM709^7+WeightSDS!Q$8*$AM709^6+WeightSDS!R$8*$AM709^5+WeightSDS!S$8*$AM709^4+WeightSDS!T$8*$AM709^3+WeightSDS!U$8*$AM709^2+WeightSDS!V$8*$AM709+WeightSDS!W$8,WeightSDS!$U$9+WeightSDS!$V$9*($AM709-WeightSDS!$W$9)))</f>
        <v>0.75407122999999998</v>
      </c>
      <c r="AP709" s="4">
        <f>IF(D709="M",IF($AM709&lt;45,WeightSDS!M$23*$AM709^10+WeightSDS!N$23*$AM709^9+WeightSDS!O$23*$AM709^8+WeightSDS!P$23*$AM709^7+WeightSDS!Q$23*$AM709^6+WeightSDS!R$23*$AM709^5+WeightSDS!S$23*$AM709^4+WeightSDS!T$23*$AM709^3+WeightSDS!U$23*$AM709^2+WeightSDS!V$23*$AM709+WeightSDS!W$23,IF($AM709&lt;153,WeightSDS!M$25*$AM709^10+WeightSDS!N$25*$AM709^9+WeightSDS!O$25*$AM709^8+WeightSDS!P$25*$AM709^7+WeightSDS!Q$25*$AM709^6+WeightSDS!R$25*$AM709^5+WeightSDS!S$25*$AM709^4+WeightSDS!T$25*$AM709^3+WeightSDS!U$25*$AM709^2+WeightSDS!V$25*$AM709+WeightSDS!W$25,WeightSDS!M$27+WeightSDS!N$27/(1+EXP(WeightSDS!O$27+WeightSDS!P$27*$AM709)))),IF($AM709&lt;43.8,WeightSDS!M$29*$AM709^10+WeightSDS!N$29*$AM709^9+WeightSDS!O$29*$AM709^8+WeightSDS!P$29*$AM709^7+WeightSDS!Q$29*$AM709^6+WeightSDS!R$29*$AM709^5+WeightSDS!S$29*$AM709^4+WeightSDS!T$29*$AM709^3+WeightSDS!U$29*$AM709^2+WeightSDS!V$29*$AM709+WeightSDS!W$29-0.010431*(1-$AM709/210),IF($AM709&lt;123,WeightSDS!M$30*$AM709^10+WeightSDS!N$30*$AM709^9+WeightSDS!O$30*$AM709^8+WeightSDS!P$30*$AM709^7+WeightSDS!Q$30*$AM709^6+WeightSDS!R$30*$AM709^5+WeightSDS!S$30*$AM709^4+WeightSDS!T$30*$AM709^3+WeightSDS!U$30*$AM709^2+WeightSDS!V$30*$AM709+WeightSDS!W$30-0.010431*(1-1/$AM709),WeightSDS!M$32+WeightSDS!N$32/(1+EXP(WeightSDS!O$32+WeightSDS!P$32*$AM709))-0.010431*(1-$AM709/210))))</f>
        <v>2.9500001032655536</v>
      </c>
      <c r="AQ709" s="4">
        <f>IF(D709="M",IF($AM709&lt;162,WeightSDS!P$12*$AM709^7+WeightSDS!Q$12*$AM709^6+WeightSDS!R$12*$AM709^5+WeightSDS!S$12*$AM709^4+WeightSDS!T$12*$AM709^3+WeightSDS!U$12*$AM709^2+WeightSDS!V$12*$AM709+WeightSDS!W$12,WeightSDS!P$14*$AM709^7+WeightSDS!Q$14*$AM709^6+WeightSDS!R$14*$AM709^5+WeightSDS!S$14*$AM709^4+WeightSDS!T$14*$AM709^3+WeightSDS!U$14*$AM709^2+WeightSDS!V$14*$AM709+WeightSDS!W$14),IF($AM709&lt;156,WeightSDS!O$17*$AM709^8+WeightSDS!P$17*$AM709^7+WeightSDS!Q$17*$AM709^6+WeightSDS!R$17*$AM709^5+WeightSDS!S$17*$AM709^4+WeightSDS!T$17*$AM709^3+WeightSDS!U$17*$AM709^2+WeightSDS!V$17*$AM709+WeightSDS!W$17,IF($AM709&lt;186,WeightSDS!$U$18+(WeightSDS!$V$18-WeightSDS!$U$18)/24*($AM709-186)+WeightSDS!$W$18*(-$AM709+186)^2-0.005,WeightSDS!$U$18+(WeightSDS!$V$18-WeightSDS!$U$18)/24*($AM709-186)-0.005)))</f>
        <v>0.14604529399999999</v>
      </c>
      <c r="AT709" s="4">
        <f t="shared" si="238"/>
        <v>0.56299999999999994</v>
      </c>
      <c r="AU709" s="4">
        <f t="shared" si="239"/>
        <v>69</v>
      </c>
      <c r="AV709" s="4">
        <f t="shared" si="240"/>
        <v>0.51</v>
      </c>
    </row>
    <row r="710" spans="1:48" x14ac:dyDescent="0.15">
      <c r="A710" s="4"/>
      <c r="B710" s="21"/>
      <c r="C710" s="21"/>
      <c r="D710" s="21"/>
      <c r="E710" s="22"/>
      <c r="F710" s="22"/>
      <c r="G710" s="23"/>
      <c r="H710" s="23"/>
      <c r="I710" s="181"/>
      <c r="J710" s="8" t="str">
        <f t="shared" si="232"/>
        <v/>
      </c>
      <c r="K710" s="2" t="str">
        <f t="shared" si="241"/>
        <v/>
      </c>
      <c r="L710" s="2" t="str">
        <f t="shared" si="233"/>
        <v/>
      </c>
      <c r="M710" s="2" t="str">
        <f t="shared" si="242"/>
        <v/>
      </c>
      <c r="N710" s="2" t="str">
        <f t="shared" si="229"/>
        <v/>
      </c>
      <c r="O710" s="2" t="str">
        <f t="shared" si="243"/>
        <v/>
      </c>
      <c r="P710" s="8" t="str">
        <f t="shared" si="244"/>
        <v/>
      </c>
      <c r="Q710" s="8" t="str">
        <f t="shared" si="245"/>
        <v/>
      </c>
      <c r="R710" s="111" t="str">
        <f t="shared" si="246"/>
        <v/>
      </c>
      <c r="S710" s="44" t="str">
        <f t="shared" si="247"/>
        <v/>
      </c>
      <c r="T710" s="37" t="str">
        <f t="shared" si="248"/>
        <v/>
      </c>
      <c r="U710" s="44" t="str">
        <f t="shared" si="249"/>
        <v/>
      </c>
      <c r="V710" s="26"/>
      <c r="W710" s="26"/>
      <c r="X710" s="26"/>
      <c r="Y710" s="26"/>
      <c r="Z710" s="24"/>
      <c r="AA710" s="169">
        <f t="shared" si="234"/>
        <v>0</v>
      </c>
      <c r="AB710" s="4">
        <f t="shared" si="235"/>
        <v>0</v>
      </c>
      <c r="AC710" s="170">
        <f t="shared" si="231"/>
        <v>0</v>
      </c>
      <c r="AD710" s="58"/>
      <c r="AE710" s="58"/>
      <c r="AF710" s="58"/>
      <c r="AG710" s="59">
        <f t="shared" si="236"/>
        <v>9.0359999999999996</v>
      </c>
      <c r="AH710" s="59">
        <f t="shared" si="237"/>
        <v>-184.49199999999999</v>
      </c>
      <c r="AJ710" s="4">
        <f>IF(D710="M",IF(AM710&lt;78,BMILMS!$D$5*AM710^3+BMILMS!$E$5*AM710^2+BMILMS!$F$5*AM710+BMILMS!$G$5,IF(AM710&lt;150,BMILMS!$D$6*AM710^3+BMILMS!$E$6*AM710^2+BMILMS!$F$6*AM710+BMILMS!$G$6,BMILMS!$D$7*AM710^3+BMILMS!$E$7*AM710^2+BMILMS!$F$7*AM710+BMILMS!$G$7)),IF(AM710&lt;69,BMILMS!$D$9*AM710^3+BMILMS!$E$9*AM710^2+BMILMS!$F$9*AM710+BMILMS!$G$9,IF(AM710&lt;150,BMILMS!$D$10*AM710^3+BMILMS!$E$10*AM710^2+BMILMS!$F$10*AM710+BMILMS!$G$10,BMILMS!$D$11*AM710^3+BMILMS!$E$11*AM710^2+BMILMS!$F$11*AM710+BMILMS!$G$11)))</f>
        <v>0.79584630099999998</v>
      </c>
      <c r="AK710" s="4">
        <f>IF(D710="M",(IF(AM710&lt;2.5,BMILMS!$D$21*AM710^3+BMILMS!$E$21*AM710^2+BMILMS!$F$21*AM710+BMILMS!$G$21,IF(AM710&lt;9.5,BMILMS!$D$22*AM710^3+BMILMS!$E$22*AM710^2+BMILMS!$F$22*AM710+BMILMS!$G$22,IF(AM710&lt;26.75,BMILMS!$D$23*AM710^3+BMILMS!$E$23*AM710^2+BMILMS!$F$23*AM710+BMILMS!$G$23,IF(AM710&lt;90,BMILMS!$D$24*AM710^3+BMILMS!$E$24*AM710^2+BMILMS!$F$24*AM710+BMILMS!$G$24,BMILMS!$D$25*AM710^3+BMILMS!$E$25*AM710^2+BMILMS!$F$25*AM710+BMILMS!$G$25))))),(IF(AM710&lt;2.5,BMILMS!$D$27*AM710^3+BMILMS!$E$27*AM710^2+BMILMS!$F$27*AM710+BMILMS!$G$27,IF(AM710&lt;9.5,BMILMS!$D$28*AM710^3+BMILMS!$E$28*AM710^2+BMILMS!$F$28*AM710+BMILMS!$G$28,IF(AM710&lt;26.75,BMILMS!$D$29*AM710^3+BMILMS!$E$29*AM710^2+BMILMS!$F$29*AM710+BMILMS!$G$29,IF(AM710&lt;90,BMILMS!$D$30*AM710^3+BMILMS!$E$30*AM710^2+BMILMS!$F$30*AM710+BMILMS!$G$30,IF(AM710&lt;150,BMILMS!$D$31*AM710^3+BMILMS!$E$31*AM710^2+BMILMS!$F$31*AM710+BMILMS!$G$31,BMILMS!$D$32*AM710^3+BMILMS!$E$32*AM710^2+BMILMS!$F$32*AM710+BMILMS!$G$32)))))))</f>
        <v>12.568967990000001</v>
      </c>
      <c r="AL710" s="4">
        <f>IF(D710="M",(IF(AM710&lt;90,BMILMS!$D$14*AM710^3+BMILMS!$E$14*AM710^2+BMILMS!$F$14*AM710+BMILMS!$G$14,BMILMS!$D$15*AM710^3+BMILMS!$E$15*AM710^2+BMILMS!$F$15*AM710+BMILMS!$G$15)),(IF(AM710&lt;90,BMILMS!$D$17*AM710^3+BMILMS!$E$17*AM710^2+BMILMS!$F$17*AM710+BMILMS!$G$17,BMILMS!$D$18*AM710^3+BMILMS!$E$18*AM710^2+BMILMS!$F$18*AM710+BMILMS!$G$18)))</f>
        <v>8.8969350000000003E-2</v>
      </c>
      <c r="AM710" s="4">
        <f t="shared" si="230"/>
        <v>0</v>
      </c>
      <c r="AO710" s="56">
        <f>IF(D710="M",WeightSDS!P$5*$AM710^7+WeightSDS!Q$5*$AM710^6+WeightSDS!R$5*$AM710^5+WeightSDS!S$5*$AM710^4+WeightSDS!T$5*$AM710^3+WeightSDS!U$5*$AM710^2+WeightSDS!V$5*$AM710+WeightSDS!W$5,IF($AM710&lt;186,WeightSDS!P$8*$AM710^7+WeightSDS!Q$8*$AM710^6+WeightSDS!R$8*$AM710^5+WeightSDS!S$8*$AM710^4+WeightSDS!T$8*$AM710^3+WeightSDS!U$8*$AM710^2+WeightSDS!V$8*$AM710+WeightSDS!W$8,WeightSDS!$U$9+WeightSDS!$V$9*($AM710-WeightSDS!$W$9)))</f>
        <v>0.75407122999999998</v>
      </c>
      <c r="AP710" s="4">
        <f>IF(D710="M",IF($AM710&lt;45,WeightSDS!M$23*$AM710^10+WeightSDS!N$23*$AM710^9+WeightSDS!O$23*$AM710^8+WeightSDS!P$23*$AM710^7+WeightSDS!Q$23*$AM710^6+WeightSDS!R$23*$AM710^5+WeightSDS!S$23*$AM710^4+WeightSDS!T$23*$AM710^3+WeightSDS!U$23*$AM710^2+WeightSDS!V$23*$AM710+WeightSDS!W$23,IF($AM710&lt;153,WeightSDS!M$25*$AM710^10+WeightSDS!N$25*$AM710^9+WeightSDS!O$25*$AM710^8+WeightSDS!P$25*$AM710^7+WeightSDS!Q$25*$AM710^6+WeightSDS!R$25*$AM710^5+WeightSDS!S$25*$AM710^4+WeightSDS!T$25*$AM710^3+WeightSDS!U$25*$AM710^2+WeightSDS!V$25*$AM710+WeightSDS!W$25,WeightSDS!M$27+WeightSDS!N$27/(1+EXP(WeightSDS!O$27+WeightSDS!P$27*$AM710)))),IF($AM710&lt;43.8,WeightSDS!M$29*$AM710^10+WeightSDS!N$29*$AM710^9+WeightSDS!O$29*$AM710^8+WeightSDS!P$29*$AM710^7+WeightSDS!Q$29*$AM710^6+WeightSDS!R$29*$AM710^5+WeightSDS!S$29*$AM710^4+WeightSDS!T$29*$AM710^3+WeightSDS!U$29*$AM710^2+WeightSDS!V$29*$AM710+WeightSDS!W$29-0.010431*(1-$AM710/210),IF($AM710&lt;123,WeightSDS!M$30*$AM710^10+WeightSDS!N$30*$AM710^9+WeightSDS!O$30*$AM710^8+WeightSDS!P$30*$AM710^7+WeightSDS!Q$30*$AM710^6+WeightSDS!R$30*$AM710^5+WeightSDS!S$30*$AM710^4+WeightSDS!T$30*$AM710^3+WeightSDS!U$30*$AM710^2+WeightSDS!V$30*$AM710+WeightSDS!W$30-0.010431*(1-1/$AM710),WeightSDS!M$32+WeightSDS!N$32/(1+EXP(WeightSDS!O$32+WeightSDS!P$32*$AM710))-0.010431*(1-$AM710/210))))</f>
        <v>2.9500001032655536</v>
      </c>
      <c r="AQ710" s="4">
        <f>IF(D710="M",IF($AM710&lt;162,WeightSDS!P$12*$AM710^7+WeightSDS!Q$12*$AM710^6+WeightSDS!R$12*$AM710^5+WeightSDS!S$12*$AM710^4+WeightSDS!T$12*$AM710^3+WeightSDS!U$12*$AM710^2+WeightSDS!V$12*$AM710+WeightSDS!W$12,WeightSDS!P$14*$AM710^7+WeightSDS!Q$14*$AM710^6+WeightSDS!R$14*$AM710^5+WeightSDS!S$14*$AM710^4+WeightSDS!T$14*$AM710^3+WeightSDS!U$14*$AM710^2+WeightSDS!V$14*$AM710+WeightSDS!W$14),IF($AM710&lt;156,WeightSDS!O$17*$AM710^8+WeightSDS!P$17*$AM710^7+WeightSDS!Q$17*$AM710^6+WeightSDS!R$17*$AM710^5+WeightSDS!S$17*$AM710^4+WeightSDS!T$17*$AM710^3+WeightSDS!U$17*$AM710^2+WeightSDS!V$17*$AM710+WeightSDS!W$17,IF($AM710&lt;186,WeightSDS!$U$18+(WeightSDS!$V$18-WeightSDS!$U$18)/24*($AM710-186)+WeightSDS!$W$18*(-$AM710+186)^2-0.005,WeightSDS!$U$18+(WeightSDS!$V$18-WeightSDS!$U$18)/24*($AM710-186)-0.005)))</f>
        <v>0.14604529399999999</v>
      </c>
      <c r="AT710" s="4">
        <f t="shared" si="238"/>
        <v>0.56299999999999994</v>
      </c>
      <c r="AU710" s="4">
        <f t="shared" si="239"/>
        <v>69</v>
      </c>
      <c r="AV710" s="4">
        <f t="shared" si="240"/>
        <v>0.51</v>
      </c>
    </row>
    <row r="711" spans="1:48" x14ac:dyDescent="0.15">
      <c r="A711" s="4"/>
      <c r="B711" s="21"/>
      <c r="C711" s="21"/>
      <c r="D711" s="21"/>
      <c r="E711" s="22"/>
      <c r="F711" s="22"/>
      <c r="G711" s="23"/>
      <c r="H711" s="23"/>
      <c r="I711" s="181"/>
      <c r="J711" s="8" t="str">
        <f t="shared" si="232"/>
        <v/>
      </c>
      <c r="K711" s="2" t="str">
        <f t="shared" si="241"/>
        <v/>
      </c>
      <c r="L711" s="2" t="str">
        <f t="shared" si="233"/>
        <v/>
      </c>
      <c r="M711" s="2" t="str">
        <f t="shared" si="242"/>
        <v/>
      </c>
      <c r="N711" s="2" t="str">
        <f t="shared" si="229"/>
        <v/>
      </c>
      <c r="O711" s="2" t="str">
        <f t="shared" si="243"/>
        <v/>
      </c>
      <c r="P711" s="8" t="str">
        <f t="shared" si="244"/>
        <v/>
      </c>
      <c r="Q711" s="8" t="str">
        <f t="shared" si="245"/>
        <v/>
      </c>
      <c r="R711" s="111" t="str">
        <f t="shared" si="246"/>
        <v/>
      </c>
      <c r="S711" s="44" t="str">
        <f t="shared" si="247"/>
        <v/>
      </c>
      <c r="T711" s="37" t="str">
        <f t="shared" si="248"/>
        <v/>
      </c>
      <c r="U711" s="44" t="str">
        <f t="shared" si="249"/>
        <v/>
      </c>
      <c r="V711" s="26"/>
      <c r="W711" s="26"/>
      <c r="X711" s="26"/>
      <c r="Y711" s="26"/>
      <c r="Z711" s="24"/>
      <c r="AA711" s="169">
        <f t="shared" si="234"/>
        <v>0</v>
      </c>
      <c r="AB711" s="4">
        <f t="shared" si="235"/>
        <v>0</v>
      </c>
      <c r="AC711" s="170">
        <f t="shared" si="231"/>
        <v>0</v>
      </c>
      <c r="AD711" s="58"/>
      <c r="AE711" s="58"/>
      <c r="AF711" s="58"/>
      <c r="AG711" s="59">
        <f t="shared" si="236"/>
        <v>9.0359999999999996</v>
      </c>
      <c r="AH711" s="59">
        <f t="shared" si="237"/>
        <v>-184.49199999999999</v>
      </c>
      <c r="AJ711" s="4">
        <f>IF(D711="M",IF(AM711&lt;78,BMILMS!$D$5*AM711^3+BMILMS!$E$5*AM711^2+BMILMS!$F$5*AM711+BMILMS!$G$5,IF(AM711&lt;150,BMILMS!$D$6*AM711^3+BMILMS!$E$6*AM711^2+BMILMS!$F$6*AM711+BMILMS!$G$6,BMILMS!$D$7*AM711^3+BMILMS!$E$7*AM711^2+BMILMS!$F$7*AM711+BMILMS!$G$7)),IF(AM711&lt;69,BMILMS!$D$9*AM711^3+BMILMS!$E$9*AM711^2+BMILMS!$F$9*AM711+BMILMS!$G$9,IF(AM711&lt;150,BMILMS!$D$10*AM711^3+BMILMS!$E$10*AM711^2+BMILMS!$F$10*AM711+BMILMS!$G$10,BMILMS!$D$11*AM711^3+BMILMS!$E$11*AM711^2+BMILMS!$F$11*AM711+BMILMS!$G$11)))</f>
        <v>0.79584630099999998</v>
      </c>
      <c r="AK711" s="4">
        <f>IF(D711="M",(IF(AM711&lt;2.5,BMILMS!$D$21*AM711^3+BMILMS!$E$21*AM711^2+BMILMS!$F$21*AM711+BMILMS!$G$21,IF(AM711&lt;9.5,BMILMS!$D$22*AM711^3+BMILMS!$E$22*AM711^2+BMILMS!$F$22*AM711+BMILMS!$G$22,IF(AM711&lt;26.75,BMILMS!$D$23*AM711^3+BMILMS!$E$23*AM711^2+BMILMS!$F$23*AM711+BMILMS!$G$23,IF(AM711&lt;90,BMILMS!$D$24*AM711^3+BMILMS!$E$24*AM711^2+BMILMS!$F$24*AM711+BMILMS!$G$24,BMILMS!$D$25*AM711^3+BMILMS!$E$25*AM711^2+BMILMS!$F$25*AM711+BMILMS!$G$25))))),(IF(AM711&lt;2.5,BMILMS!$D$27*AM711^3+BMILMS!$E$27*AM711^2+BMILMS!$F$27*AM711+BMILMS!$G$27,IF(AM711&lt;9.5,BMILMS!$D$28*AM711^3+BMILMS!$E$28*AM711^2+BMILMS!$F$28*AM711+BMILMS!$G$28,IF(AM711&lt;26.75,BMILMS!$D$29*AM711^3+BMILMS!$E$29*AM711^2+BMILMS!$F$29*AM711+BMILMS!$G$29,IF(AM711&lt;90,BMILMS!$D$30*AM711^3+BMILMS!$E$30*AM711^2+BMILMS!$F$30*AM711+BMILMS!$G$30,IF(AM711&lt;150,BMILMS!$D$31*AM711^3+BMILMS!$E$31*AM711^2+BMILMS!$F$31*AM711+BMILMS!$G$31,BMILMS!$D$32*AM711^3+BMILMS!$E$32*AM711^2+BMILMS!$F$32*AM711+BMILMS!$G$32)))))))</f>
        <v>12.568967990000001</v>
      </c>
      <c r="AL711" s="4">
        <f>IF(D711="M",(IF(AM711&lt;90,BMILMS!$D$14*AM711^3+BMILMS!$E$14*AM711^2+BMILMS!$F$14*AM711+BMILMS!$G$14,BMILMS!$D$15*AM711^3+BMILMS!$E$15*AM711^2+BMILMS!$F$15*AM711+BMILMS!$G$15)),(IF(AM711&lt;90,BMILMS!$D$17*AM711^3+BMILMS!$E$17*AM711^2+BMILMS!$F$17*AM711+BMILMS!$G$17,BMILMS!$D$18*AM711^3+BMILMS!$E$18*AM711^2+BMILMS!$F$18*AM711+BMILMS!$G$18)))</f>
        <v>8.8969350000000003E-2</v>
      </c>
      <c r="AM711" s="4">
        <f t="shared" si="230"/>
        <v>0</v>
      </c>
      <c r="AO711" s="56">
        <f>IF(D711="M",WeightSDS!P$5*$AM711^7+WeightSDS!Q$5*$AM711^6+WeightSDS!R$5*$AM711^5+WeightSDS!S$5*$AM711^4+WeightSDS!T$5*$AM711^3+WeightSDS!U$5*$AM711^2+WeightSDS!V$5*$AM711+WeightSDS!W$5,IF($AM711&lt;186,WeightSDS!P$8*$AM711^7+WeightSDS!Q$8*$AM711^6+WeightSDS!R$8*$AM711^5+WeightSDS!S$8*$AM711^4+WeightSDS!T$8*$AM711^3+WeightSDS!U$8*$AM711^2+WeightSDS!V$8*$AM711+WeightSDS!W$8,WeightSDS!$U$9+WeightSDS!$V$9*($AM711-WeightSDS!$W$9)))</f>
        <v>0.75407122999999998</v>
      </c>
      <c r="AP711" s="4">
        <f>IF(D711="M",IF($AM711&lt;45,WeightSDS!M$23*$AM711^10+WeightSDS!N$23*$AM711^9+WeightSDS!O$23*$AM711^8+WeightSDS!P$23*$AM711^7+WeightSDS!Q$23*$AM711^6+WeightSDS!R$23*$AM711^5+WeightSDS!S$23*$AM711^4+WeightSDS!T$23*$AM711^3+WeightSDS!U$23*$AM711^2+WeightSDS!V$23*$AM711+WeightSDS!W$23,IF($AM711&lt;153,WeightSDS!M$25*$AM711^10+WeightSDS!N$25*$AM711^9+WeightSDS!O$25*$AM711^8+WeightSDS!P$25*$AM711^7+WeightSDS!Q$25*$AM711^6+WeightSDS!R$25*$AM711^5+WeightSDS!S$25*$AM711^4+WeightSDS!T$25*$AM711^3+WeightSDS!U$25*$AM711^2+WeightSDS!V$25*$AM711+WeightSDS!W$25,WeightSDS!M$27+WeightSDS!N$27/(1+EXP(WeightSDS!O$27+WeightSDS!P$27*$AM711)))),IF($AM711&lt;43.8,WeightSDS!M$29*$AM711^10+WeightSDS!N$29*$AM711^9+WeightSDS!O$29*$AM711^8+WeightSDS!P$29*$AM711^7+WeightSDS!Q$29*$AM711^6+WeightSDS!R$29*$AM711^5+WeightSDS!S$29*$AM711^4+WeightSDS!T$29*$AM711^3+WeightSDS!U$29*$AM711^2+WeightSDS!V$29*$AM711+WeightSDS!W$29-0.010431*(1-$AM711/210),IF($AM711&lt;123,WeightSDS!M$30*$AM711^10+WeightSDS!N$30*$AM711^9+WeightSDS!O$30*$AM711^8+WeightSDS!P$30*$AM711^7+WeightSDS!Q$30*$AM711^6+WeightSDS!R$30*$AM711^5+WeightSDS!S$30*$AM711^4+WeightSDS!T$30*$AM711^3+WeightSDS!U$30*$AM711^2+WeightSDS!V$30*$AM711+WeightSDS!W$30-0.010431*(1-1/$AM711),WeightSDS!M$32+WeightSDS!N$32/(1+EXP(WeightSDS!O$32+WeightSDS!P$32*$AM711))-0.010431*(1-$AM711/210))))</f>
        <v>2.9500001032655536</v>
      </c>
      <c r="AQ711" s="4">
        <f>IF(D711="M",IF($AM711&lt;162,WeightSDS!P$12*$AM711^7+WeightSDS!Q$12*$AM711^6+WeightSDS!R$12*$AM711^5+WeightSDS!S$12*$AM711^4+WeightSDS!T$12*$AM711^3+WeightSDS!U$12*$AM711^2+WeightSDS!V$12*$AM711+WeightSDS!W$12,WeightSDS!P$14*$AM711^7+WeightSDS!Q$14*$AM711^6+WeightSDS!R$14*$AM711^5+WeightSDS!S$14*$AM711^4+WeightSDS!T$14*$AM711^3+WeightSDS!U$14*$AM711^2+WeightSDS!V$14*$AM711+WeightSDS!W$14),IF($AM711&lt;156,WeightSDS!O$17*$AM711^8+WeightSDS!P$17*$AM711^7+WeightSDS!Q$17*$AM711^6+WeightSDS!R$17*$AM711^5+WeightSDS!S$17*$AM711^4+WeightSDS!T$17*$AM711^3+WeightSDS!U$17*$AM711^2+WeightSDS!V$17*$AM711+WeightSDS!W$17,IF($AM711&lt;186,WeightSDS!$U$18+(WeightSDS!$V$18-WeightSDS!$U$18)/24*($AM711-186)+WeightSDS!$W$18*(-$AM711+186)^2-0.005,WeightSDS!$U$18+(WeightSDS!$V$18-WeightSDS!$U$18)/24*($AM711-186)-0.005)))</f>
        <v>0.14604529399999999</v>
      </c>
      <c r="AT711" s="4">
        <f t="shared" si="238"/>
        <v>0.56299999999999994</v>
      </c>
      <c r="AU711" s="4">
        <f t="shared" si="239"/>
        <v>69</v>
      </c>
      <c r="AV711" s="4">
        <f t="shared" si="240"/>
        <v>0.51</v>
      </c>
    </row>
    <row r="712" spans="1:48" x14ac:dyDescent="0.15">
      <c r="A712" s="4"/>
      <c r="B712" s="21"/>
      <c r="C712" s="21"/>
      <c r="D712" s="21"/>
      <c r="E712" s="22"/>
      <c r="F712" s="22"/>
      <c r="G712" s="23"/>
      <c r="H712" s="23"/>
      <c r="I712" s="181"/>
      <c r="J712" s="8" t="str">
        <f t="shared" si="232"/>
        <v/>
      </c>
      <c r="K712" s="2" t="str">
        <f t="shared" si="241"/>
        <v/>
      </c>
      <c r="L712" s="2" t="str">
        <f t="shared" si="233"/>
        <v/>
      </c>
      <c r="M712" s="2" t="str">
        <f t="shared" si="242"/>
        <v/>
      </c>
      <c r="N712" s="2" t="str">
        <f t="shared" ref="N712:N775" si="250">IF(COUNTA(D712,E712,F712,G712,H712)=5,H712/G712^2*10000,"")</f>
        <v/>
      </c>
      <c r="O712" s="2" t="str">
        <f t="shared" si="243"/>
        <v/>
      </c>
      <c r="P712" s="8" t="str">
        <f t="shared" si="244"/>
        <v/>
      </c>
      <c r="Q712" s="8" t="str">
        <f t="shared" si="245"/>
        <v/>
      </c>
      <c r="R712" s="111" t="str">
        <f t="shared" si="246"/>
        <v/>
      </c>
      <c r="S712" s="44" t="str">
        <f t="shared" si="247"/>
        <v/>
      </c>
      <c r="T712" s="37" t="str">
        <f t="shared" si="248"/>
        <v/>
      </c>
      <c r="U712" s="44" t="str">
        <f t="shared" si="249"/>
        <v/>
      </c>
      <c r="V712" s="26"/>
      <c r="W712" s="26"/>
      <c r="X712" s="26"/>
      <c r="Y712" s="26"/>
      <c r="Z712" s="24"/>
      <c r="AA712" s="169">
        <f t="shared" si="234"/>
        <v>0</v>
      </c>
      <c r="AB712" s="4">
        <f t="shared" si="235"/>
        <v>0</v>
      </c>
      <c r="AC712" s="170">
        <f t="shared" si="231"/>
        <v>0</v>
      </c>
      <c r="AD712" s="58"/>
      <c r="AE712" s="58"/>
      <c r="AF712" s="58"/>
      <c r="AG712" s="59">
        <f t="shared" si="236"/>
        <v>9.0359999999999996</v>
      </c>
      <c r="AH712" s="59">
        <f t="shared" si="237"/>
        <v>-184.49199999999999</v>
      </c>
      <c r="AJ712" s="4">
        <f>IF(D712="M",IF(AM712&lt;78,BMILMS!$D$5*AM712^3+BMILMS!$E$5*AM712^2+BMILMS!$F$5*AM712+BMILMS!$G$5,IF(AM712&lt;150,BMILMS!$D$6*AM712^3+BMILMS!$E$6*AM712^2+BMILMS!$F$6*AM712+BMILMS!$G$6,BMILMS!$D$7*AM712^3+BMILMS!$E$7*AM712^2+BMILMS!$F$7*AM712+BMILMS!$G$7)),IF(AM712&lt;69,BMILMS!$D$9*AM712^3+BMILMS!$E$9*AM712^2+BMILMS!$F$9*AM712+BMILMS!$G$9,IF(AM712&lt;150,BMILMS!$D$10*AM712^3+BMILMS!$E$10*AM712^2+BMILMS!$F$10*AM712+BMILMS!$G$10,BMILMS!$D$11*AM712^3+BMILMS!$E$11*AM712^2+BMILMS!$F$11*AM712+BMILMS!$G$11)))</f>
        <v>0.79584630099999998</v>
      </c>
      <c r="AK712" s="4">
        <f>IF(D712="M",(IF(AM712&lt;2.5,BMILMS!$D$21*AM712^3+BMILMS!$E$21*AM712^2+BMILMS!$F$21*AM712+BMILMS!$G$21,IF(AM712&lt;9.5,BMILMS!$D$22*AM712^3+BMILMS!$E$22*AM712^2+BMILMS!$F$22*AM712+BMILMS!$G$22,IF(AM712&lt;26.75,BMILMS!$D$23*AM712^3+BMILMS!$E$23*AM712^2+BMILMS!$F$23*AM712+BMILMS!$G$23,IF(AM712&lt;90,BMILMS!$D$24*AM712^3+BMILMS!$E$24*AM712^2+BMILMS!$F$24*AM712+BMILMS!$G$24,BMILMS!$D$25*AM712^3+BMILMS!$E$25*AM712^2+BMILMS!$F$25*AM712+BMILMS!$G$25))))),(IF(AM712&lt;2.5,BMILMS!$D$27*AM712^3+BMILMS!$E$27*AM712^2+BMILMS!$F$27*AM712+BMILMS!$G$27,IF(AM712&lt;9.5,BMILMS!$D$28*AM712^3+BMILMS!$E$28*AM712^2+BMILMS!$F$28*AM712+BMILMS!$G$28,IF(AM712&lt;26.75,BMILMS!$D$29*AM712^3+BMILMS!$E$29*AM712^2+BMILMS!$F$29*AM712+BMILMS!$G$29,IF(AM712&lt;90,BMILMS!$D$30*AM712^3+BMILMS!$E$30*AM712^2+BMILMS!$F$30*AM712+BMILMS!$G$30,IF(AM712&lt;150,BMILMS!$D$31*AM712^3+BMILMS!$E$31*AM712^2+BMILMS!$F$31*AM712+BMILMS!$G$31,BMILMS!$D$32*AM712^3+BMILMS!$E$32*AM712^2+BMILMS!$F$32*AM712+BMILMS!$G$32)))))))</f>
        <v>12.568967990000001</v>
      </c>
      <c r="AL712" s="4">
        <f>IF(D712="M",(IF(AM712&lt;90,BMILMS!$D$14*AM712^3+BMILMS!$E$14*AM712^2+BMILMS!$F$14*AM712+BMILMS!$G$14,BMILMS!$D$15*AM712^3+BMILMS!$E$15*AM712^2+BMILMS!$F$15*AM712+BMILMS!$G$15)),(IF(AM712&lt;90,BMILMS!$D$17*AM712^3+BMILMS!$E$17*AM712^2+BMILMS!$F$17*AM712+BMILMS!$G$17,BMILMS!$D$18*AM712^3+BMILMS!$E$18*AM712^2+BMILMS!$F$18*AM712+BMILMS!$G$18)))</f>
        <v>8.8969350000000003E-2</v>
      </c>
      <c r="AM712" s="4">
        <f t="shared" ref="AM712:AM775" si="251">AA712*12+AB712</f>
        <v>0</v>
      </c>
      <c r="AO712" s="56">
        <f>IF(D712="M",WeightSDS!P$5*$AM712^7+WeightSDS!Q$5*$AM712^6+WeightSDS!R$5*$AM712^5+WeightSDS!S$5*$AM712^4+WeightSDS!T$5*$AM712^3+WeightSDS!U$5*$AM712^2+WeightSDS!V$5*$AM712+WeightSDS!W$5,IF($AM712&lt;186,WeightSDS!P$8*$AM712^7+WeightSDS!Q$8*$AM712^6+WeightSDS!R$8*$AM712^5+WeightSDS!S$8*$AM712^4+WeightSDS!T$8*$AM712^3+WeightSDS!U$8*$AM712^2+WeightSDS!V$8*$AM712+WeightSDS!W$8,WeightSDS!$U$9+WeightSDS!$V$9*($AM712-WeightSDS!$W$9)))</f>
        <v>0.75407122999999998</v>
      </c>
      <c r="AP712" s="4">
        <f>IF(D712="M",IF($AM712&lt;45,WeightSDS!M$23*$AM712^10+WeightSDS!N$23*$AM712^9+WeightSDS!O$23*$AM712^8+WeightSDS!P$23*$AM712^7+WeightSDS!Q$23*$AM712^6+WeightSDS!R$23*$AM712^5+WeightSDS!S$23*$AM712^4+WeightSDS!T$23*$AM712^3+WeightSDS!U$23*$AM712^2+WeightSDS!V$23*$AM712+WeightSDS!W$23,IF($AM712&lt;153,WeightSDS!M$25*$AM712^10+WeightSDS!N$25*$AM712^9+WeightSDS!O$25*$AM712^8+WeightSDS!P$25*$AM712^7+WeightSDS!Q$25*$AM712^6+WeightSDS!R$25*$AM712^5+WeightSDS!S$25*$AM712^4+WeightSDS!T$25*$AM712^3+WeightSDS!U$25*$AM712^2+WeightSDS!V$25*$AM712+WeightSDS!W$25,WeightSDS!M$27+WeightSDS!N$27/(1+EXP(WeightSDS!O$27+WeightSDS!P$27*$AM712)))),IF($AM712&lt;43.8,WeightSDS!M$29*$AM712^10+WeightSDS!N$29*$AM712^9+WeightSDS!O$29*$AM712^8+WeightSDS!P$29*$AM712^7+WeightSDS!Q$29*$AM712^6+WeightSDS!R$29*$AM712^5+WeightSDS!S$29*$AM712^4+WeightSDS!T$29*$AM712^3+WeightSDS!U$29*$AM712^2+WeightSDS!V$29*$AM712+WeightSDS!W$29-0.010431*(1-$AM712/210),IF($AM712&lt;123,WeightSDS!M$30*$AM712^10+WeightSDS!N$30*$AM712^9+WeightSDS!O$30*$AM712^8+WeightSDS!P$30*$AM712^7+WeightSDS!Q$30*$AM712^6+WeightSDS!R$30*$AM712^5+WeightSDS!S$30*$AM712^4+WeightSDS!T$30*$AM712^3+WeightSDS!U$30*$AM712^2+WeightSDS!V$30*$AM712+WeightSDS!W$30-0.010431*(1-1/$AM712),WeightSDS!M$32+WeightSDS!N$32/(1+EXP(WeightSDS!O$32+WeightSDS!P$32*$AM712))-0.010431*(1-$AM712/210))))</f>
        <v>2.9500001032655536</v>
      </c>
      <c r="AQ712" s="4">
        <f>IF(D712="M",IF($AM712&lt;162,WeightSDS!P$12*$AM712^7+WeightSDS!Q$12*$AM712^6+WeightSDS!R$12*$AM712^5+WeightSDS!S$12*$AM712^4+WeightSDS!T$12*$AM712^3+WeightSDS!U$12*$AM712^2+WeightSDS!V$12*$AM712+WeightSDS!W$12,WeightSDS!P$14*$AM712^7+WeightSDS!Q$14*$AM712^6+WeightSDS!R$14*$AM712^5+WeightSDS!S$14*$AM712^4+WeightSDS!T$14*$AM712^3+WeightSDS!U$14*$AM712^2+WeightSDS!V$14*$AM712+WeightSDS!W$14),IF($AM712&lt;156,WeightSDS!O$17*$AM712^8+WeightSDS!P$17*$AM712^7+WeightSDS!Q$17*$AM712^6+WeightSDS!R$17*$AM712^5+WeightSDS!S$17*$AM712^4+WeightSDS!T$17*$AM712^3+WeightSDS!U$17*$AM712^2+WeightSDS!V$17*$AM712+WeightSDS!W$17,IF($AM712&lt;186,WeightSDS!$U$18+(WeightSDS!$V$18-WeightSDS!$U$18)/24*($AM712-186)+WeightSDS!$W$18*(-$AM712+186)^2-0.005,WeightSDS!$U$18+(WeightSDS!$V$18-WeightSDS!$U$18)/24*($AM712-186)-0.005)))</f>
        <v>0.14604529399999999</v>
      </c>
      <c r="AT712" s="4">
        <f t="shared" si="238"/>
        <v>0.56299999999999994</v>
      </c>
      <c r="AU712" s="4">
        <f t="shared" si="239"/>
        <v>69</v>
      </c>
      <c r="AV712" s="4">
        <f t="shared" si="240"/>
        <v>0.51</v>
      </c>
    </row>
    <row r="713" spans="1:48" x14ac:dyDescent="0.15">
      <c r="A713" s="4"/>
      <c r="B713" s="21"/>
      <c r="C713" s="21"/>
      <c r="D713" s="21"/>
      <c r="E713" s="22"/>
      <c r="F713" s="22"/>
      <c r="G713" s="23"/>
      <c r="H713" s="23"/>
      <c r="I713" s="181"/>
      <c r="J713" s="8" t="str">
        <f t="shared" si="232"/>
        <v/>
      </c>
      <c r="K713" s="2" t="str">
        <f t="shared" si="241"/>
        <v/>
      </c>
      <c r="L713" s="2" t="str">
        <f t="shared" si="233"/>
        <v/>
      </c>
      <c r="M713" s="2" t="str">
        <f t="shared" si="242"/>
        <v/>
      </c>
      <c r="N713" s="2" t="str">
        <f t="shared" si="250"/>
        <v/>
      </c>
      <c r="O713" s="2" t="str">
        <f t="shared" si="243"/>
        <v/>
      </c>
      <c r="P713" s="8" t="str">
        <f t="shared" si="244"/>
        <v/>
      </c>
      <c r="Q713" s="8" t="str">
        <f t="shared" si="245"/>
        <v/>
      </c>
      <c r="R713" s="111" t="str">
        <f t="shared" si="246"/>
        <v/>
      </c>
      <c r="S713" s="44" t="str">
        <f t="shared" si="247"/>
        <v/>
      </c>
      <c r="T713" s="37" t="str">
        <f t="shared" si="248"/>
        <v/>
      </c>
      <c r="U713" s="44" t="str">
        <f t="shared" si="249"/>
        <v/>
      </c>
      <c r="V713" s="26"/>
      <c r="W713" s="26"/>
      <c r="X713" s="26"/>
      <c r="Y713" s="26"/>
      <c r="Z713" s="24"/>
      <c r="AA713" s="169">
        <f t="shared" si="234"/>
        <v>0</v>
      </c>
      <c r="AB713" s="4">
        <f t="shared" si="235"/>
        <v>0</v>
      </c>
      <c r="AC713" s="170">
        <f t="shared" si="231"/>
        <v>0</v>
      </c>
      <c r="AD713" s="58"/>
      <c r="AE713" s="58"/>
      <c r="AF713" s="58"/>
      <c r="AG713" s="59">
        <f t="shared" si="236"/>
        <v>9.0359999999999996</v>
      </c>
      <c r="AH713" s="59">
        <f t="shared" si="237"/>
        <v>-184.49199999999999</v>
      </c>
      <c r="AJ713" s="4">
        <f>IF(D713="M",IF(AM713&lt;78,BMILMS!$D$5*AM713^3+BMILMS!$E$5*AM713^2+BMILMS!$F$5*AM713+BMILMS!$G$5,IF(AM713&lt;150,BMILMS!$D$6*AM713^3+BMILMS!$E$6*AM713^2+BMILMS!$F$6*AM713+BMILMS!$G$6,BMILMS!$D$7*AM713^3+BMILMS!$E$7*AM713^2+BMILMS!$F$7*AM713+BMILMS!$G$7)),IF(AM713&lt;69,BMILMS!$D$9*AM713^3+BMILMS!$E$9*AM713^2+BMILMS!$F$9*AM713+BMILMS!$G$9,IF(AM713&lt;150,BMILMS!$D$10*AM713^3+BMILMS!$E$10*AM713^2+BMILMS!$F$10*AM713+BMILMS!$G$10,BMILMS!$D$11*AM713^3+BMILMS!$E$11*AM713^2+BMILMS!$F$11*AM713+BMILMS!$G$11)))</f>
        <v>0.79584630099999998</v>
      </c>
      <c r="AK713" s="4">
        <f>IF(D713="M",(IF(AM713&lt;2.5,BMILMS!$D$21*AM713^3+BMILMS!$E$21*AM713^2+BMILMS!$F$21*AM713+BMILMS!$G$21,IF(AM713&lt;9.5,BMILMS!$D$22*AM713^3+BMILMS!$E$22*AM713^2+BMILMS!$F$22*AM713+BMILMS!$G$22,IF(AM713&lt;26.75,BMILMS!$D$23*AM713^3+BMILMS!$E$23*AM713^2+BMILMS!$F$23*AM713+BMILMS!$G$23,IF(AM713&lt;90,BMILMS!$D$24*AM713^3+BMILMS!$E$24*AM713^2+BMILMS!$F$24*AM713+BMILMS!$G$24,BMILMS!$D$25*AM713^3+BMILMS!$E$25*AM713^2+BMILMS!$F$25*AM713+BMILMS!$G$25))))),(IF(AM713&lt;2.5,BMILMS!$D$27*AM713^3+BMILMS!$E$27*AM713^2+BMILMS!$F$27*AM713+BMILMS!$G$27,IF(AM713&lt;9.5,BMILMS!$D$28*AM713^3+BMILMS!$E$28*AM713^2+BMILMS!$F$28*AM713+BMILMS!$G$28,IF(AM713&lt;26.75,BMILMS!$D$29*AM713^3+BMILMS!$E$29*AM713^2+BMILMS!$F$29*AM713+BMILMS!$G$29,IF(AM713&lt;90,BMILMS!$D$30*AM713^3+BMILMS!$E$30*AM713^2+BMILMS!$F$30*AM713+BMILMS!$G$30,IF(AM713&lt;150,BMILMS!$D$31*AM713^3+BMILMS!$E$31*AM713^2+BMILMS!$F$31*AM713+BMILMS!$G$31,BMILMS!$D$32*AM713^3+BMILMS!$E$32*AM713^2+BMILMS!$F$32*AM713+BMILMS!$G$32)))))))</f>
        <v>12.568967990000001</v>
      </c>
      <c r="AL713" s="4">
        <f>IF(D713="M",(IF(AM713&lt;90,BMILMS!$D$14*AM713^3+BMILMS!$E$14*AM713^2+BMILMS!$F$14*AM713+BMILMS!$G$14,BMILMS!$D$15*AM713^3+BMILMS!$E$15*AM713^2+BMILMS!$F$15*AM713+BMILMS!$G$15)),(IF(AM713&lt;90,BMILMS!$D$17*AM713^3+BMILMS!$E$17*AM713^2+BMILMS!$F$17*AM713+BMILMS!$G$17,BMILMS!$D$18*AM713^3+BMILMS!$E$18*AM713^2+BMILMS!$F$18*AM713+BMILMS!$G$18)))</f>
        <v>8.8969350000000003E-2</v>
      </c>
      <c r="AM713" s="4">
        <f t="shared" si="251"/>
        <v>0</v>
      </c>
      <c r="AO713" s="56">
        <f>IF(D713="M",WeightSDS!P$5*$AM713^7+WeightSDS!Q$5*$AM713^6+WeightSDS!R$5*$AM713^5+WeightSDS!S$5*$AM713^4+WeightSDS!T$5*$AM713^3+WeightSDS!U$5*$AM713^2+WeightSDS!V$5*$AM713+WeightSDS!W$5,IF($AM713&lt;186,WeightSDS!P$8*$AM713^7+WeightSDS!Q$8*$AM713^6+WeightSDS!R$8*$AM713^5+WeightSDS!S$8*$AM713^4+WeightSDS!T$8*$AM713^3+WeightSDS!U$8*$AM713^2+WeightSDS!V$8*$AM713+WeightSDS!W$8,WeightSDS!$U$9+WeightSDS!$V$9*($AM713-WeightSDS!$W$9)))</f>
        <v>0.75407122999999998</v>
      </c>
      <c r="AP713" s="4">
        <f>IF(D713="M",IF($AM713&lt;45,WeightSDS!M$23*$AM713^10+WeightSDS!N$23*$AM713^9+WeightSDS!O$23*$AM713^8+WeightSDS!P$23*$AM713^7+WeightSDS!Q$23*$AM713^6+WeightSDS!R$23*$AM713^5+WeightSDS!S$23*$AM713^4+WeightSDS!T$23*$AM713^3+WeightSDS!U$23*$AM713^2+WeightSDS!V$23*$AM713+WeightSDS!W$23,IF($AM713&lt;153,WeightSDS!M$25*$AM713^10+WeightSDS!N$25*$AM713^9+WeightSDS!O$25*$AM713^8+WeightSDS!P$25*$AM713^7+WeightSDS!Q$25*$AM713^6+WeightSDS!R$25*$AM713^5+WeightSDS!S$25*$AM713^4+WeightSDS!T$25*$AM713^3+WeightSDS!U$25*$AM713^2+WeightSDS!V$25*$AM713+WeightSDS!W$25,WeightSDS!M$27+WeightSDS!N$27/(1+EXP(WeightSDS!O$27+WeightSDS!P$27*$AM713)))),IF($AM713&lt;43.8,WeightSDS!M$29*$AM713^10+WeightSDS!N$29*$AM713^9+WeightSDS!O$29*$AM713^8+WeightSDS!P$29*$AM713^7+WeightSDS!Q$29*$AM713^6+WeightSDS!R$29*$AM713^5+WeightSDS!S$29*$AM713^4+WeightSDS!T$29*$AM713^3+WeightSDS!U$29*$AM713^2+WeightSDS!V$29*$AM713+WeightSDS!W$29-0.010431*(1-$AM713/210),IF($AM713&lt;123,WeightSDS!M$30*$AM713^10+WeightSDS!N$30*$AM713^9+WeightSDS!O$30*$AM713^8+WeightSDS!P$30*$AM713^7+WeightSDS!Q$30*$AM713^6+WeightSDS!R$30*$AM713^5+WeightSDS!S$30*$AM713^4+WeightSDS!T$30*$AM713^3+WeightSDS!U$30*$AM713^2+WeightSDS!V$30*$AM713+WeightSDS!W$30-0.010431*(1-1/$AM713),WeightSDS!M$32+WeightSDS!N$32/(1+EXP(WeightSDS!O$32+WeightSDS!P$32*$AM713))-0.010431*(1-$AM713/210))))</f>
        <v>2.9500001032655536</v>
      </c>
      <c r="AQ713" s="4">
        <f>IF(D713="M",IF($AM713&lt;162,WeightSDS!P$12*$AM713^7+WeightSDS!Q$12*$AM713^6+WeightSDS!R$12*$AM713^5+WeightSDS!S$12*$AM713^4+WeightSDS!T$12*$AM713^3+WeightSDS!U$12*$AM713^2+WeightSDS!V$12*$AM713+WeightSDS!W$12,WeightSDS!P$14*$AM713^7+WeightSDS!Q$14*$AM713^6+WeightSDS!R$14*$AM713^5+WeightSDS!S$14*$AM713^4+WeightSDS!T$14*$AM713^3+WeightSDS!U$14*$AM713^2+WeightSDS!V$14*$AM713+WeightSDS!W$14),IF($AM713&lt;156,WeightSDS!O$17*$AM713^8+WeightSDS!P$17*$AM713^7+WeightSDS!Q$17*$AM713^6+WeightSDS!R$17*$AM713^5+WeightSDS!S$17*$AM713^4+WeightSDS!T$17*$AM713^3+WeightSDS!U$17*$AM713^2+WeightSDS!V$17*$AM713+WeightSDS!W$17,IF($AM713&lt;186,WeightSDS!$U$18+(WeightSDS!$V$18-WeightSDS!$U$18)/24*($AM713-186)+WeightSDS!$W$18*(-$AM713+186)^2-0.005,WeightSDS!$U$18+(WeightSDS!$V$18-WeightSDS!$U$18)/24*($AM713-186)-0.005)))</f>
        <v>0.14604529399999999</v>
      </c>
      <c r="AT713" s="4">
        <f t="shared" si="238"/>
        <v>0.56299999999999994</v>
      </c>
      <c r="AU713" s="4">
        <f t="shared" si="239"/>
        <v>69</v>
      </c>
      <c r="AV713" s="4">
        <f t="shared" si="240"/>
        <v>0.51</v>
      </c>
    </row>
    <row r="714" spans="1:48" x14ac:dyDescent="0.15">
      <c r="A714" s="4"/>
      <c r="B714" s="21"/>
      <c r="C714" s="21"/>
      <c r="D714" s="21"/>
      <c r="E714" s="22"/>
      <c r="F714" s="22"/>
      <c r="G714" s="23"/>
      <c r="H714" s="23"/>
      <c r="I714" s="181"/>
      <c r="J714" s="8" t="str">
        <f t="shared" si="232"/>
        <v/>
      </c>
      <c r="K714" s="2" t="str">
        <f t="shared" si="241"/>
        <v/>
      </c>
      <c r="L714" s="2" t="str">
        <f t="shared" si="233"/>
        <v/>
      </c>
      <c r="M714" s="2" t="str">
        <f t="shared" si="242"/>
        <v/>
      </c>
      <c r="N714" s="2" t="str">
        <f t="shared" si="250"/>
        <v/>
      </c>
      <c r="O714" s="2" t="str">
        <f t="shared" si="243"/>
        <v/>
      </c>
      <c r="P714" s="8" t="str">
        <f t="shared" si="244"/>
        <v/>
      </c>
      <c r="Q714" s="8" t="str">
        <f t="shared" si="245"/>
        <v/>
      </c>
      <c r="R714" s="111" t="str">
        <f t="shared" si="246"/>
        <v/>
      </c>
      <c r="S714" s="44" t="str">
        <f t="shared" si="247"/>
        <v/>
      </c>
      <c r="T714" s="37" t="str">
        <f t="shared" si="248"/>
        <v/>
      </c>
      <c r="U714" s="44" t="str">
        <f t="shared" si="249"/>
        <v/>
      </c>
      <c r="V714" s="26"/>
      <c r="W714" s="26"/>
      <c r="X714" s="26"/>
      <c r="Y714" s="26"/>
      <c r="Z714" s="24"/>
      <c r="AA714" s="169">
        <f t="shared" si="234"/>
        <v>0</v>
      </c>
      <c r="AB714" s="4">
        <f t="shared" si="235"/>
        <v>0</v>
      </c>
      <c r="AC714" s="170">
        <f t="shared" si="231"/>
        <v>0</v>
      </c>
      <c r="AD714" s="58"/>
      <c r="AE714" s="58"/>
      <c r="AF714" s="58"/>
      <c r="AG714" s="59">
        <f t="shared" si="236"/>
        <v>9.0359999999999996</v>
      </c>
      <c r="AH714" s="59">
        <f t="shared" si="237"/>
        <v>-184.49199999999999</v>
      </c>
      <c r="AJ714" s="4">
        <f>IF(D714="M",IF(AM714&lt;78,BMILMS!$D$5*AM714^3+BMILMS!$E$5*AM714^2+BMILMS!$F$5*AM714+BMILMS!$G$5,IF(AM714&lt;150,BMILMS!$D$6*AM714^3+BMILMS!$E$6*AM714^2+BMILMS!$F$6*AM714+BMILMS!$G$6,BMILMS!$D$7*AM714^3+BMILMS!$E$7*AM714^2+BMILMS!$F$7*AM714+BMILMS!$G$7)),IF(AM714&lt;69,BMILMS!$D$9*AM714^3+BMILMS!$E$9*AM714^2+BMILMS!$F$9*AM714+BMILMS!$G$9,IF(AM714&lt;150,BMILMS!$D$10*AM714^3+BMILMS!$E$10*AM714^2+BMILMS!$F$10*AM714+BMILMS!$G$10,BMILMS!$D$11*AM714^3+BMILMS!$E$11*AM714^2+BMILMS!$F$11*AM714+BMILMS!$G$11)))</f>
        <v>0.79584630099999998</v>
      </c>
      <c r="AK714" s="4">
        <f>IF(D714="M",(IF(AM714&lt;2.5,BMILMS!$D$21*AM714^3+BMILMS!$E$21*AM714^2+BMILMS!$F$21*AM714+BMILMS!$G$21,IF(AM714&lt;9.5,BMILMS!$D$22*AM714^3+BMILMS!$E$22*AM714^2+BMILMS!$F$22*AM714+BMILMS!$G$22,IF(AM714&lt;26.75,BMILMS!$D$23*AM714^3+BMILMS!$E$23*AM714^2+BMILMS!$F$23*AM714+BMILMS!$G$23,IF(AM714&lt;90,BMILMS!$D$24*AM714^3+BMILMS!$E$24*AM714^2+BMILMS!$F$24*AM714+BMILMS!$G$24,BMILMS!$D$25*AM714^3+BMILMS!$E$25*AM714^2+BMILMS!$F$25*AM714+BMILMS!$G$25))))),(IF(AM714&lt;2.5,BMILMS!$D$27*AM714^3+BMILMS!$E$27*AM714^2+BMILMS!$F$27*AM714+BMILMS!$G$27,IF(AM714&lt;9.5,BMILMS!$D$28*AM714^3+BMILMS!$E$28*AM714^2+BMILMS!$F$28*AM714+BMILMS!$G$28,IF(AM714&lt;26.75,BMILMS!$D$29*AM714^3+BMILMS!$E$29*AM714^2+BMILMS!$F$29*AM714+BMILMS!$G$29,IF(AM714&lt;90,BMILMS!$D$30*AM714^3+BMILMS!$E$30*AM714^2+BMILMS!$F$30*AM714+BMILMS!$G$30,IF(AM714&lt;150,BMILMS!$D$31*AM714^3+BMILMS!$E$31*AM714^2+BMILMS!$F$31*AM714+BMILMS!$G$31,BMILMS!$D$32*AM714^3+BMILMS!$E$32*AM714^2+BMILMS!$F$32*AM714+BMILMS!$G$32)))))))</f>
        <v>12.568967990000001</v>
      </c>
      <c r="AL714" s="4">
        <f>IF(D714="M",(IF(AM714&lt;90,BMILMS!$D$14*AM714^3+BMILMS!$E$14*AM714^2+BMILMS!$F$14*AM714+BMILMS!$G$14,BMILMS!$D$15*AM714^3+BMILMS!$E$15*AM714^2+BMILMS!$F$15*AM714+BMILMS!$G$15)),(IF(AM714&lt;90,BMILMS!$D$17*AM714^3+BMILMS!$E$17*AM714^2+BMILMS!$F$17*AM714+BMILMS!$G$17,BMILMS!$D$18*AM714^3+BMILMS!$E$18*AM714^2+BMILMS!$F$18*AM714+BMILMS!$G$18)))</f>
        <v>8.8969350000000003E-2</v>
      </c>
      <c r="AM714" s="4">
        <f t="shared" si="251"/>
        <v>0</v>
      </c>
      <c r="AO714" s="56">
        <f>IF(D714="M",WeightSDS!P$5*$AM714^7+WeightSDS!Q$5*$AM714^6+WeightSDS!R$5*$AM714^5+WeightSDS!S$5*$AM714^4+WeightSDS!T$5*$AM714^3+WeightSDS!U$5*$AM714^2+WeightSDS!V$5*$AM714+WeightSDS!W$5,IF($AM714&lt;186,WeightSDS!P$8*$AM714^7+WeightSDS!Q$8*$AM714^6+WeightSDS!R$8*$AM714^5+WeightSDS!S$8*$AM714^4+WeightSDS!T$8*$AM714^3+WeightSDS!U$8*$AM714^2+WeightSDS!V$8*$AM714+WeightSDS!W$8,WeightSDS!$U$9+WeightSDS!$V$9*($AM714-WeightSDS!$W$9)))</f>
        <v>0.75407122999999998</v>
      </c>
      <c r="AP714" s="4">
        <f>IF(D714="M",IF($AM714&lt;45,WeightSDS!M$23*$AM714^10+WeightSDS!N$23*$AM714^9+WeightSDS!O$23*$AM714^8+WeightSDS!P$23*$AM714^7+WeightSDS!Q$23*$AM714^6+WeightSDS!R$23*$AM714^5+WeightSDS!S$23*$AM714^4+WeightSDS!T$23*$AM714^3+WeightSDS!U$23*$AM714^2+WeightSDS!V$23*$AM714+WeightSDS!W$23,IF($AM714&lt;153,WeightSDS!M$25*$AM714^10+WeightSDS!N$25*$AM714^9+WeightSDS!O$25*$AM714^8+WeightSDS!P$25*$AM714^7+WeightSDS!Q$25*$AM714^6+WeightSDS!R$25*$AM714^5+WeightSDS!S$25*$AM714^4+WeightSDS!T$25*$AM714^3+WeightSDS!U$25*$AM714^2+WeightSDS!V$25*$AM714+WeightSDS!W$25,WeightSDS!M$27+WeightSDS!N$27/(1+EXP(WeightSDS!O$27+WeightSDS!P$27*$AM714)))),IF($AM714&lt;43.8,WeightSDS!M$29*$AM714^10+WeightSDS!N$29*$AM714^9+WeightSDS!O$29*$AM714^8+WeightSDS!P$29*$AM714^7+WeightSDS!Q$29*$AM714^6+WeightSDS!R$29*$AM714^5+WeightSDS!S$29*$AM714^4+WeightSDS!T$29*$AM714^3+WeightSDS!U$29*$AM714^2+WeightSDS!V$29*$AM714+WeightSDS!W$29-0.010431*(1-$AM714/210),IF($AM714&lt;123,WeightSDS!M$30*$AM714^10+WeightSDS!N$30*$AM714^9+WeightSDS!O$30*$AM714^8+WeightSDS!P$30*$AM714^7+WeightSDS!Q$30*$AM714^6+WeightSDS!R$30*$AM714^5+WeightSDS!S$30*$AM714^4+WeightSDS!T$30*$AM714^3+WeightSDS!U$30*$AM714^2+WeightSDS!V$30*$AM714+WeightSDS!W$30-0.010431*(1-1/$AM714),WeightSDS!M$32+WeightSDS!N$32/(1+EXP(WeightSDS!O$32+WeightSDS!P$32*$AM714))-0.010431*(1-$AM714/210))))</f>
        <v>2.9500001032655536</v>
      </c>
      <c r="AQ714" s="4">
        <f>IF(D714="M",IF($AM714&lt;162,WeightSDS!P$12*$AM714^7+WeightSDS!Q$12*$AM714^6+WeightSDS!R$12*$AM714^5+WeightSDS!S$12*$AM714^4+WeightSDS!T$12*$AM714^3+WeightSDS!U$12*$AM714^2+WeightSDS!V$12*$AM714+WeightSDS!W$12,WeightSDS!P$14*$AM714^7+WeightSDS!Q$14*$AM714^6+WeightSDS!R$14*$AM714^5+WeightSDS!S$14*$AM714^4+WeightSDS!T$14*$AM714^3+WeightSDS!U$14*$AM714^2+WeightSDS!V$14*$AM714+WeightSDS!W$14),IF($AM714&lt;156,WeightSDS!O$17*$AM714^8+WeightSDS!P$17*$AM714^7+WeightSDS!Q$17*$AM714^6+WeightSDS!R$17*$AM714^5+WeightSDS!S$17*$AM714^4+WeightSDS!T$17*$AM714^3+WeightSDS!U$17*$AM714^2+WeightSDS!V$17*$AM714+WeightSDS!W$17,IF($AM714&lt;186,WeightSDS!$U$18+(WeightSDS!$V$18-WeightSDS!$U$18)/24*($AM714-186)+WeightSDS!$W$18*(-$AM714+186)^2-0.005,WeightSDS!$U$18+(WeightSDS!$V$18-WeightSDS!$U$18)/24*($AM714-186)-0.005)))</f>
        <v>0.14604529399999999</v>
      </c>
      <c r="AT714" s="4">
        <f t="shared" si="238"/>
        <v>0.56299999999999994</v>
      </c>
      <c r="AU714" s="4">
        <f t="shared" si="239"/>
        <v>69</v>
      </c>
      <c r="AV714" s="4">
        <f t="shared" si="240"/>
        <v>0.51</v>
      </c>
    </row>
    <row r="715" spans="1:48" x14ac:dyDescent="0.15">
      <c r="A715" s="4"/>
      <c r="B715" s="21"/>
      <c r="C715" s="21"/>
      <c r="D715" s="21"/>
      <c r="E715" s="22"/>
      <c r="F715" s="22"/>
      <c r="G715" s="23"/>
      <c r="H715" s="23"/>
      <c r="I715" s="181"/>
      <c r="J715" s="8" t="str">
        <f t="shared" si="232"/>
        <v/>
      </c>
      <c r="K715" s="2" t="str">
        <f t="shared" si="241"/>
        <v/>
      </c>
      <c r="L715" s="2" t="str">
        <f t="shared" si="233"/>
        <v/>
      </c>
      <c r="M715" s="2" t="str">
        <f t="shared" si="242"/>
        <v/>
      </c>
      <c r="N715" s="2" t="str">
        <f t="shared" si="250"/>
        <v/>
      </c>
      <c r="O715" s="2" t="str">
        <f t="shared" si="243"/>
        <v/>
      </c>
      <c r="P715" s="8" t="str">
        <f t="shared" si="244"/>
        <v/>
      </c>
      <c r="Q715" s="8" t="str">
        <f t="shared" si="245"/>
        <v/>
      </c>
      <c r="R715" s="111" t="str">
        <f t="shared" si="246"/>
        <v/>
      </c>
      <c r="S715" s="44" t="str">
        <f t="shared" si="247"/>
        <v/>
      </c>
      <c r="T715" s="37" t="str">
        <f t="shared" si="248"/>
        <v/>
      </c>
      <c r="U715" s="44" t="str">
        <f t="shared" si="249"/>
        <v/>
      </c>
      <c r="V715" s="26"/>
      <c r="W715" s="26"/>
      <c r="X715" s="26"/>
      <c r="Y715" s="26"/>
      <c r="Z715" s="24"/>
      <c r="AA715" s="169">
        <f t="shared" si="234"/>
        <v>0</v>
      </c>
      <c r="AB715" s="4">
        <f t="shared" si="235"/>
        <v>0</v>
      </c>
      <c r="AC715" s="170">
        <f t="shared" si="231"/>
        <v>0</v>
      </c>
      <c r="AD715" s="58"/>
      <c r="AE715" s="58"/>
      <c r="AF715" s="58"/>
      <c r="AG715" s="59">
        <f t="shared" si="236"/>
        <v>9.0359999999999996</v>
      </c>
      <c r="AH715" s="59">
        <f t="shared" si="237"/>
        <v>-184.49199999999999</v>
      </c>
      <c r="AJ715" s="4">
        <f>IF(D715="M",IF(AM715&lt;78,BMILMS!$D$5*AM715^3+BMILMS!$E$5*AM715^2+BMILMS!$F$5*AM715+BMILMS!$G$5,IF(AM715&lt;150,BMILMS!$D$6*AM715^3+BMILMS!$E$6*AM715^2+BMILMS!$F$6*AM715+BMILMS!$G$6,BMILMS!$D$7*AM715^3+BMILMS!$E$7*AM715^2+BMILMS!$F$7*AM715+BMILMS!$G$7)),IF(AM715&lt;69,BMILMS!$D$9*AM715^3+BMILMS!$E$9*AM715^2+BMILMS!$F$9*AM715+BMILMS!$G$9,IF(AM715&lt;150,BMILMS!$D$10*AM715^3+BMILMS!$E$10*AM715^2+BMILMS!$F$10*AM715+BMILMS!$G$10,BMILMS!$D$11*AM715^3+BMILMS!$E$11*AM715^2+BMILMS!$F$11*AM715+BMILMS!$G$11)))</f>
        <v>0.79584630099999998</v>
      </c>
      <c r="AK715" s="4">
        <f>IF(D715="M",(IF(AM715&lt;2.5,BMILMS!$D$21*AM715^3+BMILMS!$E$21*AM715^2+BMILMS!$F$21*AM715+BMILMS!$G$21,IF(AM715&lt;9.5,BMILMS!$D$22*AM715^3+BMILMS!$E$22*AM715^2+BMILMS!$F$22*AM715+BMILMS!$G$22,IF(AM715&lt;26.75,BMILMS!$D$23*AM715^3+BMILMS!$E$23*AM715^2+BMILMS!$F$23*AM715+BMILMS!$G$23,IF(AM715&lt;90,BMILMS!$D$24*AM715^3+BMILMS!$E$24*AM715^2+BMILMS!$F$24*AM715+BMILMS!$G$24,BMILMS!$D$25*AM715^3+BMILMS!$E$25*AM715^2+BMILMS!$F$25*AM715+BMILMS!$G$25))))),(IF(AM715&lt;2.5,BMILMS!$D$27*AM715^3+BMILMS!$E$27*AM715^2+BMILMS!$F$27*AM715+BMILMS!$G$27,IF(AM715&lt;9.5,BMILMS!$D$28*AM715^3+BMILMS!$E$28*AM715^2+BMILMS!$F$28*AM715+BMILMS!$G$28,IF(AM715&lt;26.75,BMILMS!$D$29*AM715^3+BMILMS!$E$29*AM715^2+BMILMS!$F$29*AM715+BMILMS!$G$29,IF(AM715&lt;90,BMILMS!$D$30*AM715^3+BMILMS!$E$30*AM715^2+BMILMS!$F$30*AM715+BMILMS!$G$30,IF(AM715&lt;150,BMILMS!$D$31*AM715^3+BMILMS!$E$31*AM715^2+BMILMS!$F$31*AM715+BMILMS!$G$31,BMILMS!$D$32*AM715^3+BMILMS!$E$32*AM715^2+BMILMS!$F$32*AM715+BMILMS!$G$32)))))))</f>
        <v>12.568967990000001</v>
      </c>
      <c r="AL715" s="4">
        <f>IF(D715="M",(IF(AM715&lt;90,BMILMS!$D$14*AM715^3+BMILMS!$E$14*AM715^2+BMILMS!$F$14*AM715+BMILMS!$G$14,BMILMS!$D$15*AM715^3+BMILMS!$E$15*AM715^2+BMILMS!$F$15*AM715+BMILMS!$G$15)),(IF(AM715&lt;90,BMILMS!$D$17*AM715^3+BMILMS!$E$17*AM715^2+BMILMS!$F$17*AM715+BMILMS!$G$17,BMILMS!$D$18*AM715^3+BMILMS!$E$18*AM715^2+BMILMS!$F$18*AM715+BMILMS!$G$18)))</f>
        <v>8.8969350000000003E-2</v>
      </c>
      <c r="AM715" s="4">
        <f t="shared" si="251"/>
        <v>0</v>
      </c>
      <c r="AO715" s="56">
        <f>IF(D715="M",WeightSDS!P$5*$AM715^7+WeightSDS!Q$5*$AM715^6+WeightSDS!R$5*$AM715^5+WeightSDS!S$5*$AM715^4+WeightSDS!T$5*$AM715^3+WeightSDS!U$5*$AM715^2+WeightSDS!V$5*$AM715+WeightSDS!W$5,IF($AM715&lt;186,WeightSDS!P$8*$AM715^7+WeightSDS!Q$8*$AM715^6+WeightSDS!R$8*$AM715^5+WeightSDS!S$8*$AM715^4+WeightSDS!T$8*$AM715^3+WeightSDS!U$8*$AM715^2+WeightSDS!V$8*$AM715+WeightSDS!W$8,WeightSDS!$U$9+WeightSDS!$V$9*($AM715-WeightSDS!$W$9)))</f>
        <v>0.75407122999999998</v>
      </c>
      <c r="AP715" s="4">
        <f>IF(D715="M",IF($AM715&lt;45,WeightSDS!M$23*$AM715^10+WeightSDS!N$23*$AM715^9+WeightSDS!O$23*$AM715^8+WeightSDS!P$23*$AM715^7+WeightSDS!Q$23*$AM715^6+WeightSDS!R$23*$AM715^5+WeightSDS!S$23*$AM715^4+WeightSDS!T$23*$AM715^3+WeightSDS!U$23*$AM715^2+WeightSDS!V$23*$AM715+WeightSDS!W$23,IF($AM715&lt;153,WeightSDS!M$25*$AM715^10+WeightSDS!N$25*$AM715^9+WeightSDS!O$25*$AM715^8+WeightSDS!P$25*$AM715^7+WeightSDS!Q$25*$AM715^6+WeightSDS!R$25*$AM715^5+WeightSDS!S$25*$AM715^4+WeightSDS!T$25*$AM715^3+WeightSDS!U$25*$AM715^2+WeightSDS!V$25*$AM715+WeightSDS!W$25,WeightSDS!M$27+WeightSDS!N$27/(1+EXP(WeightSDS!O$27+WeightSDS!P$27*$AM715)))),IF($AM715&lt;43.8,WeightSDS!M$29*$AM715^10+WeightSDS!N$29*$AM715^9+WeightSDS!O$29*$AM715^8+WeightSDS!P$29*$AM715^7+WeightSDS!Q$29*$AM715^6+WeightSDS!R$29*$AM715^5+WeightSDS!S$29*$AM715^4+WeightSDS!T$29*$AM715^3+WeightSDS!U$29*$AM715^2+WeightSDS!V$29*$AM715+WeightSDS!W$29-0.010431*(1-$AM715/210),IF($AM715&lt;123,WeightSDS!M$30*$AM715^10+WeightSDS!N$30*$AM715^9+WeightSDS!O$30*$AM715^8+WeightSDS!P$30*$AM715^7+WeightSDS!Q$30*$AM715^6+WeightSDS!R$30*$AM715^5+WeightSDS!S$30*$AM715^4+WeightSDS!T$30*$AM715^3+WeightSDS!U$30*$AM715^2+WeightSDS!V$30*$AM715+WeightSDS!W$30-0.010431*(1-1/$AM715),WeightSDS!M$32+WeightSDS!N$32/(1+EXP(WeightSDS!O$32+WeightSDS!P$32*$AM715))-0.010431*(1-$AM715/210))))</f>
        <v>2.9500001032655536</v>
      </c>
      <c r="AQ715" s="4">
        <f>IF(D715="M",IF($AM715&lt;162,WeightSDS!P$12*$AM715^7+WeightSDS!Q$12*$AM715^6+WeightSDS!R$12*$AM715^5+WeightSDS!S$12*$AM715^4+WeightSDS!T$12*$AM715^3+WeightSDS!U$12*$AM715^2+WeightSDS!V$12*$AM715+WeightSDS!W$12,WeightSDS!P$14*$AM715^7+WeightSDS!Q$14*$AM715^6+WeightSDS!R$14*$AM715^5+WeightSDS!S$14*$AM715^4+WeightSDS!T$14*$AM715^3+WeightSDS!U$14*$AM715^2+WeightSDS!V$14*$AM715+WeightSDS!W$14),IF($AM715&lt;156,WeightSDS!O$17*$AM715^8+WeightSDS!P$17*$AM715^7+WeightSDS!Q$17*$AM715^6+WeightSDS!R$17*$AM715^5+WeightSDS!S$17*$AM715^4+WeightSDS!T$17*$AM715^3+WeightSDS!U$17*$AM715^2+WeightSDS!V$17*$AM715+WeightSDS!W$17,IF($AM715&lt;186,WeightSDS!$U$18+(WeightSDS!$V$18-WeightSDS!$U$18)/24*($AM715-186)+WeightSDS!$W$18*(-$AM715+186)^2-0.005,WeightSDS!$U$18+(WeightSDS!$V$18-WeightSDS!$U$18)/24*($AM715-186)-0.005)))</f>
        <v>0.14604529399999999</v>
      </c>
      <c r="AT715" s="4">
        <f t="shared" si="238"/>
        <v>0.56299999999999994</v>
      </c>
      <c r="AU715" s="4">
        <f t="shared" si="239"/>
        <v>69</v>
      </c>
      <c r="AV715" s="4">
        <f t="shared" si="240"/>
        <v>0.51</v>
      </c>
    </row>
    <row r="716" spans="1:48" x14ac:dyDescent="0.15">
      <c r="A716" s="4"/>
      <c r="B716" s="21"/>
      <c r="C716" s="21"/>
      <c r="D716" s="21"/>
      <c r="E716" s="22"/>
      <c r="F716" s="22"/>
      <c r="G716" s="23"/>
      <c r="H716" s="23"/>
      <c r="I716" s="181"/>
      <c r="J716" s="8" t="str">
        <f t="shared" si="232"/>
        <v/>
      </c>
      <c r="K716" s="2" t="str">
        <f t="shared" si="241"/>
        <v/>
      </c>
      <c r="L716" s="2" t="str">
        <f t="shared" si="233"/>
        <v/>
      </c>
      <c r="M716" s="2" t="str">
        <f t="shared" si="242"/>
        <v/>
      </c>
      <c r="N716" s="2" t="str">
        <f t="shared" si="250"/>
        <v/>
      </c>
      <c r="O716" s="2" t="str">
        <f t="shared" si="243"/>
        <v/>
      </c>
      <c r="P716" s="8" t="str">
        <f t="shared" si="244"/>
        <v/>
      </c>
      <c r="Q716" s="8" t="str">
        <f t="shared" si="245"/>
        <v/>
      </c>
      <c r="R716" s="111" t="str">
        <f t="shared" si="246"/>
        <v/>
      </c>
      <c r="S716" s="44" t="str">
        <f t="shared" si="247"/>
        <v/>
      </c>
      <c r="T716" s="37" t="str">
        <f t="shared" si="248"/>
        <v/>
      </c>
      <c r="U716" s="44" t="str">
        <f t="shared" si="249"/>
        <v/>
      </c>
      <c r="V716" s="26"/>
      <c r="W716" s="26"/>
      <c r="X716" s="26"/>
      <c r="Y716" s="26"/>
      <c r="Z716" s="24"/>
      <c r="AA716" s="169">
        <f t="shared" si="234"/>
        <v>0</v>
      </c>
      <c r="AB716" s="4">
        <f t="shared" si="235"/>
        <v>0</v>
      </c>
      <c r="AC716" s="170">
        <f t="shared" si="231"/>
        <v>0</v>
      </c>
      <c r="AD716" s="58"/>
      <c r="AE716" s="58"/>
      <c r="AF716" s="58"/>
      <c r="AG716" s="59">
        <f t="shared" si="236"/>
        <v>9.0359999999999996</v>
      </c>
      <c r="AH716" s="59">
        <f t="shared" si="237"/>
        <v>-184.49199999999999</v>
      </c>
      <c r="AJ716" s="4">
        <f>IF(D716="M",IF(AM716&lt;78,BMILMS!$D$5*AM716^3+BMILMS!$E$5*AM716^2+BMILMS!$F$5*AM716+BMILMS!$G$5,IF(AM716&lt;150,BMILMS!$D$6*AM716^3+BMILMS!$E$6*AM716^2+BMILMS!$F$6*AM716+BMILMS!$G$6,BMILMS!$D$7*AM716^3+BMILMS!$E$7*AM716^2+BMILMS!$F$7*AM716+BMILMS!$G$7)),IF(AM716&lt;69,BMILMS!$D$9*AM716^3+BMILMS!$E$9*AM716^2+BMILMS!$F$9*AM716+BMILMS!$G$9,IF(AM716&lt;150,BMILMS!$D$10*AM716^3+BMILMS!$E$10*AM716^2+BMILMS!$F$10*AM716+BMILMS!$G$10,BMILMS!$D$11*AM716^3+BMILMS!$E$11*AM716^2+BMILMS!$F$11*AM716+BMILMS!$G$11)))</f>
        <v>0.79584630099999998</v>
      </c>
      <c r="AK716" s="4">
        <f>IF(D716="M",(IF(AM716&lt;2.5,BMILMS!$D$21*AM716^3+BMILMS!$E$21*AM716^2+BMILMS!$F$21*AM716+BMILMS!$G$21,IF(AM716&lt;9.5,BMILMS!$D$22*AM716^3+BMILMS!$E$22*AM716^2+BMILMS!$F$22*AM716+BMILMS!$G$22,IF(AM716&lt;26.75,BMILMS!$D$23*AM716^3+BMILMS!$E$23*AM716^2+BMILMS!$F$23*AM716+BMILMS!$G$23,IF(AM716&lt;90,BMILMS!$D$24*AM716^3+BMILMS!$E$24*AM716^2+BMILMS!$F$24*AM716+BMILMS!$G$24,BMILMS!$D$25*AM716^3+BMILMS!$E$25*AM716^2+BMILMS!$F$25*AM716+BMILMS!$G$25))))),(IF(AM716&lt;2.5,BMILMS!$D$27*AM716^3+BMILMS!$E$27*AM716^2+BMILMS!$F$27*AM716+BMILMS!$G$27,IF(AM716&lt;9.5,BMILMS!$D$28*AM716^3+BMILMS!$E$28*AM716^2+BMILMS!$F$28*AM716+BMILMS!$G$28,IF(AM716&lt;26.75,BMILMS!$D$29*AM716^3+BMILMS!$E$29*AM716^2+BMILMS!$F$29*AM716+BMILMS!$G$29,IF(AM716&lt;90,BMILMS!$D$30*AM716^3+BMILMS!$E$30*AM716^2+BMILMS!$F$30*AM716+BMILMS!$G$30,IF(AM716&lt;150,BMILMS!$D$31*AM716^3+BMILMS!$E$31*AM716^2+BMILMS!$F$31*AM716+BMILMS!$G$31,BMILMS!$D$32*AM716^3+BMILMS!$E$32*AM716^2+BMILMS!$F$32*AM716+BMILMS!$G$32)))))))</f>
        <v>12.568967990000001</v>
      </c>
      <c r="AL716" s="4">
        <f>IF(D716="M",(IF(AM716&lt;90,BMILMS!$D$14*AM716^3+BMILMS!$E$14*AM716^2+BMILMS!$F$14*AM716+BMILMS!$G$14,BMILMS!$D$15*AM716^3+BMILMS!$E$15*AM716^2+BMILMS!$F$15*AM716+BMILMS!$G$15)),(IF(AM716&lt;90,BMILMS!$D$17*AM716^3+BMILMS!$E$17*AM716^2+BMILMS!$F$17*AM716+BMILMS!$G$17,BMILMS!$D$18*AM716^3+BMILMS!$E$18*AM716^2+BMILMS!$F$18*AM716+BMILMS!$G$18)))</f>
        <v>8.8969350000000003E-2</v>
      </c>
      <c r="AM716" s="4">
        <f t="shared" si="251"/>
        <v>0</v>
      </c>
      <c r="AO716" s="56">
        <f>IF(D716="M",WeightSDS!P$5*$AM716^7+WeightSDS!Q$5*$AM716^6+WeightSDS!R$5*$AM716^5+WeightSDS!S$5*$AM716^4+WeightSDS!T$5*$AM716^3+WeightSDS!U$5*$AM716^2+WeightSDS!V$5*$AM716+WeightSDS!W$5,IF($AM716&lt;186,WeightSDS!P$8*$AM716^7+WeightSDS!Q$8*$AM716^6+WeightSDS!R$8*$AM716^5+WeightSDS!S$8*$AM716^4+WeightSDS!T$8*$AM716^3+WeightSDS!U$8*$AM716^2+WeightSDS!V$8*$AM716+WeightSDS!W$8,WeightSDS!$U$9+WeightSDS!$V$9*($AM716-WeightSDS!$W$9)))</f>
        <v>0.75407122999999998</v>
      </c>
      <c r="AP716" s="4">
        <f>IF(D716="M",IF($AM716&lt;45,WeightSDS!M$23*$AM716^10+WeightSDS!N$23*$AM716^9+WeightSDS!O$23*$AM716^8+WeightSDS!P$23*$AM716^7+WeightSDS!Q$23*$AM716^6+WeightSDS!R$23*$AM716^5+WeightSDS!S$23*$AM716^4+WeightSDS!T$23*$AM716^3+WeightSDS!U$23*$AM716^2+WeightSDS!V$23*$AM716+WeightSDS!W$23,IF($AM716&lt;153,WeightSDS!M$25*$AM716^10+WeightSDS!N$25*$AM716^9+WeightSDS!O$25*$AM716^8+WeightSDS!P$25*$AM716^7+WeightSDS!Q$25*$AM716^6+WeightSDS!R$25*$AM716^5+WeightSDS!S$25*$AM716^4+WeightSDS!T$25*$AM716^3+WeightSDS!U$25*$AM716^2+WeightSDS!V$25*$AM716+WeightSDS!W$25,WeightSDS!M$27+WeightSDS!N$27/(1+EXP(WeightSDS!O$27+WeightSDS!P$27*$AM716)))),IF($AM716&lt;43.8,WeightSDS!M$29*$AM716^10+WeightSDS!N$29*$AM716^9+WeightSDS!O$29*$AM716^8+WeightSDS!P$29*$AM716^7+WeightSDS!Q$29*$AM716^6+WeightSDS!R$29*$AM716^5+WeightSDS!S$29*$AM716^4+WeightSDS!T$29*$AM716^3+WeightSDS!U$29*$AM716^2+WeightSDS!V$29*$AM716+WeightSDS!W$29-0.010431*(1-$AM716/210),IF($AM716&lt;123,WeightSDS!M$30*$AM716^10+WeightSDS!N$30*$AM716^9+WeightSDS!O$30*$AM716^8+WeightSDS!P$30*$AM716^7+WeightSDS!Q$30*$AM716^6+WeightSDS!R$30*$AM716^5+WeightSDS!S$30*$AM716^4+WeightSDS!T$30*$AM716^3+WeightSDS!U$30*$AM716^2+WeightSDS!V$30*$AM716+WeightSDS!W$30-0.010431*(1-1/$AM716),WeightSDS!M$32+WeightSDS!N$32/(1+EXP(WeightSDS!O$32+WeightSDS!P$32*$AM716))-0.010431*(1-$AM716/210))))</f>
        <v>2.9500001032655536</v>
      </c>
      <c r="AQ716" s="4">
        <f>IF(D716="M",IF($AM716&lt;162,WeightSDS!P$12*$AM716^7+WeightSDS!Q$12*$AM716^6+WeightSDS!R$12*$AM716^5+WeightSDS!S$12*$AM716^4+WeightSDS!T$12*$AM716^3+WeightSDS!U$12*$AM716^2+WeightSDS!V$12*$AM716+WeightSDS!W$12,WeightSDS!P$14*$AM716^7+WeightSDS!Q$14*$AM716^6+WeightSDS!R$14*$AM716^5+WeightSDS!S$14*$AM716^4+WeightSDS!T$14*$AM716^3+WeightSDS!U$14*$AM716^2+WeightSDS!V$14*$AM716+WeightSDS!W$14),IF($AM716&lt;156,WeightSDS!O$17*$AM716^8+WeightSDS!P$17*$AM716^7+WeightSDS!Q$17*$AM716^6+WeightSDS!R$17*$AM716^5+WeightSDS!S$17*$AM716^4+WeightSDS!T$17*$AM716^3+WeightSDS!U$17*$AM716^2+WeightSDS!V$17*$AM716+WeightSDS!W$17,IF($AM716&lt;186,WeightSDS!$U$18+(WeightSDS!$V$18-WeightSDS!$U$18)/24*($AM716-186)+WeightSDS!$W$18*(-$AM716+186)^2-0.005,WeightSDS!$U$18+(WeightSDS!$V$18-WeightSDS!$U$18)/24*($AM716-186)-0.005)))</f>
        <v>0.14604529399999999</v>
      </c>
      <c r="AT716" s="4">
        <f t="shared" si="238"/>
        <v>0.56299999999999994</v>
      </c>
      <c r="AU716" s="4">
        <f t="shared" si="239"/>
        <v>69</v>
      </c>
      <c r="AV716" s="4">
        <f t="shared" si="240"/>
        <v>0.51</v>
      </c>
    </row>
    <row r="717" spans="1:48" x14ac:dyDescent="0.15">
      <c r="A717" s="4"/>
      <c r="B717" s="21"/>
      <c r="C717" s="21"/>
      <c r="D717" s="21"/>
      <c r="E717" s="22"/>
      <c r="F717" s="22"/>
      <c r="G717" s="23"/>
      <c r="H717" s="23"/>
      <c r="I717" s="181"/>
      <c r="J717" s="8" t="str">
        <f t="shared" si="232"/>
        <v/>
      </c>
      <c r="K717" s="2" t="str">
        <f t="shared" si="241"/>
        <v/>
      </c>
      <c r="L717" s="2" t="str">
        <f t="shared" si="233"/>
        <v/>
      </c>
      <c r="M717" s="2" t="str">
        <f t="shared" si="242"/>
        <v/>
      </c>
      <c r="N717" s="2" t="str">
        <f t="shared" si="250"/>
        <v/>
      </c>
      <c r="O717" s="2" t="str">
        <f t="shared" si="243"/>
        <v/>
      </c>
      <c r="P717" s="8" t="str">
        <f t="shared" si="244"/>
        <v/>
      </c>
      <c r="Q717" s="8" t="str">
        <f t="shared" si="245"/>
        <v/>
      </c>
      <c r="R717" s="111" t="str">
        <f t="shared" si="246"/>
        <v/>
      </c>
      <c r="S717" s="44" t="str">
        <f t="shared" si="247"/>
        <v/>
      </c>
      <c r="T717" s="37" t="str">
        <f t="shared" si="248"/>
        <v/>
      </c>
      <c r="U717" s="44" t="str">
        <f t="shared" si="249"/>
        <v/>
      </c>
      <c r="V717" s="26"/>
      <c r="W717" s="26"/>
      <c r="X717" s="26"/>
      <c r="Y717" s="26"/>
      <c r="Z717" s="24"/>
      <c r="AA717" s="169">
        <f t="shared" si="234"/>
        <v>0</v>
      </c>
      <c r="AB717" s="4">
        <f t="shared" si="235"/>
        <v>0</v>
      </c>
      <c r="AC717" s="170">
        <f t="shared" si="231"/>
        <v>0</v>
      </c>
      <c r="AD717" s="58"/>
      <c r="AE717" s="58"/>
      <c r="AF717" s="58"/>
      <c r="AG717" s="59">
        <f t="shared" si="236"/>
        <v>9.0359999999999996</v>
      </c>
      <c r="AH717" s="59">
        <f t="shared" si="237"/>
        <v>-184.49199999999999</v>
      </c>
      <c r="AJ717" s="4">
        <f>IF(D717="M",IF(AM717&lt;78,BMILMS!$D$5*AM717^3+BMILMS!$E$5*AM717^2+BMILMS!$F$5*AM717+BMILMS!$G$5,IF(AM717&lt;150,BMILMS!$D$6*AM717^3+BMILMS!$E$6*AM717^2+BMILMS!$F$6*AM717+BMILMS!$G$6,BMILMS!$D$7*AM717^3+BMILMS!$E$7*AM717^2+BMILMS!$F$7*AM717+BMILMS!$G$7)),IF(AM717&lt;69,BMILMS!$D$9*AM717^3+BMILMS!$E$9*AM717^2+BMILMS!$F$9*AM717+BMILMS!$G$9,IF(AM717&lt;150,BMILMS!$D$10*AM717^3+BMILMS!$E$10*AM717^2+BMILMS!$F$10*AM717+BMILMS!$G$10,BMILMS!$D$11*AM717^3+BMILMS!$E$11*AM717^2+BMILMS!$F$11*AM717+BMILMS!$G$11)))</f>
        <v>0.79584630099999998</v>
      </c>
      <c r="AK717" s="4">
        <f>IF(D717="M",(IF(AM717&lt;2.5,BMILMS!$D$21*AM717^3+BMILMS!$E$21*AM717^2+BMILMS!$F$21*AM717+BMILMS!$G$21,IF(AM717&lt;9.5,BMILMS!$D$22*AM717^3+BMILMS!$E$22*AM717^2+BMILMS!$F$22*AM717+BMILMS!$G$22,IF(AM717&lt;26.75,BMILMS!$D$23*AM717^3+BMILMS!$E$23*AM717^2+BMILMS!$F$23*AM717+BMILMS!$G$23,IF(AM717&lt;90,BMILMS!$D$24*AM717^3+BMILMS!$E$24*AM717^2+BMILMS!$F$24*AM717+BMILMS!$G$24,BMILMS!$D$25*AM717^3+BMILMS!$E$25*AM717^2+BMILMS!$F$25*AM717+BMILMS!$G$25))))),(IF(AM717&lt;2.5,BMILMS!$D$27*AM717^3+BMILMS!$E$27*AM717^2+BMILMS!$F$27*AM717+BMILMS!$G$27,IF(AM717&lt;9.5,BMILMS!$D$28*AM717^3+BMILMS!$E$28*AM717^2+BMILMS!$F$28*AM717+BMILMS!$G$28,IF(AM717&lt;26.75,BMILMS!$D$29*AM717^3+BMILMS!$E$29*AM717^2+BMILMS!$F$29*AM717+BMILMS!$G$29,IF(AM717&lt;90,BMILMS!$D$30*AM717^3+BMILMS!$E$30*AM717^2+BMILMS!$F$30*AM717+BMILMS!$G$30,IF(AM717&lt;150,BMILMS!$D$31*AM717^3+BMILMS!$E$31*AM717^2+BMILMS!$F$31*AM717+BMILMS!$G$31,BMILMS!$D$32*AM717^3+BMILMS!$E$32*AM717^2+BMILMS!$F$32*AM717+BMILMS!$G$32)))))))</f>
        <v>12.568967990000001</v>
      </c>
      <c r="AL717" s="4">
        <f>IF(D717="M",(IF(AM717&lt;90,BMILMS!$D$14*AM717^3+BMILMS!$E$14*AM717^2+BMILMS!$F$14*AM717+BMILMS!$G$14,BMILMS!$D$15*AM717^3+BMILMS!$E$15*AM717^2+BMILMS!$F$15*AM717+BMILMS!$G$15)),(IF(AM717&lt;90,BMILMS!$D$17*AM717^3+BMILMS!$E$17*AM717^2+BMILMS!$F$17*AM717+BMILMS!$G$17,BMILMS!$D$18*AM717^3+BMILMS!$E$18*AM717^2+BMILMS!$F$18*AM717+BMILMS!$G$18)))</f>
        <v>8.8969350000000003E-2</v>
      </c>
      <c r="AM717" s="4">
        <f t="shared" si="251"/>
        <v>0</v>
      </c>
      <c r="AO717" s="56">
        <f>IF(D717="M",WeightSDS!P$5*$AM717^7+WeightSDS!Q$5*$AM717^6+WeightSDS!R$5*$AM717^5+WeightSDS!S$5*$AM717^4+WeightSDS!T$5*$AM717^3+WeightSDS!U$5*$AM717^2+WeightSDS!V$5*$AM717+WeightSDS!W$5,IF($AM717&lt;186,WeightSDS!P$8*$AM717^7+WeightSDS!Q$8*$AM717^6+WeightSDS!R$8*$AM717^5+WeightSDS!S$8*$AM717^4+WeightSDS!T$8*$AM717^3+WeightSDS!U$8*$AM717^2+WeightSDS!V$8*$AM717+WeightSDS!W$8,WeightSDS!$U$9+WeightSDS!$V$9*($AM717-WeightSDS!$W$9)))</f>
        <v>0.75407122999999998</v>
      </c>
      <c r="AP717" s="4">
        <f>IF(D717="M",IF($AM717&lt;45,WeightSDS!M$23*$AM717^10+WeightSDS!N$23*$AM717^9+WeightSDS!O$23*$AM717^8+WeightSDS!P$23*$AM717^7+WeightSDS!Q$23*$AM717^6+WeightSDS!R$23*$AM717^5+WeightSDS!S$23*$AM717^4+WeightSDS!T$23*$AM717^3+WeightSDS!U$23*$AM717^2+WeightSDS!V$23*$AM717+WeightSDS!W$23,IF($AM717&lt;153,WeightSDS!M$25*$AM717^10+WeightSDS!N$25*$AM717^9+WeightSDS!O$25*$AM717^8+WeightSDS!P$25*$AM717^7+WeightSDS!Q$25*$AM717^6+WeightSDS!R$25*$AM717^5+WeightSDS!S$25*$AM717^4+WeightSDS!T$25*$AM717^3+WeightSDS!U$25*$AM717^2+WeightSDS!V$25*$AM717+WeightSDS!W$25,WeightSDS!M$27+WeightSDS!N$27/(1+EXP(WeightSDS!O$27+WeightSDS!P$27*$AM717)))),IF($AM717&lt;43.8,WeightSDS!M$29*$AM717^10+WeightSDS!N$29*$AM717^9+WeightSDS!O$29*$AM717^8+WeightSDS!P$29*$AM717^7+WeightSDS!Q$29*$AM717^6+WeightSDS!R$29*$AM717^5+WeightSDS!S$29*$AM717^4+WeightSDS!T$29*$AM717^3+WeightSDS!U$29*$AM717^2+WeightSDS!V$29*$AM717+WeightSDS!W$29-0.010431*(1-$AM717/210),IF($AM717&lt;123,WeightSDS!M$30*$AM717^10+WeightSDS!N$30*$AM717^9+WeightSDS!O$30*$AM717^8+WeightSDS!P$30*$AM717^7+WeightSDS!Q$30*$AM717^6+WeightSDS!R$30*$AM717^5+WeightSDS!S$30*$AM717^4+WeightSDS!T$30*$AM717^3+WeightSDS!U$30*$AM717^2+WeightSDS!V$30*$AM717+WeightSDS!W$30-0.010431*(1-1/$AM717),WeightSDS!M$32+WeightSDS!N$32/(1+EXP(WeightSDS!O$32+WeightSDS!P$32*$AM717))-0.010431*(1-$AM717/210))))</f>
        <v>2.9500001032655536</v>
      </c>
      <c r="AQ717" s="4">
        <f>IF(D717="M",IF($AM717&lt;162,WeightSDS!P$12*$AM717^7+WeightSDS!Q$12*$AM717^6+WeightSDS!R$12*$AM717^5+WeightSDS!S$12*$AM717^4+WeightSDS!T$12*$AM717^3+WeightSDS!U$12*$AM717^2+WeightSDS!V$12*$AM717+WeightSDS!W$12,WeightSDS!P$14*$AM717^7+WeightSDS!Q$14*$AM717^6+WeightSDS!R$14*$AM717^5+WeightSDS!S$14*$AM717^4+WeightSDS!T$14*$AM717^3+WeightSDS!U$14*$AM717^2+WeightSDS!V$14*$AM717+WeightSDS!W$14),IF($AM717&lt;156,WeightSDS!O$17*$AM717^8+WeightSDS!P$17*$AM717^7+WeightSDS!Q$17*$AM717^6+WeightSDS!R$17*$AM717^5+WeightSDS!S$17*$AM717^4+WeightSDS!T$17*$AM717^3+WeightSDS!U$17*$AM717^2+WeightSDS!V$17*$AM717+WeightSDS!W$17,IF($AM717&lt;186,WeightSDS!$U$18+(WeightSDS!$V$18-WeightSDS!$U$18)/24*($AM717-186)+WeightSDS!$W$18*(-$AM717+186)^2-0.005,WeightSDS!$U$18+(WeightSDS!$V$18-WeightSDS!$U$18)/24*($AM717-186)-0.005)))</f>
        <v>0.14604529399999999</v>
      </c>
      <c r="AT717" s="4">
        <f t="shared" si="238"/>
        <v>0.56299999999999994</v>
      </c>
      <c r="AU717" s="4">
        <f t="shared" si="239"/>
        <v>69</v>
      </c>
      <c r="AV717" s="4">
        <f t="shared" si="240"/>
        <v>0.51</v>
      </c>
    </row>
    <row r="718" spans="1:48" x14ac:dyDescent="0.15">
      <c r="A718" s="4"/>
      <c r="B718" s="21"/>
      <c r="C718" s="21"/>
      <c r="D718" s="21"/>
      <c r="E718" s="22"/>
      <c r="F718" s="22"/>
      <c r="G718" s="23"/>
      <c r="H718" s="23"/>
      <c r="I718" s="181"/>
      <c r="J718" s="8" t="str">
        <f t="shared" si="232"/>
        <v/>
      </c>
      <c r="K718" s="2" t="str">
        <f t="shared" si="241"/>
        <v/>
      </c>
      <c r="L718" s="2" t="str">
        <f t="shared" si="233"/>
        <v/>
      </c>
      <c r="M718" s="2" t="str">
        <f t="shared" si="242"/>
        <v/>
      </c>
      <c r="N718" s="2" t="str">
        <f t="shared" si="250"/>
        <v/>
      </c>
      <c r="O718" s="2" t="str">
        <f t="shared" si="243"/>
        <v/>
      </c>
      <c r="P718" s="8" t="str">
        <f t="shared" si="244"/>
        <v/>
      </c>
      <c r="Q718" s="8" t="str">
        <f t="shared" si="245"/>
        <v/>
      </c>
      <c r="R718" s="111" t="str">
        <f t="shared" si="246"/>
        <v/>
      </c>
      <c r="S718" s="44" t="str">
        <f t="shared" si="247"/>
        <v/>
      </c>
      <c r="T718" s="37" t="str">
        <f t="shared" si="248"/>
        <v/>
      </c>
      <c r="U718" s="44" t="str">
        <f t="shared" si="249"/>
        <v/>
      </c>
      <c r="V718" s="26"/>
      <c r="W718" s="26"/>
      <c r="X718" s="26"/>
      <c r="Y718" s="26"/>
      <c r="Z718" s="24"/>
      <c r="AA718" s="169">
        <f t="shared" si="234"/>
        <v>0</v>
      </c>
      <c r="AB718" s="4">
        <f t="shared" si="235"/>
        <v>0</v>
      </c>
      <c r="AC718" s="170">
        <f t="shared" si="231"/>
        <v>0</v>
      </c>
      <c r="AD718" s="58"/>
      <c r="AE718" s="58"/>
      <c r="AF718" s="58"/>
      <c r="AG718" s="59">
        <f t="shared" si="236"/>
        <v>9.0359999999999996</v>
      </c>
      <c r="AH718" s="59">
        <f t="shared" si="237"/>
        <v>-184.49199999999999</v>
      </c>
      <c r="AJ718" s="4">
        <f>IF(D718="M",IF(AM718&lt;78,BMILMS!$D$5*AM718^3+BMILMS!$E$5*AM718^2+BMILMS!$F$5*AM718+BMILMS!$G$5,IF(AM718&lt;150,BMILMS!$D$6*AM718^3+BMILMS!$E$6*AM718^2+BMILMS!$F$6*AM718+BMILMS!$G$6,BMILMS!$D$7*AM718^3+BMILMS!$E$7*AM718^2+BMILMS!$F$7*AM718+BMILMS!$G$7)),IF(AM718&lt;69,BMILMS!$D$9*AM718^3+BMILMS!$E$9*AM718^2+BMILMS!$F$9*AM718+BMILMS!$G$9,IF(AM718&lt;150,BMILMS!$D$10*AM718^3+BMILMS!$E$10*AM718^2+BMILMS!$F$10*AM718+BMILMS!$G$10,BMILMS!$D$11*AM718^3+BMILMS!$E$11*AM718^2+BMILMS!$F$11*AM718+BMILMS!$G$11)))</f>
        <v>0.79584630099999998</v>
      </c>
      <c r="AK718" s="4">
        <f>IF(D718="M",(IF(AM718&lt;2.5,BMILMS!$D$21*AM718^3+BMILMS!$E$21*AM718^2+BMILMS!$F$21*AM718+BMILMS!$G$21,IF(AM718&lt;9.5,BMILMS!$D$22*AM718^3+BMILMS!$E$22*AM718^2+BMILMS!$F$22*AM718+BMILMS!$G$22,IF(AM718&lt;26.75,BMILMS!$D$23*AM718^3+BMILMS!$E$23*AM718^2+BMILMS!$F$23*AM718+BMILMS!$G$23,IF(AM718&lt;90,BMILMS!$D$24*AM718^3+BMILMS!$E$24*AM718^2+BMILMS!$F$24*AM718+BMILMS!$G$24,BMILMS!$D$25*AM718^3+BMILMS!$E$25*AM718^2+BMILMS!$F$25*AM718+BMILMS!$G$25))))),(IF(AM718&lt;2.5,BMILMS!$D$27*AM718^3+BMILMS!$E$27*AM718^2+BMILMS!$F$27*AM718+BMILMS!$G$27,IF(AM718&lt;9.5,BMILMS!$D$28*AM718^3+BMILMS!$E$28*AM718^2+BMILMS!$F$28*AM718+BMILMS!$G$28,IF(AM718&lt;26.75,BMILMS!$D$29*AM718^3+BMILMS!$E$29*AM718^2+BMILMS!$F$29*AM718+BMILMS!$G$29,IF(AM718&lt;90,BMILMS!$D$30*AM718^3+BMILMS!$E$30*AM718^2+BMILMS!$F$30*AM718+BMILMS!$G$30,IF(AM718&lt;150,BMILMS!$D$31*AM718^3+BMILMS!$E$31*AM718^2+BMILMS!$F$31*AM718+BMILMS!$G$31,BMILMS!$D$32*AM718^3+BMILMS!$E$32*AM718^2+BMILMS!$F$32*AM718+BMILMS!$G$32)))))))</f>
        <v>12.568967990000001</v>
      </c>
      <c r="AL718" s="4">
        <f>IF(D718="M",(IF(AM718&lt;90,BMILMS!$D$14*AM718^3+BMILMS!$E$14*AM718^2+BMILMS!$F$14*AM718+BMILMS!$G$14,BMILMS!$D$15*AM718^3+BMILMS!$E$15*AM718^2+BMILMS!$F$15*AM718+BMILMS!$G$15)),(IF(AM718&lt;90,BMILMS!$D$17*AM718^3+BMILMS!$E$17*AM718^2+BMILMS!$F$17*AM718+BMILMS!$G$17,BMILMS!$D$18*AM718^3+BMILMS!$E$18*AM718^2+BMILMS!$F$18*AM718+BMILMS!$G$18)))</f>
        <v>8.8969350000000003E-2</v>
      </c>
      <c r="AM718" s="4">
        <f t="shared" si="251"/>
        <v>0</v>
      </c>
      <c r="AO718" s="56">
        <f>IF(D718="M",WeightSDS!P$5*$AM718^7+WeightSDS!Q$5*$AM718^6+WeightSDS!R$5*$AM718^5+WeightSDS!S$5*$AM718^4+WeightSDS!T$5*$AM718^3+WeightSDS!U$5*$AM718^2+WeightSDS!V$5*$AM718+WeightSDS!W$5,IF($AM718&lt;186,WeightSDS!P$8*$AM718^7+WeightSDS!Q$8*$AM718^6+WeightSDS!R$8*$AM718^5+WeightSDS!S$8*$AM718^4+WeightSDS!T$8*$AM718^3+WeightSDS!U$8*$AM718^2+WeightSDS!V$8*$AM718+WeightSDS!W$8,WeightSDS!$U$9+WeightSDS!$V$9*($AM718-WeightSDS!$W$9)))</f>
        <v>0.75407122999999998</v>
      </c>
      <c r="AP718" s="4">
        <f>IF(D718="M",IF($AM718&lt;45,WeightSDS!M$23*$AM718^10+WeightSDS!N$23*$AM718^9+WeightSDS!O$23*$AM718^8+WeightSDS!P$23*$AM718^7+WeightSDS!Q$23*$AM718^6+WeightSDS!R$23*$AM718^5+WeightSDS!S$23*$AM718^4+WeightSDS!T$23*$AM718^3+WeightSDS!U$23*$AM718^2+WeightSDS!V$23*$AM718+WeightSDS!W$23,IF($AM718&lt;153,WeightSDS!M$25*$AM718^10+WeightSDS!N$25*$AM718^9+WeightSDS!O$25*$AM718^8+WeightSDS!P$25*$AM718^7+WeightSDS!Q$25*$AM718^6+WeightSDS!R$25*$AM718^5+WeightSDS!S$25*$AM718^4+WeightSDS!T$25*$AM718^3+WeightSDS!U$25*$AM718^2+WeightSDS!V$25*$AM718+WeightSDS!W$25,WeightSDS!M$27+WeightSDS!N$27/(1+EXP(WeightSDS!O$27+WeightSDS!P$27*$AM718)))),IF($AM718&lt;43.8,WeightSDS!M$29*$AM718^10+WeightSDS!N$29*$AM718^9+WeightSDS!O$29*$AM718^8+WeightSDS!P$29*$AM718^7+WeightSDS!Q$29*$AM718^6+WeightSDS!R$29*$AM718^5+WeightSDS!S$29*$AM718^4+WeightSDS!T$29*$AM718^3+WeightSDS!U$29*$AM718^2+WeightSDS!V$29*$AM718+WeightSDS!W$29-0.010431*(1-$AM718/210),IF($AM718&lt;123,WeightSDS!M$30*$AM718^10+WeightSDS!N$30*$AM718^9+WeightSDS!O$30*$AM718^8+WeightSDS!P$30*$AM718^7+WeightSDS!Q$30*$AM718^6+WeightSDS!R$30*$AM718^5+WeightSDS!S$30*$AM718^4+WeightSDS!T$30*$AM718^3+WeightSDS!U$30*$AM718^2+WeightSDS!V$30*$AM718+WeightSDS!W$30-0.010431*(1-1/$AM718),WeightSDS!M$32+WeightSDS!N$32/(1+EXP(WeightSDS!O$32+WeightSDS!P$32*$AM718))-0.010431*(1-$AM718/210))))</f>
        <v>2.9500001032655536</v>
      </c>
      <c r="AQ718" s="4">
        <f>IF(D718="M",IF($AM718&lt;162,WeightSDS!P$12*$AM718^7+WeightSDS!Q$12*$AM718^6+WeightSDS!R$12*$AM718^5+WeightSDS!S$12*$AM718^4+WeightSDS!T$12*$AM718^3+WeightSDS!U$12*$AM718^2+WeightSDS!V$12*$AM718+WeightSDS!W$12,WeightSDS!P$14*$AM718^7+WeightSDS!Q$14*$AM718^6+WeightSDS!R$14*$AM718^5+WeightSDS!S$14*$AM718^4+WeightSDS!T$14*$AM718^3+WeightSDS!U$14*$AM718^2+WeightSDS!V$14*$AM718+WeightSDS!W$14),IF($AM718&lt;156,WeightSDS!O$17*$AM718^8+WeightSDS!P$17*$AM718^7+WeightSDS!Q$17*$AM718^6+WeightSDS!R$17*$AM718^5+WeightSDS!S$17*$AM718^4+WeightSDS!T$17*$AM718^3+WeightSDS!U$17*$AM718^2+WeightSDS!V$17*$AM718+WeightSDS!W$17,IF($AM718&lt;186,WeightSDS!$U$18+(WeightSDS!$V$18-WeightSDS!$U$18)/24*($AM718-186)+WeightSDS!$W$18*(-$AM718+186)^2-0.005,WeightSDS!$U$18+(WeightSDS!$V$18-WeightSDS!$U$18)/24*($AM718-186)-0.005)))</f>
        <v>0.14604529399999999</v>
      </c>
      <c r="AT718" s="4">
        <f t="shared" si="238"/>
        <v>0.56299999999999994</v>
      </c>
      <c r="AU718" s="4">
        <f t="shared" si="239"/>
        <v>69</v>
      </c>
      <c r="AV718" s="4">
        <f t="shared" si="240"/>
        <v>0.51</v>
      </c>
    </row>
    <row r="719" spans="1:48" x14ac:dyDescent="0.15">
      <c r="A719" s="4"/>
      <c r="B719" s="21"/>
      <c r="C719" s="21"/>
      <c r="D719" s="21"/>
      <c r="E719" s="22"/>
      <c r="F719" s="22"/>
      <c r="G719" s="23"/>
      <c r="H719" s="23"/>
      <c r="I719" s="181"/>
      <c r="J719" s="8" t="str">
        <f t="shared" si="232"/>
        <v/>
      </c>
      <c r="K719" s="2" t="str">
        <f t="shared" si="241"/>
        <v/>
      </c>
      <c r="L719" s="2" t="str">
        <f t="shared" si="233"/>
        <v/>
      </c>
      <c r="M719" s="2" t="str">
        <f t="shared" si="242"/>
        <v/>
      </c>
      <c r="N719" s="2" t="str">
        <f t="shared" si="250"/>
        <v/>
      </c>
      <c r="O719" s="2" t="str">
        <f t="shared" si="243"/>
        <v/>
      </c>
      <c r="P719" s="8" t="str">
        <f t="shared" si="244"/>
        <v/>
      </c>
      <c r="Q719" s="8" t="str">
        <f t="shared" si="245"/>
        <v/>
      </c>
      <c r="R719" s="111" t="str">
        <f t="shared" si="246"/>
        <v/>
      </c>
      <c r="S719" s="44" t="str">
        <f t="shared" si="247"/>
        <v/>
      </c>
      <c r="T719" s="37" t="str">
        <f t="shared" si="248"/>
        <v/>
      </c>
      <c r="U719" s="44" t="str">
        <f t="shared" si="249"/>
        <v/>
      </c>
      <c r="V719" s="26"/>
      <c r="W719" s="26"/>
      <c r="X719" s="26"/>
      <c r="Y719" s="26"/>
      <c r="Z719" s="24"/>
      <c r="AA719" s="169">
        <f t="shared" si="234"/>
        <v>0</v>
      </c>
      <c r="AB719" s="4">
        <f t="shared" si="235"/>
        <v>0</v>
      </c>
      <c r="AC719" s="170">
        <f t="shared" si="231"/>
        <v>0</v>
      </c>
      <c r="AD719" s="58"/>
      <c r="AE719" s="58"/>
      <c r="AF719" s="58"/>
      <c r="AG719" s="59">
        <f t="shared" si="236"/>
        <v>9.0359999999999996</v>
      </c>
      <c r="AH719" s="59">
        <f t="shared" si="237"/>
        <v>-184.49199999999999</v>
      </c>
      <c r="AJ719" s="4">
        <f>IF(D719="M",IF(AM719&lt;78,BMILMS!$D$5*AM719^3+BMILMS!$E$5*AM719^2+BMILMS!$F$5*AM719+BMILMS!$G$5,IF(AM719&lt;150,BMILMS!$D$6*AM719^3+BMILMS!$E$6*AM719^2+BMILMS!$F$6*AM719+BMILMS!$G$6,BMILMS!$D$7*AM719^3+BMILMS!$E$7*AM719^2+BMILMS!$F$7*AM719+BMILMS!$G$7)),IF(AM719&lt;69,BMILMS!$D$9*AM719^3+BMILMS!$E$9*AM719^2+BMILMS!$F$9*AM719+BMILMS!$G$9,IF(AM719&lt;150,BMILMS!$D$10*AM719^3+BMILMS!$E$10*AM719^2+BMILMS!$F$10*AM719+BMILMS!$G$10,BMILMS!$D$11*AM719^3+BMILMS!$E$11*AM719^2+BMILMS!$F$11*AM719+BMILMS!$G$11)))</f>
        <v>0.79584630099999998</v>
      </c>
      <c r="AK719" s="4">
        <f>IF(D719="M",(IF(AM719&lt;2.5,BMILMS!$D$21*AM719^3+BMILMS!$E$21*AM719^2+BMILMS!$F$21*AM719+BMILMS!$G$21,IF(AM719&lt;9.5,BMILMS!$D$22*AM719^3+BMILMS!$E$22*AM719^2+BMILMS!$F$22*AM719+BMILMS!$G$22,IF(AM719&lt;26.75,BMILMS!$D$23*AM719^3+BMILMS!$E$23*AM719^2+BMILMS!$F$23*AM719+BMILMS!$G$23,IF(AM719&lt;90,BMILMS!$D$24*AM719^3+BMILMS!$E$24*AM719^2+BMILMS!$F$24*AM719+BMILMS!$G$24,BMILMS!$D$25*AM719^3+BMILMS!$E$25*AM719^2+BMILMS!$F$25*AM719+BMILMS!$G$25))))),(IF(AM719&lt;2.5,BMILMS!$D$27*AM719^3+BMILMS!$E$27*AM719^2+BMILMS!$F$27*AM719+BMILMS!$G$27,IF(AM719&lt;9.5,BMILMS!$D$28*AM719^3+BMILMS!$E$28*AM719^2+BMILMS!$F$28*AM719+BMILMS!$G$28,IF(AM719&lt;26.75,BMILMS!$D$29*AM719^3+BMILMS!$E$29*AM719^2+BMILMS!$F$29*AM719+BMILMS!$G$29,IF(AM719&lt;90,BMILMS!$D$30*AM719^3+BMILMS!$E$30*AM719^2+BMILMS!$F$30*AM719+BMILMS!$G$30,IF(AM719&lt;150,BMILMS!$D$31*AM719^3+BMILMS!$E$31*AM719^2+BMILMS!$F$31*AM719+BMILMS!$G$31,BMILMS!$D$32*AM719^3+BMILMS!$E$32*AM719^2+BMILMS!$F$32*AM719+BMILMS!$G$32)))))))</f>
        <v>12.568967990000001</v>
      </c>
      <c r="AL719" s="4">
        <f>IF(D719="M",(IF(AM719&lt;90,BMILMS!$D$14*AM719^3+BMILMS!$E$14*AM719^2+BMILMS!$F$14*AM719+BMILMS!$G$14,BMILMS!$D$15*AM719^3+BMILMS!$E$15*AM719^2+BMILMS!$F$15*AM719+BMILMS!$G$15)),(IF(AM719&lt;90,BMILMS!$D$17*AM719^3+BMILMS!$E$17*AM719^2+BMILMS!$F$17*AM719+BMILMS!$G$17,BMILMS!$D$18*AM719^3+BMILMS!$E$18*AM719^2+BMILMS!$F$18*AM719+BMILMS!$G$18)))</f>
        <v>8.8969350000000003E-2</v>
      </c>
      <c r="AM719" s="4">
        <f t="shared" si="251"/>
        <v>0</v>
      </c>
      <c r="AO719" s="56">
        <f>IF(D719="M",WeightSDS!P$5*$AM719^7+WeightSDS!Q$5*$AM719^6+WeightSDS!R$5*$AM719^5+WeightSDS!S$5*$AM719^4+WeightSDS!T$5*$AM719^3+WeightSDS!U$5*$AM719^2+WeightSDS!V$5*$AM719+WeightSDS!W$5,IF($AM719&lt;186,WeightSDS!P$8*$AM719^7+WeightSDS!Q$8*$AM719^6+WeightSDS!R$8*$AM719^5+WeightSDS!S$8*$AM719^4+WeightSDS!T$8*$AM719^3+WeightSDS!U$8*$AM719^2+WeightSDS!V$8*$AM719+WeightSDS!W$8,WeightSDS!$U$9+WeightSDS!$V$9*($AM719-WeightSDS!$W$9)))</f>
        <v>0.75407122999999998</v>
      </c>
      <c r="AP719" s="4">
        <f>IF(D719="M",IF($AM719&lt;45,WeightSDS!M$23*$AM719^10+WeightSDS!N$23*$AM719^9+WeightSDS!O$23*$AM719^8+WeightSDS!P$23*$AM719^7+WeightSDS!Q$23*$AM719^6+WeightSDS!R$23*$AM719^5+WeightSDS!S$23*$AM719^4+WeightSDS!T$23*$AM719^3+WeightSDS!U$23*$AM719^2+WeightSDS!V$23*$AM719+WeightSDS!W$23,IF($AM719&lt;153,WeightSDS!M$25*$AM719^10+WeightSDS!N$25*$AM719^9+WeightSDS!O$25*$AM719^8+WeightSDS!P$25*$AM719^7+WeightSDS!Q$25*$AM719^6+WeightSDS!R$25*$AM719^5+WeightSDS!S$25*$AM719^4+WeightSDS!T$25*$AM719^3+WeightSDS!U$25*$AM719^2+WeightSDS!V$25*$AM719+WeightSDS!W$25,WeightSDS!M$27+WeightSDS!N$27/(1+EXP(WeightSDS!O$27+WeightSDS!P$27*$AM719)))),IF($AM719&lt;43.8,WeightSDS!M$29*$AM719^10+WeightSDS!N$29*$AM719^9+WeightSDS!O$29*$AM719^8+WeightSDS!P$29*$AM719^7+WeightSDS!Q$29*$AM719^6+WeightSDS!R$29*$AM719^5+WeightSDS!S$29*$AM719^4+WeightSDS!T$29*$AM719^3+WeightSDS!U$29*$AM719^2+WeightSDS!V$29*$AM719+WeightSDS!W$29-0.010431*(1-$AM719/210),IF($AM719&lt;123,WeightSDS!M$30*$AM719^10+WeightSDS!N$30*$AM719^9+WeightSDS!O$30*$AM719^8+WeightSDS!P$30*$AM719^7+WeightSDS!Q$30*$AM719^6+WeightSDS!R$30*$AM719^5+WeightSDS!S$30*$AM719^4+WeightSDS!T$30*$AM719^3+WeightSDS!U$30*$AM719^2+WeightSDS!V$30*$AM719+WeightSDS!W$30-0.010431*(1-1/$AM719),WeightSDS!M$32+WeightSDS!N$32/(1+EXP(WeightSDS!O$32+WeightSDS!P$32*$AM719))-0.010431*(1-$AM719/210))))</f>
        <v>2.9500001032655536</v>
      </c>
      <c r="AQ719" s="4">
        <f>IF(D719="M",IF($AM719&lt;162,WeightSDS!P$12*$AM719^7+WeightSDS!Q$12*$AM719^6+WeightSDS!R$12*$AM719^5+WeightSDS!S$12*$AM719^4+WeightSDS!T$12*$AM719^3+WeightSDS!U$12*$AM719^2+WeightSDS!V$12*$AM719+WeightSDS!W$12,WeightSDS!P$14*$AM719^7+WeightSDS!Q$14*$AM719^6+WeightSDS!R$14*$AM719^5+WeightSDS!S$14*$AM719^4+WeightSDS!T$14*$AM719^3+WeightSDS!U$14*$AM719^2+WeightSDS!V$14*$AM719+WeightSDS!W$14),IF($AM719&lt;156,WeightSDS!O$17*$AM719^8+WeightSDS!P$17*$AM719^7+WeightSDS!Q$17*$AM719^6+WeightSDS!R$17*$AM719^5+WeightSDS!S$17*$AM719^4+WeightSDS!T$17*$AM719^3+WeightSDS!U$17*$AM719^2+WeightSDS!V$17*$AM719+WeightSDS!W$17,IF($AM719&lt;186,WeightSDS!$U$18+(WeightSDS!$V$18-WeightSDS!$U$18)/24*($AM719-186)+WeightSDS!$W$18*(-$AM719+186)^2-0.005,WeightSDS!$U$18+(WeightSDS!$V$18-WeightSDS!$U$18)/24*($AM719-186)-0.005)))</f>
        <v>0.14604529399999999</v>
      </c>
      <c r="AT719" s="4">
        <f t="shared" si="238"/>
        <v>0.56299999999999994</v>
      </c>
      <c r="AU719" s="4">
        <f t="shared" si="239"/>
        <v>69</v>
      </c>
      <c r="AV719" s="4">
        <f t="shared" si="240"/>
        <v>0.51</v>
      </c>
    </row>
    <row r="720" spans="1:48" x14ac:dyDescent="0.15">
      <c r="A720" s="4"/>
      <c r="B720" s="21"/>
      <c r="C720" s="21"/>
      <c r="D720" s="21"/>
      <c r="E720" s="22"/>
      <c r="F720" s="22"/>
      <c r="G720" s="23"/>
      <c r="H720" s="23"/>
      <c r="I720" s="181"/>
      <c r="J720" s="8" t="str">
        <f t="shared" si="232"/>
        <v/>
      </c>
      <c r="K720" s="2" t="str">
        <f t="shared" si="241"/>
        <v/>
      </c>
      <c r="L720" s="2" t="str">
        <f t="shared" si="233"/>
        <v/>
      </c>
      <c r="M720" s="2" t="str">
        <f t="shared" si="242"/>
        <v/>
      </c>
      <c r="N720" s="2" t="str">
        <f t="shared" si="250"/>
        <v/>
      </c>
      <c r="O720" s="2" t="str">
        <f t="shared" si="243"/>
        <v/>
      </c>
      <c r="P720" s="8" t="str">
        <f t="shared" si="244"/>
        <v/>
      </c>
      <c r="Q720" s="8" t="str">
        <f t="shared" si="245"/>
        <v/>
      </c>
      <c r="R720" s="111" t="str">
        <f t="shared" si="246"/>
        <v/>
      </c>
      <c r="S720" s="44" t="str">
        <f t="shared" si="247"/>
        <v/>
      </c>
      <c r="T720" s="37" t="str">
        <f t="shared" si="248"/>
        <v/>
      </c>
      <c r="U720" s="44" t="str">
        <f t="shared" si="249"/>
        <v/>
      </c>
      <c r="V720" s="26"/>
      <c r="W720" s="26"/>
      <c r="X720" s="26"/>
      <c r="Y720" s="26"/>
      <c r="Z720" s="24"/>
      <c r="AA720" s="169">
        <f t="shared" si="234"/>
        <v>0</v>
      </c>
      <c r="AB720" s="4">
        <f t="shared" si="235"/>
        <v>0</v>
      </c>
      <c r="AC720" s="170">
        <f t="shared" si="231"/>
        <v>0</v>
      </c>
      <c r="AD720" s="58"/>
      <c r="AE720" s="58"/>
      <c r="AF720" s="58"/>
      <c r="AG720" s="59">
        <f t="shared" si="236"/>
        <v>9.0359999999999996</v>
      </c>
      <c r="AH720" s="59">
        <f t="shared" si="237"/>
        <v>-184.49199999999999</v>
      </c>
      <c r="AJ720" s="4">
        <f>IF(D720="M",IF(AM720&lt;78,BMILMS!$D$5*AM720^3+BMILMS!$E$5*AM720^2+BMILMS!$F$5*AM720+BMILMS!$G$5,IF(AM720&lt;150,BMILMS!$D$6*AM720^3+BMILMS!$E$6*AM720^2+BMILMS!$F$6*AM720+BMILMS!$G$6,BMILMS!$D$7*AM720^3+BMILMS!$E$7*AM720^2+BMILMS!$F$7*AM720+BMILMS!$G$7)),IF(AM720&lt;69,BMILMS!$D$9*AM720^3+BMILMS!$E$9*AM720^2+BMILMS!$F$9*AM720+BMILMS!$G$9,IF(AM720&lt;150,BMILMS!$D$10*AM720^3+BMILMS!$E$10*AM720^2+BMILMS!$F$10*AM720+BMILMS!$G$10,BMILMS!$D$11*AM720^3+BMILMS!$E$11*AM720^2+BMILMS!$F$11*AM720+BMILMS!$G$11)))</f>
        <v>0.79584630099999998</v>
      </c>
      <c r="AK720" s="4">
        <f>IF(D720="M",(IF(AM720&lt;2.5,BMILMS!$D$21*AM720^3+BMILMS!$E$21*AM720^2+BMILMS!$F$21*AM720+BMILMS!$G$21,IF(AM720&lt;9.5,BMILMS!$D$22*AM720^3+BMILMS!$E$22*AM720^2+BMILMS!$F$22*AM720+BMILMS!$G$22,IF(AM720&lt;26.75,BMILMS!$D$23*AM720^3+BMILMS!$E$23*AM720^2+BMILMS!$F$23*AM720+BMILMS!$G$23,IF(AM720&lt;90,BMILMS!$D$24*AM720^3+BMILMS!$E$24*AM720^2+BMILMS!$F$24*AM720+BMILMS!$G$24,BMILMS!$D$25*AM720^3+BMILMS!$E$25*AM720^2+BMILMS!$F$25*AM720+BMILMS!$G$25))))),(IF(AM720&lt;2.5,BMILMS!$D$27*AM720^3+BMILMS!$E$27*AM720^2+BMILMS!$F$27*AM720+BMILMS!$G$27,IF(AM720&lt;9.5,BMILMS!$D$28*AM720^3+BMILMS!$E$28*AM720^2+BMILMS!$F$28*AM720+BMILMS!$G$28,IF(AM720&lt;26.75,BMILMS!$D$29*AM720^3+BMILMS!$E$29*AM720^2+BMILMS!$F$29*AM720+BMILMS!$G$29,IF(AM720&lt;90,BMILMS!$D$30*AM720^3+BMILMS!$E$30*AM720^2+BMILMS!$F$30*AM720+BMILMS!$G$30,IF(AM720&lt;150,BMILMS!$D$31*AM720^3+BMILMS!$E$31*AM720^2+BMILMS!$F$31*AM720+BMILMS!$G$31,BMILMS!$D$32*AM720^3+BMILMS!$E$32*AM720^2+BMILMS!$F$32*AM720+BMILMS!$G$32)))))))</f>
        <v>12.568967990000001</v>
      </c>
      <c r="AL720" s="4">
        <f>IF(D720="M",(IF(AM720&lt;90,BMILMS!$D$14*AM720^3+BMILMS!$E$14*AM720^2+BMILMS!$F$14*AM720+BMILMS!$G$14,BMILMS!$D$15*AM720^3+BMILMS!$E$15*AM720^2+BMILMS!$F$15*AM720+BMILMS!$G$15)),(IF(AM720&lt;90,BMILMS!$D$17*AM720^3+BMILMS!$E$17*AM720^2+BMILMS!$F$17*AM720+BMILMS!$G$17,BMILMS!$D$18*AM720^3+BMILMS!$E$18*AM720^2+BMILMS!$F$18*AM720+BMILMS!$G$18)))</f>
        <v>8.8969350000000003E-2</v>
      </c>
      <c r="AM720" s="4">
        <f t="shared" si="251"/>
        <v>0</v>
      </c>
      <c r="AO720" s="56">
        <f>IF(D720="M",WeightSDS!P$5*$AM720^7+WeightSDS!Q$5*$AM720^6+WeightSDS!R$5*$AM720^5+WeightSDS!S$5*$AM720^4+WeightSDS!T$5*$AM720^3+WeightSDS!U$5*$AM720^2+WeightSDS!V$5*$AM720+WeightSDS!W$5,IF($AM720&lt;186,WeightSDS!P$8*$AM720^7+WeightSDS!Q$8*$AM720^6+WeightSDS!R$8*$AM720^5+WeightSDS!S$8*$AM720^4+WeightSDS!T$8*$AM720^3+WeightSDS!U$8*$AM720^2+WeightSDS!V$8*$AM720+WeightSDS!W$8,WeightSDS!$U$9+WeightSDS!$V$9*($AM720-WeightSDS!$W$9)))</f>
        <v>0.75407122999999998</v>
      </c>
      <c r="AP720" s="4">
        <f>IF(D720="M",IF($AM720&lt;45,WeightSDS!M$23*$AM720^10+WeightSDS!N$23*$AM720^9+WeightSDS!O$23*$AM720^8+WeightSDS!P$23*$AM720^7+WeightSDS!Q$23*$AM720^6+WeightSDS!R$23*$AM720^5+WeightSDS!S$23*$AM720^4+WeightSDS!T$23*$AM720^3+WeightSDS!U$23*$AM720^2+WeightSDS!V$23*$AM720+WeightSDS!W$23,IF($AM720&lt;153,WeightSDS!M$25*$AM720^10+WeightSDS!N$25*$AM720^9+WeightSDS!O$25*$AM720^8+WeightSDS!P$25*$AM720^7+WeightSDS!Q$25*$AM720^6+WeightSDS!R$25*$AM720^5+WeightSDS!S$25*$AM720^4+WeightSDS!T$25*$AM720^3+WeightSDS!U$25*$AM720^2+WeightSDS!V$25*$AM720+WeightSDS!W$25,WeightSDS!M$27+WeightSDS!N$27/(1+EXP(WeightSDS!O$27+WeightSDS!P$27*$AM720)))),IF($AM720&lt;43.8,WeightSDS!M$29*$AM720^10+WeightSDS!N$29*$AM720^9+WeightSDS!O$29*$AM720^8+WeightSDS!P$29*$AM720^7+WeightSDS!Q$29*$AM720^6+WeightSDS!R$29*$AM720^5+WeightSDS!S$29*$AM720^4+WeightSDS!T$29*$AM720^3+WeightSDS!U$29*$AM720^2+WeightSDS!V$29*$AM720+WeightSDS!W$29-0.010431*(1-$AM720/210),IF($AM720&lt;123,WeightSDS!M$30*$AM720^10+WeightSDS!N$30*$AM720^9+WeightSDS!O$30*$AM720^8+WeightSDS!P$30*$AM720^7+WeightSDS!Q$30*$AM720^6+WeightSDS!R$30*$AM720^5+WeightSDS!S$30*$AM720^4+WeightSDS!T$30*$AM720^3+WeightSDS!U$30*$AM720^2+WeightSDS!V$30*$AM720+WeightSDS!W$30-0.010431*(1-1/$AM720),WeightSDS!M$32+WeightSDS!N$32/(1+EXP(WeightSDS!O$32+WeightSDS!P$32*$AM720))-0.010431*(1-$AM720/210))))</f>
        <v>2.9500001032655536</v>
      </c>
      <c r="AQ720" s="4">
        <f>IF(D720="M",IF($AM720&lt;162,WeightSDS!P$12*$AM720^7+WeightSDS!Q$12*$AM720^6+WeightSDS!R$12*$AM720^5+WeightSDS!S$12*$AM720^4+WeightSDS!T$12*$AM720^3+WeightSDS!U$12*$AM720^2+WeightSDS!V$12*$AM720+WeightSDS!W$12,WeightSDS!P$14*$AM720^7+WeightSDS!Q$14*$AM720^6+WeightSDS!R$14*$AM720^5+WeightSDS!S$14*$AM720^4+WeightSDS!T$14*$AM720^3+WeightSDS!U$14*$AM720^2+WeightSDS!V$14*$AM720+WeightSDS!W$14),IF($AM720&lt;156,WeightSDS!O$17*$AM720^8+WeightSDS!P$17*$AM720^7+WeightSDS!Q$17*$AM720^6+WeightSDS!R$17*$AM720^5+WeightSDS!S$17*$AM720^4+WeightSDS!T$17*$AM720^3+WeightSDS!U$17*$AM720^2+WeightSDS!V$17*$AM720+WeightSDS!W$17,IF($AM720&lt;186,WeightSDS!$U$18+(WeightSDS!$V$18-WeightSDS!$U$18)/24*($AM720-186)+WeightSDS!$W$18*(-$AM720+186)^2-0.005,WeightSDS!$U$18+(WeightSDS!$V$18-WeightSDS!$U$18)/24*($AM720-186)-0.005)))</f>
        <v>0.14604529399999999</v>
      </c>
      <c r="AT720" s="4">
        <f t="shared" si="238"/>
        <v>0.56299999999999994</v>
      </c>
      <c r="AU720" s="4">
        <f t="shared" si="239"/>
        <v>69</v>
      </c>
      <c r="AV720" s="4">
        <f t="shared" si="240"/>
        <v>0.51</v>
      </c>
    </row>
    <row r="721" spans="1:48" x14ac:dyDescent="0.15">
      <c r="A721" s="4"/>
      <c r="B721" s="21"/>
      <c r="C721" s="21"/>
      <c r="D721" s="21"/>
      <c r="E721" s="22"/>
      <c r="F721" s="22"/>
      <c r="G721" s="23"/>
      <c r="H721" s="23"/>
      <c r="I721" s="181"/>
      <c r="J721" s="8" t="str">
        <f t="shared" si="232"/>
        <v/>
      </c>
      <c r="K721" s="2" t="str">
        <f t="shared" si="241"/>
        <v/>
      </c>
      <c r="L721" s="2" t="str">
        <f t="shared" si="233"/>
        <v/>
      </c>
      <c r="M721" s="2" t="str">
        <f t="shared" si="242"/>
        <v/>
      </c>
      <c r="N721" s="2" t="str">
        <f t="shared" si="250"/>
        <v/>
      </c>
      <c r="O721" s="2" t="str">
        <f t="shared" si="243"/>
        <v/>
      </c>
      <c r="P721" s="8" t="str">
        <f t="shared" si="244"/>
        <v/>
      </c>
      <c r="Q721" s="8" t="str">
        <f t="shared" si="245"/>
        <v/>
      </c>
      <c r="R721" s="111" t="str">
        <f t="shared" si="246"/>
        <v/>
      </c>
      <c r="S721" s="44" t="str">
        <f t="shared" si="247"/>
        <v/>
      </c>
      <c r="T721" s="37" t="str">
        <f t="shared" si="248"/>
        <v/>
      </c>
      <c r="U721" s="44" t="str">
        <f t="shared" si="249"/>
        <v/>
      </c>
      <c r="V721" s="26"/>
      <c r="W721" s="26"/>
      <c r="X721" s="26"/>
      <c r="Y721" s="26"/>
      <c r="Z721" s="24"/>
      <c r="AA721" s="169">
        <f t="shared" si="234"/>
        <v>0</v>
      </c>
      <c r="AB721" s="4">
        <f t="shared" si="235"/>
        <v>0</v>
      </c>
      <c r="AC721" s="170">
        <f t="shared" si="231"/>
        <v>0</v>
      </c>
      <c r="AD721" s="58"/>
      <c r="AE721" s="58"/>
      <c r="AF721" s="58"/>
      <c r="AG721" s="59">
        <f t="shared" si="236"/>
        <v>9.0359999999999996</v>
      </c>
      <c r="AH721" s="59">
        <f t="shared" si="237"/>
        <v>-184.49199999999999</v>
      </c>
      <c r="AJ721" s="4">
        <f>IF(D721="M",IF(AM721&lt;78,BMILMS!$D$5*AM721^3+BMILMS!$E$5*AM721^2+BMILMS!$F$5*AM721+BMILMS!$G$5,IF(AM721&lt;150,BMILMS!$D$6*AM721^3+BMILMS!$E$6*AM721^2+BMILMS!$F$6*AM721+BMILMS!$G$6,BMILMS!$D$7*AM721^3+BMILMS!$E$7*AM721^2+BMILMS!$F$7*AM721+BMILMS!$G$7)),IF(AM721&lt;69,BMILMS!$D$9*AM721^3+BMILMS!$E$9*AM721^2+BMILMS!$F$9*AM721+BMILMS!$G$9,IF(AM721&lt;150,BMILMS!$D$10*AM721^3+BMILMS!$E$10*AM721^2+BMILMS!$F$10*AM721+BMILMS!$G$10,BMILMS!$D$11*AM721^3+BMILMS!$E$11*AM721^2+BMILMS!$F$11*AM721+BMILMS!$G$11)))</f>
        <v>0.79584630099999998</v>
      </c>
      <c r="AK721" s="4">
        <f>IF(D721="M",(IF(AM721&lt;2.5,BMILMS!$D$21*AM721^3+BMILMS!$E$21*AM721^2+BMILMS!$F$21*AM721+BMILMS!$G$21,IF(AM721&lt;9.5,BMILMS!$D$22*AM721^3+BMILMS!$E$22*AM721^2+BMILMS!$F$22*AM721+BMILMS!$G$22,IF(AM721&lt;26.75,BMILMS!$D$23*AM721^3+BMILMS!$E$23*AM721^2+BMILMS!$F$23*AM721+BMILMS!$G$23,IF(AM721&lt;90,BMILMS!$D$24*AM721^3+BMILMS!$E$24*AM721^2+BMILMS!$F$24*AM721+BMILMS!$G$24,BMILMS!$D$25*AM721^3+BMILMS!$E$25*AM721^2+BMILMS!$F$25*AM721+BMILMS!$G$25))))),(IF(AM721&lt;2.5,BMILMS!$D$27*AM721^3+BMILMS!$E$27*AM721^2+BMILMS!$F$27*AM721+BMILMS!$G$27,IF(AM721&lt;9.5,BMILMS!$D$28*AM721^3+BMILMS!$E$28*AM721^2+BMILMS!$F$28*AM721+BMILMS!$G$28,IF(AM721&lt;26.75,BMILMS!$D$29*AM721^3+BMILMS!$E$29*AM721^2+BMILMS!$F$29*AM721+BMILMS!$G$29,IF(AM721&lt;90,BMILMS!$D$30*AM721^3+BMILMS!$E$30*AM721^2+BMILMS!$F$30*AM721+BMILMS!$G$30,IF(AM721&lt;150,BMILMS!$D$31*AM721^3+BMILMS!$E$31*AM721^2+BMILMS!$F$31*AM721+BMILMS!$G$31,BMILMS!$D$32*AM721^3+BMILMS!$E$32*AM721^2+BMILMS!$F$32*AM721+BMILMS!$G$32)))))))</f>
        <v>12.568967990000001</v>
      </c>
      <c r="AL721" s="4">
        <f>IF(D721="M",(IF(AM721&lt;90,BMILMS!$D$14*AM721^3+BMILMS!$E$14*AM721^2+BMILMS!$F$14*AM721+BMILMS!$G$14,BMILMS!$D$15*AM721^3+BMILMS!$E$15*AM721^2+BMILMS!$F$15*AM721+BMILMS!$G$15)),(IF(AM721&lt;90,BMILMS!$D$17*AM721^3+BMILMS!$E$17*AM721^2+BMILMS!$F$17*AM721+BMILMS!$G$17,BMILMS!$D$18*AM721^3+BMILMS!$E$18*AM721^2+BMILMS!$F$18*AM721+BMILMS!$G$18)))</f>
        <v>8.8969350000000003E-2</v>
      </c>
      <c r="AM721" s="4">
        <f t="shared" si="251"/>
        <v>0</v>
      </c>
      <c r="AO721" s="56">
        <f>IF(D721="M",WeightSDS!P$5*$AM721^7+WeightSDS!Q$5*$AM721^6+WeightSDS!R$5*$AM721^5+WeightSDS!S$5*$AM721^4+WeightSDS!T$5*$AM721^3+WeightSDS!U$5*$AM721^2+WeightSDS!V$5*$AM721+WeightSDS!W$5,IF($AM721&lt;186,WeightSDS!P$8*$AM721^7+WeightSDS!Q$8*$AM721^6+WeightSDS!R$8*$AM721^5+WeightSDS!S$8*$AM721^4+WeightSDS!T$8*$AM721^3+WeightSDS!U$8*$AM721^2+WeightSDS!V$8*$AM721+WeightSDS!W$8,WeightSDS!$U$9+WeightSDS!$V$9*($AM721-WeightSDS!$W$9)))</f>
        <v>0.75407122999999998</v>
      </c>
      <c r="AP721" s="4">
        <f>IF(D721="M",IF($AM721&lt;45,WeightSDS!M$23*$AM721^10+WeightSDS!N$23*$AM721^9+WeightSDS!O$23*$AM721^8+WeightSDS!P$23*$AM721^7+WeightSDS!Q$23*$AM721^6+WeightSDS!R$23*$AM721^5+WeightSDS!S$23*$AM721^4+WeightSDS!T$23*$AM721^3+WeightSDS!U$23*$AM721^2+WeightSDS!V$23*$AM721+WeightSDS!W$23,IF($AM721&lt;153,WeightSDS!M$25*$AM721^10+WeightSDS!N$25*$AM721^9+WeightSDS!O$25*$AM721^8+WeightSDS!P$25*$AM721^7+WeightSDS!Q$25*$AM721^6+WeightSDS!R$25*$AM721^5+WeightSDS!S$25*$AM721^4+WeightSDS!T$25*$AM721^3+WeightSDS!U$25*$AM721^2+WeightSDS!V$25*$AM721+WeightSDS!W$25,WeightSDS!M$27+WeightSDS!N$27/(1+EXP(WeightSDS!O$27+WeightSDS!P$27*$AM721)))),IF($AM721&lt;43.8,WeightSDS!M$29*$AM721^10+WeightSDS!N$29*$AM721^9+WeightSDS!O$29*$AM721^8+WeightSDS!P$29*$AM721^7+WeightSDS!Q$29*$AM721^6+WeightSDS!R$29*$AM721^5+WeightSDS!S$29*$AM721^4+WeightSDS!T$29*$AM721^3+WeightSDS!U$29*$AM721^2+WeightSDS!V$29*$AM721+WeightSDS!W$29-0.010431*(1-$AM721/210),IF($AM721&lt;123,WeightSDS!M$30*$AM721^10+WeightSDS!N$30*$AM721^9+WeightSDS!O$30*$AM721^8+WeightSDS!P$30*$AM721^7+WeightSDS!Q$30*$AM721^6+WeightSDS!R$30*$AM721^5+WeightSDS!S$30*$AM721^4+WeightSDS!T$30*$AM721^3+WeightSDS!U$30*$AM721^2+WeightSDS!V$30*$AM721+WeightSDS!W$30-0.010431*(1-1/$AM721),WeightSDS!M$32+WeightSDS!N$32/(1+EXP(WeightSDS!O$32+WeightSDS!P$32*$AM721))-0.010431*(1-$AM721/210))))</f>
        <v>2.9500001032655536</v>
      </c>
      <c r="AQ721" s="4">
        <f>IF(D721="M",IF($AM721&lt;162,WeightSDS!P$12*$AM721^7+WeightSDS!Q$12*$AM721^6+WeightSDS!R$12*$AM721^5+WeightSDS!S$12*$AM721^4+WeightSDS!T$12*$AM721^3+WeightSDS!U$12*$AM721^2+WeightSDS!V$12*$AM721+WeightSDS!W$12,WeightSDS!P$14*$AM721^7+WeightSDS!Q$14*$AM721^6+WeightSDS!R$14*$AM721^5+WeightSDS!S$14*$AM721^4+WeightSDS!T$14*$AM721^3+WeightSDS!U$14*$AM721^2+WeightSDS!V$14*$AM721+WeightSDS!W$14),IF($AM721&lt;156,WeightSDS!O$17*$AM721^8+WeightSDS!P$17*$AM721^7+WeightSDS!Q$17*$AM721^6+WeightSDS!R$17*$AM721^5+WeightSDS!S$17*$AM721^4+WeightSDS!T$17*$AM721^3+WeightSDS!U$17*$AM721^2+WeightSDS!V$17*$AM721+WeightSDS!W$17,IF($AM721&lt;186,WeightSDS!$U$18+(WeightSDS!$V$18-WeightSDS!$U$18)/24*($AM721-186)+WeightSDS!$W$18*(-$AM721+186)^2-0.005,WeightSDS!$U$18+(WeightSDS!$V$18-WeightSDS!$U$18)/24*($AM721-186)-0.005)))</f>
        <v>0.14604529399999999</v>
      </c>
      <c r="AT721" s="4">
        <f t="shared" si="238"/>
        <v>0.56299999999999994</v>
      </c>
      <c r="AU721" s="4">
        <f t="shared" si="239"/>
        <v>69</v>
      </c>
      <c r="AV721" s="4">
        <f t="shared" si="240"/>
        <v>0.51</v>
      </c>
    </row>
    <row r="722" spans="1:48" x14ac:dyDescent="0.15">
      <c r="A722" s="4"/>
      <c r="B722" s="21"/>
      <c r="C722" s="21"/>
      <c r="D722" s="21"/>
      <c r="E722" s="22"/>
      <c r="F722" s="22"/>
      <c r="G722" s="23"/>
      <c r="H722" s="23"/>
      <c r="I722" s="181"/>
      <c r="J722" s="8" t="str">
        <f t="shared" si="232"/>
        <v/>
      </c>
      <c r="K722" s="2" t="str">
        <f t="shared" si="241"/>
        <v/>
      </c>
      <c r="L722" s="2" t="str">
        <f t="shared" si="233"/>
        <v/>
      </c>
      <c r="M722" s="2" t="str">
        <f t="shared" si="242"/>
        <v/>
      </c>
      <c r="N722" s="2" t="str">
        <f t="shared" si="250"/>
        <v/>
      </c>
      <c r="O722" s="2" t="str">
        <f t="shared" si="243"/>
        <v/>
      </c>
      <c r="P722" s="8" t="str">
        <f t="shared" si="244"/>
        <v/>
      </c>
      <c r="Q722" s="8" t="str">
        <f t="shared" si="245"/>
        <v/>
      </c>
      <c r="R722" s="111" t="str">
        <f t="shared" si="246"/>
        <v/>
      </c>
      <c r="S722" s="44" t="str">
        <f t="shared" si="247"/>
        <v/>
      </c>
      <c r="T722" s="37" t="str">
        <f t="shared" si="248"/>
        <v/>
      </c>
      <c r="U722" s="44" t="str">
        <f t="shared" si="249"/>
        <v/>
      </c>
      <c r="V722" s="26"/>
      <c r="W722" s="26"/>
      <c r="X722" s="26"/>
      <c r="Y722" s="26"/>
      <c r="Z722" s="24"/>
      <c r="AA722" s="169">
        <f t="shared" si="234"/>
        <v>0</v>
      </c>
      <c r="AB722" s="4">
        <f t="shared" si="235"/>
        <v>0</v>
      </c>
      <c r="AC722" s="170">
        <f t="shared" si="231"/>
        <v>0</v>
      </c>
      <c r="AD722" s="58"/>
      <c r="AE722" s="58"/>
      <c r="AF722" s="58"/>
      <c r="AG722" s="59">
        <f t="shared" si="236"/>
        <v>9.0359999999999996</v>
      </c>
      <c r="AH722" s="59">
        <f t="shared" si="237"/>
        <v>-184.49199999999999</v>
      </c>
      <c r="AJ722" s="4">
        <f>IF(D722="M",IF(AM722&lt;78,BMILMS!$D$5*AM722^3+BMILMS!$E$5*AM722^2+BMILMS!$F$5*AM722+BMILMS!$G$5,IF(AM722&lt;150,BMILMS!$D$6*AM722^3+BMILMS!$E$6*AM722^2+BMILMS!$F$6*AM722+BMILMS!$G$6,BMILMS!$D$7*AM722^3+BMILMS!$E$7*AM722^2+BMILMS!$F$7*AM722+BMILMS!$G$7)),IF(AM722&lt;69,BMILMS!$D$9*AM722^3+BMILMS!$E$9*AM722^2+BMILMS!$F$9*AM722+BMILMS!$G$9,IF(AM722&lt;150,BMILMS!$D$10*AM722^3+BMILMS!$E$10*AM722^2+BMILMS!$F$10*AM722+BMILMS!$G$10,BMILMS!$D$11*AM722^3+BMILMS!$E$11*AM722^2+BMILMS!$F$11*AM722+BMILMS!$G$11)))</f>
        <v>0.79584630099999998</v>
      </c>
      <c r="AK722" s="4">
        <f>IF(D722="M",(IF(AM722&lt;2.5,BMILMS!$D$21*AM722^3+BMILMS!$E$21*AM722^2+BMILMS!$F$21*AM722+BMILMS!$G$21,IF(AM722&lt;9.5,BMILMS!$D$22*AM722^3+BMILMS!$E$22*AM722^2+BMILMS!$F$22*AM722+BMILMS!$G$22,IF(AM722&lt;26.75,BMILMS!$D$23*AM722^3+BMILMS!$E$23*AM722^2+BMILMS!$F$23*AM722+BMILMS!$G$23,IF(AM722&lt;90,BMILMS!$D$24*AM722^3+BMILMS!$E$24*AM722^2+BMILMS!$F$24*AM722+BMILMS!$G$24,BMILMS!$D$25*AM722^3+BMILMS!$E$25*AM722^2+BMILMS!$F$25*AM722+BMILMS!$G$25))))),(IF(AM722&lt;2.5,BMILMS!$D$27*AM722^3+BMILMS!$E$27*AM722^2+BMILMS!$F$27*AM722+BMILMS!$G$27,IF(AM722&lt;9.5,BMILMS!$D$28*AM722^3+BMILMS!$E$28*AM722^2+BMILMS!$F$28*AM722+BMILMS!$G$28,IF(AM722&lt;26.75,BMILMS!$D$29*AM722^3+BMILMS!$E$29*AM722^2+BMILMS!$F$29*AM722+BMILMS!$G$29,IF(AM722&lt;90,BMILMS!$D$30*AM722^3+BMILMS!$E$30*AM722^2+BMILMS!$F$30*AM722+BMILMS!$G$30,IF(AM722&lt;150,BMILMS!$D$31*AM722^3+BMILMS!$E$31*AM722^2+BMILMS!$F$31*AM722+BMILMS!$G$31,BMILMS!$D$32*AM722^3+BMILMS!$E$32*AM722^2+BMILMS!$F$32*AM722+BMILMS!$G$32)))))))</f>
        <v>12.568967990000001</v>
      </c>
      <c r="AL722" s="4">
        <f>IF(D722="M",(IF(AM722&lt;90,BMILMS!$D$14*AM722^3+BMILMS!$E$14*AM722^2+BMILMS!$F$14*AM722+BMILMS!$G$14,BMILMS!$D$15*AM722^3+BMILMS!$E$15*AM722^2+BMILMS!$F$15*AM722+BMILMS!$G$15)),(IF(AM722&lt;90,BMILMS!$D$17*AM722^3+BMILMS!$E$17*AM722^2+BMILMS!$F$17*AM722+BMILMS!$G$17,BMILMS!$D$18*AM722^3+BMILMS!$E$18*AM722^2+BMILMS!$F$18*AM722+BMILMS!$G$18)))</f>
        <v>8.8969350000000003E-2</v>
      </c>
      <c r="AM722" s="4">
        <f t="shared" si="251"/>
        <v>0</v>
      </c>
      <c r="AO722" s="56">
        <f>IF(D722="M",WeightSDS!P$5*$AM722^7+WeightSDS!Q$5*$AM722^6+WeightSDS!R$5*$AM722^5+WeightSDS!S$5*$AM722^4+WeightSDS!T$5*$AM722^3+WeightSDS!U$5*$AM722^2+WeightSDS!V$5*$AM722+WeightSDS!W$5,IF($AM722&lt;186,WeightSDS!P$8*$AM722^7+WeightSDS!Q$8*$AM722^6+WeightSDS!R$8*$AM722^5+WeightSDS!S$8*$AM722^4+WeightSDS!T$8*$AM722^3+WeightSDS!U$8*$AM722^2+WeightSDS!V$8*$AM722+WeightSDS!W$8,WeightSDS!$U$9+WeightSDS!$V$9*($AM722-WeightSDS!$W$9)))</f>
        <v>0.75407122999999998</v>
      </c>
      <c r="AP722" s="4">
        <f>IF(D722="M",IF($AM722&lt;45,WeightSDS!M$23*$AM722^10+WeightSDS!N$23*$AM722^9+WeightSDS!O$23*$AM722^8+WeightSDS!P$23*$AM722^7+WeightSDS!Q$23*$AM722^6+WeightSDS!R$23*$AM722^5+WeightSDS!S$23*$AM722^4+WeightSDS!T$23*$AM722^3+WeightSDS!U$23*$AM722^2+WeightSDS!V$23*$AM722+WeightSDS!W$23,IF($AM722&lt;153,WeightSDS!M$25*$AM722^10+WeightSDS!N$25*$AM722^9+WeightSDS!O$25*$AM722^8+WeightSDS!P$25*$AM722^7+WeightSDS!Q$25*$AM722^6+WeightSDS!R$25*$AM722^5+WeightSDS!S$25*$AM722^4+WeightSDS!T$25*$AM722^3+WeightSDS!U$25*$AM722^2+WeightSDS!V$25*$AM722+WeightSDS!W$25,WeightSDS!M$27+WeightSDS!N$27/(1+EXP(WeightSDS!O$27+WeightSDS!P$27*$AM722)))),IF($AM722&lt;43.8,WeightSDS!M$29*$AM722^10+WeightSDS!N$29*$AM722^9+WeightSDS!O$29*$AM722^8+WeightSDS!P$29*$AM722^7+WeightSDS!Q$29*$AM722^6+WeightSDS!R$29*$AM722^5+WeightSDS!S$29*$AM722^4+WeightSDS!T$29*$AM722^3+WeightSDS!U$29*$AM722^2+WeightSDS!V$29*$AM722+WeightSDS!W$29-0.010431*(1-$AM722/210),IF($AM722&lt;123,WeightSDS!M$30*$AM722^10+WeightSDS!N$30*$AM722^9+WeightSDS!O$30*$AM722^8+WeightSDS!P$30*$AM722^7+WeightSDS!Q$30*$AM722^6+WeightSDS!R$30*$AM722^5+WeightSDS!S$30*$AM722^4+WeightSDS!T$30*$AM722^3+WeightSDS!U$30*$AM722^2+WeightSDS!V$30*$AM722+WeightSDS!W$30-0.010431*(1-1/$AM722),WeightSDS!M$32+WeightSDS!N$32/(1+EXP(WeightSDS!O$32+WeightSDS!P$32*$AM722))-0.010431*(1-$AM722/210))))</f>
        <v>2.9500001032655536</v>
      </c>
      <c r="AQ722" s="4">
        <f>IF(D722="M",IF($AM722&lt;162,WeightSDS!P$12*$AM722^7+WeightSDS!Q$12*$AM722^6+WeightSDS!R$12*$AM722^5+WeightSDS!S$12*$AM722^4+WeightSDS!T$12*$AM722^3+WeightSDS!U$12*$AM722^2+WeightSDS!V$12*$AM722+WeightSDS!W$12,WeightSDS!P$14*$AM722^7+WeightSDS!Q$14*$AM722^6+WeightSDS!R$14*$AM722^5+WeightSDS!S$14*$AM722^4+WeightSDS!T$14*$AM722^3+WeightSDS!U$14*$AM722^2+WeightSDS!V$14*$AM722+WeightSDS!W$14),IF($AM722&lt;156,WeightSDS!O$17*$AM722^8+WeightSDS!P$17*$AM722^7+WeightSDS!Q$17*$AM722^6+WeightSDS!R$17*$AM722^5+WeightSDS!S$17*$AM722^4+WeightSDS!T$17*$AM722^3+WeightSDS!U$17*$AM722^2+WeightSDS!V$17*$AM722+WeightSDS!W$17,IF($AM722&lt;186,WeightSDS!$U$18+(WeightSDS!$V$18-WeightSDS!$U$18)/24*($AM722-186)+WeightSDS!$W$18*(-$AM722+186)^2-0.005,WeightSDS!$U$18+(WeightSDS!$V$18-WeightSDS!$U$18)/24*($AM722-186)-0.005)))</f>
        <v>0.14604529399999999</v>
      </c>
      <c r="AT722" s="4">
        <f t="shared" si="238"/>
        <v>0.56299999999999994</v>
      </c>
      <c r="AU722" s="4">
        <f t="shared" si="239"/>
        <v>69</v>
      </c>
      <c r="AV722" s="4">
        <f t="shared" si="240"/>
        <v>0.51</v>
      </c>
    </row>
    <row r="723" spans="1:48" x14ac:dyDescent="0.15">
      <c r="A723" s="4"/>
      <c r="B723" s="21"/>
      <c r="C723" s="21"/>
      <c r="D723" s="21"/>
      <c r="E723" s="22"/>
      <c r="F723" s="22"/>
      <c r="G723" s="23"/>
      <c r="H723" s="23"/>
      <c r="I723" s="181"/>
      <c r="J723" s="8" t="str">
        <f t="shared" si="232"/>
        <v/>
      </c>
      <c r="K723" s="2" t="str">
        <f t="shared" si="241"/>
        <v/>
      </c>
      <c r="L723" s="2" t="str">
        <f t="shared" si="233"/>
        <v/>
      </c>
      <c r="M723" s="2" t="str">
        <f t="shared" si="242"/>
        <v/>
      </c>
      <c r="N723" s="2" t="str">
        <f t="shared" si="250"/>
        <v/>
      </c>
      <c r="O723" s="2" t="str">
        <f t="shared" si="243"/>
        <v/>
      </c>
      <c r="P723" s="8" t="str">
        <f t="shared" si="244"/>
        <v/>
      </c>
      <c r="Q723" s="8" t="str">
        <f t="shared" si="245"/>
        <v/>
      </c>
      <c r="R723" s="111" t="str">
        <f t="shared" si="246"/>
        <v/>
      </c>
      <c r="S723" s="44" t="str">
        <f t="shared" si="247"/>
        <v/>
      </c>
      <c r="T723" s="37" t="str">
        <f t="shared" si="248"/>
        <v/>
      </c>
      <c r="U723" s="44" t="str">
        <f t="shared" si="249"/>
        <v/>
      </c>
      <c r="V723" s="26"/>
      <c r="W723" s="26"/>
      <c r="X723" s="26"/>
      <c r="Y723" s="26"/>
      <c r="Z723" s="24"/>
      <c r="AA723" s="169">
        <f t="shared" si="234"/>
        <v>0</v>
      </c>
      <c r="AB723" s="4">
        <f t="shared" si="235"/>
        <v>0</v>
      </c>
      <c r="AC723" s="170">
        <f t="shared" si="231"/>
        <v>0</v>
      </c>
      <c r="AD723" s="58"/>
      <c r="AE723" s="58"/>
      <c r="AF723" s="58"/>
      <c r="AG723" s="59">
        <f t="shared" si="236"/>
        <v>9.0359999999999996</v>
      </c>
      <c r="AH723" s="59">
        <f t="shared" si="237"/>
        <v>-184.49199999999999</v>
      </c>
      <c r="AJ723" s="4">
        <f>IF(D723="M",IF(AM723&lt;78,BMILMS!$D$5*AM723^3+BMILMS!$E$5*AM723^2+BMILMS!$F$5*AM723+BMILMS!$G$5,IF(AM723&lt;150,BMILMS!$D$6*AM723^3+BMILMS!$E$6*AM723^2+BMILMS!$F$6*AM723+BMILMS!$G$6,BMILMS!$D$7*AM723^3+BMILMS!$E$7*AM723^2+BMILMS!$F$7*AM723+BMILMS!$G$7)),IF(AM723&lt;69,BMILMS!$D$9*AM723^3+BMILMS!$E$9*AM723^2+BMILMS!$F$9*AM723+BMILMS!$G$9,IF(AM723&lt;150,BMILMS!$D$10*AM723^3+BMILMS!$E$10*AM723^2+BMILMS!$F$10*AM723+BMILMS!$G$10,BMILMS!$D$11*AM723^3+BMILMS!$E$11*AM723^2+BMILMS!$F$11*AM723+BMILMS!$G$11)))</f>
        <v>0.79584630099999998</v>
      </c>
      <c r="AK723" s="4">
        <f>IF(D723="M",(IF(AM723&lt;2.5,BMILMS!$D$21*AM723^3+BMILMS!$E$21*AM723^2+BMILMS!$F$21*AM723+BMILMS!$G$21,IF(AM723&lt;9.5,BMILMS!$D$22*AM723^3+BMILMS!$E$22*AM723^2+BMILMS!$F$22*AM723+BMILMS!$G$22,IF(AM723&lt;26.75,BMILMS!$D$23*AM723^3+BMILMS!$E$23*AM723^2+BMILMS!$F$23*AM723+BMILMS!$G$23,IF(AM723&lt;90,BMILMS!$D$24*AM723^3+BMILMS!$E$24*AM723^2+BMILMS!$F$24*AM723+BMILMS!$G$24,BMILMS!$D$25*AM723^3+BMILMS!$E$25*AM723^2+BMILMS!$F$25*AM723+BMILMS!$G$25))))),(IF(AM723&lt;2.5,BMILMS!$D$27*AM723^3+BMILMS!$E$27*AM723^2+BMILMS!$F$27*AM723+BMILMS!$G$27,IF(AM723&lt;9.5,BMILMS!$D$28*AM723^3+BMILMS!$E$28*AM723^2+BMILMS!$F$28*AM723+BMILMS!$G$28,IF(AM723&lt;26.75,BMILMS!$D$29*AM723^3+BMILMS!$E$29*AM723^2+BMILMS!$F$29*AM723+BMILMS!$G$29,IF(AM723&lt;90,BMILMS!$D$30*AM723^3+BMILMS!$E$30*AM723^2+BMILMS!$F$30*AM723+BMILMS!$G$30,IF(AM723&lt;150,BMILMS!$D$31*AM723^3+BMILMS!$E$31*AM723^2+BMILMS!$F$31*AM723+BMILMS!$G$31,BMILMS!$D$32*AM723^3+BMILMS!$E$32*AM723^2+BMILMS!$F$32*AM723+BMILMS!$G$32)))))))</f>
        <v>12.568967990000001</v>
      </c>
      <c r="AL723" s="4">
        <f>IF(D723="M",(IF(AM723&lt;90,BMILMS!$D$14*AM723^3+BMILMS!$E$14*AM723^2+BMILMS!$F$14*AM723+BMILMS!$G$14,BMILMS!$D$15*AM723^3+BMILMS!$E$15*AM723^2+BMILMS!$F$15*AM723+BMILMS!$G$15)),(IF(AM723&lt;90,BMILMS!$D$17*AM723^3+BMILMS!$E$17*AM723^2+BMILMS!$F$17*AM723+BMILMS!$G$17,BMILMS!$D$18*AM723^3+BMILMS!$E$18*AM723^2+BMILMS!$F$18*AM723+BMILMS!$G$18)))</f>
        <v>8.8969350000000003E-2</v>
      </c>
      <c r="AM723" s="4">
        <f t="shared" si="251"/>
        <v>0</v>
      </c>
      <c r="AO723" s="56">
        <f>IF(D723="M",WeightSDS!P$5*$AM723^7+WeightSDS!Q$5*$AM723^6+WeightSDS!R$5*$AM723^5+WeightSDS!S$5*$AM723^4+WeightSDS!T$5*$AM723^3+WeightSDS!U$5*$AM723^2+WeightSDS!V$5*$AM723+WeightSDS!W$5,IF($AM723&lt;186,WeightSDS!P$8*$AM723^7+WeightSDS!Q$8*$AM723^6+WeightSDS!R$8*$AM723^5+WeightSDS!S$8*$AM723^4+WeightSDS!T$8*$AM723^3+WeightSDS!U$8*$AM723^2+WeightSDS!V$8*$AM723+WeightSDS!W$8,WeightSDS!$U$9+WeightSDS!$V$9*($AM723-WeightSDS!$W$9)))</f>
        <v>0.75407122999999998</v>
      </c>
      <c r="AP723" s="4">
        <f>IF(D723="M",IF($AM723&lt;45,WeightSDS!M$23*$AM723^10+WeightSDS!N$23*$AM723^9+WeightSDS!O$23*$AM723^8+WeightSDS!P$23*$AM723^7+WeightSDS!Q$23*$AM723^6+WeightSDS!R$23*$AM723^5+WeightSDS!S$23*$AM723^4+WeightSDS!T$23*$AM723^3+WeightSDS!U$23*$AM723^2+WeightSDS!V$23*$AM723+WeightSDS!W$23,IF($AM723&lt;153,WeightSDS!M$25*$AM723^10+WeightSDS!N$25*$AM723^9+WeightSDS!O$25*$AM723^8+WeightSDS!P$25*$AM723^7+WeightSDS!Q$25*$AM723^6+WeightSDS!R$25*$AM723^5+WeightSDS!S$25*$AM723^4+WeightSDS!T$25*$AM723^3+WeightSDS!U$25*$AM723^2+WeightSDS!V$25*$AM723+WeightSDS!W$25,WeightSDS!M$27+WeightSDS!N$27/(1+EXP(WeightSDS!O$27+WeightSDS!P$27*$AM723)))),IF($AM723&lt;43.8,WeightSDS!M$29*$AM723^10+WeightSDS!N$29*$AM723^9+WeightSDS!O$29*$AM723^8+WeightSDS!P$29*$AM723^7+WeightSDS!Q$29*$AM723^6+WeightSDS!R$29*$AM723^5+WeightSDS!S$29*$AM723^4+WeightSDS!T$29*$AM723^3+WeightSDS!U$29*$AM723^2+WeightSDS!V$29*$AM723+WeightSDS!W$29-0.010431*(1-$AM723/210),IF($AM723&lt;123,WeightSDS!M$30*$AM723^10+WeightSDS!N$30*$AM723^9+WeightSDS!O$30*$AM723^8+WeightSDS!P$30*$AM723^7+WeightSDS!Q$30*$AM723^6+WeightSDS!R$30*$AM723^5+WeightSDS!S$30*$AM723^4+WeightSDS!T$30*$AM723^3+WeightSDS!U$30*$AM723^2+WeightSDS!V$30*$AM723+WeightSDS!W$30-0.010431*(1-1/$AM723),WeightSDS!M$32+WeightSDS!N$32/(1+EXP(WeightSDS!O$32+WeightSDS!P$32*$AM723))-0.010431*(1-$AM723/210))))</f>
        <v>2.9500001032655536</v>
      </c>
      <c r="AQ723" s="4">
        <f>IF(D723="M",IF($AM723&lt;162,WeightSDS!P$12*$AM723^7+WeightSDS!Q$12*$AM723^6+WeightSDS!R$12*$AM723^5+WeightSDS!S$12*$AM723^4+WeightSDS!T$12*$AM723^3+WeightSDS!U$12*$AM723^2+WeightSDS!V$12*$AM723+WeightSDS!W$12,WeightSDS!P$14*$AM723^7+WeightSDS!Q$14*$AM723^6+WeightSDS!R$14*$AM723^5+WeightSDS!S$14*$AM723^4+WeightSDS!T$14*$AM723^3+WeightSDS!U$14*$AM723^2+WeightSDS!V$14*$AM723+WeightSDS!W$14),IF($AM723&lt;156,WeightSDS!O$17*$AM723^8+WeightSDS!P$17*$AM723^7+WeightSDS!Q$17*$AM723^6+WeightSDS!R$17*$AM723^5+WeightSDS!S$17*$AM723^4+WeightSDS!T$17*$AM723^3+WeightSDS!U$17*$AM723^2+WeightSDS!V$17*$AM723+WeightSDS!W$17,IF($AM723&lt;186,WeightSDS!$U$18+(WeightSDS!$V$18-WeightSDS!$U$18)/24*($AM723-186)+WeightSDS!$W$18*(-$AM723+186)^2-0.005,WeightSDS!$U$18+(WeightSDS!$V$18-WeightSDS!$U$18)/24*($AM723-186)-0.005)))</f>
        <v>0.14604529399999999</v>
      </c>
      <c r="AT723" s="4">
        <f t="shared" si="238"/>
        <v>0.56299999999999994</v>
      </c>
      <c r="AU723" s="4">
        <f t="shared" si="239"/>
        <v>69</v>
      </c>
      <c r="AV723" s="4">
        <f t="shared" si="240"/>
        <v>0.51</v>
      </c>
    </row>
    <row r="724" spans="1:48" x14ac:dyDescent="0.15">
      <c r="A724" s="4"/>
      <c r="B724" s="21"/>
      <c r="C724" s="21"/>
      <c r="D724" s="21"/>
      <c r="E724" s="22"/>
      <c r="F724" s="22"/>
      <c r="G724" s="23"/>
      <c r="H724" s="23"/>
      <c r="I724" s="181"/>
      <c r="J724" s="8" t="str">
        <f t="shared" si="232"/>
        <v/>
      </c>
      <c r="K724" s="2" t="str">
        <f t="shared" si="241"/>
        <v/>
      </c>
      <c r="L724" s="2" t="str">
        <f t="shared" si="233"/>
        <v/>
      </c>
      <c r="M724" s="2" t="str">
        <f t="shared" si="242"/>
        <v/>
      </c>
      <c r="N724" s="2" t="str">
        <f t="shared" si="250"/>
        <v/>
      </c>
      <c r="O724" s="2" t="str">
        <f t="shared" si="243"/>
        <v/>
      </c>
      <c r="P724" s="8" t="str">
        <f t="shared" si="244"/>
        <v/>
      </c>
      <c r="Q724" s="8" t="str">
        <f t="shared" si="245"/>
        <v/>
      </c>
      <c r="R724" s="111" t="str">
        <f t="shared" si="246"/>
        <v/>
      </c>
      <c r="S724" s="44" t="str">
        <f t="shared" si="247"/>
        <v/>
      </c>
      <c r="T724" s="37" t="str">
        <f t="shared" si="248"/>
        <v/>
      </c>
      <c r="U724" s="44" t="str">
        <f t="shared" si="249"/>
        <v/>
      </c>
      <c r="V724" s="26"/>
      <c r="W724" s="26"/>
      <c r="X724" s="26"/>
      <c r="Y724" s="26"/>
      <c r="Z724" s="24"/>
      <c r="AA724" s="169">
        <f t="shared" si="234"/>
        <v>0</v>
      </c>
      <c r="AB724" s="4">
        <f t="shared" si="235"/>
        <v>0</v>
      </c>
      <c r="AC724" s="170">
        <f t="shared" si="231"/>
        <v>0</v>
      </c>
      <c r="AD724" s="58"/>
      <c r="AE724" s="58"/>
      <c r="AF724" s="58"/>
      <c r="AG724" s="59">
        <f t="shared" si="236"/>
        <v>9.0359999999999996</v>
      </c>
      <c r="AH724" s="59">
        <f t="shared" si="237"/>
        <v>-184.49199999999999</v>
      </c>
      <c r="AJ724" s="4">
        <f>IF(D724="M",IF(AM724&lt;78,BMILMS!$D$5*AM724^3+BMILMS!$E$5*AM724^2+BMILMS!$F$5*AM724+BMILMS!$G$5,IF(AM724&lt;150,BMILMS!$D$6*AM724^3+BMILMS!$E$6*AM724^2+BMILMS!$F$6*AM724+BMILMS!$G$6,BMILMS!$D$7*AM724^3+BMILMS!$E$7*AM724^2+BMILMS!$F$7*AM724+BMILMS!$G$7)),IF(AM724&lt;69,BMILMS!$D$9*AM724^3+BMILMS!$E$9*AM724^2+BMILMS!$F$9*AM724+BMILMS!$G$9,IF(AM724&lt;150,BMILMS!$D$10*AM724^3+BMILMS!$E$10*AM724^2+BMILMS!$F$10*AM724+BMILMS!$G$10,BMILMS!$D$11*AM724^3+BMILMS!$E$11*AM724^2+BMILMS!$F$11*AM724+BMILMS!$G$11)))</f>
        <v>0.79584630099999998</v>
      </c>
      <c r="AK724" s="4">
        <f>IF(D724="M",(IF(AM724&lt;2.5,BMILMS!$D$21*AM724^3+BMILMS!$E$21*AM724^2+BMILMS!$F$21*AM724+BMILMS!$G$21,IF(AM724&lt;9.5,BMILMS!$D$22*AM724^3+BMILMS!$E$22*AM724^2+BMILMS!$F$22*AM724+BMILMS!$G$22,IF(AM724&lt;26.75,BMILMS!$D$23*AM724^3+BMILMS!$E$23*AM724^2+BMILMS!$F$23*AM724+BMILMS!$G$23,IF(AM724&lt;90,BMILMS!$D$24*AM724^3+BMILMS!$E$24*AM724^2+BMILMS!$F$24*AM724+BMILMS!$G$24,BMILMS!$D$25*AM724^3+BMILMS!$E$25*AM724^2+BMILMS!$F$25*AM724+BMILMS!$G$25))))),(IF(AM724&lt;2.5,BMILMS!$D$27*AM724^3+BMILMS!$E$27*AM724^2+BMILMS!$F$27*AM724+BMILMS!$G$27,IF(AM724&lt;9.5,BMILMS!$D$28*AM724^3+BMILMS!$E$28*AM724^2+BMILMS!$F$28*AM724+BMILMS!$G$28,IF(AM724&lt;26.75,BMILMS!$D$29*AM724^3+BMILMS!$E$29*AM724^2+BMILMS!$F$29*AM724+BMILMS!$G$29,IF(AM724&lt;90,BMILMS!$D$30*AM724^3+BMILMS!$E$30*AM724^2+BMILMS!$F$30*AM724+BMILMS!$G$30,IF(AM724&lt;150,BMILMS!$D$31*AM724^3+BMILMS!$E$31*AM724^2+BMILMS!$F$31*AM724+BMILMS!$G$31,BMILMS!$D$32*AM724^3+BMILMS!$E$32*AM724^2+BMILMS!$F$32*AM724+BMILMS!$G$32)))))))</f>
        <v>12.568967990000001</v>
      </c>
      <c r="AL724" s="4">
        <f>IF(D724="M",(IF(AM724&lt;90,BMILMS!$D$14*AM724^3+BMILMS!$E$14*AM724^2+BMILMS!$F$14*AM724+BMILMS!$G$14,BMILMS!$D$15*AM724^3+BMILMS!$E$15*AM724^2+BMILMS!$F$15*AM724+BMILMS!$G$15)),(IF(AM724&lt;90,BMILMS!$D$17*AM724^3+BMILMS!$E$17*AM724^2+BMILMS!$F$17*AM724+BMILMS!$G$17,BMILMS!$D$18*AM724^3+BMILMS!$E$18*AM724^2+BMILMS!$F$18*AM724+BMILMS!$G$18)))</f>
        <v>8.8969350000000003E-2</v>
      </c>
      <c r="AM724" s="4">
        <f t="shared" si="251"/>
        <v>0</v>
      </c>
      <c r="AO724" s="56">
        <f>IF(D724="M",WeightSDS!P$5*$AM724^7+WeightSDS!Q$5*$AM724^6+WeightSDS!R$5*$AM724^5+WeightSDS!S$5*$AM724^4+WeightSDS!T$5*$AM724^3+WeightSDS!U$5*$AM724^2+WeightSDS!V$5*$AM724+WeightSDS!W$5,IF($AM724&lt;186,WeightSDS!P$8*$AM724^7+WeightSDS!Q$8*$AM724^6+WeightSDS!R$8*$AM724^5+WeightSDS!S$8*$AM724^4+WeightSDS!T$8*$AM724^3+WeightSDS!U$8*$AM724^2+WeightSDS!V$8*$AM724+WeightSDS!W$8,WeightSDS!$U$9+WeightSDS!$V$9*($AM724-WeightSDS!$W$9)))</f>
        <v>0.75407122999999998</v>
      </c>
      <c r="AP724" s="4">
        <f>IF(D724="M",IF($AM724&lt;45,WeightSDS!M$23*$AM724^10+WeightSDS!N$23*$AM724^9+WeightSDS!O$23*$AM724^8+WeightSDS!P$23*$AM724^7+WeightSDS!Q$23*$AM724^6+WeightSDS!R$23*$AM724^5+WeightSDS!S$23*$AM724^4+WeightSDS!T$23*$AM724^3+WeightSDS!U$23*$AM724^2+WeightSDS!V$23*$AM724+WeightSDS!W$23,IF($AM724&lt;153,WeightSDS!M$25*$AM724^10+WeightSDS!N$25*$AM724^9+WeightSDS!O$25*$AM724^8+WeightSDS!P$25*$AM724^7+WeightSDS!Q$25*$AM724^6+WeightSDS!R$25*$AM724^5+WeightSDS!S$25*$AM724^4+WeightSDS!T$25*$AM724^3+WeightSDS!U$25*$AM724^2+WeightSDS!V$25*$AM724+WeightSDS!W$25,WeightSDS!M$27+WeightSDS!N$27/(1+EXP(WeightSDS!O$27+WeightSDS!P$27*$AM724)))),IF($AM724&lt;43.8,WeightSDS!M$29*$AM724^10+WeightSDS!N$29*$AM724^9+WeightSDS!O$29*$AM724^8+WeightSDS!P$29*$AM724^7+WeightSDS!Q$29*$AM724^6+WeightSDS!R$29*$AM724^5+WeightSDS!S$29*$AM724^4+WeightSDS!T$29*$AM724^3+WeightSDS!U$29*$AM724^2+WeightSDS!V$29*$AM724+WeightSDS!W$29-0.010431*(1-$AM724/210),IF($AM724&lt;123,WeightSDS!M$30*$AM724^10+WeightSDS!N$30*$AM724^9+WeightSDS!O$30*$AM724^8+WeightSDS!P$30*$AM724^7+WeightSDS!Q$30*$AM724^6+WeightSDS!R$30*$AM724^5+WeightSDS!S$30*$AM724^4+WeightSDS!T$30*$AM724^3+WeightSDS!U$30*$AM724^2+WeightSDS!V$30*$AM724+WeightSDS!W$30-0.010431*(1-1/$AM724),WeightSDS!M$32+WeightSDS!N$32/(1+EXP(WeightSDS!O$32+WeightSDS!P$32*$AM724))-0.010431*(1-$AM724/210))))</f>
        <v>2.9500001032655536</v>
      </c>
      <c r="AQ724" s="4">
        <f>IF(D724="M",IF($AM724&lt;162,WeightSDS!P$12*$AM724^7+WeightSDS!Q$12*$AM724^6+WeightSDS!R$12*$AM724^5+WeightSDS!S$12*$AM724^4+WeightSDS!T$12*$AM724^3+WeightSDS!U$12*$AM724^2+WeightSDS!V$12*$AM724+WeightSDS!W$12,WeightSDS!P$14*$AM724^7+WeightSDS!Q$14*$AM724^6+WeightSDS!R$14*$AM724^5+WeightSDS!S$14*$AM724^4+WeightSDS!T$14*$AM724^3+WeightSDS!U$14*$AM724^2+WeightSDS!V$14*$AM724+WeightSDS!W$14),IF($AM724&lt;156,WeightSDS!O$17*$AM724^8+WeightSDS!P$17*$AM724^7+WeightSDS!Q$17*$AM724^6+WeightSDS!R$17*$AM724^5+WeightSDS!S$17*$AM724^4+WeightSDS!T$17*$AM724^3+WeightSDS!U$17*$AM724^2+WeightSDS!V$17*$AM724+WeightSDS!W$17,IF($AM724&lt;186,WeightSDS!$U$18+(WeightSDS!$V$18-WeightSDS!$U$18)/24*($AM724-186)+WeightSDS!$W$18*(-$AM724+186)^2-0.005,WeightSDS!$U$18+(WeightSDS!$V$18-WeightSDS!$U$18)/24*($AM724-186)-0.005)))</f>
        <v>0.14604529399999999</v>
      </c>
      <c r="AT724" s="4">
        <f t="shared" si="238"/>
        <v>0.56299999999999994</v>
      </c>
      <c r="AU724" s="4">
        <f t="shared" si="239"/>
        <v>69</v>
      </c>
      <c r="AV724" s="4">
        <f t="shared" si="240"/>
        <v>0.51</v>
      </c>
    </row>
    <row r="725" spans="1:48" x14ac:dyDescent="0.15">
      <c r="A725" s="4"/>
      <c r="B725" s="21"/>
      <c r="C725" s="21"/>
      <c r="D725" s="21"/>
      <c r="E725" s="22"/>
      <c r="F725" s="22"/>
      <c r="G725" s="23"/>
      <c r="H725" s="23"/>
      <c r="I725" s="181"/>
      <c r="J725" s="8" t="str">
        <f t="shared" si="232"/>
        <v/>
      </c>
      <c r="K725" s="2" t="str">
        <f t="shared" si="241"/>
        <v/>
      </c>
      <c r="L725" s="2" t="str">
        <f t="shared" si="233"/>
        <v/>
      </c>
      <c r="M725" s="2" t="str">
        <f t="shared" si="242"/>
        <v/>
      </c>
      <c r="N725" s="2" t="str">
        <f t="shared" si="250"/>
        <v/>
      </c>
      <c r="O725" s="2" t="str">
        <f t="shared" si="243"/>
        <v/>
      </c>
      <c r="P725" s="8" t="str">
        <f t="shared" si="244"/>
        <v/>
      </c>
      <c r="Q725" s="8" t="str">
        <f t="shared" si="245"/>
        <v/>
      </c>
      <c r="R725" s="111" t="str">
        <f t="shared" si="246"/>
        <v/>
      </c>
      <c r="S725" s="44" t="str">
        <f t="shared" si="247"/>
        <v/>
      </c>
      <c r="T725" s="37" t="str">
        <f t="shared" si="248"/>
        <v/>
      </c>
      <c r="U725" s="44" t="str">
        <f t="shared" si="249"/>
        <v/>
      </c>
      <c r="V725" s="26"/>
      <c r="W725" s="26"/>
      <c r="X725" s="26"/>
      <c r="Y725" s="26"/>
      <c r="Z725" s="24"/>
      <c r="AA725" s="169">
        <f t="shared" si="234"/>
        <v>0</v>
      </c>
      <c r="AB725" s="4">
        <f t="shared" si="235"/>
        <v>0</v>
      </c>
      <c r="AC725" s="170">
        <f t="shared" si="231"/>
        <v>0</v>
      </c>
      <c r="AD725" s="58"/>
      <c r="AE725" s="58"/>
      <c r="AF725" s="58"/>
      <c r="AG725" s="59">
        <f t="shared" si="236"/>
        <v>9.0359999999999996</v>
      </c>
      <c r="AH725" s="59">
        <f t="shared" si="237"/>
        <v>-184.49199999999999</v>
      </c>
      <c r="AJ725" s="4">
        <f>IF(D725="M",IF(AM725&lt;78,BMILMS!$D$5*AM725^3+BMILMS!$E$5*AM725^2+BMILMS!$F$5*AM725+BMILMS!$G$5,IF(AM725&lt;150,BMILMS!$D$6*AM725^3+BMILMS!$E$6*AM725^2+BMILMS!$F$6*AM725+BMILMS!$G$6,BMILMS!$D$7*AM725^3+BMILMS!$E$7*AM725^2+BMILMS!$F$7*AM725+BMILMS!$G$7)),IF(AM725&lt;69,BMILMS!$D$9*AM725^3+BMILMS!$E$9*AM725^2+BMILMS!$F$9*AM725+BMILMS!$G$9,IF(AM725&lt;150,BMILMS!$D$10*AM725^3+BMILMS!$E$10*AM725^2+BMILMS!$F$10*AM725+BMILMS!$G$10,BMILMS!$D$11*AM725^3+BMILMS!$E$11*AM725^2+BMILMS!$F$11*AM725+BMILMS!$G$11)))</f>
        <v>0.79584630099999998</v>
      </c>
      <c r="AK725" s="4">
        <f>IF(D725="M",(IF(AM725&lt;2.5,BMILMS!$D$21*AM725^3+BMILMS!$E$21*AM725^2+BMILMS!$F$21*AM725+BMILMS!$G$21,IF(AM725&lt;9.5,BMILMS!$D$22*AM725^3+BMILMS!$E$22*AM725^2+BMILMS!$F$22*AM725+BMILMS!$G$22,IF(AM725&lt;26.75,BMILMS!$D$23*AM725^3+BMILMS!$E$23*AM725^2+BMILMS!$F$23*AM725+BMILMS!$G$23,IF(AM725&lt;90,BMILMS!$D$24*AM725^3+BMILMS!$E$24*AM725^2+BMILMS!$F$24*AM725+BMILMS!$G$24,BMILMS!$D$25*AM725^3+BMILMS!$E$25*AM725^2+BMILMS!$F$25*AM725+BMILMS!$G$25))))),(IF(AM725&lt;2.5,BMILMS!$D$27*AM725^3+BMILMS!$E$27*AM725^2+BMILMS!$F$27*AM725+BMILMS!$G$27,IF(AM725&lt;9.5,BMILMS!$D$28*AM725^3+BMILMS!$E$28*AM725^2+BMILMS!$F$28*AM725+BMILMS!$G$28,IF(AM725&lt;26.75,BMILMS!$D$29*AM725^3+BMILMS!$E$29*AM725^2+BMILMS!$F$29*AM725+BMILMS!$G$29,IF(AM725&lt;90,BMILMS!$D$30*AM725^3+BMILMS!$E$30*AM725^2+BMILMS!$F$30*AM725+BMILMS!$G$30,IF(AM725&lt;150,BMILMS!$D$31*AM725^3+BMILMS!$E$31*AM725^2+BMILMS!$F$31*AM725+BMILMS!$G$31,BMILMS!$D$32*AM725^3+BMILMS!$E$32*AM725^2+BMILMS!$F$32*AM725+BMILMS!$G$32)))))))</f>
        <v>12.568967990000001</v>
      </c>
      <c r="AL725" s="4">
        <f>IF(D725="M",(IF(AM725&lt;90,BMILMS!$D$14*AM725^3+BMILMS!$E$14*AM725^2+BMILMS!$F$14*AM725+BMILMS!$G$14,BMILMS!$D$15*AM725^3+BMILMS!$E$15*AM725^2+BMILMS!$F$15*AM725+BMILMS!$G$15)),(IF(AM725&lt;90,BMILMS!$D$17*AM725^3+BMILMS!$E$17*AM725^2+BMILMS!$F$17*AM725+BMILMS!$G$17,BMILMS!$D$18*AM725^3+BMILMS!$E$18*AM725^2+BMILMS!$F$18*AM725+BMILMS!$G$18)))</f>
        <v>8.8969350000000003E-2</v>
      </c>
      <c r="AM725" s="4">
        <f t="shared" si="251"/>
        <v>0</v>
      </c>
      <c r="AO725" s="56">
        <f>IF(D725="M",WeightSDS!P$5*$AM725^7+WeightSDS!Q$5*$AM725^6+WeightSDS!R$5*$AM725^5+WeightSDS!S$5*$AM725^4+WeightSDS!T$5*$AM725^3+WeightSDS!U$5*$AM725^2+WeightSDS!V$5*$AM725+WeightSDS!W$5,IF($AM725&lt;186,WeightSDS!P$8*$AM725^7+WeightSDS!Q$8*$AM725^6+WeightSDS!R$8*$AM725^5+WeightSDS!S$8*$AM725^4+WeightSDS!T$8*$AM725^3+WeightSDS!U$8*$AM725^2+WeightSDS!V$8*$AM725+WeightSDS!W$8,WeightSDS!$U$9+WeightSDS!$V$9*($AM725-WeightSDS!$W$9)))</f>
        <v>0.75407122999999998</v>
      </c>
      <c r="AP725" s="4">
        <f>IF(D725="M",IF($AM725&lt;45,WeightSDS!M$23*$AM725^10+WeightSDS!N$23*$AM725^9+WeightSDS!O$23*$AM725^8+WeightSDS!P$23*$AM725^7+WeightSDS!Q$23*$AM725^6+WeightSDS!R$23*$AM725^5+WeightSDS!S$23*$AM725^4+WeightSDS!T$23*$AM725^3+WeightSDS!U$23*$AM725^2+WeightSDS!V$23*$AM725+WeightSDS!W$23,IF($AM725&lt;153,WeightSDS!M$25*$AM725^10+WeightSDS!N$25*$AM725^9+WeightSDS!O$25*$AM725^8+WeightSDS!P$25*$AM725^7+WeightSDS!Q$25*$AM725^6+WeightSDS!R$25*$AM725^5+WeightSDS!S$25*$AM725^4+WeightSDS!T$25*$AM725^3+WeightSDS!U$25*$AM725^2+WeightSDS!V$25*$AM725+WeightSDS!W$25,WeightSDS!M$27+WeightSDS!N$27/(1+EXP(WeightSDS!O$27+WeightSDS!P$27*$AM725)))),IF($AM725&lt;43.8,WeightSDS!M$29*$AM725^10+WeightSDS!N$29*$AM725^9+WeightSDS!O$29*$AM725^8+WeightSDS!P$29*$AM725^7+WeightSDS!Q$29*$AM725^6+WeightSDS!R$29*$AM725^5+WeightSDS!S$29*$AM725^4+WeightSDS!T$29*$AM725^3+WeightSDS!U$29*$AM725^2+WeightSDS!V$29*$AM725+WeightSDS!W$29-0.010431*(1-$AM725/210),IF($AM725&lt;123,WeightSDS!M$30*$AM725^10+WeightSDS!N$30*$AM725^9+WeightSDS!O$30*$AM725^8+WeightSDS!P$30*$AM725^7+WeightSDS!Q$30*$AM725^6+WeightSDS!R$30*$AM725^5+WeightSDS!S$30*$AM725^4+WeightSDS!T$30*$AM725^3+WeightSDS!U$30*$AM725^2+WeightSDS!V$30*$AM725+WeightSDS!W$30-0.010431*(1-1/$AM725),WeightSDS!M$32+WeightSDS!N$32/(1+EXP(WeightSDS!O$32+WeightSDS!P$32*$AM725))-0.010431*(1-$AM725/210))))</f>
        <v>2.9500001032655536</v>
      </c>
      <c r="AQ725" s="4">
        <f>IF(D725="M",IF($AM725&lt;162,WeightSDS!P$12*$AM725^7+WeightSDS!Q$12*$AM725^6+WeightSDS!R$12*$AM725^5+WeightSDS!S$12*$AM725^4+WeightSDS!T$12*$AM725^3+WeightSDS!U$12*$AM725^2+WeightSDS!V$12*$AM725+WeightSDS!W$12,WeightSDS!P$14*$AM725^7+WeightSDS!Q$14*$AM725^6+WeightSDS!R$14*$AM725^5+WeightSDS!S$14*$AM725^4+WeightSDS!T$14*$AM725^3+WeightSDS!U$14*$AM725^2+WeightSDS!V$14*$AM725+WeightSDS!W$14),IF($AM725&lt;156,WeightSDS!O$17*$AM725^8+WeightSDS!P$17*$AM725^7+WeightSDS!Q$17*$AM725^6+WeightSDS!R$17*$AM725^5+WeightSDS!S$17*$AM725^4+WeightSDS!T$17*$AM725^3+WeightSDS!U$17*$AM725^2+WeightSDS!V$17*$AM725+WeightSDS!W$17,IF($AM725&lt;186,WeightSDS!$U$18+(WeightSDS!$V$18-WeightSDS!$U$18)/24*($AM725-186)+WeightSDS!$W$18*(-$AM725+186)^2-0.005,WeightSDS!$U$18+(WeightSDS!$V$18-WeightSDS!$U$18)/24*($AM725-186)-0.005)))</f>
        <v>0.14604529399999999</v>
      </c>
      <c r="AT725" s="4">
        <f t="shared" si="238"/>
        <v>0.56299999999999994</v>
      </c>
      <c r="AU725" s="4">
        <f t="shared" si="239"/>
        <v>69</v>
      </c>
      <c r="AV725" s="4">
        <f t="shared" si="240"/>
        <v>0.51</v>
      </c>
    </row>
    <row r="726" spans="1:48" x14ac:dyDescent="0.15">
      <c r="A726" s="4"/>
      <c r="B726" s="21"/>
      <c r="C726" s="21"/>
      <c r="D726" s="21"/>
      <c r="E726" s="22"/>
      <c r="F726" s="22"/>
      <c r="G726" s="23"/>
      <c r="H726" s="23"/>
      <c r="I726" s="181"/>
      <c r="J726" s="8" t="str">
        <f t="shared" si="232"/>
        <v/>
      </c>
      <c r="K726" s="2" t="str">
        <f t="shared" si="241"/>
        <v/>
      </c>
      <c r="L726" s="2" t="str">
        <f t="shared" si="233"/>
        <v/>
      </c>
      <c r="M726" s="2" t="str">
        <f t="shared" si="242"/>
        <v/>
      </c>
      <c r="N726" s="2" t="str">
        <f t="shared" si="250"/>
        <v/>
      </c>
      <c r="O726" s="2" t="str">
        <f t="shared" si="243"/>
        <v/>
      </c>
      <c r="P726" s="8" t="str">
        <f t="shared" si="244"/>
        <v/>
      </c>
      <c r="Q726" s="8" t="str">
        <f t="shared" si="245"/>
        <v/>
      </c>
      <c r="R726" s="111" t="str">
        <f t="shared" si="246"/>
        <v/>
      </c>
      <c r="S726" s="44" t="str">
        <f t="shared" si="247"/>
        <v/>
      </c>
      <c r="T726" s="37" t="str">
        <f t="shared" si="248"/>
        <v/>
      </c>
      <c r="U726" s="44" t="str">
        <f t="shared" si="249"/>
        <v/>
      </c>
      <c r="V726" s="26"/>
      <c r="W726" s="26"/>
      <c r="X726" s="26"/>
      <c r="Y726" s="26"/>
      <c r="Z726" s="24"/>
      <c r="AA726" s="169">
        <f t="shared" si="234"/>
        <v>0</v>
      </c>
      <c r="AB726" s="4">
        <f t="shared" si="235"/>
        <v>0</v>
      </c>
      <c r="AC726" s="170">
        <f t="shared" si="231"/>
        <v>0</v>
      </c>
      <c r="AD726" s="58"/>
      <c r="AE726" s="58"/>
      <c r="AF726" s="58"/>
      <c r="AG726" s="59">
        <f t="shared" si="236"/>
        <v>9.0359999999999996</v>
      </c>
      <c r="AH726" s="59">
        <f t="shared" si="237"/>
        <v>-184.49199999999999</v>
      </c>
      <c r="AJ726" s="4">
        <f>IF(D726="M",IF(AM726&lt;78,BMILMS!$D$5*AM726^3+BMILMS!$E$5*AM726^2+BMILMS!$F$5*AM726+BMILMS!$G$5,IF(AM726&lt;150,BMILMS!$D$6*AM726^3+BMILMS!$E$6*AM726^2+BMILMS!$F$6*AM726+BMILMS!$G$6,BMILMS!$D$7*AM726^3+BMILMS!$E$7*AM726^2+BMILMS!$F$7*AM726+BMILMS!$G$7)),IF(AM726&lt;69,BMILMS!$D$9*AM726^3+BMILMS!$E$9*AM726^2+BMILMS!$F$9*AM726+BMILMS!$G$9,IF(AM726&lt;150,BMILMS!$D$10*AM726^3+BMILMS!$E$10*AM726^2+BMILMS!$F$10*AM726+BMILMS!$G$10,BMILMS!$D$11*AM726^3+BMILMS!$E$11*AM726^2+BMILMS!$F$11*AM726+BMILMS!$G$11)))</f>
        <v>0.79584630099999998</v>
      </c>
      <c r="AK726" s="4">
        <f>IF(D726="M",(IF(AM726&lt;2.5,BMILMS!$D$21*AM726^3+BMILMS!$E$21*AM726^2+BMILMS!$F$21*AM726+BMILMS!$G$21,IF(AM726&lt;9.5,BMILMS!$D$22*AM726^3+BMILMS!$E$22*AM726^2+BMILMS!$F$22*AM726+BMILMS!$G$22,IF(AM726&lt;26.75,BMILMS!$D$23*AM726^3+BMILMS!$E$23*AM726^2+BMILMS!$F$23*AM726+BMILMS!$G$23,IF(AM726&lt;90,BMILMS!$D$24*AM726^3+BMILMS!$E$24*AM726^2+BMILMS!$F$24*AM726+BMILMS!$G$24,BMILMS!$D$25*AM726^3+BMILMS!$E$25*AM726^2+BMILMS!$F$25*AM726+BMILMS!$G$25))))),(IF(AM726&lt;2.5,BMILMS!$D$27*AM726^3+BMILMS!$E$27*AM726^2+BMILMS!$F$27*AM726+BMILMS!$G$27,IF(AM726&lt;9.5,BMILMS!$D$28*AM726^3+BMILMS!$E$28*AM726^2+BMILMS!$F$28*AM726+BMILMS!$G$28,IF(AM726&lt;26.75,BMILMS!$D$29*AM726^3+BMILMS!$E$29*AM726^2+BMILMS!$F$29*AM726+BMILMS!$G$29,IF(AM726&lt;90,BMILMS!$D$30*AM726^3+BMILMS!$E$30*AM726^2+BMILMS!$F$30*AM726+BMILMS!$G$30,IF(AM726&lt;150,BMILMS!$D$31*AM726^3+BMILMS!$E$31*AM726^2+BMILMS!$F$31*AM726+BMILMS!$G$31,BMILMS!$D$32*AM726^3+BMILMS!$E$32*AM726^2+BMILMS!$F$32*AM726+BMILMS!$G$32)))))))</f>
        <v>12.568967990000001</v>
      </c>
      <c r="AL726" s="4">
        <f>IF(D726="M",(IF(AM726&lt;90,BMILMS!$D$14*AM726^3+BMILMS!$E$14*AM726^2+BMILMS!$F$14*AM726+BMILMS!$G$14,BMILMS!$D$15*AM726^3+BMILMS!$E$15*AM726^2+BMILMS!$F$15*AM726+BMILMS!$G$15)),(IF(AM726&lt;90,BMILMS!$D$17*AM726^3+BMILMS!$E$17*AM726^2+BMILMS!$F$17*AM726+BMILMS!$G$17,BMILMS!$D$18*AM726^3+BMILMS!$E$18*AM726^2+BMILMS!$F$18*AM726+BMILMS!$G$18)))</f>
        <v>8.8969350000000003E-2</v>
      </c>
      <c r="AM726" s="4">
        <f t="shared" si="251"/>
        <v>0</v>
      </c>
      <c r="AO726" s="56">
        <f>IF(D726="M",WeightSDS!P$5*$AM726^7+WeightSDS!Q$5*$AM726^6+WeightSDS!R$5*$AM726^5+WeightSDS!S$5*$AM726^4+WeightSDS!T$5*$AM726^3+WeightSDS!U$5*$AM726^2+WeightSDS!V$5*$AM726+WeightSDS!W$5,IF($AM726&lt;186,WeightSDS!P$8*$AM726^7+WeightSDS!Q$8*$AM726^6+WeightSDS!R$8*$AM726^5+WeightSDS!S$8*$AM726^4+WeightSDS!T$8*$AM726^3+WeightSDS!U$8*$AM726^2+WeightSDS!V$8*$AM726+WeightSDS!W$8,WeightSDS!$U$9+WeightSDS!$V$9*($AM726-WeightSDS!$W$9)))</f>
        <v>0.75407122999999998</v>
      </c>
      <c r="AP726" s="4">
        <f>IF(D726="M",IF($AM726&lt;45,WeightSDS!M$23*$AM726^10+WeightSDS!N$23*$AM726^9+WeightSDS!O$23*$AM726^8+WeightSDS!P$23*$AM726^7+WeightSDS!Q$23*$AM726^6+WeightSDS!R$23*$AM726^5+WeightSDS!S$23*$AM726^4+WeightSDS!T$23*$AM726^3+WeightSDS!U$23*$AM726^2+WeightSDS!V$23*$AM726+WeightSDS!W$23,IF($AM726&lt;153,WeightSDS!M$25*$AM726^10+WeightSDS!N$25*$AM726^9+WeightSDS!O$25*$AM726^8+WeightSDS!P$25*$AM726^7+WeightSDS!Q$25*$AM726^6+WeightSDS!R$25*$AM726^5+WeightSDS!S$25*$AM726^4+WeightSDS!T$25*$AM726^3+WeightSDS!U$25*$AM726^2+WeightSDS!V$25*$AM726+WeightSDS!W$25,WeightSDS!M$27+WeightSDS!N$27/(1+EXP(WeightSDS!O$27+WeightSDS!P$27*$AM726)))),IF($AM726&lt;43.8,WeightSDS!M$29*$AM726^10+WeightSDS!N$29*$AM726^9+WeightSDS!O$29*$AM726^8+WeightSDS!P$29*$AM726^7+WeightSDS!Q$29*$AM726^6+WeightSDS!R$29*$AM726^5+WeightSDS!S$29*$AM726^4+WeightSDS!T$29*$AM726^3+WeightSDS!U$29*$AM726^2+WeightSDS!V$29*$AM726+WeightSDS!W$29-0.010431*(1-$AM726/210),IF($AM726&lt;123,WeightSDS!M$30*$AM726^10+WeightSDS!N$30*$AM726^9+WeightSDS!O$30*$AM726^8+WeightSDS!P$30*$AM726^7+WeightSDS!Q$30*$AM726^6+WeightSDS!R$30*$AM726^5+WeightSDS!S$30*$AM726^4+WeightSDS!T$30*$AM726^3+WeightSDS!U$30*$AM726^2+WeightSDS!V$30*$AM726+WeightSDS!W$30-0.010431*(1-1/$AM726),WeightSDS!M$32+WeightSDS!N$32/(1+EXP(WeightSDS!O$32+WeightSDS!P$32*$AM726))-0.010431*(1-$AM726/210))))</f>
        <v>2.9500001032655536</v>
      </c>
      <c r="AQ726" s="4">
        <f>IF(D726="M",IF($AM726&lt;162,WeightSDS!P$12*$AM726^7+WeightSDS!Q$12*$AM726^6+WeightSDS!R$12*$AM726^5+WeightSDS!S$12*$AM726^4+WeightSDS!T$12*$AM726^3+WeightSDS!U$12*$AM726^2+WeightSDS!V$12*$AM726+WeightSDS!W$12,WeightSDS!P$14*$AM726^7+WeightSDS!Q$14*$AM726^6+WeightSDS!R$14*$AM726^5+WeightSDS!S$14*$AM726^4+WeightSDS!T$14*$AM726^3+WeightSDS!U$14*$AM726^2+WeightSDS!V$14*$AM726+WeightSDS!W$14),IF($AM726&lt;156,WeightSDS!O$17*$AM726^8+WeightSDS!P$17*$AM726^7+WeightSDS!Q$17*$AM726^6+WeightSDS!R$17*$AM726^5+WeightSDS!S$17*$AM726^4+WeightSDS!T$17*$AM726^3+WeightSDS!U$17*$AM726^2+WeightSDS!V$17*$AM726+WeightSDS!W$17,IF($AM726&lt;186,WeightSDS!$U$18+(WeightSDS!$V$18-WeightSDS!$U$18)/24*($AM726-186)+WeightSDS!$W$18*(-$AM726+186)^2-0.005,WeightSDS!$U$18+(WeightSDS!$V$18-WeightSDS!$U$18)/24*($AM726-186)-0.005)))</f>
        <v>0.14604529399999999</v>
      </c>
      <c r="AT726" s="4">
        <f t="shared" si="238"/>
        <v>0.56299999999999994</v>
      </c>
      <c r="AU726" s="4">
        <f t="shared" si="239"/>
        <v>69</v>
      </c>
      <c r="AV726" s="4">
        <f t="shared" si="240"/>
        <v>0.51</v>
      </c>
    </row>
    <row r="727" spans="1:48" x14ac:dyDescent="0.15">
      <c r="A727" s="4"/>
      <c r="B727" s="21"/>
      <c r="C727" s="21"/>
      <c r="D727" s="21"/>
      <c r="E727" s="22"/>
      <c r="F727" s="22"/>
      <c r="G727" s="23"/>
      <c r="H727" s="23"/>
      <c r="I727" s="181"/>
      <c r="J727" s="8" t="str">
        <f t="shared" si="232"/>
        <v/>
      </c>
      <c r="K727" s="2" t="str">
        <f t="shared" si="241"/>
        <v/>
      </c>
      <c r="L727" s="2" t="str">
        <f t="shared" si="233"/>
        <v/>
      </c>
      <c r="M727" s="2" t="str">
        <f t="shared" si="242"/>
        <v/>
      </c>
      <c r="N727" s="2" t="str">
        <f t="shared" si="250"/>
        <v/>
      </c>
      <c r="O727" s="2" t="str">
        <f t="shared" si="243"/>
        <v/>
      </c>
      <c r="P727" s="8" t="str">
        <f t="shared" si="244"/>
        <v/>
      </c>
      <c r="Q727" s="8" t="str">
        <f t="shared" si="245"/>
        <v/>
      </c>
      <c r="R727" s="111" t="str">
        <f t="shared" si="246"/>
        <v/>
      </c>
      <c r="S727" s="44" t="str">
        <f t="shared" si="247"/>
        <v/>
      </c>
      <c r="T727" s="37" t="str">
        <f t="shared" si="248"/>
        <v/>
      </c>
      <c r="U727" s="44" t="str">
        <f t="shared" si="249"/>
        <v/>
      </c>
      <c r="V727" s="26"/>
      <c r="W727" s="26"/>
      <c r="X727" s="26"/>
      <c r="Y727" s="26"/>
      <c r="Z727" s="24"/>
      <c r="AA727" s="169">
        <f t="shared" si="234"/>
        <v>0</v>
      </c>
      <c r="AB727" s="4">
        <f t="shared" si="235"/>
        <v>0</v>
      </c>
      <c r="AC727" s="170">
        <f t="shared" si="231"/>
        <v>0</v>
      </c>
      <c r="AD727" s="58"/>
      <c r="AE727" s="58"/>
      <c r="AF727" s="58"/>
      <c r="AG727" s="59">
        <f t="shared" si="236"/>
        <v>9.0359999999999996</v>
      </c>
      <c r="AH727" s="59">
        <f t="shared" si="237"/>
        <v>-184.49199999999999</v>
      </c>
      <c r="AJ727" s="4">
        <f>IF(D727="M",IF(AM727&lt;78,BMILMS!$D$5*AM727^3+BMILMS!$E$5*AM727^2+BMILMS!$F$5*AM727+BMILMS!$G$5,IF(AM727&lt;150,BMILMS!$D$6*AM727^3+BMILMS!$E$6*AM727^2+BMILMS!$F$6*AM727+BMILMS!$G$6,BMILMS!$D$7*AM727^3+BMILMS!$E$7*AM727^2+BMILMS!$F$7*AM727+BMILMS!$G$7)),IF(AM727&lt;69,BMILMS!$D$9*AM727^3+BMILMS!$E$9*AM727^2+BMILMS!$F$9*AM727+BMILMS!$G$9,IF(AM727&lt;150,BMILMS!$D$10*AM727^3+BMILMS!$E$10*AM727^2+BMILMS!$F$10*AM727+BMILMS!$G$10,BMILMS!$D$11*AM727^3+BMILMS!$E$11*AM727^2+BMILMS!$F$11*AM727+BMILMS!$G$11)))</f>
        <v>0.79584630099999998</v>
      </c>
      <c r="AK727" s="4">
        <f>IF(D727="M",(IF(AM727&lt;2.5,BMILMS!$D$21*AM727^3+BMILMS!$E$21*AM727^2+BMILMS!$F$21*AM727+BMILMS!$G$21,IF(AM727&lt;9.5,BMILMS!$D$22*AM727^3+BMILMS!$E$22*AM727^2+BMILMS!$F$22*AM727+BMILMS!$G$22,IF(AM727&lt;26.75,BMILMS!$D$23*AM727^3+BMILMS!$E$23*AM727^2+BMILMS!$F$23*AM727+BMILMS!$G$23,IF(AM727&lt;90,BMILMS!$D$24*AM727^3+BMILMS!$E$24*AM727^2+BMILMS!$F$24*AM727+BMILMS!$G$24,BMILMS!$D$25*AM727^3+BMILMS!$E$25*AM727^2+BMILMS!$F$25*AM727+BMILMS!$G$25))))),(IF(AM727&lt;2.5,BMILMS!$D$27*AM727^3+BMILMS!$E$27*AM727^2+BMILMS!$F$27*AM727+BMILMS!$G$27,IF(AM727&lt;9.5,BMILMS!$D$28*AM727^3+BMILMS!$E$28*AM727^2+BMILMS!$F$28*AM727+BMILMS!$G$28,IF(AM727&lt;26.75,BMILMS!$D$29*AM727^3+BMILMS!$E$29*AM727^2+BMILMS!$F$29*AM727+BMILMS!$G$29,IF(AM727&lt;90,BMILMS!$D$30*AM727^3+BMILMS!$E$30*AM727^2+BMILMS!$F$30*AM727+BMILMS!$G$30,IF(AM727&lt;150,BMILMS!$D$31*AM727^3+BMILMS!$E$31*AM727^2+BMILMS!$F$31*AM727+BMILMS!$G$31,BMILMS!$D$32*AM727^3+BMILMS!$E$32*AM727^2+BMILMS!$F$32*AM727+BMILMS!$G$32)))))))</f>
        <v>12.568967990000001</v>
      </c>
      <c r="AL727" s="4">
        <f>IF(D727="M",(IF(AM727&lt;90,BMILMS!$D$14*AM727^3+BMILMS!$E$14*AM727^2+BMILMS!$F$14*AM727+BMILMS!$G$14,BMILMS!$D$15*AM727^3+BMILMS!$E$15*AM727^2+BMILMS!$F$15*AM727+BMILMS!$G$15)),(IF(AM727&lt;90,BMILMS!$D$17*AM727^3+BMILMS!$E$17*AM727^2+BMILMS!$F$17*AM727+BMILMS!$G$17,BMILMS!$D$18*AM727^3+BMILMS!$E$18*AM727^2+BMILMS!$F$18*AM727+BMILMS!$G$18)))</f>
        <v>8.8969350000000003E-2</v>
      </c>
      <c r="AM727" s="4">
        <f t="shared" si="251"/>
        <v>0</v>
      </c>
      <c r="AO727" s="56">
        <f>IF(D727="M",WeightSDS!P$5*$AM727^7+WeightSDS!Q$5*$AM727^6+WeightSDS!R$5*$AM727^5+WeightSDS!S$5*$AM727^4+WeightSDS!T$5*$AM727^3+WeightSDS!U$5*$AM727^2+WeightSDS!V$5*$AM727+WeightSDS!W$5,IF($AM727&lt;186,WeightSDS!P$8*$AM727^7+WeightSDS!Q$8*$AM727^6+WeightSDS!R$8*$AM727^5+WeightSDS!S$8*$AM727^4+WeightSDS!T$8*$AM727^3+WeightSDS!U$8*$AM727^2+WeightSDS!V$8*$AM727+WeightSDS!W$8,WeightSDS!$U$9+WeightSDS!$V$9*($AM727-WeightSDS!$W$9)))</f>
        <v>0.75407122999999998</v>
      </c>
      <c r="AP727" s="4">
        <f>IF(D727="M",IF($AM727&lt;45,WeightSDS!M$23*$AM727^10+WeightSDS!N$23*$AM727^9+WeightSDS!O$23*$AM727^8+WeightSDS!P$23*$AM727^7+WeightSDS!Q$23*$AM727^6+WeightSDS!R$23*$AM727^5+WeightSDS!S$23*$AM727^4+WeightSDS!T$23*$AM727^3+WeightSDS!U$23*$AM727^2+WeightSDS!V$23*$AM727+WeightSDS!W$23,IF($AM727&lt;153,WeightSDS!M$25*$AM727^10+WeightSDS!N$25*$AM727^9+WeightSDS!O$25*$AM727^8+WeightSDS!P$25*$AM727^7+WeightSDS!Q$25*$AM727^6+WeightSDS!R$25*$AM727^5+WeightSDS!S$25*$AM727^4+WeightSDS!T$25*$AM727^3+WeightSDS!U$25*$AM727^2+WeightSDS!V$25*$AM727+WeightSDS!W$25,WeightSDS!M$27+WeightSDS!N$27/(1+EXP(WeightSDS!O$27+WeightSDS!P$27*$AM727)))),IF($AM727&lt;43.8,WeightSDS!M$29*$AM727^10+WeightSDS!N$29*$AM727^9+WeightSDS!O$29*$AM727^8+WeightSDS!P$29*$AM727^7+WeightSDS!Q$29*$AM727^6+WeightSDS!R$29*$AM727^5+WeightSDS!S$29*$AM727^4+WeightSDS!T$29*$AM727^3+WeightSDS!U$29*$AM727^2+WeightSDS!V$29*$AM727+WeightSDS!W$29-0.010431*(1-$AM727/210),IF($AM727&lt;123,WeightSDS!M$30*$AM727^10+WeightSDS!N$30*$AM727^9+WeightSDS!O$30*$AM727^8+WeightSDS!P$30*$AM727^7+WeightSDS!Q$30*$AM727^6+WeightSDS!R$30*$AM727^5+WeightSDS!S$30*$AM727^4+WeightSDS!T$30*$AM727^3+WeightSDS!U$30*$AM727^2+WeightSDS!V$30*$AM727+WeightSDS!W$30-0.010431*(1-1/$AM727),WeightSDS!M$32+WeightSDS!N$32/(1+EXP(WeightSDS!O$32+WeightSDS!P$32*$AM727))-0.010431*(1-$AM727/210))))</f>
        <v>2.9500001032655536</v>
      </c>
      <c r="AQ727" s="4">
        <f>IF(D727="M",IF($AM727&lt;162,WeightSDS!P$12*$AM727^7+WeightSDS!Q$12*$AM727^6+WeightSDS!R$12*$AM727^5+WeightSDS!S$12*$AM727^4+WeightSDS!T$12*$AM727^3+WeightSDS!U$12*$AM727^2+WeightSDS!V$12*$AM727+WeightSDS!W$12,WeightSDS!P$14*$AM727^7+WeightSDS!Q$14*$AM727^6+WeightSDS!R$14*$AM727^5+WeightSDS!S$14*$AM727^4+WeightSDS!T$14*$AM727^3+WeightSDS!U$14*$AM727^2+WeightSDS!V$14*$AM727+WeightSDS!W$14),IF($AM727&lt;156,WeightSDS!O$17*$AM727^8+WeightSDS!P$17*$AM727^7+WeightSDS!Q$17*$AM727^6+WeightSDS!R$17*$AM727^5+WeightSDS!S$17*$AM727^4+WeightSDS!T$17*$AM727^3+WeightSDS!U$17*$AM727^2+WeightSDS!V$17*$AM727+WeightSDS!W$17,IF($AM727&lt;186,WeightSDS!$U$18+(WeightSDS!$V$18-WeightSDS!$U$18)/24*($AM727-186)+WeightSDS!$W$18*(-$AM727+186)^2-0.005,WeightSDS!$U$18+(WeightSDS!$V$18-WeightSDS!$U$18)/24*($AM727-186)-0.005)))</f>
        <v>0.14604529399999999</v>
      </c>
      <c r="AT727" s="4">
        <f t="shared" si="238"/>
        <v>0.56299999999999994</v>
      </c>
      <c r="AU727" s="4">
        <f t="shared" si="239"/>
        <v>69</v>
      </c>
      <c r="AV727" s="4">
        <f t="shared" si="240"/>
        <v>0.51</v>
      </c>
    </row>
    <row r="728" spans="1:48" x14ac:dyDescent="0.15">
      <c r="A728" s="4"/>
      <c r="B728" s="21"/>
      <c r="C728" s="21"/>
      <c r="D728" s="21"/>
      <c r="E728" s="22"/>
      <c r="F728" s="22"/>
      <c r="G728" s="23"/>
      <c r="H728" s="23"/>
      <c r="I728" s="181"/>
      <c r="J728" s="8" t="str">
        <f t="shared" si="232"/>
        <v/>
      </c>
      <c r="K728" s="2" t="str">
        <f t="shared" si="241"/>
        <v/>
      </c>
      <c r="L728" s="2" t="str">
        <f t="shared" si="233"/>
        <v/>
      </c>
      <c r="M728" s="2" t="str">
        <f t="shared" si="242"/>
        <v/>
      </c>
      <c r="N728" s="2" t="str">
        <f t="shared" si="250"/>
        <v/>
      </c>
      <c r="O728" s="2" t="str">
        <f t="shared" si="243"/>
        <v/>
      </c>
      <c r="P728" s="8" t="str">
        <f t="shared" si="244"/>
        <v/>
      </c>
      <c r="Q728" s="8" t="str">
        <f t="shared" si="245"/>
        <v/>
      </c>
      <c r="R728" s="111" t="str">
        <f t="shared" si="246"/>
        <v/>
      </c>
      <c r="S728" s="44" t="str">
        <f t="shared" si="247"/>
        <v/>
      </c>
      <c r="T728" s="37" t="str">
        <f t="shared" si="248"/>
        <v/>
      </c>
      <c r="U728" s="44" t="str">
        <f t="shared" si="249"/>
        <v/>
      </c>
      <c r="V728" s="26"/>
      <c r="W728" s="26"/>
      <c r="X728" s="26"/>
      <c r="Y728" s="26"/>
      <c r="Z728" s="24"/>
      <c r="AA728" s="169">
        <f t="shared" si="234"/>
        <v>0</v>
      </c>
      <c r="AB728" s="4">
        <f t="shared" si="235"/>
        <v>0</v>
      </c>
      <c r="AC728" s="170">
        <f t="shared" si="231"/>
        <v>0</v>
      </c>
      <c r="AD728" s="58"/>
      <c r="AE728" s="58"/>
      <c r="AF728" s="58"/>
      <c r="AG728" s="59">
        <f t="shared" si="236"/>
        <v>9.0359999999999996</v>
      </c>
      <c r="AH728" s="59">
        <f t="shared" si="237"/>
        <v>-184.49199999999999</v>
      </c>
      <c r="AJ728" s="4">
        <f>IF(D728="M",IF(AM728&lt;78,BMILMS!$D$5*AM728^3+BMILMS!$E$5*AM728^2+BMILMS!$F$5*AM728+BMILMS!$G$5,IF(AM728&lt;150,BMILMS!$D$6*AM728^3+BMILMS!$E$6*AM728^2+BMILMS!$F$6*AM728+BMILMS!$G$6,BMILMS!$D$7*AM728^3+BMILMS!$E$7*AM728^2+BMILMS!$F$7*AM728+BMILMS!$G$7)),IF(AM728&lt;69,BMILMS!$D$9*AM728^3+BMILMS!$E$9*AM728^2+BMILMS!$F$9*AM728+BMILMS!$G$9,IF(AM728&lt;150,BMILMS!$D$10*AM728^3+BMILMS!$E$10*AM728^2+BMILMS!$F$10*AM728+BMILMS!$G$10,BMILMS!$D$11*AM728^3+BMILMS!$E$11*AM728^2+BMILMS!$F$11*AM728+BMILMS!$G$11)))</f>
        <v>0.79584630099999998</v>
      </c>
      <c r="AK728" s="4">
        <f>IF(D728="M",(IF(AM728&lt;2.5,BMILMS!$D$21*AM728^3+BMILMS!$E$21*AM728^2+BMILMS!$F$21*AM728+BMILMS!$G$21,IF(AM728&lt;9.5,BMILMS!$D$22*AM728^3+BMILMS!$E$22*AM728^2+BMILMS!$F$22*AM728+BMILMS!$G$22,IF(AM728&lt;26.75,BMILMS!$D$23*AM728^3+BMILMS!$E$23*AM728^2+BMILMS!$F$23*AM728+BMILMS!$G$23,IF(AM728&lt;90,BMILMS!$D$24*AM728^3+BMILMS!$E$24*AM728^2+BMILMS!$F$24*AM728+BMILMS!$G$24,BMILMS!$D$25*AM728^3+BMILMS!$E$25*AM728^2+BMILMS!$F$25*AM728+BMILMS!$G$25))))),(IF(AM728&lt;2.5,BMILMS!$D$27*AM728^3+BMILMS!$E$27*AM728^2+BMILMS!$F$27*AM728+BMILMS!$G$27,IF(AM728&lt;9.5,BMILMS!$D$28*AM728^3+BMILMS!$E$28*AM728^2+BMILMS!$F$28*AM728+BMILMS!$G$28,IF(AM728&lt;26.75,BMILMS!$D$29*AM728^3+BMILMS!$E$29*AM728^2+BMILMS!$F$29*AM728+BMILMS!$G$29,IF(AM728&lt;90,BMILMS!$D$30*AM728^3+BMILMS!$E$30*AM728^2+BMILMS!$F$30*AM728+BMILMS!$G$30,IF(AM728&lt;150,BMILMS!$D$31*AM728^3+BMILMS!$E$31*AM728^2+BMILMS!$F$31*AM728+BMILMS!$G$31,BMILMS!$D$32*AM728^3+BMILMS!$E$32*AM728^2+BMILMS!$F$32*AM728+BMILMS!$G$32)))))))</f>
        <v>12.568967990000001</v>
      </c>
      <c r="AL728" s="4">
        <f>IF(D728="M",(IF(AM728&lt;90,BMILMS!$D$14*AM728^3+BMILMS!$E$14*AM728^2+BMILMS!$F$14*AM728+BMILMS!$G$14,BMILMS!$D$15*AM728^3+BMILMS!$E$15*AM728^2+BMILMS!$F$15*AM728+BMILMS!$G$15)),(IF(AM728&lt;90,BMILMS!$D$17*AM728^3+BMILMS!$E$17*AM728^2+BMILMS!$F$17*AM728+BMILMS!$G$17,BMILMS!$D$18*AM728^3+BMILMS!$E$18*AM728^2+BMILMS!$F$18*AM728+BMILMS!$G$18)))</f>
        <v>8.8969350000000003E-2</v>
      </c>
      <c r="AM728" s="4">
        <f t="shared" si="251"/>
        <v>0</v>
      </c>
      <c r="AO728" s="56">
        <f>IF(D728="M",WeightSDS!P$5*$AM728^7+WeightSDS!Q$5*$AM728^6+WeightSDS!R$5*$AM728^5+WeightSDS!S$5*$AM728^4+WeightSDS!T$5*$AM728^3+WeightSDS!U$5*$AM728^2+WeightSDS!V$5*$AM728+WeightSDS!W$5,IF($AM728&lt;186,WeightSDS!P$8*$AM728^7+WeightSDS!Q$8*$AM728^6+WeightSDS!R$8*$AM728^5+WeightSDS!S$8*$AM728^4+WeightSDS!T$8*$AM728^3+WeightSDS!U$8*$AM728^2+WeightSDS!V$8*$AM728+WeightSDS!W$8,WeightSDS!$U$9+WeightSDS!$V$9*($AM728-WeightSDS!$W$9)))</f>
        <v>0.75407122999999998</v>
      </c>
      <c r="AP728" s="4">
        <f>IF(D728="M",IF($AM728&lt;45,WeightSDS!M$23*$AM728^10+WeightSDS!N$23*$AM728^9+WeightSDS!O$23*$AM728^8+WeightSDS!P$23*$AM728^7+WeightSDS!Q$23*$AM728^6+WeightSDS!R$23*$AM728^5+WeightSDS!S$23*$AM728^4+WeightSDS!T$23*$AM728^3+WeightSDS!U$23*$AM728^2+WeightSDS!V$23*$AM728+WeightSDS!W$23,IF($AM728&lt;153,WeightSDS!M$25*$AM728^10+WeightSDS!N$25*$AM728^9+WeightSDS!O$25*$AM728^8+WeightSDS!P$25*$AM728^7+WeightSDS!Q$25*$AM728^6+WeightSDS!R$25*$AM728^5+WeightSDS!S$25*$AM728^4+WeightSDS!T$25*$AM728^3+WeightSDS!U$25*$AM728^2+WeightSDS!V$25*$AM728+WeightSDS!W$25,WeightSDS!M$27+WeightSDS!N$27/(1+EXP(WeightSDS!O$27+WeightSDS!P$27*$AM728)))),IF($AM728&lt;43.8,WeightSDS!M$29*$AM728^10+WeightSDS!N$29*$AM728^9+WeightSDS!O$29*$AM728^8+WeightSDS!P$29*$AM728^7+WeightSDS!Q$29*$AM728^6+WeightSDS!R$29*$AM728^5+WeightSDS!S$29*$AM728^4+WeightSDS!T$29*$AM728^3+WeightSDS!U$29*$AM728^2+WeightSDS!V$29*$AM728+WeightSDS!W$29-0.010431*(1-$AM728/210),IF($AM728&lt;123,WeightSDS!M$30*$AM728^10+WeightSDS!N$30*$AM728^9+WeightSDS!O$30*$AM728^8+WeightSDS!P$30*$AM728^7+WeightSDS!Q$30*$AM728^6+WeightSDS!R$30*$AM728^5+WeightSDS!S$30*$AM728^4+WeightSDS!T$30*$AM728^3+WeightSDS!U$30*$AM728^2+WeightSDS!V$30*$AM728+WeightSDS!W$30-0.010431*(1-1/$AM728),WeightSDS!M$32+WeightSDS!N$32/(1+EXP(WeightSDS!O$32+WeightSDS!P$32*$AM728))-0.010431*(1-$AM728/210))))</f>
        <v>2.9500001032655536</v>
      </c>
      <c r="AQ728" s="4">
        <f>IF(D728="M",IF($AM728&lt;162,WeightSDS!P$12*$AM728^7+WeightSDS!Q$12*$AM728^6+WeightSDS!R$12*$AM728^5+WeightSDS!S$12*$AM728^4+WeightSDS!T$12*$AM728^3+WeightSDS!U$12*$AM728^2+WeightSDS!V$12*$AM728+WeightSDS!W$12,WeightSDS!P$14*$AM728^7+WeightSDS!Q$14*$AM728^6+WeightSDS!R$14*$AM728^5+WeightSDS!S$14*$AM728^4+WeightSDS!T$14*$AM728^3+WeightSDS!U$14*$AM728^2+WeightSDS!V$14*$AM728+WeightSDS!W$14),IF($AM728&lt;156,WeightSDS!O$17*$AM728^8+WeightSDS!P$17*$AM728^7+WeightSDS!Q$17*$AM728^6+WeightSDS!R$17*$AM728^5+WeightSDS!S$17*$AM728^4+WeightSDS!T$17*$AM728^3+WeightSDS!U$17*$AM728^2+WeightSDS!V$17*$AM728+WeightSDS!W$17,IF($AM728&lt;186,WeightSDS!$U$18+(WeightSDS!$V$18-WeightSDS!$U$18)/24*($AM728-186)+WeightSDS!$W$18*(-$AM728+186)^2-0.005,WeightSDS!$U$18+(WeightSDS!$V$18-WeightSDS!$U$18)/24*($AM728-186)-0.005)))</f>
        <v>0.14604529399999999</v>
      </c>
      <c r="AT728" s="4">
        <f t="shared" si="238"/>
        <v>0.56299999999999994</v>
      </c>
      <c r="AU728" s="4">
        <f t="shared" si="239"/>
        <v>69</v>
      </c>
      <c r="AV728" s="4">
        <f t="shared" si="240"/>
        <v>0.51</v>
      </c>
    </row>
    <row r="729" spans="1:48" x14ac:dyDescent="0.15">
      <c r="A729" s="4"/>
      <c r="B729" s="21"/>
      <c r="C729" s="21"/>
      <c r="D729" s="21"/>
      <c r="E729" s="22"/>
      <c r="F729" s="22"/>
      <c r="G729" s="23"/>
      <c r="H729" s="23"/>
      <c r="I729" s="181"/>
      <c r="J729" s="8" t="str">
        <f t="shared" si="232"/>
        <v/>
      </c>
      <c r="K729" s="2" t="str">
        <f t="shared" si="241"/>
        <v/>
      </c>
      <c r="L729" s="2" t="str">
        <f t="shared" si="233"/>
        <v/>
      </c>
      <c r="M729" s="2" t="str">
        <f t="shared" si="242"/>
        <v/>
      </c>
      <c r="N729" s="2" t="str">
        <f t="shared" si="250"/>
        <v/>
      </c>
      <c r="O729" s="2" t="str">
        <f t="shared" si="243"/>
        <v/>
      </c>
      <c r="P729" s="8" t="str">
        <f t="shared" si="244"/>
        <v/>
      </c>
      <c r="Q729" s="8" t="str">
        <f t="shared" si="245"/>
        <v/>
      </c>
      <c r="R729" s="111" t="str">
        <f t="shared" si="246"/>
        <v/>
      </c>
      <c r="S729" s="44" t="str">
        <f t="shared" si="247"/>
        <v/>
      </c>
      <c r="T729" s="37" t="str">
        <f t="shared" si="248"/>
        <v/>
      </c>
      <c r="U729" s="44" t="str">
        <f t="shared" si="249"/>
        <v/>
      </c>
      <c r="V729" s="26"/>
      <c r="W729" s="26"/>
      <c r="X729" s="26"/>
      <c r="Y729" s="26"/>
      <c r="Z729" s="24"/>
      <c r="AA729" s="169">
        <f t="shared" si="234"/>
        <v>0</v>
      </c>
      <c r="AB729" s="4">
        <f t="shared" si="235"/>
        <v>0</v>
      </c>
      <c r="AC729" s="170">
        <f t="shared" si="231"/>
        <v>0</v>
      </c>
      <c r="AD729" s="58"/>
      <c r="AE729" s="58"/>
      <c r="AF729" s="58"/>
      <c r="AG729" s="59">
        <f t="shared" si="236"/>
        <v>9.0359999999999996</v>
      </c>
      <c r="AH729" s="59">
        <f t="shared" si="237"/>
        <v>-184.49199999999999</v>
      </c>
      <c r="AJ729" s="4">
        <f>IF(D729="M",IF(AM729&lt;78,BMILMS!$D$5*AM729^3+BMILMS!$E$5*AM729^2+BMILMS!$F$5*AM729+BMILMS!$G$5,IF(AM729&lt;150,BMILMS!$D$6*AM729^3+BMILMS!$E$6*AM729^2+BMILMS!$F$6*AM729+BMILMS!$G$6,BMILMS!$D$7*AM729^3+BMILMS!$E$7*AM729^2+BMILMS!$F$7*AM729+BMILMS!$G$7)),IF(AM729&lt;69,BMILMS!$D$9*AM729^3+BMILMS!$E$9*AM729^2+BMILMS!$F$9*AM729+BMILMS!$G$9,IF(AM729&lt;150,BMILMS!$D$10*AM729^3+BMILMS!$E$10*AM729^2+BMILMS!$F$10*AM729+BMILMS!$G$10,BMILMS!$D$11*AM729^3+BMILMS!$E$11*AM729^2+BMILMS!$F$11*AM729+BMILMS!$G$11)))</f>
        <v>0.79584630099999998</v>
      </c>
      <c r="AK729" s="4">
        <f>IF(D729="M",(IF(AM729&lt;2.5,BMILMS!$D$21*AM729^3+BMILMS!$E$21*AM729^2+BMILMS!$F$21*AM729+BMILMS!$G$21,IF(AM729&lt;9.5,BMILMS!$D$22*AM729^3+BMILMS!$E$22*AM729^2+BMILMS!$F$22*AM729+BMILMS!$G$22,IF(AM729&lt;26.75,BMILMS!$D$23*AM729^3+BMILMS!$E$23*AM729^2+BMILMS!$F$23*AM729+BMILMS!$G$23,IF(AM729&lt;90,BMILMS!$D$24*AM729^3+BMILMS!$E$24*AM729^2+BMILMS!$F$24*AM729+BMILMS!$G$24,BMILMS!$D$25*AM729^3+BMILMS!$E$25*AM729^2+BMILMS!$F$25*AM729+BMILMS!$G$25))))),(IF(AM729&lt;2.5,BMILMS!$D$27*AM729^3+BMILMS!$E$27*AM729^2+BMILMS!$F$27*AM729+BMILMS!$G$27,IF(AM729&lt;9.5,BMILMS!$D$28*AM729^3+BMILMS!$E$28*AM729^2+BMILMS!$F$28*AM729+BMILMS!$G$28,IF(AM729&lt;26.75,BMILMS!$D$29*AM729^3+BMILMS!$E$29*AM729^2+BMILMS!$F$29*AM729+BMILMS!$G$29,IF(AM729&lt;90,BMILMS!$D$30*AM729^3+BMILMS!$E$30*AM729^2+BMILMS!$F$30*AM729+BMILMS!$G$30,IF(AM729&lt;150,BMILMS!$D$31*AM729^3+BMILMS!$E$31*AM729^2+BMILMS!$F$31*AM729+BMILMS!$G$31,BMILMS!$D$32*AM729^3+BMILMS!$E$32*AM729^2+BMILMS!$F$32*AM729+BMILMS!$G$32)))))))</f>
        <v>12.568967990000001</v>
      </c>
      <c r="AL729" s="4">
        <f>IF(D729="M",(IF(AM729&lt;90,BMILMS!$D$14*AM729^3+BMILMS!$E$14*AM729^2+BMILMS!$F$14*AM729+BMILMS!$G$14,BMILMS!$D$15*AM729^3+BMILMS!$E$15*AM729^2+BMILMS!$F$15*AM729+BMILMS!$G$15)),(IF(AM729&lt;90,BMILMS!$D$17*AM729^3+BMILMS!$E$17*AM729^2+BMILMS!$F$17*AM729+BMILMS!$G$17,BMILMS!$D$18*AM729^3+BMILMS!$E$18*AM729^2+BMILMS!$F$18*AM729+BMILMS!$G$18)))</f>
        <v>8.8969350000000003E-2</v>
      </c>
      <c r="AM729" s="4">
        <f t="shared" si="251"/>
        <v>0</v>
      </c>
      <c r="AO729" s="56">
        <f>IF(D729="M",WeightSDS!P$5*$AM729^7+WeightSDS!Q$5*$AM729^6+WeightSDS!R$5*$AM729^5+WeightSDS!S$5*$AM729^4+WeightSDS!T$5*$AM729^3+WeightSDS!U$5*$AM729^2+WeightSDS!V$5*$AM729+WeightSDS!W$5,IF($AM729&lt;186,WeightSDS!P$8*$AM729^7+WeightSDS!Q$8*$AM729^6+WeightSDS!R$8*$AM729^5+WeightSDS!S$8*$AM729^4+WeightSDS!T$8*$AM729^3+WeightSDS!U$8*$AM729^2+WeightSDS!V$8*$AM729+WeightSDS!W$8,WeightSDS!$U$9+WeightSDS!$V$9*($AM729-WeightSDS!$W$9)))</f>
        <v>0.75407122999999998</v>
      </c>
      <c r="AP729" s="4">
        <f>IF(D729="M",IF($AM729&lt;45,WeightSDS!M$23*$AM729^10+WeightSDS!N$23*$AM729^9+WeightSDS!O$23*$AM729^8+WeightSDS!P$23*$AM729^7+WeightSDS!Q$23*$AM729^6+WeightSDS!R$23*$AM729^5+WeightSDS!S$23*$AM729^4+WeightSDS!T$23*$AM729^3+WeightSDS!U$23*$AM729^2+WeightSDS!V$23*$AM729+WeightSDS!W$23,IF($AM729&lt;153,WeightSDS!M$25*$AM729^10+WeightSDS!N$25*$AM729^9+WeightSDS!O$25*$AM729^8+WeightSDS!P$25*$AM729^7+WeightSDS!Q$25*$AM729^6+WeightSDS!R$25*$AM729^5+WeightSDS!S$25*$AM729^4+WeightSDS!T$25*$AM729^3+WeightSDS!U$25*$AM729^2+WeightSDS!V$25*$AM729+WeightSDS!W$25,WeightSDS!M$27+WeightSDS!N$27/(1+EXP(WeightSDS!O$27+WeightSDS!P$27*$AM729)))),IF($AM729&lt;43.8,WeightSDS!M$29*$AM729^10+WeightSDS!N$29*$AM729^9+WeightSDS!O$29*$AM729^8+WeightSDS!P$29*$AM729^7+WeightSDS!Q$29*$AM729^6+WeightSDS!R$29*$AM729^5+WeightSDS!S$29*$AM729^4+WeightSDS!T$29*$AM729^3+WeightSDS!U$29*$AM729^2+WeightSDS!V$29*$AM729+WeightSDS!W$29-0.010431*(1-$AM729/210),IF($AM729&lt;123,WeightSDS!M$30*$AM729^10+WeightSDS!N$30*$AM729^9+WeightSDS!O$30*$AM729^8+WeightSDS!P$30*$AM729^7+WeightSDS!Q$30*$AM729^6+WeightSDS!R$30*$AM729^5+WeightSDS!S$30*$AM729^4+WeightSDS!T$30*$AM729^3+WeightSDS!U$30*$AM729^2+WeightSDS!V$30*$AM729+WeightSDS!W$30-0.010431*(1-1/$AM729),WeightSDS!M$32+WeightSDS!N$32/(1+EXP(WeightSDS!O$32+WeightSDS!P$32*$AM729))-0.010431*(1-$AM729/210))))</f>
        <v>2.9500001032655536</v>
      </c>
      <c r="AQ729" s="4">
        <f>IF(D729="M",IF($AM729&lt;162,WeightSDS!P$12*$AM729^7+WeightSDS!Q$12*$AM729^6+WeightSDS!R$12*$AM729^5+WeightSDS!S$12*$AM729^4+WeightSDS!T$12*$AM729^3+WeightSDS!U$12*$AM729^2+WeightSDS!V$12*$AM729+WeightSDS!W$12,WeightSDS!P$14*$AM729^7+WeightSDS!Q$14*$AM729^6+WeightSDS!R$14*$AM729^5+WeightSDS!S$14*$AM729^4+WeightSDS!T$14*$AM729^3+WeightSDS!U$14*$AM729^2+WeightSDS!V$14*$AM729+WeightSDS!W$14),IF($AM729&lt;156,WeightSDS!O$17*$AM729^8+WeightSDS!P$17*$AM729^7+WeightSDS!Q$17*$AM729^6+WeightSDS!R$17*$AM729^5+WeightSDS!S$17*$AM729^4+WeightSDS!T$17*$AM729^3+WeightSDS!U$17*$AM729^2+WeightSDS!V$17*$AM729+WeightSDS!W$17,IF($AM729&lt;186,WeightSDS!$U$18+(WeightSDS!$V$18-WeightSDS!$U$18)/24*($AM729-186)+WeightSDS!$W$18*(-$AM729+186)^2-0.005,WeightSDS!$U$18+(WeightSDS!$V$18-WeightSDS!$U$18)/24*($AM729-186)-0.005)))</f>
        <v>0.14604529399999999</v>
      </c>
      <c r="AT729" s="4">
        <f t="shared" si="238"/>
        <v>0.56299999999999994</v>
      </c>
      <c r="AU729" s="4">
        <f t="shared" si="239"/>
        <v>69</v>
      </c>
      <c r="AV729" s="4">
        <f t="shared" si="240"/>
        <v>0.51</v>
      </c>
    </row>
    <row r="730" spans="1:48" x14ac:dyDescent="0.15">
      <c r="A730" s="4"/>
      <c r="B730" s="21"/>
      <c r="C730" s="21"/>
      <c r="D730" s="21"/>
      <c r="E730" s="22"/>
      <c r="F730" s="22"/>
      <c r="G730" s="23"/>
      <c r="H730" s="23"/>
      <c r="I730" s="181"/>
      <c r="J730" s="8" t="str">
        <f t="shared" si="232"/>
        <v/>
      </c>
      <c r="K730" s="2" t="str">
        <f t="shared" si="241"/>
        <v/>
      </c>
      <c r="L730" s="2" t="str">
        <f t="shared" si="233"/>
        <v/>
      </c>
      <c r="M730" s="2" t="str">
        <f t="shared" si="242"/>
        <v/>
      </c>
      <c r="N730" s="2" t="str">
        <f t="shared" si="250"/>
        <v/>
      </c>
      <c r="O730" s="2" t="str">
        <f t="shared" si="243"/>
        <v/>
      </c>
      <c r="P730" s="8" t="str">
        <f t="shared" si="244"/>
        <v/>
      </c>
      <c r="Q730" s="8" t="str">
        <f t="shared" si="245"/>
        <v/>
      </c>
      <c r="R730" s="111" t="str">
        <f t="shared" si="246"/>
        <v/>
      </c>
      <c r="S730" s="44" t="str">
        <f t="shared" si="247"/>
        <v/>
      </c>
      <c r="T730" s="37" t="str">
        <f t="shared" si="248"/>
        <v/>
      </c>
      <c r="U730" s="44" t="str">
        <f t="shared" si="249"/>
        <v/>
      </c>
      <c r="V730" s="26"/>
      <c r="W730" s="26"/>
      <c r="X730" s="26"/>
      <c r="Y730" s="26"/>
      <c r="Z730" s="24"/>
      <c r="AA730" s="169">
        <f t="shared" si="234"/>
        <v>0</v>
      </c>
      <c r="AB730" s="4">
        <f t="shared" si="235"/>
        <v>0</v>
      </c>
      <c r="AC730" s="170">
        <f t="shared" si="231"/>
        <v>0</v>
      </c>
      <c r="AD730" s="58"/>
      <c r="AE730" s="58"/>
      <c r="AF730" s="58"/>
      <c r="AG730" s="59">
        <f t="shared" si="236"/>
        <v>9.0359999999999996</v>
      </c>
      <c r="AH730" s="59">
        <f t="shared" si="237"/>
        <v>-184.49199999999999</v>
      </c>
      <c r="AJ730" s="4">
        <f>IF(D730="M",IF(AM730&lt;78,BMILMS!$D$5*AM730^3+BMILMS!$E$5*AM730^2+BMILMS!$F$5*AM730+BMILMS!$G$5,IF(AM730&lt;150,BMILMS!$D$6*AM730^3+BMILMS!$E$6*AM730^2+BMILMS!$F$6*AM730+BMILMS!$G$6,BMILMS!$D$7*AM730^3+BMILMS!$E$7*AM730^2+BMILMS!$F$7*AM730+BMILMS!$G$7)),IF(AM730&lt;69,BMILMS!$D$9*AM730^3+BMILMS!$E$9*AM730^2+BMILMS!$F$9*AM730+BMILMS!$G$9,IF(AM730&lt;150,BMILMS!$D$10*AM730^3+BMILMS!$E$10*AM730^2+BMILMS!$F$10*AM730+BMILMS!$G$10,BMILMS!$D$11*AM730^3+BMILMS!$E$11*AM730^2+BMILMS!$F$11*AM730+BMILMS!$G$11)))</f>
        <v>0.79584630099999998</v>
      </c>
      <c r="AK730" s="4">
        <f>IF(D730="M",(IF(AM730&lt;2.5,BMILMS!$D$21*AM730^3+BMILMS!$E$21*AM730^2+BMILMS!$F$21*AM730+BMILMS!$G$21,IF(AM730&lt;9.5,BMILMS!$D$22*AM730^3+BMILMS!$E$22*AM730^2+BMILMS!$F$22*AM730+BMILMS!$G$22,IF(AM730&lt;26.75,BMILMS!$D$23*AM730^3+BMILMS!$E$23*AM730^2+BMILMS!$F$23*AM730+BMILMS!$G$23,IF(AM730&lt;90,BMILMS!$D$24*AM730^3+BMILMS!$E$24*AM730^2+BMILMS!$F$24*AM730+BMILMS!$G$24,BMILMS!$D$25*AM730^3+BMILMS!$E$25*AM730^2+BMILMS!$F$25*AM730+BMILMS!$G$25))))),(IF(AM730&lt;2.5,BMILMS!$D$27*AM730^3+BMILMS!$E$27*AM730^2+BMILMS!$F$27*AM730+BMILMS!$G$27,IF(AM730&lt;9.5,BMILMS!$D$28*AM730^3+BMILMS!$E$28*AM730^2+BMILMS!$F$28*AM730+BMILMS!$G$28,IF(AM730&lt;26.75,BMILMS!$D$29*AM730^3+BMILMS!$E$29*AM730^2+BMILMS!$F$29*AM730+BMILMS!$G$29,IF(AM730&lt;90,BMILMS!$D$30*AM730^3+BMILMS!$E$30*AM730^2+BMILMS!$F$30*AM730+BMILMS!$G$30,IF(AM730&lt;150,BMILMS!$D$31*AM730^3+BMILMS!$E$31*AM730^2+BMILMS!$F$31*AM730+BMILMS!$G$31,BMILMS!$D$32*AM730^3+BMILMS!$E$32*AM730^2+BMILMS!$F$32*AM730+BMILMS!$G$32)))))))</f>
        <v>12.568967990000001</v>
      </c>
      <c r="AL730" s="4">
        <f>IF(D730="M",(IF(AM730&lt;90,BMILMS!$D$14*AM730^3+BMILMS!$E$14*AM730^2+BMILMS!$F$14*AM730+BMILMS!$G$14,BMILMS!$D$15*AM730^3+BMILMS!$E$15*AM730^2+BMILMS!$F$15*AM730+BMILMS!$G$15)),(IF(AM730&lt;90,BMILMS!$D$17*AM730^3+BMILMS!$E$17*AM730^2+BMILMS!$F$17*AM730+BMILMS!$G$17,BMILMS!$D$18*AM730^3+BMILMS!$E$18*AM730^2+BMILMS!$F$18*AM730+BMILMS!$G$18)))</f>
        <v>8.8969350000000003E-2</v>
      </c>
      <c r="AM730" s="4">
        <f t="shared" si="251"/>
        <v>0</v>
      </c>
      <c r="AO730" s="56">
        <f>IF(D730="M",WeightSDS!P$5*$AM730^7+WeightSDS!Q$5*$AM730^6+WeightSDS!R$5*$AM730^5+WeightSDS!S$5*$AM730^4+WeightSDS!T$5*$AM730^3+WeightSDS!U$5*$AM730^2+WeightSDS!V$5*$AM730+WeightSDS!W$5,IF($AM730&lt;186,WeightSDS!P$8*$AM730^7+WeightSDS!Q$8*$AM730^6+WeightSDS!R$8*$AM730^5+WeightSDS!S$8*$AM730^4+WeightSDS!T$8*$AM730^3+WeightSDS!U$8*$AM730^2+WeightSDS!V$8*$AM730+WeightSDS!W$8,WeightSDS!$U$9+WeightSDS!$V$9*($AM730-WeightSDS!$W$9)))</f>
        <v>0.75407122999999998</v>
      </c>
      <c r="AP730" s="4">
        <f>IF(D730="M",IF($AM730&lt;45,WeightSDS!M$23*$AM730^10+WeightSDS!N$23*$AM730^9+WeightSDS!O$23*$AM730^8+WeightSDS!P$23*$AM730^7+WeightSDS!Q$23*$AM730^6+WeightSDS!R$23*$AM730^5+WeightSDS!S$23*$AM730^4+WeightSDS!T$23*$AM730^3+WeightSDS!U$23*$AM730^2+WeightSDS!V$23*$AM730+WeightSDS!W$23,IF($AM730&lt;153,WeightSDS!M$25*$AM730^10+WeightSDS!N$25*$AM730^9+WeightSDS!O$25*$AM730^8+WeightSDS!P$25*$AM730^7+WeightSDS!Q$25*$AM730^6+WeightSDS!R$25*$AM730^5+WeightSDS!S$25*$AM730^4+WeightSDS!T$25*$AM730^3+WeightSDS!U$25*$AM730^2+WeightSDS!V$25*$AM730+WeightSDS!W$25,WeightSDS!M$27+WeightSDS!N$27/(1+EXP(WeightSDS!O$27+WeightSDS!P$27*$AM730)))),IF($AM730&lt;43.8,WeightSDS!M$29*$AM730^10+WeightSDS!N$29*$AM730^9+WeightSDS!O$29*$AM730^8+WeightSDS!P$29*$AM730^7+WeightSDS!Q$29*$AM730^6+WeightSDS!R$29*$AM730^5+WeightSDS!S$29*$AM730^4+WeightSDS!T$29*$AM730^3+WeightSDS!U$29*$AM730^2+WeightSDS!V$29*$AM730+WeightSDS!W$29-0.010431*(1-$AM730/210),IF($AM730&lt;123,WeightSDS!M$30*$AM730^10+WeightSDS!N$30*$AM730^9+WeightSDS!O$30*$AM730^8+WeightSDS!P$30*$AM730^7+WeightSDS!Q$30*$AM730^6+WeightSDS!R$30*$AM730^5+WeightSDS!S$30*$AM730^4+WeightSDS!T$30*$AM730^3+WeightSDS!U$30*$AM730^2+WeightSDS!V$30*$AM730+WeightSDS!W$30-0.010431*(1-1/$AM730),WeightSDS!M$32+WeightSDS!N$32/(1+EXP(WeightSDS!O$32+WeightSDS!P$32*$AM730))-0.010431*(1-$AM730/210))))</f>
        <v>2.9500001032655536</v>
      </c>
      <c r="AQ730" s="4">
        <f>IF(D730="M",IF($AM730&lt;162,WeightSDS!P$12*$AM730^7+WeightSDS!Q$12*$AM730^6+WeightSDS!R$12*$AM730^5+WeightSDS!S$12*$AM730^4+WeightSDS!T$12*$AM730^3+WeightSDS!U$12*$AM730^2+WeightSDS!V$12*$AM730+WeightSDS!W$12,WeightSDS!P$14*$AM730^7+WeightSDS!Q$14*$AM730^6+WeightSDS!R$14*$AM730^5+WeightSDS!S$14*$AM730^4+WeightSDS!T$14*$AM730^3+WeightSDS!U$14*$AM730^2+WeightSDS!V$14*$AM730+WeightSDS!W$14),IF($AM730&lt;156,WeightSDS!O$17*$AM730^8+WeightSDS!P$17*$AM730^7+WeightSDS!Q$17*$AM730^6+WeightSDS!R$17*$AM730^5+WeightSDS!S$17*$AM730^4+WeightSDS!T$17*$AM730^3+WeightSDS!U$17*$AM730^2+WeightSDS!V$17*$AM730+WeightSDS!W$17,IF($AM730&lt;186,WeightSDS!$U$18+(WeightSDS!$V$18-WeightSDS!$U$18)/24*($AM730-186)+WeightSDS!$W$18*(-$AM730+186)^2-0.005,WeightSDS!$U$18+(WeightSDS!$V$18-WeightSDS!$U$18)/24*($AM730-186)-0.005)))</f>
        <v>0.14604529399999999</v>
      </c>
      <c r="AT730" s="4">
        <f t="shared" si="238"/>
        <v>0.56299999999999994</v>
      </c>
      <c r="AU730" s="4">
        <f t="shared" si="239"/>
        <v>69</v>
      </c>
      <c r="AV730" s="4">
        <f t="shared" si="240"/>
        <v>0.51</v>
      </c>
    </row>
    <row r="731" spans="1:48" x14ac:dyDescent="0.15">
      <c r="A731" s="4"/>
      <c r="B731" s="21"/>
      <c r="C731" s="21"/>
      <c r="D731" s="21"/>
      <c r="E731" s="22"/>
      <c r="F731" s="22"/>
      <c r="G731" s="23"/>
      <c r="H731" s="23"/>
      <c r="I731" s="181"/>
      <c r="J731" s="8" t="str">
        <f t="shared" si="232"/>
        <v/>
      </c>
      <c r="K731" s="2" t="str">
        <f t="shared" si="241"/>
        <v/>
      </c>
      <c r="L731" s="2" t="str">
        <f t="shared" si="233"/>
        <v/>
      </c>
      <c r="M731" s="2" t="str">
        <f t="shared" si="242"/>
        <v/>
      </c>
      <c r="N731" s="2" t="str">
        <f t="shared" si="250"/>
        <v/>
      </c>
      <c r="O731" s="2" t="str">
        <f t="shared" si="243"/>
        <v/>
      </c>
      <c r="P731" s="8" t="str">
        <f t="shared" si="244"/>
        <v/>
      </c>
      <c r="Q731" s="8" t="str">
        <f t="shared" si="245"/>
        <v/>
      </c>
      <c r="R731" s="111" t="str">
        <f t="shared" si="246"/>
        <v/>
      </c>
      <c r="S731" s="44" t="str">
        <f t="shared" si="247"/>
        <v/>
      </c>
      <c r="T731" s="37" t="str">
        <f t="shared" si="248"/>
        <v/>
      </c>
      <c r="U731" s="44" t="str">
        <f t="shared" si="249"/>
        <v/>
      </c>
      <c r="V731" s="26"/>
      <c r="W731" s="26"/>
      <c r="X731" s="26"/>
      <c r="Y731" s="26"/>
      <c r="Z731" s="24"/>
      <c r="AA731" s="169">
        <f t="shared" si="234"/>
        <v>0</v>
      </c>
      <c r="AB731" s="4">
        <f t="shared" si="235"/>
        <v>0</v>
      </c>
      <c r="AC731" s="170">
        <f t="shared" si="231"/>
        <v>0</v>
      </c>
      <c r="AD731" s="58"/>
      <c r="AE731" s="58"/>
      <c r="AF731" s="58"/>
      <c r="AG731" s="59">
        <f t="shared" si="236"/>
        <v>9.0359999999999996</v>
      </c>
      <c r="AH731" s="59">
        <f t="shared" si="237"/>
        <v>-184.49199999999999</v>
      </c>
      <c r="AJ731" s="4">
        <f>IF(D731="M",IF(AM731&lt;78,BMILMS!$D$5*AM731^3+BMILMS!$E$5*AM731^2+BMILMS!$F$5*AM731+BMILMS!$G$5,IF(AM731&lt;150,BMILMS!$D$6*AM731^3+BMILMS!$E$6*AM731^2+BMILMS!$F$6*AM731+BMILMS!$G$6,BMILMS!$D$7*AM731^3+BMILMS!$E$7*AM731^2+BMILMS!$F$7*AM731+BMILMS!$G$7)),IF(AM731&lt;69,BMILMS!$D$9*AM731^3+BMILMS!$E$9*AM731^2+BMILMS!$F$9*AM731+BMILMS!$G$9,IF(AM731&lt;150,BMILMS!$D$10*AM731^3+BMILMS!$E$10*AM731^2+BMILMS!$F$10*AM731+BMILMS!$G$10,BMILMS!$D$11*AM731^3+BMILMS!$E$11*AM731^2+BMILMS!$F$11*AM731+BMILMS!$G$11)))</f>
        <v>0.79584630099999998</v>
      </c>
      <c r="AK731" s="4">
        <f>IF(D731="M",(IF(AM731&lt;2.5,BMILMS!$D$21*AM731^3+BMILMS!$E$21*AM731^2+BMILMS!$F$21*AM731+BMILMS!$G$21,IF(AM731&lt;9.5,BMILMS!$D$22*AM731^3+BMILMS!$E$22*AM731^2+BMILMS!$F$22*AM731+BMILMS!$G$22,IF(AM731&lt;26.75,BMILMS!$D$23*AM731^3+BMILMS!$E$23*AM731^2+BMILMS!$F$23*AM731+BMILMS!$G$23,IF(AM731&lt;90,BMILMS!$D$24*AM731^3+BMILMS!$E$24*AM731^2+BMILMS!$F$24*AM731+BMILMS!$G$24,BMILMS!$D$25*AM731^3+BMILMS!$E$25*AM731^2+BMILMS!$F$25*AM731+BMILMS!$G$25))))),(IF(AM731&lt;2.5,BMILMS!$D$27*AM731^3+BMILMS!$E$27*AM731^2+BMILMS!$F$27*AM731+BMILMS!$G$27,IF(AM731&lt;9.5,BMILMS!$D$28*AM731^3+BMILMS!$E$28*AM731^2+BMILMS!$F$28*AM731+BMILMS!$G$28,IF(AM731&lt;26.75,BMILMS!$D$29*AM731^3+BMILMS!$E$29*AM731^2+BMILMS!$F$29*AM731+BMILMS!$G$29,IF(AM731&lt;90,BMILMS!$D$30*AM731^3+BMILMS!$E$30*AM731^2+BMILMS!$F$30*AM731+BMILMS!$G$30,IF(AM731&lt;150,BMILMS!$D$31*AM731^3+BMILMS!$E$31*AM731^2+BMILMS!$F$31*AM731+BMILMS!$G$31,BMILMS!$D$32*AM731^3+BMILMS!$E$32*AM731^2+BMILMS!$F$32*AM731+BMILMS!$G$32)))))))</f>
        <v>12.568967990000001</v>
      </c>
      <c r="AL731" s="4">
        <f>IF(D731="M",(IF(AM731&lt;90,BMILMS!$D$14*AM731^3+BMILMS!$E$14*AM731^2+BMILMS!$F$14*AM731+BMILMS!$G$14,BMILMS!$D$15*AM731^3+BMILMS!$E$15*AM731^2+BMILMS!$F$15*AM731+BMILMS!$G$15)),(IF(AM731&lt;90,BMILMS!$D$17*AM731^3+BMILMS!$E$17*AM731^2+BMILMS!$F$17*AM731+BMILMS!$G$17,BMILMS!$D$18*AM731^3+BMILMS!$E$18*AM731^2+BMILMS!$F$18*AM731+BMILMS!$G$18)))</f>
        <v>8.8969350000000003E-2</v>
      </c>
      <c r="AM731" s="4">
        <f t="shared" si="251"/>
        <v>0</v>
      </c>
      <c r="AO731" s="56">
        <f>IF(D731="M",WeightSDS!P$5*$AM731^7+WeightSDS!Q$5*$AM731^6+WeightSDS!R$5*$AM731^5+WeightSDS!S$5*$AM731^4+WeightSDS!T$5*$AM731^3+WeightSDS!U$5*$AM731^2+WeightSDS!V$5*$AM731+WeightSDS!W$5,IF($AM731&lt;186,WeightSDS!P$8*$AM731^7+WeightSDS!Q$8*$AM731^6+WeightSDS!R$8*$AM731^5+WeightSDS!S$8*$AM731^4+WeightSDS!T$8*$AM731^3+WeightSDS!U$8*$AM731^2+WeightSDS!V$8*$AM731+WeightSDS!W$8,WeightSDS!$U$9+WeightSDS!$V$9*($AM731-WeightSDS!$W$9)))</f>
        <v>0.75407122999999998</v>
      </c>
      <c r="AP731" s="4">
        <f>IF(D731="M",IF($AM731&lt;45,WeightSDS!M$23*$AM731^10+WeightSDS!N$23*$AM731^9+WeightSDS!O$23*$AM731^8+WeightSDS!P$23*$AM731^7+WeightSDS!Q$23*$AM731^6+WeightSDS!R$23*$AM731^5+WeightSDS!S$23*$AM731^4+WeightSDS!T$23*$AM731^3+WeightSDS!U$23*$AM731^2+WeightSDS!V$23*$AM731+WeightSDS!W$23,IF($AM731&lt;153,WeightSDS!M$25*$AM731^10+WeightSDS!N$25*$AM731^9+WeightSDS!O$25*$AM731^8+WeightSDS!P$25*$AM731^7+WeightSDS!Q$25*$AM731^6+WeightSDS!R$25*$AM731^5+WeightSDS!S$25*$AM731^4+WeightSDS!T$25*$AM731^3+WeightSDS!U$25*$AM731^2+WeightSDS!V$25*$AM731+WeightSDS!W$25,WeightSDS!M$27+WeightSDS!N$27/(1+EXP(WeightSDS!O$27+WeightSDS!P$27*$AM731)))),IF($AM731&lt;43.8,WeightSDS!M$29*$AM731^10+WeightSDS!N$29*$AM731^9+WeightSDS!O$29*$AM731^8+WeightSDS!P$29*$AM731^7+WeightSDS!Q$29*$AM731^6+WeightSDS!R$29*$AM731^5+WeightSDS!S$29*$AM731^4+WeightSDS!T$29*$AM731^3+WeightSDS!U$29*$AM731^2+WeightSDS!V$29*$AM731+WeightSDS!W$29-0.010431*(1-$AM731/210),IF($AM731&lt;123,WeightSDS!M$30*$AM731^10+WeightSDS!N$30*$AM731^9+WeightSDS!O$30*$AM731^8+WeightSDS!P$30*$AM731^7+WeightSDS!Q$30*$AM731^6+WeightSDS!R$30*$AM731^5+WeightSDS!S$30*$AM731^4+WeightSDS!T$30*$AM731^3+WeightSDS!U$30*$AM731^2+WeightSDS!V$30*$AM731+WeightSDS!W$30-0.010431*(1-1/$AM731),WeightSDS!M$32+WeightSDS!N$32/(1+EXP(WeightSDS!O$32+WeightSDS!P$32*$AM731))-0.010431*(1-$AM731/210))))</f>
        <v>2.9500001032655536</v>
      </c>
      <c r="AQ731" s="4">
        <f>IF(D731="M",IF($AM731&lt;162,WeightSDS!P$12*$AM731^7+WeightSDS!Q$12*$AM731^6+WeightSDS!R$12*$AM731^5+WeightSDS!S$12*$AM731^4+WeightSDS!T$12*$AM731^3+WeightSDS!U$12*$AM731^2+WeightSDS!V$12*$AM731+WeightSDS!W$12,WeightSDS!P$14*$AM731^7+WeightSDS!Q$14*$AM731^6+WeightSDS!R$14*$AM731^5+WeightSDS!S$14*$AM731^4+WeightSDS!T$14*$AM731^3+WeightSDS!U$14*$AM731^2+WeightSDS!V$14*$AM731+WeightSDS!W$14),IF($AM731&lt;156,WeightSDS!O$17*$AM731^8+WeightSDS!P$17*$AM731^7+WeightSDS!Q$17*$AM731^6+WeightSDS!R$17*$AM731^5+WeightSDS!S$17*$AM731^4+WeightSDS!T$17*$AM731^3+WeightSDS!U$17*$AM731^2+WeightSDS!V$17*$AM731+WeightSDS!W$17,IF($AM731&lt;186,WeightSDS!$U$18+(WeightSDS!$V$18-WeightSDS!$U$18)/24*($AM731-186)+WeightSDS!$W$18*(-$AM731+186)^2-0.005,WeightSDS!$U$18+(WeightSDS!$V$18-WeightSDS!$U$18)/24*($AM731-186)-0.005)))</f>
        <v>0.14604529399999999</v>
      </c>
      <c r="AT731" s="4">
        <f t="shared" si="238"/>
        <v>0.56299999999999994</v>
      </c>
      <c r="AU731" s="4">
        <f t="shared" si="239"/>
        <v>69</v>
      </c>
      <c r="AV731" s="4">
        <f t="shared" si="240"/>
        <v>0.51</v>
      </c>
    </row>
    <row r="732" spans="1:48" x14ac:dyDescent="0.15">
      <c r="A732" s="4"/>
      <c r="B732" s="21"/>
      <c r="C732" s="21"/>
      <c r="D732" s="21"/>
      <c r="E732" s="22"/>
      <c r="F732" s="22"/>
      <c r="G732" s="23"/>
      <c r="H732" s="23"/>
      <c r="I732" s="181"/>
      <c r="J732" s="8" t="str">
        <f t="shared" si="232"/>
        <v/>
      </c>
      <c r="K732" s="2" t="str">
        <f t="shared" si="241"/>
        <v/>
      </c>
      <c r="L732" s="2" t="str">
        <f t="shared" si="233"/>
        <v/>
      </c>
      <c r="M732" s="2" t="str">
        <f t="shared" si="242"/>
        <v/>
      </c>
      <c r="N732" s="2" t="str">
        <f t="shared" si="250"/>
        <v/>
      </c>
      <c r="O732" s="2" t="str">
        <f t="shared" si="243"/>
        <v/>
      </c>
      <c r="P732" s="8" t="str">
        <f t="shared" si="244"/>
        <v/>
      </c>
      <c r="Q732" s="8" t="str">
        <f t="shared" si="245"/>
        <v/>
      </c>
      <c r="R732" s="111" t="str">
        <f t="shared" si="246"/>
        <v/>
      </c>
      <c r="S732" s="44" t="str">
        <f t="shared" si="247"/>
        <v/>
      </c>
      <c r="T732" s="37" t="str">
        <f t="shared" si="248"/>
        <v/>
      </c>
      <c r="U732" s="44" t="str">
        <f t="shared" si="249"/>
        <v/>
      </c>
      <c r="V732" s="26"/>
      <c r="W732" s="26"/>
      <c r="X732" s="26"/>
      <c r="Y732" s="26"/>
      <c r="Z732" s="24"/>
      <c r="AA732" s="169">
        <f t="shared" si="234"/>
        <v>0</v>
      </c>
      <c r="AB732" s="4">
        <f t="shared" si="235"/>
        <v>0</v>
      </c>
      <c r="AC732" s="170">
        <f t="shared" si="231"/>
        <v>0</v>
      </c>
      <c r="AD732" s="58"/>
      <c r="AE732" s="58"/>
      <c r="AF732" s="58"/>
      <c r="AG732" s="59">
        <f t="shared" si="236"/>
        <v>9.0359999999999996</v>
      </c>
      <c r="AH732" s="59">
        <f t="shared" si="237"/>
        <v>-184.49199999999999</v>
      </c>
      <c r="AJ732" s="4">
        <f>IF(D732="M",IF(AM732&lt;78,BMILMS!$D$5*AM732^3+BMILMS!$E$5*AM732^2+BMILMS!$F$5*AM732+BMILMS!$G$5,IF(AM732&lt;150,BMILMS!$D$6*AM732^3+BMILMS!$E$6*AM732^2+BMILMS!$F$6*AM732+BMILMS!$G$6,BMILMS!$D$7*AM732^3+BMILMS!$E$7*AM732^2+BMILMS!$F$7*AM732+BMILMS!$G$7)),IF(AM732&lt;69,BMILMS!$D$9*AM732^3+BMILMS!$E$9*AM732^2+BMILMS!$F$9*AM732+BMILMS!$G$9,IF(AM732&lt;150,BMILMS!$D$10*AM732^3+BMILMS!$E$10*AM732^2+BMILMS!$F$10*AM732+BMILMS!$G$10,BMILMS!$D$11*AM732^3+BMILMS!$E$11*AM732^2+BMILMS!$F$11*AM732+BMILMS!$G$11)))</f>
        <v>0.79584630099999998</v>
      </c>
      <c r="AK732" s="4">
        <f>IF(D732="M",(IF(AM732&lt;2.5,BMILMS!$D$21*AM732^3+BMILMS!$E$21*AM732^2+BMILMS!$F$21*AM732+BMILMS!$G$21,IF(AM732&lt;9.5,BMILMS!$D$22*AM732^3+BMILMS!$E$22*AM732^2+BMILMS!$F$22*AM732+BMILMS!$G$22,IF(AM732&lt;26.75,BMILMS!$D$23*AM732^3+BMILMS!$E$23*AM732^2+BMILMS!$F$23*AM732+BMILMS!$G$23,IF(AM732&lt;90,BMILMS!$D$24*AM732^3+BMILMS!$E$24*AM732^2+BMILMS!$F$24*AM732+BMILMS!$G$24,BMILMS!$D$25*AM732^3+BMILMS!$E$25*AM732^2+BMILMS!$F$25*AM732+BMILMS!$G$25))))),(IF(AM732&lt;2.5,BMILMS!$D$27*AM732^3+BMILMS!$E$27*AM732^2+BMILMS!$F$27*AM732+BMILMS!$G$27,IF(AM732&lt;9.5,BMILMS!$D$28*AM732^3+BMILMS!$E$28*AM732^2+BMILMS!$F$28*AM732+BMILMS!$G$28,IF(AM732&lt;26.75,BMILMS!$D$29*AM732^3+BMILMS!$E$29*AM732^2+BMILMS!$F$29*AM732+BMILMS!$G$29,IF(AM732&lt;90,BMILMS!$D$30*AM732^3+BMILMS!$E$30*AM732^2+BMILMS!$F$30*AM732+BMILMS!$G$30,IF(AM732&lt;150,BMILMS!$D$31*AM732^3+BMILMS!$E$31*AM732^2+BMILMS!$F$31*AM732+BMILMS!$G$31,BMILMS!$D$32*AM732^3+BMILMS!$E$32*AM732^2+BMILMS!$F$32*AM732+BMILMS!$G$32)))))))</f>
        <v>12.568967990000001</v>
      </c>
      <c r="AL732" s="4">
        <f>IF(D732="M",(IF(AM732&lt;90,BMILMS!$D$14*AM732^3+BMILMS!$E$14*AM732^2+BMILMS!$F$14*AM732+BMILMS!$G$14,BMILMS!$D$15*AM732^3+BMILMS!$E$15*AM732^2+BMILMS!$F$15*AM732+BMILMS!$G$15)),(IF(AM732&lt;90,BMILMS!$D$17*AM732^3+BMILMS!$E$17*AM732^2+BMILMS!$F$17*AM732+BMILMS!$G$17,BMILMS!$D$18*AM732^3+BMILMS!$E$18*AM732^2+BMILMS!$F$18*AM732+BMILMS!$G$18)))</f>
        <v>8.8969350000000003E-2</v>
      </c>
      <c r="AM732" s="4">
        <f t="shared" si="251"/>
        <v>0</v>
      </c>
      <c r="AO732" s="56">
        <f>IF(D732="M",WeightSDS!P$5*$AM732^7+WeightSDS!Q$5*$AM732^6+WeightSDS!R$5*$AM732^5+WeightSDS!S$5*$AM732^4+WeightSDS!T$5*$AM732^3+WeightSDS!U$5*$AM732^2+WeightSDS!V$5*$AM732+WeightSDS!W$5,IF($AM732&lt;186,WeightSDS!P$8*$AM732^7+WeightSDS!Q$8*$AM732^6+WeightSDS!R$8*$AM732^5+WeightSDS!S$8*$AM732^4+WeightSDS!T$8*$AM732^3+WeightSDS!U$8*$AM732^2+WeightSDS!V$8*$AM732+WeightSDS!W$8,WeightSDS!$U$9+WeightSDS!$V$9*($AM732-WeightSDS!$W$9)))</f>
        <v>0.75407122999999998</v>
      </c>
      <c r="AP732" s="4">
        <f>IF(D732="M",IF($AM732&lt;45,WeightSDS!M$23*$AM732^10+WeightSDS!N$23*$AM732^9+WeightSDS!O$23*$AM732^8+WeightSDS!P$23*$AM732^7+WeightSDS!Q$23*$AM732^6+WeightSDS!R$23*$AM732^5+WeightSDS!S$23*$AM732^4+WeightSDS!T$23*$AM732^3+WeightSDS!U$23*$AM732^2+WeightSDS!V$23*$AM732+WeightSDS!W$23,IF($AM732&lt;153,WeightSDS!M$25*$AM732^10+WeightSDS!N$25*$AM732^9+WeightSDS!O$25*$AM732^8+WeightSDS!P$25*$AM732^7+WeightSDS!Q$25*$AM732^6+WeightSDS!R$25*$AM732^5+WeightSDS!S$25*$AM732^4+WeightSDS!T$25*$AM732^3+WeightSDS!U$25*$AM732^2+WeightSDS!V$25*$AM732+WeightSDS!W$25,WeightSDS!M$27+WeightSDS!N$27/(1+EXP(WeightSDS!O$27+WeightSDS!P$27*$AM732)))),IF($AM732&lt;43.8,WeightSDS!M$29*$AM732^10+WeightSDS!N$29*$AM732^9+WeightSDS!O$29*$AM732^8+WeightSDS!P$29*$AM732^7+WeightSDS!Q$29*$AM732^6+WeightSDS!R$29*$AM732^5+WeightSDS!S$29*$AM732^4+WeightSDS!T$29*$AM732^3+WeightSDS!U$29*$AM732^2+WeightSDS!V$29*$AM732+WeightSDS!W$29-0.010431*(1-$AM732/210),IF($AM732&lt;123,WeightSDS!M$30*$AM732^10+WeightSDS!N$30*$AM732^9+WeightSDS!O$30*$AM732^8+WeightSDS!P$30*$AM732^7+WeightSDS!Q$30*$AM732^6+WeightSDS!R$30*$AM732^5+WeightSDS!S$30*$AM732^4+WeightSDS!T$30*$AM732^3+WeightSDS!U$30*$AM732^2+WeightSDS!V$30*$AM732+WeightSDS!W$30-0.010431*(1-1/$AM732),WeightSDS!M$32+WeightSDS!N$32/(1+EXP(WeightSDS!O$32+WeightSDS!P$32*$AM732))-0.010431*(1-$AM732/210))))</f>
        <v>2.9500001032655536</v>
      </c>
      <c r="AQ732" s="4">
        <f>IF(D732="M",IF($AM732&lt;162,WeightSDS!P$12*$AM732^7+WeightSDS!Q$12*$AM732^6+WeightSDS!R$12*$AM732^5+WeightSDS!S$12*$AM732^4+WeightSDS!T$12*$AM732^3+WeightSDS!U$12*$AM732^2+WeightSDS!V$12*$AM732+WeightSDS!W$12,WeightSDS!P$14*$AM732^7+WeightSDS!Q$14*$AM732^6+WeightSDS!R$14*$AM732^5+WeightSDS!S$14*$AM732^4+WeightSDS!T$14*$AM732^3+WeightSDS!U$14*$AM732^2+WeightSDS!V$14*$AM732+WeightSDS!W$14),IF($AM732&lt;156,WeightSDS!O$17*$AM732^8+WeightSDS!P$17*$AM732^7+WeightSDS!Q$17*$AM732^6+WeightSDS!R$17*$AM732^5+WeightSDS!S$17*$AM732^4+WeightSDS!T$17*$AM732^3+WeightSDS!U$17*$AM732^2+WeightSDS!V$17*$AM732+WeightSDS!W$17,IF($AM732&lt;186,WeightSDS!$U$18+(WeightSDS!$V$18-WeightSDS!$U$18)/24*($AM732-186)+WeightSDS!$W$18*(-$AM732+186)^2-0.005,WeightSDS!$U$18+(WeightSDS!$V$18-WeightSDS!$U$18)/24*($AM732-186)-0.005)))</f>
        <v>0.14604529399999999</v>
      </c>
      <c r="AT732" s="4">
        <f t="shared" si="238"/>
        <v>0.56299999999999994</v>
      </c>
      <c r="AU732" s="4">
        <f t="shared" si="239"/>
        <v>69</v>
      </c>
      <c r="AV732" s="4">
        <f t="shared" si="240"/>
        <v>0.51</v>
      </c>
    </row>
    <row r="733" spans="1:48" x14ac:dyDescent="0.15">
      <c r="A733" s="4"/>
      <c r="B733" s="21"/>
      <c r="C733" s="21"/>
      <c r="D733" s="21"/>
      <c r="E733" s="22"/>
      <c r="F733" s="22"/>
      <c r="G733" s="23"/>
      <c r="H733" s="23"/>
      <c r="I733" s="181"/>
      <c r="J733" s="8" t="str">
        <f t="shared" si="232"/>
        <v/>
      </c>
      <c r="K733" s="2" t="str">
        <f t="shared" si="241"/>
        <v/>
      </c>
      <c r="L733" s="2" t="str">
        <f t="shared" si="233"/>
        <v/>
      </c>
      <c r="M733" s="2" t="str">
        <f t="shared" si="242"/>
        <v/>
      </c>
      <c r="N733" s="2" t="str">
        <f t="shared" si="250"/>
        <v/>
      </c>
      <c r="O733" s="2" t="str">
        <f t="shared" si="243"/>
        <v/>
      </c>
      <c r="P733" s="8" t="str">
        <f t="shared" si="244"/>
        <v/>
      </c>
      <c r="Q733" s="8" t="str">
        <f t="shared" si="245"/>
        <v/>
      </c>
      <c r="R733" s="111" t="str">
        <f t="shared" si="246"/>
        <v/>
      </c>
      <c r="S733" s="44" t="str">
        <f t="shared" si="247"/>
        <v/>
      </c>
      <c r="T733" s="37" t="str">
        <f t="shared" si="248"/>
        <v/>
      </c>
      <c r="U733" s="44" t="str">
        <f t="shared" si="249"/>
        <v/>
      </c>
      <c r="V733" s="26"/>
      <c r="W733" s="26"/>
      <c r="X733" s="26"/>
      <c r="Y733" s="26"/>
      <c r="Z733" s="24"/>
      <c r="AA733" s="169">
        <f t="shared" si="234"/>
        <v>0</v>
      </c>
      <c r="AB733" s="4">
        <f t="shared" si="235"/>
        <v>0</v>
      </c>
      <c r="AC733" s="170">
        <f t="shared" si="231"/>
        <v>0</v>
      </c>
      <c r="AD733" s="58"/>
      <c r="AE733" s="58"/>
      <c r="AF733" s="58"/>
      <c r="AG733" s="59">
        <f t="shared" si="236"/>
        <v>9.0359999999999996</v>
      </c>
      <c r="AH733" s="59">
        <f t="shared" si="237"/>
        <v>-184.49199999999999</v>
      </c>
      <c r="AJ733" s="4">
        <f>IF(D733="M",IF(AM733&lt;78,BMILMS!$D$5*AM733^3+BMILMS!$E$5*AM733^2+BMILMS!$F$5*AM733+BMILMS!$G$5,IF(AM733&lt;150,BMILMS!$D$6*AM733^3+BMILMS!$E$6*AM733^2+BMILMS!$F$6*AM733+BMILMS!$G$6,BMILMS!$D$7*AM733^3+BMILMS!$E$7*AM733^2+BMILMS!$F$7*AM733+BMILMS!$G$7)),IF(AM733&lt;69,BMILMS!$D$9*AM733^3+BMILMS!$E$9*AM733^2+BMILMS!$F$9*AM733+BMILMS!$G$9,IF(AM733&lt;150,BMILMS!$D$10*AM733^3+BMILMS!$E$10*AM733^2+BMILMS!$F$10*AM733+BMILMS!$G$10,BMILMS!$D$11*AM733^3+BMILMS!$E$11*AM733^2+BMILMS!$F$11*AM733+BMILMS!$G$11)))</f>
        <v>0.79584630099999998</v>
      </c>
      <c r="AK733" s="4">
        <f>IF(D733="M",(IF(AM733&lt;2.5,BMILMS!$D$21*AM733^3+BMILMS!$E$21*AM733^2+BMILMS!$F$21*AM733+BMILMS!$G$21,IF(AM733&lt;9.5,BMILMS!$D$22*AM733^3+BMILMS!$E$22*AM733^2+BMILMS!$F$22*AM733+BMILMS!$G$22,IF(AM733&lt;26.75,BMILMS!$D$23*AM733^3+BMILMS!$E$23*AM733^2+BMILMS!$F$23*AM733+BMILMS!$G$23,IF(AM733&lt;90,BMILMS!$D$24*AM733^3+BMILMS!$E$24*AM733^2+BMILMS!$F$24*AM733+BMILMS!$G$24,BMILMS!$D$25*AM733^3+BMILMS!$E$25*AM733^2+BMILMS!$F$25*AM733+BMILMS!$G$25))))),(IF(AM733&lt;2.5,BMILMS!$D$27*AM733^3+BMILMS!$E$27*AM733^2+BMILMS!$F$27*AM733+BMILMS!$G$27,IF(AM733&lt;9.5,BMILMS!$D$28*AM733^3+BMILMS!$E$28*AM733^2+BMILMS!$F$28*AM733+BMILMS!$G$28,IF(AM733&lt;26.75,BMILMS!$D$29*AM733^3+BMILMS!$E$29*AM733^2+BMILMS!$F$29*AM733+BMILMS!$G$29,IF(AM733&lt;90,BMILMS!$D$30*AM733^3+BMILMS!$E$30*AM733^2+BMILMS!$F$30*AM733+BMILMS!$G$30,IF(AM733&lt;150,BMILMS!$D$31*AM733^3+BMILMS!$E$31*AM733^2+BMILMS!$F$31*AM733+BMILMS!$G$31,BMILMS!$D$32*AM733^3+BMILMS!$E$32*AM733^2+BMILMS!$F$32*AM733+BMILMS!$G$32)))))))</f>
        <v>12.568967990000001</v>
      </c>
      <c r="AL733" s="4">
        <f>IF(D733="M",(IF(AM733&lt;90,BMILMS!$D$14*AM733^3+BMILMS!$E$14*AM733^2+BMILMS!$F$14*AM733+BMILMS!$G$14,BMILMS!$D$15*AM733^3+BMILMS!$E$15*AM733^2+BMILMS!$F$15*AM733+BMILMS!$G$15)),(IF(AM733&lt;90,BMILMS!$D$17*AM733^3+BMILMS!$E$17*AM733^2+BMILMS!$F$17*AM733+BMILMS!$G$17,BMILMS!$D$18*AM733^3+BMILMS!$E$18*AM733^2+BMILMS!$F$18*AM733+BMILMS!$G$18)))</f>
        <v>8.8969350000000003E-2</v>
      </c>
      <c r="AM733" s="4">
        <f t="shared" si="251"/>
        <v>0</v>
      </c>
      <c r="AO733" s="56">
        <f>IF(D733="M",WeightSDS!P$5*$AM733^7+WeightSDS!Q$5*$AM733^6+WeightSDS!R$5*$AM733^5+WeightSDS!S$5*$AM733^4+WeightSDS!T$5*$AM733^3+WeightSDS!U$5*$AM733^2+WeightSDS!V$5*$AM733+WeightSDS!W$5,IF($AM733&lt;186,WeightSDS!P$8*$AM733^7+WeightSDS!Q$8*$AM733^6+WeightSDS!R$8*$AM733^5+WeightSDS!S$8*$AM733^4+WeightSDS!T$8*$AM733^3+WeightSDS!U$8*$AM733^2+WeightSDS!V$8*$AM733+WeightSDS!W$8,WeightSDS!$U$9+WeightSDS!$V$9*($AM733-WeightSDS!$W$9)))</f>
        <v>0.75407122999999998</v>
      </c>
      <c r="AP733" s="4">
        <f>IF(D733="M",IF($AM733&lt;45,WeightSDS!M$23*$AM733^10+WeightSDS!N$23*$AM733^9+WeightSDS!O$23*$AM733^8+WeightSDS!P$23*$AM733^7+WeightSDS!Q$23*$AM733^6+WeightSDS!R$23*$AM733^5+WeightSDS!S$23*$AM733^4+WeightSDS!T$23*$AM733^3+WeightSDS!U$23*$AM733^2+WeightSDS!V$23*$AM733+WeightSDS!W$23,IF($AM733&lt;153,WeightSDS!M$25*$AM733^10+WeightSDS!N$25*$AM733^9+WeightSDS!O$25*$AM733^8+WeightSDS!P$25*$AM733^7+WeightSDS!Q$25*$AM733^6+WeightSDS!R$25*$AM733^5+WeightSDS!S$25*$AM733^4+WeightSDS!T$25*$AM733^3+WeightSDS!U$25*$AM733^2+WeightSDS!V$25*$AM733+WeightSDS!W$25,WeightSDS!M$27+WeightSDS!N$27/(1+EXP(WeightSDS!O$27+WeightSDS!P$27*$AM733)))),IF($AM733&lt;43.8,WeightSDS!M$29*$AM733^10+WeightSDS!N$29*$AM733^9+WeightSDS!O$29*$AM733^8+WeightSDS!P$29*$AM733^7+WeightSDS!Q$29*$AM733^6+WeightSDS!R$29*$AM733^5+WeightSDS!S$29*$AM733^4+WeightSDS!T$29*$AM733^3+WeightSDS!U$29*$AM733^2+WeightSDS!V$29*$AM733+WeightSDS!W$29-0.010431*(1-$AM733/210),IF($AM733&lt;123,WeightSDS!M$30*$AM733^10+WeightSDS!N$30*$AM733^9+WeightSDS!O$30*$AM733^8+WeightSDS!P$30*$AM733^7+WeightSDS!Q$30*$AM733^6+WeightSDS!R$30*$AM733^5+WeightSDS!S$30*$AM733^4+WeightSDS!T$30*$AM733^3+WeightSDS!U$30*$AM733^2+WeightSDS!V$30*$AM733+WeightSDS!W$30-0.010431*(1-1/$AM733),WeightSDS!M$32+WeightSDS!N$32/(1+EXP(WeightSDS!O$32+WeightSDS!P$32*$AM733))-0.010431*(1-$AM733/210))))</f>
        <v>2.9500001032655536</v>
      </c>
      <c r="AQ733" s="4">
        <f>IF(D733="M",IF($AM733&lt;162,WeightSDS!P$12*$AM733^7+WeightSDS!Q$12*$AM733^6+WeightSDS!R$12*$AM733^5+WeightSDS!S$12*$AM733^4+WeightSDS!T$12*$AM733^3+WeightSDS!U$12*$AM733^2+WeightSDS!V$12*$AM733+WeightSDS!W$12,WeightSDS!P$14*$AM733^7+WeightSDS!Q$14*$AM733^6+WeightSDS!R$14*$AM733^5+WeightSDS!S$14*$AM733^4+WeightSDS!T$14*$AM733^3+WeightSDS!U$14*$AM733^2+WeightSDS!V$14*$AM733+WeightSDS!W$14),IF($AM733&lt;156,WeightSDS!O$17*$AM733^8+WeightSDS!P$17*$AM733^7+WeightSDS!Q$17*$AM733^6+WeightSDS!R$17*$AM733^5+WeightSDS!S$17*$AM733^4+WeightSDS!T$17*$AM733^3+WeightSDS!U$17*$AM733^2+WeightSDS!V$17*$AM733+WeightSDS!W$17,IF($AM733&lt;186,WeightSDS!$U$18+(WeightSDS!$V$18-WeightSDS!$U$18)/24*($AM733-186)+WeightSDS!$W$18*(-$AM733+186)^2-0.005,WeightSDS!$U$18+(WeightSDS!$V$18-WeightSDS!$U$18)/24*($AM733-186)-0.005)))</f>
        <v>0.14604529399999999</v>
      </c>
      <c r="AT733" s="4">
        <f t="shared" si="238"/>
        <v>0.56299999999999994</v>
      </c>
      <c r="AU733" s="4">
        <f t="shared" si="239"/>
        <v>69</v>
      </c>
      <c r="AV733" s="4">
        <f t="shared" si="240"/>
        <v>0.51</v>
      </c>
    </row>
    <row r="734" spans="1:48" x14ac:dyDescent="0.15">
      <c r="A734" s="4"/>
      <c r="B734" s="21"/>
      <c r="C734" s="21"/>
      <c r="D734" s="21"/>
      <c r="E734" s="22"/>
      <c r="F734" s="22"/>
      <c r="G734" s="23"/>
      <c r="H734" s="23"/>
      <c r="I734" s="181"/>
      <c r="J734" s="8" t="str">
        <f t="shared" si="232"/>
        <v/>
      </c>
      <c r="K734" s="2" t="str">
        <f t="shared" si="241"/>
        <v/>
      </c>
      <c r="L734" s="2" t="str">
        <f t="shared" si="233"/>
        <v/>
      </c>
      <c r="M734" s="2" t="str">
        <f t="shared" si="242"/>
        <v/>
      </c>
      <c r="N734" s="2" t="str">
        <f t="shared" si="250"/>
        <v/>
      </c>
      <c r="O734" s="2" t="str">
        <f t="shared" si="243"/>
        <v/>
      </c>
      <c r="P734" s="8" t="str">
        <f t="shared" si="244"/>
        <v/>
      </c>
      <c r="Q734" s="8" t="str">
        <f t="shared" si="245"/>
        <v/>
      </c>
      <c r="R734" s="111" t="str">
        <f t="shared" si="246"/>
        <v/>
      </c>
      <c r="S734" s="44" t="str">
        <f t="shared" si="247"/>
        <v/>
      </c>
      <c r="T734" s="37" t="str">
        <f t="shared" si="248"/>
        <v/>
      </c>
      <c r="U734" s="44" t="str">
        <f t="shared" si="249"/>
        <v/>
      </c>
      <c r="V734" s="26"/>
      <c r="W734" s="26"/>
      <c r="X734" s="26"/>
      <c r="Y734" s="26"/>
      <c r="Z734" s="24"/>
      <c r="AA734" s="169">
        <f t="shared" si="234"/>
        <v>0</v>
      </c>
      <c r="AB734" s="4">
        <f t="shared" si="235"/>
        <v>0</v>
      </c>
      <c r="AC734" s="170">
        <f t="shared" ref="AC734:AC797" si="252">DATEDIF(E734,F734,"Y")+(F734-(DATE(YEAR(E734)+DATEDIF(E734,F734,"Y"),MONTH(E734),DAY(E734))))/(365+IF(MOD(YEAR((DATE(YEAR(F734)-1,MONTH(E734),DAY(E734)))),4)=0,IF((DATE(YEAR(F734)-1,MONTH(E734),DAY(E734)))&gt;DATE(YEAR((DATE(YEAR(F734)-1,MONTH(E734),DAY(E734)))),2,29),0,1),0)+IF(MOD(YEAR(F734),4)=0,IF(F734&gt;DATE(YEAR(F734),2,29),1,0),0))</f>
        <v>0</v>
      </c>
      <c r="AD734" s="58"/>
      <c r="AE734" s="58"/>
      <c r="AF734" s="58"/>
      <c r="AG734" s="59">
        <f t="shared" si="236"/>
        <v>9.0359999999999996</v>
      </c>
      <c r="AH734" s="59">
        <f t="shared" si="237"/>
        <v>-184.49199999999999</v>
      </c>
      <c r="AJ734" s="4">
        <f>IF(D734="M",IF(AM734&lt;78,BMILMS!$D$5*AM734^3+BMILMS!$E$5*AM734^2+BMILMS!$F$5*AM734+BMILMS!$G$5,IF(AM734&lt;150,BMILMS!$D$6*AM734^3+BMILMS!$E$6*AM734^2+BMILMS!$F$6*AM734+BMILMS!$G$6,BMILMS!$D$7*AM734^3+BMILMS!$E$7*AM734^2+BMILMS!$F$7*AM734+BMILMS!$G$7)),IF(AM734&lt;69,BMILMS!$D$9*AM734^3+BMILMS!$E$9*AM734^2+BMILMS!$F$9*AM734+BMILMS!$G$9,IF(AM734&lt;150,BMILMS!$D$10*AM734^3+BMILMS!$E$10*AM734^2+BMILMS!$F$10*AM734+BMILMS!$G$10,BMILMS!$D$11*AM734^3+BMILMS!$E$11*AM734^2+BMILMS!$F$11*AM734+BMILMS!$G$11)))</f>
        <v>0.79584630099999998</v>
      </c>
      <c r="AK734" s="4">
        <f>IF(D734="M",(IF(AM734&lt;2.5,BMILMS!$D$21*AM734^3+BMILMS!$E$21*AM734^2+BMILMS!$F$21*AM734+BMILMS!$G$21,IF(AM734&lt;9.5,BMILMS!$D$22*AM734^3+BMILMS!$E$22*AM734^2+BMILMS!$F$22*AM734+BMILMS!$G$22,IF(AM734&lt;26.75,BMILMS!$D$23*AM734^3+BMILMS!$E$23*AM734^2+BMILMS!$F$23*AM734+BMILMS!$G$23,IF(AM734&lt;90,BMILMS!$D$24*AM734^3+BMILMS!$E$24*AM734^2+BMILMS!$F$24*AM734+BMILMS!$G$24,BMILMS!$D$25*AM734^3+BMILMS!$E$25*AM734^2+BMILMS!$F$25*AM734+BMILMS!$G$25))))),(IF(AM734&lt;2.5,BMILMS!$D$27*AM734^3+BMILMS!$E$27*AM734^2+BMILMS!$F$27*AM734+BMILMS!$G$27,IF(AM734&lt;9.5,BMILMS!$D$28*AM734^3+BMILMS!$E$28*AM734^2+BMILMS!$F$28*AM734+BMILMS!$G$28,IF(AM734&lt;26.75,BMILMS!$D$29*AM734^3+BMILMS!$E$29*AM734^2+BMILMS!$F$29*AM734+BMILMS!$G$29,IF(AM734&lt;90,BMILMS!$D$30*AM734^3+BMILMS!$E$30*AM734^2+BMILMS!$F$30*AM734+BMILMS!$G$30,IF(AM734&lt;150,BMILMS!$D$31*AM734^3+BMILMS!$E$31*AM734^2+BMILMS!$F$31*AM734+BMILMS!$G$31,BMILMS!$D$32*AM734^3+BMILMS!$E$32*AM734^2+BMILMS!$F$32*AM734+BMILMS!$G$32)))))))</f>
        <v>12.568967990000001</v>
      </c>
      <c r="AL734" s="4">
        <f>IF(D734="M",(IF(AM734&lt;90,BMILMS!$D$14*AM734^3+BMILMS!$E$14*AM734^2+BMILMS!$F$14*AM734+BMILMS!$G$14,BMILMS!$D$15*AM734^3+BMILMS!$E$15*AM734^2+BMILMS!$F$15*AM734+BMILMS!$G$15)),(IF(AM734&lt;90,BMILMS!$D$17*AM734^3+BMILMS!$E$17*AM734^2+BMILMS!$F$17*AM734+BMILMS!$G$17,BMILMS!$D$18*AM734^3+BMILMS!$E$18*AM734^2+BMILMS!$F$18*AM734+BMILMS!$G$18)))</f>
        <v>8.8969350000000003E-2</v>
      </c>
      <c r="AM734" s="4">
        <f t="shared" si="251"/>
        <v>0</v>
      </c>
      <c r="AO734" s="56">
        <f>IF(D734="M",WeightSDS!P$5*$AM734^7+WeightSDS!Q$5*$AM734^6+WeightSDS!R$5*$AM734^5+WeightSDS!S$5*$AM734^4+WeightSDS!T$5*$AM734^3+WeightSDS!U$5*$AM734^2+WeightSDS!V$5*$AM734+WeightSDS!W$5,IF($AM734&lt;186,WeightSDS!P$8*$AM734^7+WeightSDS!Q$8*$AM734^6+WeightSDS!R$8*$AM734^5+WeightSDS!S$8*$AM734^4+WeightSDS!T$8*$AM734^3+WeightSDS!U$8*$AM734^2+WeightSDS!V$8*$AM734+WeightSDS!W$8,WeightSDS!$U$9+WeightSDS!$V$9*($AM734-WeightSDS!$W$9)))</f>
        <v>0.75407122999999998</v>
      </c>
      <c r="AP734" s="4">
        <f>IF(D734="M",IF($AM734&lt;45,WeightSDS!M$23*$AM734^10+WeightSDS!N$23*$AM734^9+WeightSDS!O$23*$AM734^8+WeightSDS!P$23*$AM734^7+WeightSDS!Q$23*$AM734^6+WeightSDS!R$23*$AM734^5+WeightSDS!S$23*$AM734^4+WeightSDS!T$23*$AM734^3+WeightSDS!U$23*$AM734^2+WeightSDS!V$23*$AM734+WeightSDS!W$23,IF($AM734&lt;153,WeightSDS!M$25*$AM734^10+WeightSDS!N$25*$AM734^9+WeightSDS!O$25*$AM734^8+WeightSDS!P$25*$AM734^7+WeightSDS!Q$25*$AM734^6+WeightSDS!R$25*$AM734^5+WeightSDS!S$25*$AM734^4+WeightSDS!T$25*$AM734^3+WeightSDS!U$25*$AM734^2+WeightSDS!V$25*$AM734+WeightSDS!W$25,WeightSDS!M$27+WeightSDS!N$27/(1+EXP(WeightSDS!O$27+WeightSDS!P$27*$AM734)))),IF($AM734&lt;43.8,WeightSDS!M$29*$AM734^10+WeightSDS!N$29*$AM734^9+WeightSDS!O$29*$AM734^8+WeightSDS!P$29*$AM734^7+WeightSDS!Q$29*$AM734^6+WeightSDS!R$29*$AM734^5+WeightSDS!S$29*$AM734^4+WeightSDS!T$29*$AM734^3+WeightSDS!U$29*$AM734^2+WeightSDS!V$29*$AM734+WeightSDS!W$29-0.010431*(1-$AM734/210),IF($AM734&lt;123,WeightSDS!M$30*$AM734^10+WeightSDS!N$30*$AM734^9+WeightSDS!O$30*$AM734^8+WeightSDS!P$30*$AM734^7+WeightSDS!Q$30*$AM734^6+WeightSDS!R$30*$AM734^5+WeightSDS!S$30*$AM734^4+WeightSDS!T$30*$AM734^3+WeightSDS!U$30*$AM734^2+WeightSDS!V$30*$AM734+WeightSDS!W$30-0.010431*(1-1/$AM734),WeightSDS!M$32+WeightSDS!N$32/(1+EXP(WeightSDS!O$32+WeightSDS!P$32*$AM734))-0.010431*(1-$AM734/210))))</f>
        <v>2.9500001032655536</v>
      </c>
      <c r="AQ734" s="4">
        <f>IF(D734="M",IF($AM734&lt;162,WeightSDS!P$12*$AM734^7+WeightSDS!Q$12*$AM734^6+WeightSDS!R$12*$AM734^5+WeightSDS!S$12*$AM734^4+WeightSDS!T$12*$AM734^3+WeightSDS!U$12*$AM734^2+WeightSDS!V$12*$AM734+WeightSDS!W$12,WeightSDS!P$14*$AM734^7+WeightSDS!Q$14*$AM734^6+WeightSDS!R$14*$AM734^5+WeightSDS!S$14*$AM734^4+WeightSDS!T$14*$AM734^3+WeightSDS!U$14*$AM734^2+WeightSDS!V$14*$AM734+WeightSDS!W$14),IF($AM734&lt;156,WeightSDS!O$17*$AM734^8+WeightSDS!P$17*$AM734^7+WeightSDS!Q$17*$AM734^6+WeightSDS!R$17*$AM734^5+WeightSDS!S$17*$AM734^4+WeightSDS!T$17*$AM734^3+WeightSDS!U$17*$AM734^2+WeightSDS!V$17*$AM734+WeightSDS!W$17,IF($AM734&lt;186,WeightSDS!$U$18+(WeightSDS!$V$18-WeightSDS!$U$18)/24*($AM734-186)+WeightSDS!$W$18*(-$AM734+186)^2-0.005,WeightSDS!$U$18+(WeightSDS!$V$18-WeightSDS!$U$18)/24*($AM734-186)-0.005)))</f>
        <v>0.14604529399999999</v>
      </c>
      <c r="AT734" s="4">
        <f t="shared" si="238"/>
        <v>0.56299999999999994</v>
      </c>
      <c r="AU734" s="4">
        <f t="shared" si="239"/>
        <v>69</v>
      </c>
      <c r="AV734" s="4">
        <f t="shared" si="240"/>
        <v>0.51</v>
      </c>
    </row>
    <row r="735" spans="1:48" x14ac:dyDescent="0.15">
      <c r="A735" s="4"/>
      <c r="B735" s="21"/>
      <c r="C735" s="21"/>
      <c r="D735" s="21"/>
      <c r="E735" s="22"/>
      <c r="F735" s="22"/>
      <c r="G735" s="23"/>
      <c r="H735" s="23"/>
      <c r="I735" s="181"/>
      <c r="J735" s="8" t="str">
        <f t="shared" si="232"/>
        <v/>
      </c>
      <c r="K735" s="2" t="str">
        <f t="shared" si="241"/>
        <v/>
      </c>
      <c r="L735" s="2" t="str">
        <f t="shared" si="233"/>
        <v/>
      </c>
      <c r="M735" s="2" t="str">
        <f t="shared" si="242"/>
        <v/>
      </c>
      <c r="N735" s="2" t="str">
        <f t="shared" si="250"/>
        <v/>
      </c>
      <c r="O735" s="2" t="str">
        <f t="shared" si="243"/>
        <v/>
      </c>
      <c r="P735" s="8" t="str">
        <f t="shared" si="244"/>
        <v/>
      </c>
      <c r="Q735" s="8" t="str">
        <f t="shared" si="245"/>
        <v/>
      </c>
      <c r="R735" s="111" t="str">
        <f t="shared" si="246"/>
        <v/>
      </c>
      <c r="S735" s="44" t="str">
        <f t="shared" si="247"/>
        <v/>
      </c>
      <c r="T735" s="37" t="str">
        <f t="shared" si="248"/>
        <v/>
      </c>
      <c r="U735" s="44" t="str">
        <f t="shared" si="249"/>
        <v/>
      </c>
      <c r="V735" s="26"/>
      <c r="W735" s="26"/>
      <c r="X735" s="26"/>
      <c r="Y735" s="26"/>
      <c r="Z735" s="24"/>
      <c r="AA735" s="169">
        <f t="shared" si="234"/>
        <v>0</v>
      </c>
      <c r="AB735" s="4">
        <f t="shared" si="235"/>
        <v>0</v>
      </c>
      <c r="AC735" s="170">
        <f t="shared" si="252"/>
        <v>0</v>
      </c>
      <c r="AD735" s="58"/>
      <c r="AE735" s="58"/>
      <c r="AF735" s="58"/>
      <c r="AG735" s="59">
        <f t="shared" si="236"/>
        <v>9.0359999999999996</v>
      </c>
      <c r="AH735" s="59">
        <f t="shared" si="237"/>
        <v>-184.49199999999999</v>
      </c>
      <c r="AJ735" s="4">
        <f>IF(D735="M",IF(AM735&lt;78,BMILMS!$D$5*AM735^3+BMILMS!$E$5*AM735^2+BMILMS!$F$5*AM735+BMILMS!$G$5,IF(AM735&lt;150,BMILMS!$D$6*AM735^3+BMILMS!$E$6*AM735^2+BMILMS!$F$6*AM735+BMILMS!$G$6,BMILMS!$D$7*AM735^3+BMILMS!$E$7*AM735^2+BMILMS!$F$7*AM735+BMILMS!$G$7)),IF(AM735&lt;69,BMILMS!$D$9*AM735^3+BMILMS!$E$9*AM735^2+BMILMS!$F$9*AM735+BMILMS!$G$9,IF(AM735&lt;150,BMILMS!$D$10*AM735^3+BMILMS!$E$10*AM735^2+BMILMS!$F$10*AM735+BMILMS!$G$10,BMILMS!$D$11*AM735^3+BMILMS!$E$11*AM735^2+BMILMS!$F$11*AM735+BMILMS!$G$11)))</f>
        <v>0.79584630099999998</v>
      </c>
      <c r="AK735" s="4">
        <f>IF(D735="M",(IF(AM735&lt;2.5,BMILMS!$D$21*AM735^3+BMILMS!$E$21*AM735^2+BMILMS!$F$21*AM735+BMILMS!$G$21,IF(AM735&lt;9.5,BMILMS!$D$22*AM735^3+BMILMS!$E$22*AM735^2+BMILMS!$F$22*AM735+BMILMS!$G$22,IF(AM735&lt;26.75,BMILMS!$D$23*AM735^3+BMILMS!$E$23*AM735^2+BMILMS!$F$23*AM735+BMILMS!$G$23,IF(AM735&lt;90,BMILMS!$D$24*AM735^3+BMILMS!$E$24*AM735^2+BMILMS!$F$24*AM735+BMILMS!$G$24,BMILMS!$D$25*AM735^3+BMILMS!$E$25*AM735^2+BMILMS!$F$25*AM735+BMILMS!$G$25))))),(IF(AM735&lt;2.5,BMILMS!$D$27*AM735^3+BMILMS!$E$27*AM735^2+BMILMS!$F$27*AM735+BMILMS!$G$27,IF(AM735&lt;9.5,BMILMS!$D$28*AM735^3+BMILMS!$E$28*AM735^2+BMILMS!$F$28*AM735+BMILMS!$G$28,IF(AM735&lt;26.75,BMILMS!$D$29*AM735^3+BMILMS!$E$29*AM735^2+BMILMS!$F$29*AM735+BMILMS!$G$29,IF(AM735&lt;90,BMILMS!$D$30*AM735^3+BMILMS!$E$30*AM735^2+BMILMS!$F$30*AM735+BMILMS!$G$30,IF(AM735&lt;150,BMILMS!$D$31*AM735^3+BMILMS!$E$31*AM735^2+BMILMS!$F$31*AM735+BMILMS!$G$31,BMILMS!$D$32*AM735^3+BMILMS!$E$32*AM735^2+BMILMS!$F$32*AM735+BMILMS!$G$32)))))))</f>
        <v>12.568967990000001</v>
      </c>
      <c r="AL735" s="4">
        <f>IF(D735="M",(IF(AM735&lt;90,BMILMS!$D$14*AM735^3+BMILMS!$E$14*AM735^2+BMILMS!$F$14*AM735+BMILMS!$G$14,BMILMS!$D$15*AM735^3+BMILMS!$E$15*AM735^2+BMILMS!$F$15*AM735+BMILMS!$G$15)),(IF(AM735&lt;90,BMILMS!$D$17*AM735^3+BMILMS!$E$17*AM735^2+BMILMS!$F$17*AM735+BMILMS!$G$17,BMILMS!$D$18*AM735^3+BMILMS!$E$18*AM735^2+BMILMS!$F$18*AM735+BMILMS!$G$18)))</f>
        <v>8.8969350000000003E-2</v>
      </c>
      <c r="AM735" s="4">
        <f t="shared" si="251"/>
        <v>0</v>
      </c>
      <c r="AO735" s="56">
        <f>IF(D735="M",WeightSDS!P$5*$AM735^7+WeightSDS!Q$5*$AM735^6+WeightSDS!R$5*$AM735^5+WeightSDS!S$5*$AM735^4+WeightSDS!T$5*$AM735^3+WeightSDS!U$5*$AM735^2+WeightSDS!V$5*$AM735+WeightSDS!W$5,IF($AM735&lt;186,WeightSDS!P$8*$AM735^7+WeightSDS!Q$8*$AM735^6+WeightSDS!R$8*$AM735^5+WeightSDS!S$8*$AM735^4+WeightSDS!T$8*$AM735^3+WeightSDS!U$8*$AM735^2+WeightSDS!V$8*$AM735+WeightSDS!W$8,WeightSDS!$U$9+WeightSDS!$V$9*($AM735-WeightSDS!$W$9)))</f>
        <v>0.75407122999999998</v>
      </c>
      <c r="AP735" s="4">
        <f>IF(D735="M",IF($AM735&lt;45,WeightSDS!M$23*$AM735^10+WeightSDS!N$23*$AM735^9+WeightSDS!O$23*$AM735^8+WeightSDS!P$23*$AM735^7+WeightSDS!Q$23*$AM735^6+WeightSDS!R$23*$AM735^5+WeightSDS!S$23*$AM735^4+WeightSDS!T$23*$AM735^3+WeightSDS!U$23*$AM735^2+WeightSDS!V$23*$AM735+WeightSDS!W$23,IF($AM735&lt;153,WeightSDS!M$25*$AM735^10+WeightSDS!N$25*$AM735^9+WeightSDS!O$25*$AM735^8+WeightSDS!P$25*$AM735^7+WeightSDS!Q$25*$AM735^6+WeightSDS!R$25*$AM735^5+WeightSDS!S$25*$AM735^4+WeightSDS!T$25*$AM735^3+WeightSDS!U$25*$AM735^2+WeightSDS!V$25*$AM735+WeightSDS!W$25,WeightSDS!M$27+WeightSDS!N$27/(1+EXP(WeightSDS!O$27+WeightSDS!P$27*$AM735)))),IF($AM735&lt;43.8,WeightSDS!M$29*$AM735^10+WeightSDS!N$29*$AM735^9+WeightSDS!O$29*$AM735^8+WeightSDS!P$29*$AM735^7+WeightSDS!Q$29*$AM735^6+WeightSDS!R$29*$AM735^5+WeightSDS!S$29*$AM735^4+WeightSDS!T$29*$AM735^3+WeightSDS!U$29*$AM735^2+WeightSDS!V$29*$AM735+WeightSDS!W$29-0.010431*(1-$AM735/210),IF($AM735&lt;123,WeightSDS!M$30*$AM735^10+WeightSDS!N$30*$AM735^9+WeightSDS!O$30*$AM735^8+WeightSDS!P$30*$AM735^7+WeightSDS!Q$30*$AM735^6+WeightSDS!R$30*$AM735^5+WeightSDS!S$30*$AM735^4+WeightSDS!T$30*$AM735^3+WeightSDS!U$30*$AM735^2+WeightSDS!V$30*$AM735+WeightSDS!W$30-0.010431*(1-1/$AM735),WeightSDS!M$32+WeightSDS!N$32/(1+EXP(WeightSDS!O$32+WeightSDS!P$32*$AM735))-0.010431*(1-$AM735/210))))</f>
        <v>2.9500001032655536</v>
      </c>
      <c r="AQ735" s="4">
        <f>IF(D735="M",IF($AM735&lt;162,WeightSDS!P$12*$AM735^7+WeightSDS!Q$12*$AM735^6+WeightSDS!R$12*$AM735^5+WeightSDS!S$12*$AM735^4+WeightSDS!T$12*$AM735^3+WeightSDS!U$12*$AM735^2+WeightSDS!V$12*$AM735+WeightSDS!W$12,WeightSDS!P$14*$AM735^7+WeightSDS!Q$14*$AM735^6+WeightSDS!R$14*$AM735^5+WeightSDS!S$14*$AM735^4+WeightSDS!T$14*$AM735^3+WeightSDS!U$14*$AM735^2+WeightSDS!V$14*$AM735+WeightSDS!W$14),IF($AM735&lt;156,WeightSDS!O$17*$AM735^8+WeightSDS!P$17*$AM735^7+WeightSDS!Q$17*$AM735^6+WeightSDS!R$17*$AM735^5+WeightSDS!S$17*$AM735^4+WeightSDS!T$17*$AM735^3+WeightSDS!U$17*$AM735^2+WeightSDS!V$17*$AM735+WeightSDS!W$17,IF($AM735&lt;186,WeightSDS!$U$18+(WeightSDS!$V$18-WeightSDS!$U$18)/24*($AM735-186)+WeightSDS!$W$18*(-$AM735+186)^2-0.005,WeightSDS!$U$18+(WeightSDS!$V$18-WeightSDS!$U$18)/24*($AM735-186)-0.005)))</f>
        <v>0.14604529399999999</v>
      </c>
      <c r="AT735" s="4">
        <f t="shared" si="238"/>
        <v>0.56299999999999994</v>
      </c>
      <c r="AU735" s="4">
        <f t="shared" si="239"/>
        <v>69</v>
      </c>
      <c r="AV735" s="4">
        <f t="shared" si="240"/>
        <v>0.51</v>
      </c>
    </row>
    <row r="736" spans="1:48" x14ac:dyDescent="0.15">
      <c r="A736" s="4"/>
      <c r="B736" s="21"/>
      <c r="C736" s="21"/>
      <c r="D736" s="21"/>
      <c r="E736" s="22"/>
      <c r="F736" s="22"/>
      <c r="G736" s="23"/>
      <c r="H736" s="23"/>
      <c r="I736" s="181"/>
      <c r="J736" s="8" t="str">
        <f t="shared" si="232"/>
        <v/>
      </c>
      <c r="K736" s="2" t="str">
        <f t="shared" si="241"/>
        <v/>
      </c>
      <c r="L736" s="2" t="str">
        <f t="shared" si="233"/>
        <v/>
      </c>
      <c r="M736" s="2" t="str">
        <f t="shared" si="242"/>
        <v/>
      </c>
      <c r="N736" s="2" t="str">
        <f t="shared" si="250"/>
        <v/>
      </c>
      <c r="O736" s="2" t="str">
        <f t="shared" si="243"/>
        <v/>
      </c>
      <c r="P736" s="8" t="str">
        <f t="shared" si="244"/>
        <v/>
      </c>
      <c r="Q736" s="8" t="str">
        <f t="shared" si="245"/>
        <v/>
      </c>
      <c r="R736" s="111" t="str">
        <f t="shared" si="246"/>
        <v/>
      </c>
      <c r="S736" s="44" t="str">
        <f t="shared" si="247"/>
        <v/>
      </c>
      <c r="T736" s="37" t="str">
        <f t="shared" si="248"/>
        <v/>
      </c>
      <c r="U736" s="44" t="str">
        <f t="shared" si="249"/>
        <v/>
      </c>
      <c r="V736" s="26"/>
      <c r="W736" s="26"/>
      <c r="X736" s="26"/>
      <c r="Y736" s="26"/>
      <c r="Z736" s="24"/>
      <c r="AA736" s="169">
        <f t="shared" si="234"/>
        <v>0</v>
      </c>
      <c r="AB736" s="4">
        <f t="shared" si="235"/>
        <v>0</v>
      </c>
      <c r="AC736" s="170">
        <f t="shared" si="252"/>
        <v>0</v>
      </c>
      <c r="AD736" s="58"/>
      <c r="AE736" s="58"/>
      <c r="AF736" s="58"/>
      <c r="AG736" s="59">
        <f t="shared" si="236"/>
        <v>9.0359999999999996</v>
      </c>
      <c r="AH736" s="59">
        <f t="shared" si="237"/>
        <v>-184.49199999999999</v>
      </c>
      <c r="AJ736" s="4">
        <f>IF(D736="M",IF(AM736&lt;78,BMILMS!$D$5*AM736^3+BMILMS!$E$5*AM736^2+BMILMS!$F$5*AM736+BMILMS!$G$5,IF(AM736&lt;150,BMILMS!$D$6*AM736^3+BMILMS!$E$6*AM736^2+BMILMS!$F$6*AM736+BMILMS!$G$6,BMILMS!$D$7*AM736^3+BMILMS!$E$7*AM736^2+BMILMS!$F$7*AM736+BMILMS!$G$7)),IF(AM736&lt;69,BMILMS!$D$9*AM736^3+BMILMS!$E$9*AM736^2+BMILMS!$F$9*AM736+BMILMS!$G$9,IF(AM736&lt;150,BMILMS!$D$10*AM736^3+BMILMS!$E$10*AM736^2+BMILMS!$F$10*AM736+BMILMS!$G$10,BMILMS!$D$11*AM736^3+BMILMS!$E$11*AM736^2+BMILMS!$F$11*AM736+BMILMS!$G$11)))</f>
        <v>0.79584630099999998</v>
      </c>
      <c r="AK736" s="4">
        <f>IF(D736="M",(IF(AM736&lt;2.5,BMILMS!$D$21*AM736^3+BMILMS!$E$21*AM736^2+BMILMS!$F$21*AM736+BMILMS!$G$21,IF(AM736&lt;9.5,BMILMS!$D$22*AM736^3+BMILMS!$E$22*AM736^2+BMILMS!$F$22*AM736+BMILMS!$G$22,IF(AM736&lt;26.75,BMILMS!$D$23*AM736^3+BMILMS!$E$23*AM736^2+BMILMS!$F$23*AM736+BMILMS!$G$23,IF(AM736&lt;90,BMILMS!$D$24*AM736^3+BMILMS!$E$24*AM736^2+BMILMS!$F$24*AM736+BMILMS!$G$24,BMILMS!$D$25*AM736^3+BMILMS!$E$25*AM736^2+BMILMS!$F$25*AM736+BMILMS!$G$25))))),(IF(AM736&lt;2.5,BMILMS!$D$27*AM736^3+BMILMS!$E$27*AM736^2+BMILMS!$F$27*AM736+BMILMS!$G$27,IF(AM736&lt;9.5,BMILMS!$D$28*AM736^3+BMILMS!$E$28*AM736^2+BMILMS!$F$28*AM736+BMILMS!$G$28,IF(AM736&lt;26.75,BMILMS!$D$29*AM736^3+BMILMS!$E$29*AM736^2+BMILMS!$F$29*AM736+BMILMS!$G$29,IF(AM736&lt;90,BMILMS!$D$30*AM736^3+BMILMS!$E$30*AM736^2+BMILMS!$F$30*AM736+BMILMS!$G$30,IF(AM736&lt;150,BMILMS!$D$31*AM736^3+BMILMS!$E$31*AM736^2+BMILMS!$F$31*AM736+BMILMS!$G$31,BMILMS!$D$32*AM736^3+BMILMS!$E$32*AM736^2+BMILMS!$F$32*AM736+BMILMS!$G$32)))))))</f>
        <v>12.568967990000001</v>
      </c>
      <c r="AL736" s="4">
        <f>IF(D736="M",(IF(AM736&lt;90,BMILMS!$D$14*AM736^3+BMILMS!$E$14*AM736^2+BMILMS!$F$14*AM736+BMILMS!$G$14,BMILMS!$D$15*AM736^3+BMILMS!$E$15*AM736^2+BMILMS!$F$15*AM736+BMILMS!$G$15)),(IF(AM736&lt;90,BMILMS!$D$17*AM736^3+BMILMS!$E$17*AM736^2+BMILMS!$F$17*AM736+BMILMS!$G$17,BMILMS!$D$18*AM736^3+BMILMS!$E$18*AM736^2+BMILMS!$F$18*AM736+BMILMS!$G$18)))</f>
        <v>8.8969350000000003E-2</v>
      </c>
      <c r="AM736" s="4">
        <f t="shared" si="251"/>
        <v>0</v>
      </c>
      <c r="AO736" s="56">
        <f>IF(D736="M",WeightSDS!P$5*$AM736^7+WeightSDS!Q$5*$AM736^6+WeightSDS!R$5*$AM736^5+WeightSDS!S$5*$AM736^4+WeightSDS!T$5*$AM736^3+WeightSDS!U$5*$AM736^2+WeightSDS!V$5*$AM736+WeightSDS!W$5,IF($AM736&lt;186,WeightSDS!P$8*$AM736^7+WeightSDS!Q$8*$AM736^6+WeightSDS!R$8*$AM736^5+WeightSDS!S$8*$AM736^4+WeightSDS!T$8*$AM736^3+WeightSDS!U$8*$AM736^2+WeightSDS!V$8*$AM736+WeightSDS!W$8,WeightSDS!$U$9+WeightSDS!$V$9*($AM736-WeightSDS!$W$9)))</f>
        <v>0.75407122999999998</v>
      </c>
      <c r="AP736" s="4">
        <f>IF(D736="M",IF($AM736&lt;45,WeightSDS!M$23*$AM736^10+WeightSDS!N$23*$AM736^9+WeightSDS!O$23*$AM736^8+WeightSDS!P$23*$AM736^7+WeightSDS!Q$23*$AM736^6+WeightSDS!R$23*$AM736^5+WeightSDS!S$23*$AM736^4+WeightSDS!T$23*$AM736^3+WeightSDS!U$23*$AM736^2+WeightSDS!V$23*$AM736+WeightSDS!W$23,IF($AM736&lt;153,WeightSDS!M$25*$AM736^10+WeightSDS!N$25*$AM736^9+WeightSDS!O$25*$AM736^8+WeightSDS!P$25*$AM736^7+WeightSDS!Q$25*$AM736^6+WeightSDS!R$25*$AM736^5+WeightSDS!S$25*$AM736^4+WeightSDS!T$25*$AM736^3+WeightSDS!U$25*$AM736^2+WeightSDS!V$25*$AM736+WeightSDS!W$25,WeightSDS!M$27+WeightSDS!N$27/(1+EXP(WeightSDS!O$27+WeightSDS!P$27*$AM736)))),IF($AM736&lt;43.8,WeightSDS!M$29*$AM736^10+WeightSDS!N$29*$AM736^9+WeightSDS!O$29*$AM736^8+WeightSDS!P$29*$AM736^7+WeightSDS!Q$29*$AM736^6+WeightSDS!R$29*$AM736^5+WeightSDS!S$29*$AM736^4+WeightSDS!T$29*$AM736^3+WeightSDS!U$29*$AM736^2+WeightSDS!V$29*$AM736+WeightSDS!W$29-0.010431*(1-$AM736/210),IF($AM736&lt;123,WeightSDS!M$30*$AM736^10+WeightSDS!N$30*$AM736^9+WeightSDS!O$30*$AM736^8+WeightSDS!P$30*$AM736^7+WeightSDS!Q$30*$AM736^6+WeightSDS!R$30*$AM736^5+WeightSDS!S$30*$AM736^4+WeightSDS!T$30*$AM736^3+WeightSDS!U$30*$AM736^2+WeightSDS!V$30*$AM736+WeightSDS!W$30-0.010431*(1-1/$AM736),WeightSDS!M$32+WeightSDS!N$32/(1+EXP(WeightSDS!O$32+WeightSDS!P$32*$AM736))-0.010431*(1-$AM736/210))))</f>
        <v>2.9500001032655536</v>
      </c>
      <c r="AQ736" s="4">
        <f>IF(D736="M",IF($AM736&lt;162,WeightSDS!P$12*$AM736^7+WeightSDS!Q$12*$AM736^6+WeightSDS!R$12*$AM736^5+WeightSDS!S$12*$AM736^4+WeightSDS!T$12*$AM736^3+WeightSDS!U$12*$AM736^2+WeightSDS!V$12*$AM736+WeightSDS!W$12,WeightSDS!P$14*$AM736^7+WeightSDS!Q$14*$AM736^6+WeightSDS!R$14*$AM736^5+WeightSDS!S$14*$AM736^4+WeightSDS!T$14*$AM736^3+WeightSDS!U$14*$AM736^2+WeightSDS!V$14*$AM736+WeightSDS!W$14),IF($AM736&lt;156,WeightSDS!O$17*$AM736^8+WeightSDS!P$17*$AM736^7+WeightSDS!Q$17*$AM736^6+WeightSDS!R$17*$AM736^5+WeightSDS!S$17*$AM736^4+WeightSDS!T$17*$AM736^3+WeightSDS!U$17*$AM736^2+WeightSDS!V$17*$AM736+WeightSDS!W$17,IF($AM736&lt;186,WeightSDS!$U$18+(WeightSDS!$V$18-WeightSDS!$U$18)/24*($AM736-186)+WeightSDS!$W$18*(-$AM736+186)^2-0.005,WeightSDS!$U$18+(WeightSDS!$V$18-WeightSDS!$U$18)/24*($AM736-186)-0.005)))</f>
        <v>0.14604529399999999</v>
      </c>
      <c r="AT736" s="4">
        <f t="shared" si="238"/>
        <v>0.56299999999999994</v>
      </c>
      <c r="AU736" s="4">
        <f t="shared" si="239"/>
        <v>69</v>
      </c>
      <c r="AV736" s="4">
        <f t="shared" si="240"/>
        <v>0.51</v>
      </c>
    </row>
    <row r="737" spans="1:48" x14ac:dyDescent="0.15">
      <c r="A737" s="4"/>
      <c r="B737" s="21"/>
      <c r="C737" s="21"/>
      <c r="D737" s="21"/>
      <c r="E737" s="22"/>
      <c r="F737" s="22"/>
      <c r="G737" s="23"/>
      <c r="H737" s="23"/>
      <c r="I737" s="181"/>
      <c r="J737" s="8" t="str">
        <f t="shared" si="232"/>
        <v/>
      </c>
      <c r="K737" s="2" t="str">
        <f t="shared" si="241"/>
        <v/>
      </c>
      <c r="L737" s="2" t="str">
        <f t="shared" si="233"/>
        <v/>
      </c>
      <c r="M737" s="2" t="str">
        <f t="shared" si="242"/>
        <v/>
      </c>
      <c r="N737" s="2" t="str">
        <f t="shared" si="250"/>
        <v/>
      </c>
      <c r="O737" s="2" t="str">
        <f t="shared" si="243"/>
        <v/>
      </c>
      <c r="P737" s="8" t="str">
        <f t="shared" si="244"/>
        <v/>
      </c>
      <c r="Q737" s="8" t="str">
        <f t="shared" si="245"/>
        <v/>
      </c>
      <c r="R737" s="111" t="str">
        <f t="shared" si="246"/>
        <v/>
      </c>
      <c r="S737" s="44" t="str">
        <f t="shared" si="247"/>
        <v/>
      </c>
      <c r="T737" s="37" t="str">
        <f t="shared" si="248"/>
        <v/>
      </c>
      <c r="U737" s="44" t="str">
        <f t="shared" si="249"/>
        <v/>
      </c>
      <c r="V737" s="26"/>
      <c r="W737" s="26"/>
      <c r="X737" s="26"/>
      <c r="Y737" s="26"/>
      <c r="Z737" s="24"/>
      <c r="AA737" s="169">
        <f t="shared" si="234"/>
        <v>0</v>
      </c>
      <c r="AB737" s="4">
        <f t="shared" si="235"/>
        <v>0</v>
      </c>
      <c r="AC737" s="170">
        <f t="shared" si="252"/>
        <v>0</v>
      </c>
      <c r="AD737" s="58"/>
      <c r="AE737" s="58"/>
      <c r="AF737" s="58"/>
      <c r="AG737" s="59">
        <f t="shared" si="236"/>
        <v>9.0359999999999996</v>
      </c>
      <c r="AH737" s="59">
        <f t="shared" si="237"/>
        <v>-184.49199999999999</v>
      </c>
      <c r="AJ737" s="4">
        <f>IF(D737="M",IF(AM737&lt;78,BMILMS!$D$5*AM737^3+BMILMS!$E$5*AM737^2+BMILMS!$F$5*AM737+BMILMS!$G$5,IF(AM737&lt;150,BMILMS!$D$6*AM737^3+BMILMS!$E$6*AM737^2+BMILMS!$F$6*AM737+BMILMS!$G$6,BMILMS!$D$7*AM737^3+BMILMS!$E$7*AM737^2+BMILMS!$F$7*AM737+BMILMS!$G$7)),IF(AM737&lt;69,BMILMS!$D$9*AM737^3+BMILMS!$E$9*AM737^2+BMILMS!$F$9*AM737+BMILMS!$G$9,IF(AM737&lt;150,BMILMS!$D$10*AM737^3+BMILMS!$E$10*AM737^2+BMILMS!$F$10*AM737+BMILMS!$G$10,BMILMS!$D$11*AM737^3+BMILMS!$E$11*AM737^2+BMILMS!$F$11*AM737+BMILMS!$G$11)))</f>
        <v>0.79584630099999998</v>
      </c>
      <c r="AK737" s="4">
        <f>IF(D737="M",(IF(AM737&lt;2.5,BMILMS!$D$21*AM737^3+BMILMS!$E$21*AM737^2+BMILMS!$F$21*AM737+BMILMS!$G$21,IF(AM737&lt;9.5,BMILMS!$D$22*AM737^3+BMILMS!$E$22*AM737^2+BMILMS!$F$22*AM737+BMILMS!$G$22,IF(AM737&lt;26.75,BMILMS!$D$23*AM737^3+BMILMS!$E$23*AM737^2+BMILMS!$F$23*AM737+BMILMS!$G$23,IF(AM737&lt;90,BMILMS!$D$24*AM737^3+BMILMS!$E$24*AM737^2+BMILMS!$F$24*AM737+BMILMS!$G$24,BMILMS!$D$25*AM737^3+BMILMS!$E$25*AM737^2+BMILMS!$F$25*AM737+BMILMS!$G$25))))),(IF(AM737&lt;2.5,BMILMS!$D$27*AM737^3+BMILMS!$E$27*AM737^2+BMILMS!$F$27*AM737+BMILMS!$G$27,IF(AM737&lt;9.5,BMILMS!$D$28*AM737^3+BMILMS!$E$28*AM737^2+BMILMS!$F$28*AM737+BMILMS!$G$28,IF(AM737&lt;26.75,BMILMS!$D$29*AM737^3+BMILMS!$E$29*AM737^2+BMILMS!$F$29*AM737+BMILMS!$G$29,IF(AM737&lt;90,BMILMS!$D$30*AM737^3+BMILMS!$E$30*AM737^2+BMILMS!$F$30*AM737+BMILMS!$G$30,IF(AM737&lt;150,BMILMS!$D$31*AM737^3+BMILMS!$E$31*AM737^2+BMILMS!$F$31*AM737+BMILMS!$G$31,BMILMS!$D$32*AM737^3+BMILMS!$E$32*AM737^2+BMILMS!$F$32*AM737+BMILMS!$G$32)))))))</f>
        <v>12.568967990000001</v>
      </c>
      <c r="AL737" s="4">
        <f>IF(D737="M",(IF(AM737&lt;90,BMILMS!$D$14*AM737^3+BMILMS!$E$14*AM737^2+BMILMS!$F$14*AM737+BMILMS!$G$14,BMILMS!$D$15*AM737^3+BMILMS!$E$15*AM737^2+BMILMS!$F$15*AM737+BMILMS!$G$15)),(IF(AM737&lt;90,BMILMS!$D$17*AM737^3+BMILMS!$E$17*AM737^2+BMILMS!$F$17*AM737+BMILMS!$G$17,BMILMS!$D$18*AM737^3+BMILMS!$E$18*AM737^2+BMILMS!$F$18*AM737+BMILMS!$G$18)))</f>
        <v>8.8969350000000003E-2</v>
      </c>
      <c r="AM737" s="4">
        <f t="shared" si="251"/>
        <v>0</v>
      </c>
      <c r="AO737" s="56">
        <f>IF(D737="M",WeightSDS!P$5*$AM737^7+WeightSDS!Q$5*$AM737^6+WeightSDS!R$5*$AM737^5+WeightSDS!S$5*$AM737^4+WeightSDS!T$5*$AM737^3+WeightSDS!U$5*$AM737^2+WeightSDS!V$5*$AM737+WeightSDS!W$5,IF($AM737&lt;186,WeightSDS!P$8*$AM737^7+WeightSDS!Q$8*$AM737^6+WeightSDS!R$8*$AM737^5+WeightSDS!S$8*$AM737^4+WeightSDS!T$8*$AM737^3+WeightSDS!U$8*$AM737^2+WeightSDS!V$8*$AM737+WeightSDS!W$8,WeightSDS!$U$9+WeightSDS!$V$9*($AM737-WeightSDS!$W$9)))</f>
        <v>0.75407122999999998</v>
      </c>
      <c r="AP737" s="4">
        <f>IF(D737="M",IF($AM737&lt;45,WeightSDS!M$23*$AM737^10+WeightSDS!N$23*$AM737^9+WeightSDS!O$23*$AM737^8+WeightSDS!P$23*$AM737^7+WeightSDS!Q$23*$AM737^6+WeightSDS!R$23*$AM737^5+WeightSDS!S$23*$AM737^4+WeightSDS!T$23*$AM737^3+WeightSDS!U$23*$AM737^2+WeightSDS!V$23*$AM737+WeightSDS!W$23,IF($AM737&lt;153,WeightSDS!M$25*$AM737^10+WeightSDS!N$25*$AM737^9+WeightSDS!O$25*$AM737^8+WeightSDS!P$25*$AM737^7+WeightSDS!Q$25*$AM737^6+WeightSDS!R$25*$AM737^5+WeightSDS!S$25*$AM737^4+WeightSDS!T$25*$AM737^3+WeightSDS!U$25*$AM737^2+WeightSDS!V$25*$AM737+WeightSDS!W$25,WeightSDS!M$27+WeightSDS!N$27/(1+EXP(WeightSDS!O$27+WeightSDS!P$27*$AM737)))),IF($AM737&lt;43.8,WeightSDS!M$29*$AM737^10+WeightSDS!N$29*$AM737^9+WeightSDS!O$29*$AM737^8+WeightSDS!P$29*$AM737^7+WeightSDS!Q$29*$AM737^6+WeightSDS!R$29*$AM737^5+WeightSDS!S$29*$AM737^4+WeightSDS!T$29*$AM737^3+WeightSDS!U$29*$AM737^2+WeightSDS!V$29*$AM737+WeightSDS!W$29-0.010431*(1-$AM737/210),IF($AM737&lt;123,WeightSDS!M$30*$AM737^10+WeightSDS!N$30*$AM737^9+WeightSDS!O$30*$AM737^8+WeightSDS!P$30*$AM737^7+WeightSDS!Q$30*$AM737^6+WeightSDS!R$30*$AM737^5+WeightSDS!S$30*$AM737^4+WeightSDS!T$30*$AM737^3+WeightSDS!U$30*$AM737^2+WeightSDS!V$30*$AM737+WeightSDS!W$30-0.010431*(1-1/$AM737),WeightSDS!M$32+WeightSDS!N$32/(1+EXP(WeightSDS!O$32+WeightSDS!P$32*$AM737))-0.010431*(1-$AM737/210))))</f>
        <v>2.9500001032655536</v>
      </c>
      <c r="AQ737" s="4">
        <f>IF(D737="M",IF($AM737&lt;162,WeightSDS!P$12*$AM737^7+WeightSDS!Q$12*$AM737^6+WeightSDS!R$12*$AM737^5+WeightSDS!S$12*$AM737^4+WeightSDS!T$12*$AM737^3+WeightSDS!U$12*$AM737^2+WeightSDS!V$12*$AM737+WeightSDS!W$12,WeightSDS!P$14*$AM737^7+WeightSDS!Q$14*$AM737^6+WeightSDS!R$14*$AM737^5+WeightSDS!S$14*$AM737^4+WeightSDS!T$14*$AM737^3+WeightSDS!U$14*$AM737^2+WeightSDS!V$14*$AM737+WeightSDS!W$14),IF($AM737&lt;156,WeightSDS!O$17*$AM737^8+WeightSDS!P$17*$AM737^7+WeightSDS!Q$17*$AM737^6+WeightSDS!R$17*$AM737^5+WeightSDS!S$17*$AM737^4+WeightSDS!T$17*$AM737^3+WeightSDS!U$17*$AM737^2+WeightSDS!V$17*$AM737+WeightSDS!W$17,IF($AM737&lt;186,WeightSDS!$U$18+(WeightSDS!$V$18-WeightSDS!$U$18)/24*($AM737-186)+WeightSDS!$W$18*(-$AM737+186)^2-0.005,WeightSDS!$U$18+(WeightSDS!$V$18-WeightSDS!$U$18)/24*($AM737-186)-0.005)))</f>
        <v>0.14604529399999999</v>
      </c>
      <c r="AT737" s="4">
        <f t="shared" si="238"/>
        <v>0.56299999999999994</v>
      </c>
      <c r="AU737" s="4">
        <f t="shared" si="239"/>
        <v>69</v>
      </c>
      <c r="AV737" s="4">
        <f t="shared" si="240"/>
        <v>0.51</v>
      </c>
    </row>
    <row r="738" spans="1:48" x14ac:dyDescent="0.15">
      <c r="A738" s="4"/>
      <c r="B738" s="21"/>
      <c r="C738" s="21"/>
      <c r="D738" s="21"/>
      <c r="E738" s="22"/>
      <c r="F738" s="22"/>
      <c r="G738" s="23"/>
      <c r="H738" s="23"/>
      <c r="I738" s="181"/>
      <c r="J738" s="8" t="str">
        <f t="shared" si="232"/>
        <v/>
      </c>
      <c r="K738" s="2" t="str">
        <f t="shared" si="241"/>
        <v/>
      </c>
      <c r="L738" s="2" t="str">
        <f t="shared" si="233"/>
        <v/>
      </c>
      <c r="M738" s="2" t="str">
        <f t="shared" si="242"/>
        <v/>
      </c>
      <c r="N738" s="2" t="str">
        <f t="shared" si="250"/>
        <v/>
      </c>
      <c r="O738" s="2" t="str">
        <f t="shared" si="243"/>
        <v/>
      </c>
      <c r="P738" s="8" t="str">
        <f t="shared" si="244"/>
        <v/>
      </c>
      <c r="Q738" s="8" t="str">
        <f t="shared" si="245"/>
        <v/>
      </c>
      <c r="R738" s="111" t="str">
        <f t="shared" si="246"/>
        <v/>
      </c>
      <c r="S738" s="44" t="str">
        <f t="shared" si="247"/>
        <v/>
      </c>
      <c r="T738" s="37" t="str">
        <f t="shared" si="248"/>
        <v/>
      </c>
      <c r="U738" s="44" t="str">
        <f t="shared" si="249"/>
        <v/>
      </c>
      <c r="V738" s="26"/>
      <c r="W738" s="26"/>
      <c r="X738" s="26"/>
      <c r="Y738" s="26"/>
      <c r="Z738" s="24"/>
      <c r="AA738" s="169">
        <f t="shared" si="234"/>
        <v>0</v>
      </c>
      <c r="AB738" s="4">
        <f t="shared" si="235"/>
        <v>0</v>
      </c>
      <c r="AC738" s="170">
        <f t="shared" si="252"/>
        <v>0</v>
      </c>
      <c r="AD738" s="58"/>
      <c r="AE738" s="58"/>
      <c r="AF738" s="58"/>
      <c r="AG738" s="59">
        <f t="shared" si="236"/>
        <v>9.0359999999999996</v>
      </c>
      <c r="AH738" s="59">
        <f t="shared" si="237"/>
        <v>-184.49199999999999</v>
      </c>
      <c r="AJ738" s="4">
        <f>IF(D738="M",IF(AM738&lt;78,BMILMS!$D$5*AM738^3+BMILMS!$E$5*AM738^2+BMILMS!$F$5*AM738+BMILMS!$G$5,IF(AM738&lt;150,BMILMS!$D$6*AM738^3+BMILMS!$E$6*AM738^2+BMILMS!$F$6*AM738+BMILMS!$G$6,BMILMS!$D$7*AM738^3+BMILMS!$E$7*AM738^2+BMILMS!$F$7*AM738+BMILMS!$G$7)),IF(AM738&lt;69,BMILMS!$D$9*AM738^3+BMILMS!$E$9*AM738^2+BMILMS!$F$9*AM738+BMILMS!$G$9,IF(AM738&lt;150,BMILMS!$D$10*AM738^3+BMILMS!$E$10*AM738^2+BMILMS!$F$10*AM738+BMILMS!$G$10,BMILMS!$D$11*AM738^3+BMILMS!$E$11*AM738^2+BMILMS!$F$11*AM738+BMILMS!$G$11)))</f>
        <v>0.79584630099999998</v>
      </c>
      <c r="AK738" s="4">
        <f>IF(D738="M",(IF(AM738&lt;2.5,BMILMS!$D$21*AM738^3+BMILMS!$E$21*AM738^2+BMILMS!$F$21*AM738+BMILMS!$G$21,IF(AM738&lt;9.5,BMILMS!$D$22*AM738^3+BMILMS!$E$22*AM738^2+BMILMS!$F$22*AM738+BMILMS!$G$22,IF(AM738&lt;26.75,BMILMS!$D$23*AM738^3+BMILMS!$E$23*AM738^2+BMILMS!$F$23*AM738+BMILMS!$G$23,IF(AM738&lt;90,BMILMS!$D$24*AM738^3+BMILMS!$E$24*AM738^2+BMILMS!$F$24*AM738+BMILMS!$G$24,BMILMS!$D$25*AM738^3+BMILMS!$E$25*AM738^2+BMILMS!$F$25*AM738+BMILMS!$G$25))))),(IF(AM738&lt;2.5,BMILMS!$D$27*AM738^3+BMILMS!$E$27*AM738^2+BMILMS!$F$27*AM738+BMILMS!$G$27,IF(AM738&lt;9.5,BMILMS!$D$28*AM738^3+BMILMS!$E$28*AM738^2+BMILMS!$F$28*AM738+BMILMS!$G$28,IF(AM738&lt;26.75,BMILMS!$D$29*AM738^3+BMILMS!$E$29*AM738^2+BMILMS!$F$29*AM738+BMILMS!$G$29,IF(AM738&lt;90,BMILMS!$D$30*AM738^3+BMILMS!$E$30*AM738^2+BMILMS!$F$30*AM738+BMILMS!$G$30,IF(AM738&lt;150,BMILMS!$D$31*AM738^3+BMILMS!$E$31*AM738^2+BMILMS!$F$31*AM738+BMILMS!$G$31,BMILMS!$D$32*AM738^3+BMILMS!$E$32*AM738^2+BMILMS!$F$32*AM738+BMILMS!$G$32)))))))</f>
        <v>12.568967990000001</v>
      </c>
      <c r="AL738" s="4">
        <f>IF(D738="M",(IF(AM738&lt;90,BMILMS!$D$14*AM738^3+BMILMS!$E$14*AM738^2+BMILMS!$F$14*AM738+BMILMS!$G$14,BMILMS!$D$15*AM738^3+BMILMS!$E$15*AM738^2+BMILMS!$F$15*AM738+BMILMS!$G$15)),(IF(AM738&lt;90,BMILMS!$D$17*AM738^3+BMILMS!$E$17*AM738^2+BMILMS!$F$17*AM738+BMILMS!$G$17,BMILMS!$D$18*AM738^3+BMILMS!$E$18*AM738^2+BMILMS!$F$18*AM738+BMILMS!$G$18)))</f>
        <v>8.8969350000000003E-2</v>
      </c>
      <c r="AM738" s="4">
        <f t="shared" si="251"/>
        <v>0</v>
      </c>
      <c r="AO738" s="56">
        <f>IF(D738="M",WeightSDS!P$5*$AM738^7+WeightSDS!Q$5*$AM738^6+WeightSDS!R$5*$AM738^5+WeightSDS!S$5*$AM738^4+WeightSDS!T$5*$AM738^3+WeightSDS!U$5*$AM738^2+WeightSDS!V$5*$AM738+WeightSDS!W$5,IF($AM738&lt;186,WeightSDS!P$8*$AM738^7+WeightSDS!Q$8*$AM738^6+WeightSDS!R$8*$AM738^5+WeightSDS!S$8*$AM738^4+WeightSDS!T$8*$AM738^3+WeightSDS!U$8*$AM738^2+WeightSDS!V$8*$AM738+WeightSDS!W$8,WeightSDS!$U$9+WeightSDS!$V$9*($AM738-WeightSDS!$W$9)))</f>
        <v>0.75407122999999998</v>
      </c>
      <c r="AP738" s="4">
        <f>IF(D738="M",IF($AM738&lt;45,WeightSDS!M$23*$AM738^10+WeightSDS!N$23*$AM738^9+WeightSDS!O$23*$AM738^8+WeightSDS!P$23*$AM738^7+WeightSDS!Q$23*$AM738^6+WeightSDS!R$23*$AM738^5+WeightSDS!S$23*$AM738^4+WeightSDS!T$23*$AM738^3+WeightSDS!U$23*$AM738^2+WeightSDS!V$23*$AM738+WeightSDS!W$23,IF($AM738&lt;153,WeightSDS!M$25*$AM738^10+WeightSDS!N$25*$AM738^9+WeightSDS!O$25*$AM738^8+WeightSDS!P$25*$AM738^7+WeightSDS!Q$25*$AM738^6+WeightSDS!R$25*$AM738^5+WeightSDS!S$25*$AM738^4+WeightSDS!T$25*$AM738^3+WeightSDS!U$25*$AM738^2+WeightSDS!V$25*$AM738+WeightSDS!W$25,WeightSDS!M$27+WeightSDS!N$27/(1+EXP(WeightSDS!O$27+WeightSDS!P$27*$AM738)))),IF($AM738&lt;43.8,WeightSDS!M$29*$AM738^10+WeightSDS!N$29*$AM738^9+WeightSDS!O$29*$AM738^8+WeightSDS!P$29*$AM738^7+WeightSDS!Q$29*$AM738^6+WeightSDS!R$29*$AM738^5+WeightSDS!S$29*$AM738^4+WeightSDS!T$29*$AM738^3+WeightSDS!U$29*$AM738^2+WeightSDS!V$29*$AM738+WeightSDS!W$29-0.010431*(1-$AM738/210),IF($AM738&lt;123,WeightSDS!M$30*$AM738^10+WeightSDS!N$30*$AM738^9+WeightSDS!O$30*$AM738^8+WeightSDS!P$30*$AM738^7+WeightSDS!Q$30*$AM738^6+WeightSDS!R$30*$AM738^5+WeightSDS!S$30*$AM738^4+WeightSDS!T$30*$AM738^3+WeightSDS!U$30*$AM738^2+WeightSDS!V$30*$AM738+WeightSDS!W$30-0.010431*(1-1/$AM738),WeightSDS!M$32+WeightSDS!N$32/(1+EXP(WeightSDS!O$32+WeightSDS!P$32*$AM738))-0.010431*(1-$AM738/210))))</f>
        <v>2.9500001032655536</v>
      </c>
      <c r="AQ738" s="4">
        <f>IF(D738="M",IF($AM738&lt;162,WeightSDS!P$12*$AM738^7+WeightSDS!Q$12*$AM738^6+WeightSDS!R$12*$AM738^5+WeightSDS!S$12*$AM738^4+WeightSDS!T$12*$AM738^3+WeightSDS!U$12*$AM738^2+WeightSDS!V$12*$AM738+WeightSDS!W$12,WeightSDS!P$14*$AM738^7+WeightSDS!Q$14*$AM738^6+WeightSDS!R$14*$AM738^5+WeightSDS!S$14*$AM738^4+WeightSDS!T$14*$AM738^3+WeightSDS!U$14*$AM738^2+WeightSDS!V$14*$AM738+WeightSDS!W$14),IF($AM738&lt;156,WeightSDS!O$17*$AM738^8+WeightSDS!P$17*$AM738^7+WeightSDS!Q$17*$AM738^6+WeightSDS!R$17*$AM738^5+WeightSDS!S$17*$AM738^4+WeightSDS!T$17*$AM738^3+WeightSDS!U$17*$AM738^2+WeightSDS!V$17*$AM738+WeightSDS!W$17,IF($AM738&lt;186,WeightSDS!$U$18+(WeightSDS!$V$18-WeightSDS!$U$18)/24*($AM738-186)+WeightSDS!$W$18*(-$AM738+186)^2-0.005,WeightSDS!$U$18+(WeightSDS!$V$18-WeightSDS!$U$18)/24*($AM738-186)-0.005)))</f>
        <v>0.14604529399999999</v>
      </c>
      <c r="AT738" s="4">
        <f t="shared" si="238"/>
        <v>0.56299999999999994</v>
      </c>
      <c r="AU738" s="4">
        <f t="shared" si="239"/>
        <v>69</v>
      </c>
      <c r="AV738" s="4">
        <f t="shared" si="240"/>
        <v>0.51</v>
      </c>
    </row>
    <row r="739" spans="1:48" x14ac:dyDescent="0.15">
      <c r="A739" s="4"/>
      <c r="B739" s="21"/>
      <c r="C739" s="21"/>
      <c r="D739" s="21"/>
      <c r="E739" s="22"/>
      <c r="F739" s="22"/>
      <c r="G739" s="23"/>
      <c r="H739" s="23"/>
      <c r="I739" s="181"/>
      <c r="J739" s="8" t="str">
        <f t="shared" si="232"/>
        <v/>
      </c>
      <c r="K739" s="2" t="str">
        <f t="shared" si="241"/>
        <v/>
      </c>
      <c r="L739" s="2" t="str">
        <f t="shared" si="233"/>
        <v/>
      </c>
      <c r="M739" s="2" t="str">
        <f t="shared" si="242"/>
        <v/>
      </c>
      <c r="N739" s="2" t="str">
        <f t="shared" si="250"/>
        <v/>
      </c>
      <c r="O739" s="2" t="str">
        <f t="shared" si="243"/>
        <v/>
      </c>
      <c r="P739" s="8" t="str">
        <f t="shared" si="244"/>
        <v/>
      </c>
      <c r="Q739" s="8" t="str">
        <f t="shared" si="245"/>
        <v/>
      </c>
      <c r="R739" s="111" t="str">
        <f t="shared" si="246"/>
        <v/>
      </c>
      <c r="S739" s="44" t="str">
        <f t="shared" si="247"/>
        <v/>
      </c>
      <c r="T739" s="37" t="str">
        <f t="shared" si="248"/>
        <v/>
      </c>
      <c r="U739" s="44" t="str">
        <f t="shared" si="249"/>
        <v/>
      </c>
      <c r="V739" s="26"/>
      <c r="W739" s="26"/>
      <c r="X739" s="26"/>
      <c r="Y739" s="26"/>
      <c r="Z739" s="24"/>
      <c r="AA739" s="169">
        <f t="shared" si="234"/>
        <v>0</v>
      </c>
      <c r="AB739" s="4">
        <f t="shared" si="235"/>
        <v>0</v>
      </c>
      <c r="AC739" s="170">
        <f t="shared" si="252"/>
        <v>0</v>
      </c>
      <c r="AD739" s="58"/>
      <c r="AE739" s="58"/>
      <c r="AF739" s="58"/>
      <c r="AG739" s="59">
        <f t="shared" si="236"/>
        <v>9.0359999999999996</v>
      </c>
      <c r="AH739" s="59">
        <f t="shared" si="237"/>
        <v>-184.49199999999999</v>
      </c>
      <c r="AJ739" s="4">
        <f>IF(D739="M",IF(AM739&lt;78,BMILMS!$D$5*AM739^3+BMILMS!$E$5*AM739^2+BMILMS!$F$5*AM739+BMILMS!$G$5,IF(AM739&lt;150,BMILMS!$D$6*AM739^3+BMILMS!$E$6*AM739^2+BMILMS!$F$6*AM739+BMILMS!$G$6,BMILMS!$D$7*AM739^3+BMILMS!$E$7*AM739^2+BMILMS!$F$7*AM739+BMILMS!$G$7)),IF(AM739&lt;69,BMILMS!$D$9*AM739^3+BMILMS!$E$9*AM739^2+BMILMS!$F$9*AM739+BMILMS!$G$9,IF(AM739&lt;150,BMILMS!$D$10*AM739^3+BMILMS!$E$10*AM739^2+BMILMS!$F$10*AM739+BMILMS!$G$10,BMILMS!$D$11*AM739^3+BMILMS!$E$11*AM739^2+BMILMS!$F$11*AM739+BMILMS!$G$11)))</f>
        <v>0.79584630099999998</v>
      </c>
      <c r="AK739" s="4">
        <f>IF(D739="M",(IF(AM739&lt;2.5,BMILMS!$D$21*AM739^3+BMILMS!$E$21*AM739^2+BMILMS!$F$21*AM739+BMILMS!$G$21,IF(AM739&lt;9.5,BMILMS!$D$22*AM739^3+BMILMS!$E$22*AM739^2+BMILMS!$F$22*AM739+BMILMS!$G$22,IF(AM739&lt;26.75,BMILMS!$D$23*AM739^3+BMILMS!$E$23*AM739^2+BMILMS!$F$23*AM739+BMILMS!$G$23,IF(AM739&lt;90,BMILMS!$D$24*AM739^3+BMILMS!$E$24*AM739^2+BMILMS!$F$24*AM739+BMILMS!$G$24,BMILMS!$D$25*AM739^3+BMILMS!$E$25*AM739^2+BMILMS!$F$25*AM739+BMILMS!$G$25))))),(IF(AM739&lt;2.5,BMILMS!$D$27*AM739^3+BMILMS!$E$27*AM739^2+BMILMS!$F$27*AM739+BMILMS!$G$27,IF(AM739&lt;9.5,BMILMS!$D$28*AM739^3+BMILMS!$E$28*AM739^2+BMILMS!$F$28*AM739+BMILMS!$G$28,IF(AM739&lt;26.75,BMILMS!$D$29*AM739^3+BMILMS!$E$29*AM739^2+BMILMS!$F$29*AM739+BMILMS!$G$29,IF(AM739&lt;90,BMILMS!$D$30*AM739^3+BMILMS!$E$30*AM739^2+BMILMS!$F$30*AM739+BMILMS!$G$30,IF(AM739&lt;150,BMILMS!$D$31*AM739^3+BMILMS!$E$31*AM739^2+BMILMS!$F$31*AM739+BMILMS!$G$31,BMILMS!$D$32*AM739^3+BMILMS!$E$32*AM739^2+BMILMS!$F$32*AM739+BMILMS!$G$32)))))))</f>
        <v>12.568967990000001</v>
      </c>
      <c r="AL739" s="4">
        <f>IF(D739="M",(IF(AM739&lt;90,BMILMS!$D$14*AM739^3+BMILMS!$E$14*AM739^2+BMILMS!$F$14*AM739+BMILMS!$G$14,BMILMS!$D$15*AM739^3+BMILMS!$E$15*AM739^2+BMILMS!$F$15*AM739+BMILMS!$G$15)),(IF(AM739&lt;90,BMILMS!$D$17*AM739^3+BMILMS!$E$17*AM739^2+BMILMS!$F$17*AM739+BMILMS!$G$17,BMILMS!$D$18*AM739^3+BMILMS!$E$18*AM739^2+BMILMS!$F$18*AM739+BMILMS!$G$18)))</f>
        <v>8.8969350000000003E-2</v>
      </c>
      <c r="AM739" s="4">
        <f t="shared" si="251"/>
        <v>0</v>
      </c>
      <c r="AO739" s="56">
        <f>IF(D739="M",WeightSDS!P$5*$AM739^7+WeightSDS!Q$5*$AM739^6+WeightSDS!R$5*$AM739^5+WeightSDS!S$5*$AM739^4+WeightSDS!T$5*$AM739^3+WeightSDS!U$5*$AM739^2+WeightSDS!V$5*$AM739+WeightSDS!W$5,IF($AM739&lt;186,WeightSDS!P$8*$AM739^7+WeightSDS!Q$8*$AM739^6+WeightSDS!R$8*$AM739^5+WeightSDS!S$8*$AM739^4+WeightSDS!T$8*$AM739^3+WeightSDS!U$8*$AM739^2+WeightSDS!V$8*$AM739+WeightSDS!W$8,WeightSDS!$U$9+WeightSDS!$V$9*($AM739-WeightSDS!$W$9)))</f>
        <v>0.75407122999999998</v>
      </c>
      <c r="AP739" s="4">
        <f>IF(D739="M",IF($AM739&lt;45,WeightSDS!M$23*$AM739^10+WeightSDS!N$23*$AM739^9+WeightSDS!O$23*$AM739^8+WeightSDS!P$23*$AM739^7+WeightSDS!Q$23*$AM739^6+WeightSDS!R$23*$AM739^5+WeightSDS!S$23*$AM739^4+WeightSDS!T$23*$AM739^3+WeightSDS!U$23*$AM739^2+WeightSDS!V$23*$AM739+WeightSDS!W$23,IF($AM739&lt;153,WeightSDS!M$25*$AM739^10+WeightSDS!N$25*$AM739^9+WeightSDS!O$25*$AM739^8+WeightSDS!P$25*$AM739^7+WeightSDS!Q$25*$AM739^6+WeightSDS!R$25*$AM739^5+WeightSDS!S$25*$AM739^4+WeightSDS!T$25*$AM739^3+WeightSDS!U$25*$AM739^2+WeightSDS!V$25*$AM739+WeightSDS!W$25,WeightSDS!M$27+WeightSDS!N$27/(1+EXP(WeightSDS!O$27+WeightSDS!P$27*$AM739)))),IF($AM739&lt;43.8,WeightSDS!M$29*$AM739^10+WeightSDS!N$29*$AM739^9+WeightSDS!O$29*$AM739^8+WeightSDS!P$29*$AM739^7+WeightSDS!Q$29*$AM739^6+WeightSDS!R$29*$AM739^5+WeightSDS!S$29*$AM739^4+WeightSDS!T$29*$AM739^3+WeightSDS!U$29*$AM739^2+WeightSDS!V$29*$AM739+WeightSDS!W$29-0.010431*(1-$AM739/210),IF($AM739&lt;123,WeightSDS!M$30*$AM739^10+WeightSDS!N$30*$AM739^9+WeightSDS!O$30*$AM739^8+WeightSDS!P$30*$AM739^7+WeightSDS!Q$30*$AM739^6+WeightSDS!R$30*$AM739^5+WeightSDS!S$30*$AM739^4+WeightSDS!T$30*$AM739^3+WeightSDS!U$30*$AM739^2+WeightSDS!V$30*$AM739+WeightSDS!W$30-0.010431*(1-1/$AM739),WeightSDS!M$32+WeightSDS!N$32/(1+EXP(WeightSDS!O$32+WeightSDS!P$32*$AM739))-0.010431*(1-$AM739/210))))</f>
        <v>2.9500001032655536</v>
      </c>
      <c r="AQ739" s="4">
        <f>IF(D739="M",IF($AM739&lt;162,WeightSDS!P$12*$AM739^7+WeightSDS!Q$12*$AM739^6+WeightSDS!R$12*$AM739^5+WeightSDS!S$12*$AM739^4+WeightSDS!T$12*$AM739^3+WeightSDS!U$12*$AM739^2+WeightSDS!V$12*$AM739+WeightSDS!W$12,WeightSDS!P$14*$AM739^7+WeightSDS!Q$14*$AM739^6+WeightSDS!R$14*$AM739^5+WeightSDS!S$14*$AM739^4+WeightSDS!T$14*$AM739^3+WeightSDS!U$14*$AM739^2+WeightSDS!V$14*$AM739+WeightSDS!W$14),IF($AM739&lt;156,WeightSDS!O$17*$AM739^8+WeightSDS!P$17*$AM739^7+WeightSDS!Q$17*$AM739^6+WeightSDS!R$17*$AM739^5+WeightSDS!S$17*$AM739^4+WeightSDS!T$17*$AM739^3+WeightSDS!U$17*$AM739^2+WeightSDS!V$17*$AM739+WeightSDS!W$17,IF($AM739&lt;186,WeightSDS!$U$18+(WeightSDS!$V$18-WeightSDS!$U$18)/24*($AM739-186)+WeightSDS!$W$18*(-$AM739+186)^2-0.005,WeightSDS!$U$18+(WeightSDS!$V$18-WeightSDS!$U$18)/24*($AM739-186)-0.005)))</f>
        <v>0.14604529399999999</v>
      </c>
      <c r="AT739" s="4">
        <f t="shared" si="238"/>
        <v>0.56299999999999994</v>
      </c>
      <c r="AU739" s="4">
        <f t="shared" si="239"/>
        <v>69</v>
      </c>
      <c r="AV739" s="4">
        <f t="shared" si="240"/>
        <v>0.51</v>
      </c>
    </row>
    <row r="740" spans="1:48" x14ac:dyDescent="0.15">
      <c r="A740" s="4"/>
      <c r="B740" s="21"/>
      <c r="C740" s="21"/>
      <c r="D740" s="21"/>
      <c r="E740" s="22"/>
      <c r="F740" s="22"/>
      <c r="G740" s="23"/>
      <c r="H740" s="23"/>
      <c r="I740" s="181"/>
      <c r="J740" s="8" t="str">
        <f t="shared" si="232"/>
        <v/>
      </c>
      <c r="K740" s="2" t="str">
        <f t="shared" si="241"/>
        <v/>
      </c>
      <c r="L740" s="2" t="str">
        <f t="shared" si="233"/>
        <v/>
      </c>
      <c r="M740" s="2" t="str">
        <f t="shared" si="242"/>
        <v/>
      </c>
      <c r="N740" s="2" t="str">
        <f t="shared" si="250"/>
        <v/>
      </c>
      <c r="O740" s="2" t="str">
        <f t="shared" si="243"/>
        <v/>
      </c>
      <c r="P740" s="8" t="str">
        <f t="shared" si="244"/>
        <v/>
      </c>
      <c r="Q740" s="8" t="str">
        <f t="shared" si="245"/>
        <v/>
      </c>
      <c r="R740" s="111" t="str">
        <f t="shared" si="246"/>
        <v/>
      </c>
      <c r="S740" s="44" t="str">
        <f t="shared" si="247"/>
        <v/>
      </c>
      <c r="T740" s="37" t="str">
        <f t="shared" si="248"/>
        <v/>
      </c>
      <c r="U740" s="44" t="str">
        <f t="shared" si="249"/>
        <v/>
      </c>
      <c r="V740" s="26"/>
      <c r="W740" s="26"/>
      <c r="X740" s="26"/>
      <c r="Y740" s="26"/>
      <c r="Z740" s="24"/>
      <c r="AA740" s="169">
        <f t="shared" si="234"/>
        <v>0</v>
      </c>
      <c r="AB740" s="4">
        <f t="shared" si="235"/>
        <v>0</v>
      </c>
      <c r="AC740" s="170">
        <f t="shared" si="252"/>
        <v>0</v>
      </c>
      <c r="AD740" s="58"/>
      <c r="AE740" s="58"/>
      <c r="AF740" s="58"/>
      <c r="AG740" s="59">
        <f t="shared" si="236"/>
        <v>9.0359999999999996</v>
      </c>
      <c r="AH740" s="59">
        <f t="shared" si="237"/>
        <v>-184.49199999999999</v>
      </c>
      <c r="AJ740" s="4">
        <f>IF(D740="M",IF(AM740&lt;78,BMILMS!$D$5*AM740^3+BMILMS!$E$5*AM740^2+BMILMS!$F$5*AM740+BMILMS!$G$5,IF(AM740&lt;150,BMILMS!$D$6*AM740^3+BMILMS!$E$6*AM740^2+BMILMS!$F$6*AM740+BMILMS!$G$6,BMILMS!$D$7*AM740^3+BMILMS!$E$7*AM740^2+BMILMS!$F$7*AM740+BMILMS!$G$7)),IF(AM740&lt;69,BMILMS!$D$9*AM740^3+BMILMS!$E$9*AM740^2+BMILMS!$F$9*AM740+BMILMS!$G$9,IF(AM740&lt;150,BMILMS!$D$10*AM740^3+BMILMS!$E$10*AM740^2+BMILMS!$F$10*AM740+BMILMS!$G$10,BMILMS!$D$11*AM740^3+BMILMS!$E$11*AM740^2+BMILMS!$F$11*AM740+BMILMS!$G$11)))</f>
        <v>0.79584630099999998</v>
      </c>
      <c r="AK740" s="4">
        <f>IF(D740="M",(IF(AM740&lt;2.5,BMILMS!$D$21*AM740^3+BMILMS!$E$21*AM740^2+BMILMS!$F$21*AM740+BMILMS!$G$21,IF(AM740&lt;9.5,BMILMS!$D$22*AM740^3+BMILMS!$E$22*AM740^2+BMILMS!$F$22*AM740+BMILMS!$G$22,IF(AM740&lt;26.75,BMILMS!$D$23*AM740^3+BMILMS!$E$23*AM740^2+BMILMS!$F$23*AM740+BMILMS!$G$23,IF(AM740&lt;90,BMILMS!$D$24*AM740^3+BMILMS!$E$24*AM740^2+BMILMS!$F$24*AM740+BMILMS!$G$24,BMILMS!$D$25*AM740^3+BMILMS!$E$25*AM740^2+BMILMS!$F$25*AM740+BMILMS!$G$25))))),(IF(AM740&lt;2.5,BMILMS!$D$27*AM740^3+BMILMS!$E$27*AM740^2+BMILMS!$F$27*AM740+BMILMS!$G$27,IF(AM740&lt;9.5,BMILMS!$D$28*AM740^3+BMILMS!$E$28*AM740^2+BMILMS!$F$28*AM740+BMILMS!$G$28,IF(AM740&lt;26.75,BMILMS!$D$29*AM740^3+BMILMS!$E$29*AM740^2+BMILMS!$F$29*AM740+BMILMS!$G$29,IF(AM740&lt;90,BMILMS!$D$30*AM740^3+BMILMS!$E$30*AM740^2+BMILMS!$F$30*AM740+BMILMS!$G$30,IF(AM740&lt;150,BMILMS!$D$31*AM740^3+BMILMS!$E$31*AM740^2+BMILMS!$F$31*AM740+BMILMS!$G$31,BMILMS!$D$32*AM740^3+BMILMS!$E$32*AM740^2+BMILMS!$F$32*AM740+BMILMS!$G$32)))))))</f>
        <v>12.568967990000001</v>
      </c>
      <c r="AL740" s="4">
        <f>IF(D740="M",(IF(AM740&lt;90,BMILMS!$D$14*AM740^3+BMILMS!$E$14*AM740^2+BMILMS!$F$14*AM740+BMILMS!$G$14,BMILMS!$D$15*AM740^3+BMILMS!$E$15*AM740^2+BMILMS!$F$15*AM740+BMILMS!$G$15)),(IF(AM740&lt;90,BMILMS!$D$17*AM740^3+BMILMS!$E$17*AM740^2+BMILMS!$F$17*AM740+BMILMS!$G$17,BMILMS!$D$18*AM740^3+BMILMS!$E$18*AM740^2+BMILMS!$F$18*AM740+BMILMS!$G$18)))</f>
        <v>8.8969350000000003E-2</v>
      </c>
      <c r="AM740" s="4">
        <f t="shared" si="251"/>
        <v>0</v>
      </c>
      <c r="AO740" s="56">
        <f>IF(D740="M",WeightSDS!P$5*$AM740^7+WeightSDS!Q$5*$AM740^6+WeightSDS!R$5*$AM740^5+WeightSDS!S$5*$AM740^4+WeightSDS!T$5*$AM740^3+WeightSDS!U$5*$AM740^2+WeightSDS!V$5*$AM740+WeightSDS!W$5,IF($AM740&lt;186,WeightSDS!P$8*$AM740^7+WeightSDS!Q$8*$AM740^6+WeightSDS!R$8*$AM740^5+WeightSDS!S$8*$AM740^4+WeightSDS!T$8*$AM740^3+WeightSDS!U$8*$AM740^2+WeightSDS!V$8*$AM740+WeightSDS!W$8,WeightSDS!$U$9+WeightSDS!$V$9*($AM740-WeightSDS!$W$9)))</f>
        <v>0.75407122999999998</v>
      </c>
      <c r="AP740" s="4">
        <f>IF(D740="M",IF($AM740&lt;45,WeightSDS!M$23*$AM740^10+WeightSDS!N$23*$AM740^9+WeightSDS!O$23*$AM740^8+WeightSDS!P$23*$AM740^7+WeightSDS!Q$23*$AM740^6+WeightSDS!R$23*$AM740^5+WeightSDS!S$23*$AM740^4+WeightSDS!T$23*$AM740^3+WeightSDS!U$23*$AM740^2+WeightSDS!V$23*$AM740+WeightSDS!W$23,IF($AM740&lt;153,WeightSDS!M$25*$AM740^10+WeightSDS!N$25*$AM740^9+WeightSDS!O$25*$AM740^8+WeightSDS!P$25*$AM740^7+WeightSDS!Q$25*$AM740^6+WeightSDS!R$25*$AM740^5+WeightSDS!S$25*$AM740^4+WeightSDS!T$25*$AM740^3+WeightSDS!U$25*$AM740^2+WeightSDS!V$25*$AM740+WeightSDS!W$25,WeightSDS!M$27+WeightSDS!N$27/(1+EXP(WeightSDS!O$27+WeightSDS!P$27*$AM740)))),IF($AM740&lt;43.8,WeightSDS!M$29*$AM740^10+WeightSDS!N$29*$AM740^9+WeightSDS!O$29*$AM740^8+WeightSDS!P$29*$AM740^7+WeightSDS!Q$29*$AM740^6+WeightSDS!R$29*$AM740^5+WeightSDS!S$29*$AM740^4+WeightSDS!T$29*$AM740^3+WeightSDS!U$29*$AM740^2+WeightSDS!V$29*$AM740+WeightSDS!W$29-0.010431*(1-$AM740/210),IF($AM740&lt;123,WeightSDS!M$30*$AM740^10+WeightSDS!N$30*$AM740^9+WeightSDS!O$30*$AM740^8+WeightSDS!P$30*$AM740^7+WeightSDS!Q$30*$AM740^6+WeightSDS!R$30*$AM740^5+WeightSDS!S$30*$AM740^4+WeightSDS!T$30*$AM740^3+WeightSDS!U$30*$AM740^2+WeightSDS!V$30*$AM740+WeightSDS!W$30-0.010431*(1-1/$AM740),WeightSDS!M$32+WeightSDS!N$32/(1+EXP(WeightSDS!O$32+WeightSDS!P$32*$AM740))-0.010431*(1-$AM740/210))))</f>
        <v>2.9500001032655536</v>
      </c>
      <c r="AQ740" s="4">
        <f>IF(D740="M",IF($AM740&lt;162,WeightSDS!P$12*$AM740^7+WeightSDS!Q$12*$AM740^6+WeightSDS!R$12*$AM740^5+WeightSDS!S$12*$AM740^4+WeightSDS!T$12*$AM740^3+WeightSDS!U$12*$AM740^2+WeightSDS!V$12*$AM740+WeightSDS!W$12,WeightSDS!P$14*$AM740^7+WeightSDS!Q$14*$AM740^6+WeightSDS!R$14*$AM740^5+WeightSDS!S$14*$AM740^4+WeightSDS!T$14*$AM740^3+WeightSDS!U$14*$AM740^2+WeightSDS!V$14*$AM740+WeightSDS!W$14),IF($AM740&lt;156,WeightSDS!O$17*$AM740^8+WeightSDS!P$17*$AM740^7+WeightSDS!Q$17*$AM740^6+WeightSDS!R$17*$AM740^5+WeightSDS!S$17*$AM740^4+WeightSDS!T$17*$AM740^3+WeightSDS!U$17*$AM740^2+WeightSDS!V$17*$AM740+WeightSDS!W$17,IF($AM740&lt;186,WeightSDS!$U$18+(WeightSDS!$V$18-WeightSDS!$U$18)/24*($AM740-186)+WeightSDS!$W$18*(-$AM740+186)^2-0.005,WeightSDS!$U$18+(WeightSDS!$V$18-WeightSDS!$U$18)/24*($AM740-186)-0.005)))</f>
        <v>0.14604529399999999</v>
      </c>
      <c r="AT740" s="4">
        <f t="shared" si="238"/>
        <v>0.56299999999999994</v>
      </c>
      <c r="AU740" s="4">
        <f t="shared" si="239"/>
        <v>69</v>
      </c>
      <c r="AV740" s="4">
        <f t="shared" si="240"/>
        <v>0.51</v>
      </c>
    </row>
    <row r="741" spans="1:48" x14ac:dyDescent="0.15">
      <c r="A741" s="4"/>
      <c r="B741" s="21"/>
      <c r="C741" s="21"/>
      <c r="D741" s="21"/>
      <c r="E741" s="22"/>
      <c r="F741" s="22"/>
      <c r="G741" s="23"/>
      <c r="H741" s="23"/>
      <c r="I741" s="181"/>
      <c r="J741" s="8" t="str">
        <f t="shared" si="232"/>
        <v/>
      </c>
      <c r="K741" s="2" t="str">
        <f t="shared" si="241"/>
        <v/>
      </c>
      <c r="L741" s="2" t="str">
        <f t="shared" si="233"/>
        <v/>
      </c>
      <c r="M741" s="2" t="str">
        <f t="shared" si="242"/>
        <v/>
      </c>
      <c r="N741" s="2" t="str">
        <f t="shared" si="250"/>
        <v/>
      </c>
      <c r="O741" s="2" t="str">
        <f t="shared" si="243"/>
        <v/>
      </c>
      <c r="P741" s="8" t="str">
        <f t="shared" si="244"/>
        <v/>
      </c>
      <c r="Q741" s="8" t="str">
        <f t="shared" si="245"/>
        <v/>
      </c>
      <c r="R741" s="111" t="str">
        <f t="shared" si="246"/>
        <v/>
      </c>
      <c r="S741" s="44" t="str">
        <f t="shared" si="247"/>
        <v/>
      </c>
      <c r="T741" s="37" t="str">
        <f t="shared" si="248"/>
        <v/>
      </c>
      <c r="U741" s="44" t="str">
        <f t="shared" si="249"/>
        <v/>
      </c>
      <c r="V741" s="26"/>
      <c r="W741" s="26"/>
      <c r="X741" s="26"/>
      <c r="Y741" s="26"/>
      <c r="Z741" s="24"/>
      <c r="AA741" s="169">
        <f t="shared" si="234"/>
        <v>0</v>
      </c>
      <c r="AB741" s="4">
        <f t="shared" si="235"/>
        <v>0</v>
      </c>
      <c r="AC741" s="170">
        <f t="shared" si="252"/>
        <v>0</v>
      </c>
      <c r="AD741" s="58"/>
      <c r="AE741" s="58"/>
      <c r="AF741" s="58"/>
      <c r="AG741" s="59">
        <f t="shared" si="236"/>
        <v>9.0359999999999996</v>
      </c>
      <c r="AH741" s="59">
        <f t="shared" si="237"/>
        <v>-184.49199999999999</v>
      </c>
      <c r="AJ741" s="4">
        <f>IF(D741="M",IF(AM741&lt;78,BMILMS!$D$5*AM741^3+BMILMS!$E$5*AM741^2+BMILMS!$F$5*AM741+BMILMS!$G$5,IF(AM741&lt;150,BMILMS!$D$6*AM741^3+BMILMS!$E$6*AM741^2+BMILMS!$F$6*AM741+BMILMS!$G$6,BMILMS!$D$7*AM741^3+BMILMS!$E$7*AM741^2+BMILMS!$F$7*AM741+BMILMS!$G$7)),IF(AM741&lt;69,BMILMS!$D$9*AM741^3+BMILMS!$E$9*AM741^2+BMILMS!$F$9*AM741+BMILMS!$G$9,IF(AM741&lt;150,BMILMS!$D$10*AM741^3+BMILMS!$E$10*AM741^2+BMILMS!$F$10*AM741+BMILMS!$G$10,BMILMS!$D$11*AM741^3+BMILMS!$E$11*AM741^2+BMILMS!$F$11*AM741+BMILMS!$G$11)))</f>
        <v>0.79584630099999998</v>
      </c>
      <c r="AK741" s="4">
        <f>IF(D741="M",(IF(AM741&lt;2.5,BMILMS!$D$21*AM741^3+BMILMS!$E$21*AM741^2+BMILMS!$F$21*AM741+BMILMS!$G$21,IF(AM741&lt;9.5,BMILMS!$D$22*AM741^3+BMILMS!$E$22*AM741^2+BMILMS!$F$22*AM741+BMILMS!$G$22,IF(AM741&lt;26.75,BMILMS!$D$23*AM741^3+BMILMS!$E$23*AM741^2+BMILMS!$F$23*AM741+BMILMS!$G$23,IF(AM741&lt;90,BMILMS!$D$24*AM741^3+BMILMS!$E$24*AM741^2+BMILMS!$F$24*AM741+BMILMS!$G$24,BMILMS!$D$25*AM741^3+BMILMS!$E$25*AM741^2+BMILMS!$F$25*AM741+BMILMS!$G$25))))),(IF(AM741&lt;2.5,BMILMS!$D$27*AM741^3+BMILMS!$E$27*AM741^2+BMILMS!$F$27*AM741+BMILMS!$G$27,IF(AM741&lt;9.5,BMILMS!$D$28*AM741^3+BMILMS!$E$28*AM741^2+BMILMS!$F$28*AM741+BMILMS!$G$28,IF(AM741&lt;26.75,BMILMS!$D$29*AM741^3+BMILMS!$E$29*AM741^2+BMILMS!$F$29*AM741+BMILMS!$G$29,IF(AM741&lt;90,BMILMS!$D$30*AM741^3+BMILMS!$E$30*AM741^2+BMILMS!$F$30*AM741+BMILMS!$G$30,IF(AM741&lt;150,BMILMS!$D$31*AM741^3+BMILMS!$E$31*AM741^2+BMILMS!$F$31*AM741+BMILMS!$G$31,BMILMS!$D$32*AM741^3+BMILMS!$E$32*AM741^2+BMILMS!$F$32*AM741+BMILMS!$G$32)))))))</f>
        <v>12.568967990000001</v>
      </c>
      <c r="AL741" s="4">
        <f>IF(D741="M",(IF(AM741&lt;90,BMILMS!$D$14*AM741^3+BMILMS!$E$14*AM741^2+BMILMS!$F$14*AM741+BMILMS!$G$14,BMILMS!$D$15*AM741^3+BMILMS!$E$15*AM741^2+BMILMS!$F$15*AM741+BMILMS!$G$15)),(IF(AM741&lt;90,BMILMS!$D$17*AM741^3+BMILMS!$E$17*AM741^2+BMILMS!$F$17*AM741+BMILMS!$G$17,BMILMS!$D$18*AM741^3+BMILMS!$E$18*AM741^2+BMILMS!$F$18*AM741+BMILMS!$G$18)))</f>
        <v>8.8969350000000003E-2</v>
      </c>
      <c r="AM741" s="4">
        <f t="shared" si="251"/>
        <v>0</v>
      </c>
      <c r="AO741" s="56">
        <f>IF(D741="M",WeightSDS!P$5*$AM741^7+WeightSDS!Q$5*$AM741^6+WeightSDS!R$5*$AM741^5+WeightSDS!S$5*$AM741^4+WeightSDS!T$5*$AM741^3+WeightSDS!U$5*$AM741^2+WeightSDS!V$5*$AM741+WeightSDS!W$5,IF($AM741&lt;186,WeightSDS!P$8*$AM741^7+WeightSDS!Q$8*$AM741^6+WeightSDS!R$8*$AM741^5+WeightSDS!S$8*$AM741^4+WeightSDS!T$8*$AM741^3+WeightSDS!U$8*$AM741^2+WeightSDS!V$8*$AM741+WeightSDS!W$8,WeightSDS!$U$9+WeightSDS!$V$9*($AM741-WeightSDS!$W$9)))</f>
        <v>0.75407122999999998</v>
      </c>
      <c r="AP741" s="4">
        <f>IF(D741="M",IF($AM741&lt;45,WeightSDS!M$23*$AM741^10+WeightSDS!N$23*$AM741^9+WeightSDS!O$23*$AM741^8+WeightSDS!P$23*$AM741^7+WeightSDS!Q$23*$AM741^6+WeightSDS!R$23*$AM741^5+WeightSDS!S$23*$AM741^4+WeightSDS!T$23*$AM741^3+WeightSDS!U$23*$AM741^2+WeightSDS!V$23*$AM741+WeightSDS!W$23,IF($AM741&lt;153,WeightSDS!M$25*$AM741^10+WeightSDS!N$25*$AM741^9+WeightSDS!O$25*$AM741^8+WeightSDS!P$25*$AM741^7+WeightSDS!Q$25*$AM741^6+WeightSDS!R$25*$AM741^5+WeightSDS!S$25*$AM741^4+WeightSDS!T$25*$AM741^3+WeightSDS!U$25*$AM741^2+WeightSDS!V$25*$AM741+WeightSDS!W$25,WeightSDS!M$27+WeightSDS!N$27/(1+EXP(WeightSDS!O$27+WeightSDS!P$27*$AM741)))),IF($AM741&lt;43.8,WeightSDS!M$29*$AM741^10+WeightSDS!N$29*$AM741^9+WeightSDS!O$29*$AM741^8+WeightSDS!P$29*$AM741^7+WeightSDS!Q$29*$AM741^6+WeightSDS!R$29*$AM741^5+WeightSDS!S$29*$AM741^4+WeightSDS!T$29*$AM741^3+WeightSDS!U$29*$AM741^2+WeightSDS!V$29*$AM741+WeightSDS!W$29-0.010431*(1-$AM741/210),IF($AM741&lt;123,WeightSDS!M$30*$AM741^10+WeightSDS!N$30*$AM741^9+WeightSDS!O$30*$AM741^8+WeightSDS!P$30*$AM741^7+WeightSDS!Q$30*$AM741^6+WeightSDS!R$30*$AM741^5+WeightSDS!S$30*$AM741^4+WeightSDS!T$30*$AM741^3+WeightSDS!U$30*$AM741^2+WeightSDS!V$30*$AM741+WeightSDS!W$30-0.010431*(1-1/$AM741),WeightSDS!M$32+WeightSDS!N$32/(1+EXP(WeightSDS!O$32+WeightSDS!P$32*$AM741))-0.010431*(1-$AM741/210))))</f>
        <v>2.9500001032655536</v>
      </c>
      <c r="AQ741" s="4">
        <f>IF(D741="M",IF($AM741&lt;162,WeightSDS!P$12*$AM741^7+WeightSDS!Q$12*$AM741^6+WeightSDS!R$12*$AM741^5+WeightSDS!S$12*$AM741^4+WeightSDS!T$12*$AM741^3+WeightSDS!U$12*$AM741^2+WeightSDS!V$12*$AM741+WeightSDS!W$12,WeightSDS!P$14*$AM741^7+WeightSDS!Q$14*$AM741^6+WeightSDS!R$14*$AM741^5+WeightSDS!S$14*$AM741^4+WeightSDS!T$14*$AM741^3+WeightSDS!U$14*$AM741^2+WeightSDS!V$14*$AM741+WeightSDS!W$14),IF($AM741&lt;156,WeightSDS!O$17*$AM741^8+WeightSDS!P$17*$AM741^7+WeightSDS!Q$17*$AM741^6+WeightSDS!R$17*$AM741^5+WeightSDS!S$17*$AM741^4+WeightSDS!T$17*$AM741^3+WeightSDS!U$17*$AM741^2+WeightSDS!V$17*$AM741+WeightSDS!W$17,IF($AM741&lt;186,WeightSDS!$U$18+(WeightSDS!$V$18-WeightSDS!$U$18)/24*($AM741-186)+WeightSDS!$W$18*(-$AM741+186)^2-0.005,WeightSDS!$U$18+(WeightSDS!$V$18-WeightSDS!$U$18)/24*($AM741-186)-0.005)))</f>
        <v>0.14604529399999999</v>
      </c>
      <c r="AT741" s="4">
        <f t="shared" si="238"/>
        <v>0.56299999999999994</v>
      </c>
      <c r="AU741" s="4">
        <f t="shared" si="239"/>
        <v>69</v>
      </c>
      <c r="AV741" s="4">
        <f t="shared" si="240"/>
        <v>0.51</v>
      </c>
    </row>
    <row r="742" spans="1:48" x14ac:dyDescent="0.15">
      <c r="A742" s="4"/>
      <c r="B742" s="21"/>
      <c r="C742" s="21"/>
      <c r="D742" s="21"/>
      <c r="E742" s="22"/>
      <c r="F742" s="22"/>
      <c r="G742" s="23"/>
      <c r="H742" s="23"/>
      <c r="I742" s="181"/>
      <c r="J742" s="8" t="str">
        <f t="shared" si="232"/>
        <v/>
      </c>
      <c r="K742" s="2" t="str">
        <f t="shared" si="241"/>
        <v/>
      </c>
      <c r="L742" s="2" t="str">
        <f t="shared" si="233"/>
        <v/>
      </c>
      <c r="M742" s="2" t="str">
        <f t="shared" si="242"/>
        <v/>
      </c>
      <c r="N742" s="2" t="str">
        <f t="shared" si="250"/>
        <v/>
      </c>
      <c r="O742" s="2" t="str">
        <f t="shared" si="243"/>
        <v/>
      </c>
      <c r="P742" s="8" t="str">
        <f t="shared" si="244"/>
        <v/>
      </c>
      <c r="Q742" s="8" t="str">
        <f t="shared" si="245"/>
        <v/>
      </c>
      <c r="R742" s="111" t="str">
        <f t="shared" si="246"/>
        <v/>
      </c>
      <c r="S742" s="44" t="str">
        <f t="shared" si="247"/>
        <v/>
      </c>
      <c r="T742" s="37" t="str">
        <f t="shared" si="248"/>
        <v/>
      </c>
      <c r="U742" s="44" t="str">
        <f t="shared" si="249"/>
        <v/>
      </c>
      <c r="V742" s="26"/>
      <c r="W742" s="26"/>
      <c r="X742" s="26"/>
      <c r="Y742" s="26"/>
      <c r="Z742" s="24"/>
      <c r="AA742" s="169">
        <f t="shared" si="234"/>
        <v>0</v>
      </c>
      <c r="AB742" s="4">
        <f t="shared" si="235"/>
        <v>0</v>
      </c>
      <c r="AC742" s="170">
        <f t="shared" si="252"/>
        <v>0</v>
      </c>
      <c r="AD742" s="58"/>
      <c r="AE742" s="58"/>
      <c r="AF742" s="58"/>
      <c r="AG742" s="59">
        <f t="shared" si="236"/>
        <v>9.0359999999999996</v>
      </c>
      <c r="AH742" s="59">
        <f t="shared" si="237"/>
        <v>-184.49199999999999</v>
      </c>
      <c r="AJ742" s="4">
        <f>IF(D742="M",IF(AM742&lt;78,BMILMS!$D$5*AM742^3+BMILMS!$E$5*AM742^2+BMILMS!$F$5*AM742+BMILMS!$G$5,IF(AM742&lt;150,BMILMS!$D$6*AM742^3+BMILMS!$E$6*AM742^2+BMILMS!$F$6*AM742+BMILMS!$G$6,BMILMS!$D$7*AM742^3+BMILMS!$E$7*AM742^2+BMILMS!$F$7*AM742+BMILMS!$G$7)),IF(AM742&lt;69,BMILMS!$D$9*AM742^3+BMILMS!$E$9*AM742^2+BMILMS!$F$9*AM742+BMILMS!$G$9,IF(AM742&lt;150,BMILMS!$D$10*AM742^3+BMILMS!$E$10*AM742^2+BMILMS!$F$10*AM742+BMILMS!$G$10,BMILMS!$D$11*AM742^3+BMILMS!$E$11*AM742^2+BMILMS!$F$11*AM742+BMILMS!$G$11)))</f>
        <v>0.79584630099999998</v>
      </c>
      <c r="AK742" s="4">
        <f>IF(D742="M",(IF(AM742&lt;2.5,BMILMS!$D$21*AM742^3+BMILMS!$E$21*AM742^2+BMILMS!$F$21*AM742+BMILMS!$G$21,IF(AM742&lt;9.5,BMILMS!$D$22*AM742^3+BMILMS!$E$22*AM742^2+BMILMS!$F$22*AM742+BMILMS!$G$22,IF(AM742&lt;26.75,BMILMS!$D$23*AM742^3+BMILMS!$E$23*AM742^2+BMILMS!$F$23*AM742+BMILMS!$G$23,IF(AM742&lt;90,BMILMS!$D$24*AM742^3+BMILMS!$E$24*AM742^2+BMILMS!$F$24*AM742+BMILMS!$G$24,BMILMS!$D$25*AM742^3+BMILMS!$E$25*AM742^2+BMILMS!$F$25*AM742+BMILMS!$G$25))))),(IF(AM742&lt;2.5,BMILMS!$D$27*AM742^3+BMILMS!$E$27*AM742^2+BMILMS!$F$27*AM742+BMILMS!$G$27,IF(AM742&lt;9.5,BMILMS!$D$28*AM742^3+BMILMS!$E$28*AM742^2+BMILMS!$F$28*AM742+BMILMS!$G$28,IF(AM742&lt;26.75,BMILMS!$D$29*AM742^3+BMILMS!$E$29*AM742^2+BMILMS!$F$29*AM742+BMILMS!$G$29,IF(AM742&lt;90,BMILMS!$D$30*AM742^3+BMILMS!$E$30*AM742^2+BMILMS!$F$30*AM742+BMILMS!$G$30,IF(AM742&lt;150,BMILMS!$D$31*AM742^3+BMILMS!$E$31*AM742^2+BMILMS!$F$31*AM742+BMILMS!$G$31,BMILMS!$D$32*AM742^3+BMILMS!$E$32*AM742^2+BMILMS!$F$32*AM742+BMILMS!$G$32)))))))</f>
        <v>12.568967990000001</v>
      </c>
      <c r="AL742" s="4">
        <f>IF(D742="M",(IF(AM742&lt;90,BMILMS!$D$14*AM742^3+BMILMS!$E$14*AM742^2+BMILMS!$F$14*AM742+BMILMS!$G$14,BMILMS!$D$15*AM742^3+BMILMS!$E$15*AM742^2+BMILMS!$F$15*AM742+BMILMS!$G$15)),(IF(AM742&lt;90,BMILMS!$D$17*AM742^3+BMILMS!$E$17*AM742^2+BMILMS!$F$17*AM742+BMILMS!$G$17,BMILMS!$D$18*AM742^3+BMILMS!$E$18*AM742^2+BMILMS!$F$18*AM742+BMILMS!$G$18)))</f>
        <v>8.8969350000000003E-2</v>
      </c>
      <c r="AM742" s="4">
        <f t="shared" si="251"/>
        <v>0</v>
      </c>
      <c r="AO742" s="56">
        <f>IF(D742="M",WeightSDS!P$5*$AM742^7+WeightSDS!Q$5*$AM742^6+WeightSDS!R$5*$AM742^5+WeightSDS!S$5*$AM742^4+WeightSDS!T$5*$AM742^3+WeightSDS!U$5*$AM742^2+WeightSDS!V$5*$AM742+WeightSDS!W$5,IF($AM742&lt;186,WeightSDS!P$8*$AM742^7+WeightSDS!Q$8*$AM742^6+WeightSDS!R$8*$AM742^5+WeightSDS!S$8*$AM742^4+WeightSDS!T$8*$AM742^3+WeightSDS!U$8*$AM742^2+WeightSDS!V$8*$AM742+WeightSDS!W$8,WeightSDS!$U$9+WeightSDS!$V$9*($AM742-WeightSDS!$W$9)))</f>
        <v>0.75407122999999998</v>
      </c>
      <c r="AP742" s="4">
        <f>IF(D742="M",IF($AM742&lt;45,WeightSDS!M$23*$AM742^10+WeightSDS!N$23*$AM742^9+WeightSDS!O$23*$AM742^8+WeightSDS!P$23*$AM742^7+WeightSDS!Q$23*$AM742^6+WeightSDS!R$23*$AM742^5+WeightSDS!S$23*$AM742^4+WeightSDS!T$23*$AM742^3+WeightSDS!U$23*$AM742^2+WeightSDS!V$23*$AM742+WeightSDS!W$23,IF($AM742&lt;153,WeightSDS!M$25*$AM742^10+WeightSDS!N$25*$AM742^9+WeightSDS!O$25*$AM742^8+WeightSDS!P$25*$AM742^7+WeightSDS!Q$25*$AM742^6+WeightSDS!R$25*$AM742^5+WeightSDS!S$25*$AM742^4+WeightSDS!T$25*$AM742^3+WeightSDS!U$25*$AM742^2+WeightSDS!V$25*$AM742+WeightSDS!W$25,WeightSDS!M$27+WeightSDS!N$27/(1+EXP(WeightSDS!O$27+WeightSDS!P$27*$AM742)))),IF($AM742&lt;43.8,WeightSDS!M$29*$AM742^10+WeightSDS!N$29*$AM742^9+WeightSDS!O$29*$AM742^8+WeightSDS!P$29*$AM742^7+WeightSDS!Q$29*$AM742^6+WeightSDS!R$29*$AM742^5+WeightSDS!S$29*$AM742^4+WeightSDS!T$29*$AM742^3+WeightSDS!U$29*$AM742^2+WeightSDS!V$29*$AM742+WeightSDS!W$29-0.010431*(1-$AM742/210),IF($AM742&lt;123,WeightSDS!M$30*$AM742^10+WeightSDS!N$30*$AM742^9+WeightSDS!O$30*$AM742^8+WeightSDS!P$30*$AM742^7+WeightSDS!Q$30*$AM742^6+WeightSDS!R$30*$AM742^5+WeightSDS!S$30*$AM742^4+WeightSDS!T$30*$AM742^3+WeightSDS!U$30*$AM742^2+WeightSDS!V$30*$AM742+WeightSDS!W$30-0.010431*(1-1/$AM742),WeightSDS!M$32+WeightSDS!N$32/(1+EXP(WeightSDS!O$32+WeightSDS!P$32*$AM742))-0.010431*(1-$AM742/210))))</f>
        <v>2.9500001032655536</v>
      </c>
      <c r="AQ742" s="4">
        <f>IF(D742="M",IF($AM742&lt;162,WeightSDS!P$12*$AM742^7+WeightSDS!Q$12*$AM742^6+WeightSDS!R$12*$AM742^5+WeightSDS!S$12*$AM742^4+WeightSDS!T$12*$AM742^3+WeightSDS!U$12*$AM742^2+WeightSDS!V$12*$AM742+WeightSDS!W$12,WeightSDS!P$14*$AM742^7+WeightSDS!Q$14*$AM742^6+WeightSDS!R$14*$AM742^5+WeightSDS!S$14*$AM742^4+WeightSDS!T$14*$AM742^3+WeightSDS!U$14*$AM742^2+WeightSDS!V$14*$AM742+WeightSDS!W$14),IF($AM742&lt;156,WeightSDS!O$17*$AM742^8+WeightSDS!P$17*$AM742^7+WeightSDS!Q$17*$AM742^6+WeightSDS!R$17*$AM742^5+WeightSDS!S$17*$AM742^4+WeightSDS!T$17*$AM742^3+WeightSDS!U$17*$AM742^2+WeightSDS!V$17*$AM742+WeightSDS!W$17,IF($AM742&lt;186,WeightSDS!$U$18+(WeightSDS!$V$18-WeightSDS!$U$18)/24*($AM742-186)+WeightSDS!$W$18*(-$AM742+186)^2-0.005,WeightSDS!$U$18+(WeightSDS!$V$18-WeightSDS!$U$18)/24*($AM742-186)-0.005)))</f>
        <v>0.14604529399999999</v>
      </c>
      <c r="AT742" s="4">
        <f t="shared" si="238"/>
        <v>0.56299999999999994</v>
      </c>
      <c r="AU742" s="4">
        <f t="shared" si="239"/>
        <v>69</v>
      </c>
      <c r="AV742" s="4">
        <f t="shared" si="240"/>
        <v>0.51</v>
      </c>
    </row>
    <row r="743" spans="1:48" x14ac:dyDescent="0.15">
      <c r="A743" s="4"/>
      <c r="B743" s="21"/>
      <c r="C743" s="21"/>
      <c r="D743" s="21"/>
      <c r="E743" s="22"/>
      <c r="F743" s="22"/>
      <c r="G743" s="23"/>
      <c r="H743" s="23"/>
      <c r="I743" s="181"/>
      <c r="J743" s="8" t="str">
        <f t="shared" si="232"/>
        <v/>
      </c>
      <c r="K743" s="2" t="str">
        <f t="shared" si="241"/>
        <v/>
      </c>
      <c r="L743" s="2" t="str">
        <f t="shared" si="233"/>
        <v/>
      </c>
      <c r="M743" s="2" t="str">
        <f t="shared" si="242"/>
        <v/>
      </c>
      <c r="N743" s="2" t="str">
        <f t="shared" si="250"/>
        <v/>
      </c>
      <c r="O743" s="2" t="str">
        <f t="shared" si="243"/>
        <v/>
      </c>
      <c r="P743" s="8" t="str">
        <f t="shared" si="244"/>
        <v/>
      </c>
      <c r="Q743" s="8" t="str">
        <f t="shared" si="245"/>
        <v/>
      </c>
      <c r="R743" s="111" t="str">
        <f t="shared" si="246"/>
        <v/>
      </c>
      <c r="S743" s="44" t="str">
        <f t="shared" si="247"/>
        <v/>
      </c>
      <c r="T743" s="37" t="str">
        <f t="shared" si="248"/>
        <v/>
      </c>
      <c r="U743" s="44" t="str">
        <f t="shared" si="249"/>
        <v/>
      </c>
      <c r="V743" s="26"/>
      <c r="W743" s="26"/>
      <c r="X743" s="26"/>
      <c r="Y743" s="26"/>
      <c r="Z743" s="24"/>
      <c r="AA743" s="169">
        <f t="shared" si="234"/>
        <v>0</v>
      </c>
      <c r="AB743" s="4">
        <f t="shared" si="235"/>
        <v>0</v>
      </c>
      <c r="AC743" s="170">
        <f t="shared" si="252"/>
        <v>0</v>
      </c>
      <c r="AD743" s="58"/>
      <c r="AE743" s="58"/>
      <c r="AF743" s="58"/>
      <c r="AG743" s="59">
        <f t="shared" si="236"/>
        <v>9.0359999999999996</v>
      </c>
      <c r="AH743" s="59">
        <f t="shared" si="237"/>
        <v>-184.49199999999999</v>
      </c>
      <c r="AJ743" s="4">
        <f>IF(D743="M",IF(AM743&lt;78,BMILMS!$D$5*AM743^3+BMILMS!$E$5*AM743^2+BMILMS!$F$5*AM743+BMILMS!$G$5,IF(AM743&lt;150,BMILMS!$D$6*AM743^3+BMILMS!$E$6*AM743^2+BMILMS!$F$6*AM743+BMILMS!$G$6,BMILMS!$D$7*AM743^3+BMILMS!$E$7*AM743^2+BMILMS!$F$7*AM743+BMILMS!$G$7)),IF(AM743&lt;69,BMILMS!$D$9*AM743^3+BMILMS!$E$9*AM743^2+BMILMS!$F$9*AM743+BMILMS!$G$9,IF(AM743&lt;150,BMILMS!$D$10*AM743^3+BMILMS!$E$10*AM743^2+BMILMS!$F$10*AM743+BMILMS!$G$10,BMILMS!$D$11*AM743^3+BMILMS!$E$11*AM743^2+BMILMS!$F$11*AM743+BMILMS!$G$11)))</f>
        <v>0.79584630099999998</v>
      </c>
      <c r="AK743" s="4">
        <f>IF(D743="M",(IF(AM743&lt;2.5,BMILMS!$D$21*AM743^3+BMILMS!$E$21*AM743^2+BMILMS!$F$21*AM743+BMILMS!$G$21,IF(AM743&lt;9.5,BMILMS!$D$22*AM743^3+BMILMS!$E$22*AM743^2+BMILMS!$F$22*AM743+BMILMS!$G$22,IF(AM743&lt;26.75,BMILMS!$D$23*AM743^3+BMILMS!$E$23*AM743^2+BMILMS!$F$23*AM743+BMILMS!$G$23,IF(AM743&lt;90,BMILMS!$D$24*AM743^3+BMILMS!$E$24*AM743^2+BMILMS!$F$24*AM743+BMILMS!$G$24,BMILMS!$D$25*AM743^3+BMILMS!$E$25*AM743^2+BMILMS!$F$25*AM743+BMILMS!$G$25))))),(IF(AM743&lt;2.5,BMILMS!$D$27*AM743^3+BMILMS!$E$27*AM743^2+BMILMS!$F$27*AM743+BMILMS!$G$27,IF(AM743&lt;9.5,BMILMS!$D$28*AM743^3+BMILMS!$E$28*AM743^2+BMILMS!$F$28*AM743+BMILMS!$G$28,IF(AM743&lt;26.75,BMILMS!$D$29*AM743^3+BMILMS!$E$29*AM743^2+BMILMS!$F$29*AM743+BMILMS!$G$29,IF(AM743&lt;90,BMILMS!$D$30*AM743^3+BMILMS!$E$30*AM743^2+BMILMS!$F$30*AM743+BMILMS!$G$30,IF(AM743&lt;150,BMILMS!$D$31*AM743^3+BMILMS!$E$31*AM743^2+BMILMS!$F$31*AM743+BMILMS!$G$31,BMILMS!$D$32*AM743^3+BMILMS!$E$32*AM743^2+BMILMS!$F$32*AM743+BMILMS!$G$32)))))))</f>
        <v>12.568967990000001</v>
      </c>
      <c r="AL743" s="4">
        <f>IF(D743="M",(IF(AM743&lt;90,BMILMS!$D$14*AM743^3+BMILMS!$E$14*AM743^2+BMILMS!$F$14*AM743+BMILMS!$G$14,BMILMS!$D$15*AM743^3+BMILMS!$E$15*AM743^2+BMILMS!$F$15*AM743+BMILMS!$G$15)),(IF(AM743&lt;90,BMILMS!$D$17*AM743^3+BMILMS!$E$17*AM743^2+BMILMS!$F$17*AM743+BMILMS!$G$17,BMILMS!$D$18*AM743^3+BMILMS!$E$18*AM743^2+BMILMS!$F$18*AM743+BMILMS!$G$18)))</f>
        <v>8.8969350000000003E-2</v>
      </c>
      <c r="AM743" s="4">
        <f t="shared" si="251"/>
        <v>0</v>
      </c>
      <c r="AO743" s="56">
        <f>IF(D743="M",WeightSDS!P$5*$AM743^7+WeightSDS!Q$5*$AM743^6+WeightSDS!R$5*$AM743^5+WeightSDS!S$5*$AM743^4+WeightSDS!T$5*$AM743^3+WeightSDS!U$5*$AM743^2+WeightSDS!V$5*$AM743+WeightSDS!W$5,IF($AM743&lt;186,WeightSDS!P$8*$AM743^7+WeightSDS!Q$8*$AM743^6+WeightSDS!R$8*$AM743^5+WeightSDS!S$8*$AM743^4+WeightSDS!T$8*$AM743^3+WeightSDS!U$8*$AM743^2+WeightSDS!V$8*$AM743+WeightSDS!W$8,WeightSDS!$U$9+WeightSDS!$V$9*($AM743-WeightSDS!$W$9)))</f>
        <v>0.75407122999999998</v>
      </c>
      <c r="AP743" s="4">
        <f>IF(D743="M",IF($AM743&lt;45,WeightSDS!M$23*$AM743^10+WeightSDS!N$23*$AM743^9+WeightSDS!O$23*$AM743^8+WeightSDS!P$23*$AM743^7+WeightSDS!Q$23*$AM743^6+WeightSDS!R$23*$AM743^5+WeightSDS!S$23*$AM743^4+WeightSDS!T$23*$AM743^3+WeightSDS!U$23*$AM743^2+WeightSDS!V$23*$AM743+WeightSDS!W$23,IF($AM743&lt;153,WeightSDS!M$25*$AM743^10+WeightSDS!N$25*$AM743^9+WeightSDS!O$25*$AM743^8+WeightSDS!P$25*$AM743^7+WeightSDS!Q$25*$AM743^6+WeightSDS!R$25*$AM743^5+WeightSDS!S$25*$AM743^4+WeightSDS!T$25*$AM743^3+WeightSDS!U$25*$AM743^2+WeightSDS!V$25*$AM743+WeightSDS!W$25,WeightSDS!M$27+WeightSDS!N$27/(1+EXP(WeightSDS!O$27+WeightSDS!P$27*$AM743)))),IF($AM743&lt;43.8,WeightSDS!M$29*$AM743^10+WeightSDS!N$29*$AM743^9+WeightSDS!O$29*$AM743^8+WeightSDS!P$29*$AM743^7+WeightSDS!Q$29*$AM743^6+WeightSDS!R$29*$AM743^5+WeightSDS!S$29*$AM743^4+WeightSDS!T$29*$AM743^3+WeightSDS!U$29*$AM743^2+WeightSDS!V$29*$AM743+WeightSDS!W$29-0.010431*(1-$AM743/210),IF($AM743&lt;123,WeightSDS!M$30*$AM743^10+WeightSDS!N$30*$AM743^9+WeightSDS!O$30*$AM743^8+WeightSDS!P$30*$AM743^7+WeightSDS!Q$30*$AM743^6+WeightSDS!R$30*$AM743^5+WeightSDS!S$30*$AM743^4+WeightSDS!T$30*$AM743^3+WeightSDS!U$30*$AM743^2+WeightSDS!V$30*$AM743+WeightSDS!W$30-0.010431*(1-1/$AM743),WeightSDS!M$32+WeightSDS!N$32/(1+EXP(WeightSDS!O$32+WeightSDS!P$32*$AM743))-0.010431*(1-$AM743/210))))</f>
        <v>2.9500001032655536</v>
      </c>
      <c r="AQ743" s="4">
        <f>IF(D743="M",IF($AM743&lt;162,WeightSDS!P$12*$AM743^7+WeightSDS!Q$12*$AM743^6+WeightSDS!R$12*$AM743^5+WeightSDS!S$12*$AM743^4+WeightSDS!T$12*$AM743^3+WeightSDS!U$12*$AM743^2+WeightSDS!V$12*$AM743+WeightSDS!W$12,WeightSDS!P$14*$AM743^7+WeightSDS!Q$14*$AM743^6+WeightSDS!R$14*$AM743^5+WeightSDS!S$14*$AM743^4+WeightSDS!T$14*$AM743^3+WeightSDS!U$14*$AM743^2+WeightSDS!V$14*$AM743+WeightSDS!W$14),IF($AM743&lt;156,WeightSDS!O$17*$AM743^8+WeightSDS!P$17*$AM743^7+WeightSDS!Q$17*$AM743^6+WeightSDS!R$17*$AM743^5+WeightSDS!S$17*$AM743^4+WeightSDS!T$17*$AM743^3+WeightSDS!U$17*$AM743^2+WeightSDS!V$17*$AM743+WeightSDS!W$17,IF($AM743&lt;186,WeightSDS!$U$18+(WeightSDS!$V$18-WeightSDS!$U$18)/24*($AM743-186)+WeightSDS!$W$18*(-$AM743+186)^2-0.005,WeightSDS!$U$18+(WeightSDS!$V$18-WeightSDS!$U$18)/24*($AM743-186)-0.005)))</f>
        <v>0.14604529399999999</v>
      </c>
      <c r="AT743" s="4">
        <f t="shared" si="238"/>
        <v>0.56299999999999994</v>
      </c>
      <c r="AU743" s="4">
        <f t="shared" si="239"/>
        <v>69</v>
      </c>
      <c r="AV743" s="4">
        <f t="shared" si="240"/>
        <v>0.51</v>
      </c>
    </row>
    <row r="744" spans="1:48" x14ac:dyDescent="0.15">
      <c r="A744" s="4"/>
      <c r="B744" s="21"/>
      <c r="C744" s="21"/>
      <c r="D744" s="21"/>
      <c r="E744" s="22"/>
      <c r="F744" s="22"/>
      <c r="G744" s="23"/>
      <c r="H744" s="23"/>
      <c r="I744" s="181"/>
      <c r="J744" s="8" t="str">
        <f t="shared" si="232"/>
        <v/>
      </c>
      <c r="K744" s="2" t="str">
        <f t="shared" si="241"/>
        <v/>
      </c>
      <c r="L744" s="2" t="str">
        <f t="shared" si="233"/>
        <v/>
      </c>
      <c r="M744" s="2" t="str">
        <f t="shared" si="242"/>
        <v/>
      </c>
      <c r="N744" s="2" t="str">
        <f t="shared" si="250"/>
        <v/>
      </c>
      <c r="O744" s="2" t="str">
        <f t="shared" si="243"/>
        <v/>
      </c>
      <c r="P744" s="8" t="str">
        <f t="shared" si="244"/>
        <v/>
      </c>
      <c r="Q744" s="8" t="str">
        <f t="shared" si="245"/>
        <v/>
      </c>
      <c r="R744" s="111" t="str">
        <f t="shared" si="246"/>
        <v/>
      </c>
      <c r="S744" s="44" t="str">
        <f t="shared" si="247"/>
        <v/>
      </c>
      <c r="T744" s="37" t="str">
        <f t="shared" si="248"/>
        <v/>
      </c>
      <c r="U744" s="44" t="str">
        <f t="shared" si="249"/>
        <v/>
      </c>
      <c r="V744" s="26"/>
      <c r="W744" s="26"/>
      <c r="X744" s="26"/>
      <c r="Y744" s="26"/>
      <c r="Z744" s="24"/>
      <c r="AA744" s="169">
        <f t="shared" si="234"/>
        <v>0</v>
      </c>
      <c r="AB744" s="4">
        <f t="shared" si="235"/>
        <v>0</v>
      </c>
      <c r="AC744" s="170">
        <f t="shared" si="252"/>
        <v>0</v>
      </c>
      <c r="AD744" s="58"/>
      <c r="AE744" s="58"/>
      <c r="AF744" s="58"/>
      <c r="AG744" s="59">
        <f t="shared" si="236"/>
        <v>9.0359999999999996</v>
      </c>
      <c r="AH744" s="59">
        <f t="shared" si="237"/>
        <v>-184.49199999999999</v>
      </c>
      <c r="AJ744" s="4">
        <f>IF(D744="M",IF(AM744&lt;78,BMILMS!$D$5*AM744^3+BMILMS!$E$5*AM744^2+BMILMS!$F$5*AM744+BMILMS!$G$5,IF(AM744&lt;150,BMILMS!$D$6*AM744^3+BMILMS!$E$6*AM744^2+BMILMS!$F$6*AM744+BMILMS!$G$6,BMILMS!$D$7*AM744^3+BMILMS!$E$7*AM744^2+BMILMS!$F$7*AM744+BMILMS!$G$7)),IF(AM744&lt;69,BMILMS!$D$9*AM744^3+BMILMS!$E$9*AM744^2+BMILMS!$F$9*AM744+BMILMS!$G$9,IF(AM744&lt;150,BMILMS!$D$10*AM744^3+BMILMS!$E$10*AM744^2+BMILMS!$F$10*AM744+BMILMS!$G$10,BMILMS!$D$11*AM744^3+BMILMS!$E$11*AM744^2+BMILMS!$F$11*AM744+BMILMS!$G$11)))</f>
        <v>0.79584630099999998</v>
      </c>
      <c r="AK744" s="4">
        <f>IF(D744="M",(IF(AM744&lt;2.5,BMILMS!$D$21*AM744^3+BMILMS!$E$21*AM744^2+BMILMS!$F$21*AM744+BMILMS!$G$21,IF(AM744&lt;9.5,BMILMS!$D$22*AM744^3+BMILMS!$E$22*AM744^2+BMILMS!$F$22*AM744+BMILMS!$G$22,IF(AM744&lt;26.75,BMILMS!$D$23*AM744^3+BMILMS!$E$23*AM744^2+BMILMS!$F$23*AM744+BMILMS!$G$23,IF(AM744&lt;90,BMILMS!$D$24*AM744^3+BMILMS!$E$24*AM744^2+BMILMS!$F$24*AM744+BMILMS!$G$24,BMILMS!$D$25*AM744^3+BMILMS!$E$25*AM744^2+BMILMS!$F$25*AM744+BMILMS!$G$25))))),(IF(AM744&lt;2.5,BMILMS!$D$27*AM744^3+BMILMS!$E$27*AM744^2+BMILMS!$F$27*AM744+BMILMS!$G$27,IF(AM744&lt;9.5,BMILMS!$D$28*AM744^3+BMILMS!$E$28*AM744^2+BMILMS!$F$28*AM744+BMILMS!$G$28,IF(AM744&lt;26.75,BMILMS!$D$29*AM744^3+BMILMS!$E$29*AM744^2+BMILMS!$F$29*AM744+BMILMS!$G$29,IF(AM744&lt;90,BMILMS!$D$30*AM744^3+BMILMS!$E$30*AM744^2+BMILMS!$F$30*AM744+BMILMS!$G$30,IF(AM744&lt;150,BMILMS!$D$31*AM744^3+BMILMS!$E$31*AM744^2+BMILMS!$F$31*AM744+BMILMS!$G$31,BMILMS!$D$32*AM744^3+BMILMS!$E$32*AM744^2+BMILMS!$F$32*AM744+BMILMS!$G$32)))))))</f>
        <v>12.568967990000001</v>
      </c>
      <c r="AL744" s="4">
        <f>IF(D744="M",(IF(AM744&lt;90,BMILMS!$D$14*AM744^3+BMILMS!$E$14*AM744^2+BMILMS!$F$14*AM744+BMILMS!$G$14,BMILMS!$D$15*AM744^3+BMILMS!$E$15*AM744^2+BMILMS!$F$15*AM744+BMILMS!$G$15)),(IF(AM744&lt;90,BMILMS!$D$17*AM744^3+BMILMS!$E$17*AM744^2+BMILMS!$F$17*AM744+BMILMS!$G$17,BMILMS!$D$18*AM744^3+BMILMS!$E$18*AM744^2+BMILMS!$F$18*AM744+BMILMS!$G$18)))</f>
        <v>8.8969350000000003E-2</v>
      </c>
      <c r="AM744" s="4">
        <f t="shared" si="251"/>
        <v>0</v>
      </c>
      <c r="AO744" s="56">
        <f>IF(D744="M",WeightSDS!P$5*$AM744^7+WeightSDS!Q$5*$AM744^6+WeightSDS!R$5*$AM744^5+WeightSDS!S$5*$AM744^4+WeightSDS!T$5*$AM744^3+WeightSDS!U$5*$AM744^2+WeightSDS!V$5*$AM744+WeightSDS!W$5,IF($AM744&lt;186,WeightSDS!P$8*$AM744^7+WeightSDS!Q$8*$AM744^6+WeightSDS!R$8*$AM744^5+WeightSDS!S$8*$AM744^4+WeightSDS!T$8*$AM744^3+WeightSDS!U$8*$AM744^2+WeightSDS!V$8*$AM744+WeightSDS!W$8,WeightSDS!$U$9+WeightSDS!$V$9*($AM744-WeightSDS!$W$9)))</f>
        <v>0.75407122999999998</v>
      </c>
      <c r="AP744" s="4">
        <f>IF(D744="M",IF($AM744&lt;45,WeightSDS!M$23*$AM744^10+WeightSDS!N$23*$AM744^9+WeightSDS!O$23*$AM744^8+WeightSDS!P$23*$AM744^7+WeightSDS!Q$23*$AM744^6+WeightSDS!R$23*$AM744^5+WeightSDS!S$23*$AM744^4+WeightSDS!T$23*$AM744^3+WeightSDS!U$23*$AM744^2+WeightSDS!V$23*$AM744+WeightSDS!W$23,IF($AM744&lt;153,WeightSDS!M$25*$AM744^10+WeightSDS!N$25*$AM744^9+WeightSDS!O$25*$AM744^8+WeightSDS!P$25*$AM744^7+WeightSDS!Q$25*$AM744^6+WeightSDS!R$25*$AM744^5+WeightSDS!S$25*$AM744^4+WeightSDS!T$25*$AM744^3+WeightSDS!U$25*$AM744^2+WeightSDS!V$25*$AM744+WeightSDS!W$25,WeightSDS!M$27+WeightSDS!N$27/(1+EXP(WeightSDS!O$27+WeightSDS!P$27*$AM744)))),IF($AM744&lt;43.8,WeightSDS!M$29*$AM744^10+WeightSDS!N$29*$AM744^9+WeightSDS!O$29*$AM744^8+WeightSDS!P$29*$AM744^7+WeightSDS!Q$29*$AM744^6+WeightSDS!R$29*$AM744^5+WeightSDS!S$29*$AM744^4+WeightSDS!T$29*$AM744^3+WeightSDS!U$29*$AM744^2+WeightSDS!V$29*$AM744+WeightSDS!W$29-0.010431*(1-$AM744/210),IF($AM744&lt;123,WeightSDS!M$30*$AM744^10+WeightSDS!N$30*$AM744^9+WeightSDS!O$30*$AM744^8+WeightSDS!P$30*$AM744^7+WeightSDS!Q$30*$AM744^6+WeightSDS!R$30*$AM744^5+WeightSDS!S$30*$AM744^4+WeightSDS!T$30*$AM744^3+WeightSDS!U$30*$AM744^2+WeightSDS!V$30*$AM744+WeightSDS!W$30-0.010431*(1-1/$AM744),WeightSDS!M$32+WeightSDS!N$32/(1+EXP(WeightSDS!O$32+WeightSDS!P$32*$AM744))-0.010431*(1-$AM744/210))))</f>
        <v>2.9500001032655536</v>
      </c>
      <c r="AQ744" s="4">
        <f>IF(D744="M",IF($AM744&lt;162,WeightSDS!P$12*$AM744^7+WeightSDS!Q$12*$AM744^6+WeightSDS!R$12*$AM744^5+WeightSDS!S$12*$AM744^4+WeightSDS!T$12*$AM744^3+WeightSDS!U$12*$AM744^2+WeightSDS!V$12*$AM744+WeightSDS!W$12,WeightSDS!P$14*$AM744^7+WeightSDS!Q$14*$AM744^6+WeightSDS!R$14*$AM744^5+WeightSDS!S$14*$AM744^4+WeightSDS!T$14*$AM744^3+WeightSDS!U$14*$AM744^2+WeightSDS!V$14*$AM744+WeightSDS!W$14),IF($AM744&lt;156,WeightSDS!O$17*$AM744^8+WeightSDS!P$17*$AM744^7+WeightSDS!Q$17*$AM744^6+WeightSDS!R$17*$AM744^5+WeightSDS!S$17*$AM744^4+WeightSDS!T$17*$AM744^3+WeightSDS!U$17*$AM744^2+WeightSDS!V$17*$AM744+WeightSDS!W$17,IF($AM744&lt;186,WeightSDS!$U$18+(WeightSDS!$V$18-WeightSDS!$U$18)/24*($AM744-186)+WeightSDS!$W$18*(-$AM744+186)^2-0.005,WeightSDS!$U$18+(WeightSDS!$V$18-WeightSDS!$U$18)/24*($AM744-186)-0.005)))</f>
        <v>0.14604529399999999</v>
      </c>
      <c r="AT744" s="4">
        <f t="shared" si="238"/>
        <v>0.56299999999999994</v>
      </c>
      <c r="AU744" s="4">
        <f t="shared" si="239"/>
        <v>69</v>
      </c>
      <c r="AV744" s="4">
        <f t="shared" si="240"/>
        <v>0.51</v>
      </c>
    </row>
    <row r="745" spans="1:48" x14ac:dyDescent="0.15">
      <c r="A745" s="4"/>
      <c r="B745" s="21"/>
      <c r="C745" s="21"/>
      <c r="D745" s="21"/>
      <c r="E745" s="22"/>
      <c r="F745" s="22"/>
      <c r="G745" s="23"/>
      <c r="H745" s="23"/>
      <c r="I745" s="181"/>
      <c r="J745" s="8" t="str">
        <f t="shared" si="232"/>
        <v/>
      </c>
      <c r="K745" s="2" t="str">
        <f t="shared" si="241"/>
        <v/>
      </c>
      <c r="L745" s="2" t="str">
        <f t="shared" si="233"/>
        <v/>
      </c>
      <c r="M745" s="2" t="str">
        <f t="shared" si="242"/>
        <v/>
      </c>
      <c r="N745" s="2" t="str">
        <f t="shared" si="250"/>
        <v/>
      </c>
      <c r="O745" s="2" t="str">
        <f t="shared" si="243"/>
        <v/>
      </c>
      <c r="P745" s="8" t="str">
        <f t="shared" si="244"/>
        <v/>
      </c>
      <c r="Q745" s="8" t="str">
        <f t="shared" si="245"/>
        <v/>
      </c>
      <c r="R745" s="111" t="str">
        <f t="shared" si="246"/>
        <v/>
      </c>
      <c r="S745" s="44" t="str">
        <f t="shared" si="247"/>
        <v/>
      </c>
      <c r="T745" s="37" t="str">
        <f t="shared" si="248"/>
        <v/>
      </c>
      <c r="U745" s="44" t="str">
        <f t="shared" si="249"/>
        <v/>
      </c>
      <c r="V745" s="26"/>
      <c r="W745" s="26"/>
      <c r="X745" s="26"/>
      <c r="Y745" s="26"/>
      <c r="Z745" s="24"/>
      <c r="AA745" s="169">
        <f t="shared" si="234"/>
        <v>0</v>
      </c>
      <c r="AB745" s="4">
        <f t="shared" si="235"/>
        <v>0</v>
      </c>
      <c r="AC745" s="170">
        <f t="shared" si="252"/>
        <v>0</v>
      </c>
      <c r="AD745" s="58"/>
      <c r="AE745" s="58"/>
      <c r="AF745" s="58"/>
      <c r="AG745" s="59">
        <f t="shared" si="236"/>
        <v>9.0359999999999996</v>
      </c>
      <c r="AH745" s="59">
        <f t="shared" si="237"/>
        <v>-184.49199999999999</v>
      </c>
      <c r="AJ745" s="4">
        <f>IF(D745="M",IF(AM745&lt;78,BMILMS!$D$5*AM745^3+BMILMS!$E$5*AM745^2+BMILMS!$F$5*AM745+BMILMS!$G$5,IF(AM745&lt;150,BMILMS!$D$6*AM745^3+BMILMS!$E$6*AM745^2+BMILMS!$F$6*AM745+BMILMS!$G$6,BMILMS!$D$7*AM745^3+BMILMS!$E$7*AM745^2+BMILMS!$F$7*AM745+BMILMS!$G$7)),IF(AM745&lt;69,BMILMS!$D$9*AM745^3+BMILMS!$E$9*AM745^2+BMILMS!$F$9*AM745+BMILMS!$G$9,IF(AM745&lt;150,BMILMS!$D$10*AM745^3+BMILMS!$E$10*AM745^2+BMILMS!$F$10*AM745+BMILMS!$G$10,BMILMS!$D$11*AM745^3+BMILMS!$E$11*AM745^2+BMILMS!$F$11*AM745+BMILMS!$G$11)))</f>
        <v>0.79584630099999998</v>
      </c>
      <c r="AK745" s="4">
        <f>IF(D745="M",(IF(AM745&lt;2.5,BMILMS!$D$21*AM745^3+BMILMS!$E$21*AM745^2+BMILMS!$F$21*AM745+BMILMS!$G$21,IF(AM745&lt;9.5,BMILMS!$D$22*AM745^3+BMILMS!$E$22*AM745^2+BMILMS!$F$22*AM745+BMILMS!$G$22,IF(AM745&lt;26.75,BMILMS!$D$23*AM745^3+BMILMS!$E$23*AM745^2+BMILMS!$F$23*AM745+BMILMS!$G$23,IF(AM745&lt;90,BMILMS!$D$24*AM745^3+BMILMS!$E$24*AM745^2+BMILMS!$F$24*AM745+BMILMS!$G$24,BMILMS!$D$25*AM745^3+BMILMS!$E$25*AM745^2+BMILMS!$F$25*AM745+BMILMS!$G$25))))),(IF(AM745&lt;2.5,BMILMS!$D$27*AM745^3+BMILMS!$E$27*AM745^2+BMILMS!$F$27*AM745+BMILMS!$G$27,IF(AM745&lt;9.5,BMILMS!$D$28*AM745^3+BMILMS!$E$28*AM745^2+BMILMS!$F$28*AM745+BMILMS!$G$28,IF(AM745&lt;26.75,BMILMS!$D$29*AM745^3+BMILMS!$E$29*AM745^2+BMILMS!$F$29*AM745+BMILMS!$G$29,IF(AM745&lt;90,BMILMS!$D$30*AM745^3+BMILMS!$E$30*AM745^2+BMILMS!$F$30*AM745+BMILMS!$G$30,IF(AM745&lt;150,BMILMS!$D$31*AM745^3+BMILMS!$E$31*AM745^2+BMILMS!$F$31*AM745+BMILMS!$G$31,BMILMS!$D$32*AM745^3+BMILMS!$E$32*AM745^2+BMILMS!$F$32*AM745+BMILMS!$G$32)))))))</f>
        <v>12.568967990000001</v>
      </c>
      <c r="AL745" s="4">
        <f>IF(D745="M",(IF(AM745&lt;90,BMILMS!$D$14*AM745^3+BMILMS!$E$14*AM745^2+BMILMS!$F$14*AM745+BMILMS!$G$14,BMILMS!$D$15*AM745^3+BMILMS!$E$15*AM745^2+BMILMS!$F$15*AM745+BMILMS!$G$15)),(IF(AM745&lt;90,BMILMS!$D$17*AM745^3+BMILMS!$E$17*AM745^2+BMILMS!$F$17*AM745+BMILMS!$G$17,BMILMS!$D$18*AM745^3+BMILMS!$E$18*AM745^2+BMILMS!$F$18*AM745+BMILMS!$G$18)))</f>
        <v>8.8969350000000003E-2</v>
      </c>
      <c r="AM745" s="4">
        <f t="shared" si="251"/>
        <v>0</v>
      </c>
      <c r="AO745" s="56">
        <f>IF(D745="M",WeightSDS!P$5*$AM745^7+WeightSDS!Q$5*$AM745^6+WeightSDS!R$5*$AM745^5+WeightSDS!S$5*$AM745^4+WeightSDS!T$5*$AM745^3+WeightSDS!U$5*$AM745^2+WeightSDS!V$5*$AM745+WeightSDS!W$5,IF($AM745&lt;186,WeightSDS!P$8*$AM745^7+WeightSDS!Q$8*$AM745^6+WeightSDS!R$8*$AM745^5+WeightSDS!S$8*$AM745^4+WeightSDS!T$8*$AM745^3+WeightSDS!U$8*$AM745^2+WeightSDS!V$8*$AM745+WeightSDS!W$8,WeightSDS!$U$9+WeightSDS!$V$9*($AM745-WeightSDS!$W$9)))</f>
        <v>0.75407122999999998</v>
      </c>
      <c r="AP745" s="4">
        <f>IF(D745="M",IF($AM745&lt;45,WeightSDS!M$23*$AM745^10+WeightSDS!N$23*$AM745^9+WeightSDS!O$23*$AM745^8+WeightSDS!P$23*$AM745^7+WeightSDS!Q$23*$AM745^6+WeightSDS!R$23*$AM745^5+WeightSDS!S$23*$AM745^4+WeightSDS!T$23*$AM745^3+WeightSDS!U$23*$AM745^2+WeightSDS!V$23*$AM745+WeightSDS!W$23,IF($AM745&lt;153,WeightSDS!M$25*$AM745^10+WeightSDS!N$25*$AM745^9+WeightSDS!O$25*$AM745^8+WeightSDS!P$25*$AM745^7+WeightSDS!Q$25*$AM745^6+WeightSDS!R$25*$AM745^5+WeightSDS!S$25*$AM745^4+WeightSDS!T$25*$AM745^3+WeightSDS!U$25*$AM745^2+WeightSDS!V$25*$AM745+WeightSDS!W$25,WeightSDS!M$27+WeightSDS!N$27/(1+EXP(WeightSDS!O$27+WeightSDS!P$27*$AM745)))),IF($AM745&lt;43.8,WeightSDS!M$29*$AM745^10+WeightSDS!N$29*$AM745^9+WeightSDS!O$29*$AM745^8+WeightSDS!P$29*$AM745^7+WeightSDS!Q$29*$AM745^6+WeightSDS!R$29*$AM745^5+WeightSDS!S$29*$AM745^4+WeightSDS!T$29*$AM745^3+WeightSDS!U$29*$AM745^2+WeightSDS!V$29*$AM745+WeightSDS!W$29-0.010431*(1-$AM745/210),IF($AM745&lt;123,WeightSDS!M$30*$AM745^10+WeightSDS!N$30*$AM745^9+WeightSDS!O$30*$AM745^8+WeightSDS!P$30*$AM745^7+WeightSDS!Q$30*$AM745^6+WeightSDS!R$30*$AM745^5+WeightSDS!S$30*$AM745^4+WeightSDS!T$30*$AM745^3+WeightSDS!U$30*$AM745^2+WeightSDS!V$30*$AM745+WeightSDS!W$30-0.010431*(1-1/$AM745),WeightSDS!M$32+WeightSDS!N$32/(1+EXP(WeightSDS!O$32+WeightSDS!P$32*$AM745))-0.010431*(1-$AM745/210))))</f>
        <v>2.9500001032655536</v>
      </c>
      <c r="AQ745" s="4">
        <f>IF(D745="M",IF($AM745&lt;162,WeightSDS!P$12*$AM745^7+WeightSDS!Q$12*$AM745^6+WeightSDS!R$12*$AM745^5+WeightSDS!S$12*$AM745^4+WeightSDS!T$12*$AM745^3+WeightSDS!U$12*$AM745^2+WeightSDS!V$12*$AM745+WeightSDS!W$12,WeightSDS!P$14*$AM745^7+WeightSDS!Q$14*$AM745^6+WeightSDS!R$14*$AM745^5+WeightSDS!S$14*$AM745^4+WeightSDS!T$14*$AM745^3+WeightSDS!U$14*$AM745^2+WeightSDS!V$14*$AM745+WeightSDS!W$14),IF($AM745&lt;156,WeightSDS!O$17*$AM745^8+WeightSDS!P$17*$AM745^7+WeightSDS!Q$17*$AM745^6+WeightSDS!R$17*$AM745^5+WeightSDS!S$17*$AM745^4+WeightSDS!T$17*$AM745^3+WeightSDS!U$17*$AM745^2+WeightSDS!V$17*$AM745+WeightSDS!W$17,IF($AM745&lt;186,WeightSDS!$U$18+(WeightSDS!$V$18-WeightSDS!$U$18)/24*($AM745-186)+WeightSDS!$W$18*(-$AM745+186)^2-0.005,WeightSDS!$U$18+(WeightSDS!$V$18-WeightSDS!$U$18)/24*($AM745-186)-0.005)))</f>
        <v>0.14604529399999999</v>
      </c>
      <c r="AT745" s="4">
        <f t="shared" si="238"/>
        <v>0.56299999999999994</v>
      </c>
      <c r="AU745" s="4">
        <f t="shared" si="239"/>
        <v>69</v>
      </c>
      <c r="AV745" s="4">
        <f t="shared" si="240"/>
        <v>0.51</v>
      </c>
    </row>
    <row r="746" spans="1:48" x14ac:dyDescent="0.15">
      <c r="A746" s="4"/>
      <c r="B746" s="21"/>
      <c r="C746" s="21"/>
      <c r="D746" s="21"/>
      <c r="E746" s="22"/>
      <c r="F746" s="22"/>
      <c r="G746" s="23"/>
      <c r="H746" s="23"/>
      <c r="I746" s="181"/>
      <c r="J746" s="8" t="str">
        <f t="shared" si="232"/>
        <v/>
      </c>
      <c r="K746" s="2" t="str">
        <f t="shared" si="241"/>
        <v/>
      </c>
      <c r="L746" s="2" t="str">
        <f t="shared" si="233"/>
        <v/>
      </c>
      <c r="M746" s="2" t="str">
        <f t="shared" si="242"/>
        <v/>
      </c>
      <c r="N746" s="2" t="str">
        <f t="shared" si="250"/>
        <v/>
      </c>
      <c r="O746" s="2" t="str">
        <f t="shared" si="243"/>
        <v/>
      </c>
      <c r="P746" s="8" t="str">
        <f t="shared" si="244"/>
        <v/>
      </c>
      <c r="Q746" s="8" t="str">
        <f t="shared" si="245"/>
        <v/>
      </c>
      <c r="R746" s="111" t="str">
        <f t="shared" si="246"/>
        <v/>
      </c>
      <c r="S746" s="44" t="str">
        <f t="shared" si="247"/>
        <v/>
      </c>
      <c r="T746" s="37" t="str">
        <f t="shared" si="248"/>
        <v/>
      </c>
      <c r="U746" s="44" t="str">
        <f t="shared" si="249"/>
        <v/>
      </c>
      <c r="V746" s="26"/>
      <c r="W746" s="26"/>
      <c r="X746" s="26"/>
      <c r="Y746" s="26"/>
      <c r="Z746" s="24"/>
      <c r="AA746" s="169">
        <f t="shared" si="234"/>
        <v>0</v>
      </c>
      <c r="AB746" s="4">
        <f t="shared" si="235"/>
        <v>0</v>
      </c>
      <c r="AC746" s="170">
        <f t="shared" si="252"/>
        <v>0</v>
      </c>
      <c r="AD746" s="58"/>
      <c r="AE746" s="58"/>
      <c r="AF746" s="58"/>
      <c r="AG746" s="59">
        <f t="shared" si="236"/>
        <v>9.0359999999999996</v>
      </c>
      <c r="AH746" s="59">
        <f t="shared" si="237"/>
        <v>-184.49199999999999</v>
      </c>
      <c r="AJ746" s="4">
        <f>IF(D746="M",IF(AM746&lt;78,BMILMS!$D$5*AM746^3+BMILMS!$E$5*AM746^2+BMILMS!$F$5*AM746+BMILMS!$G$5,IF(AM746&lt;150,BMILMS!$D$6*AM746^3+BMILMS!$E$6*AM746^2+BMILMS!$F$6*AM746+BMILMS!$G$6,BMILMS!$D$7*AM746^3+BMILMS!$E$7*AM746^2+BMILMS!$F$7*AM746+BMILMS!$G$7)),IF(AM746&lt;69,BMILMS!$D$9*AM746^3+BMILMS!$E$9*AM746^2+BMILMS!$F$9*AM746+BMILMS!$G$9,IF(AM746&lt;150,BMILMS!$D$10*AM746^3+BMILMS!$E$10*AM746^2+BMILMS!$F$10*AM746+BMILMS!$G$10,BMILMS!$D$11*AM746^3+BMILMS!$E$11*AM746^2+BMILMS!$F$11*AM746+BMILMS!$G$11)))</f>
        <v>0.79584630099999998</v>
      </c>
      <c r="AK746" s="4">
        <f>IF(D746="M",(IF(AM746&lt;2.5,BMILMS!$D$21*AM746^3+BMILMS!$E$21*AM746^2+BMILMS!$F$21*AM746+BMILMS!$G$21,IF(AM746&lt;9.5,BMILMS!$D$22*AM746^3+BMILMS!$E$22*AM746^2+BMILMS!$F$22*AM746+BMILMS!$G$22,IF(AM746&lt;26.75,BMILMS!$D$23*AM746^3+BMILMS!$E$23*AM746^2+BMILMS!$F$23*AM746+BMILMS!$G$23,IF(AM746&lt;90,BMILMS!$D$24*AM746^3+BMILMS!$E$24*AM746^2+BMILMS!$F$24*AM746+BMILMS!$G$24,BMILMS!$D$25*AM746^3+BMILMS!$E$25*AM746^2+BMILMS!$F$25*AM746+BMILMS!$G$25))))),(IF(AM746&lt;2.5,BMILMS!$D$27*AM746^3+BMILMS!$E$27*AM746^2+BMILMS!$F$27*AM746+BMILMS!$G$27,IF(AM746&lt;9.5,BMILMS!$D$28*AM746^3+BMILMS!$E$28*AM746^2+BMILMS!$F$28*AM746+BMILMS!$G$28,IF(AM746&lt;26.75,BMILMS!$D$29*AM746^3+BMILMS!$E$29*AM746^2+BMILMS!$F$29*AM746+BMILMS!$G$29,IF(AM746&lt;90,BMILMS!$D$30*AM746^3+BMILMS!$E$30*AM746^2+BMILMS!$F$30*AM746+BMILMS!$G$30,IF(AM746&lt;150,BMILMS!$D$31*AM746^3+BMILMS!$E$31*AM746^2+BMILMS!$F$31*AM746+BMILMS!$G$31,BMILMS!$D$32*AM746^3+BMILMS!$E$32*AM746^2+BMILMS!$F$32*AM746+BMILMS!$G$32)))))))</f>
        <v>12.568967990000001</v>
      </c>
      <c r="AL746" s="4">
        <f>IF(D746="M",(IF(AM746&lt;90,BMILMS!$D$14*AM746^3+BMILMS!$E$14*AM746^2+BMILMS!$F$14*AM746+BMILMS!$G$14,BMILMS!$D$15*AM746^3+BMILMS!$E$15*AM746^2+BMILMS!$F$15*AM746+BMILMS!$G$15)),(IF(AM746&lt;90,BMILMS!$D$17*AM746^3+BMILMS!$E$17*AM746^2+BMILMS!$F$17*AM746+BMILMS!$G$17,BMILMS!$D$18*AM746^3+BMILMS!$E$18*AM746^2+BMILMS!$F$18*AM746+BMILMS!$G$18)))</f>
        <v>8.8969350000000003E-2</v>
      </c>
      <c r="AM746" s="4">
        <f t="shared" si="251"/>
        <v>0</v>
      </c>
      <c r="AO746" s="56">
        <f>IF(D746="M",WeightSDS!P$5*$AM746^7+WeightSDS!Q$5*$AM746^6+WeightSDS!R$5*$AM746^5+WeightSDS!S$5*$AM746^4+WeightSDS!T$5*$AM746^3+WeightSDS!U$5*$AM746^2+WeightSDS!V$5*$AM746+WeightSDS!W$5,IF($AM746&lt;186,WeightSDS!P$8*$AM746^7+WeightSDS!Q$8*$AM746^6+WeightSDS!R$8*$AM746^5+WeightSDS!S$8*$AM746^4+WeightSDS!T$8*$AM746^3+WeightSDS!U$8*$AM746^2+WeightSDS!V$8*$AM746+WeightSDS!W$8,WeightSDS!$U$9+WeightSDS!$V$9*($AM746-WeightSDS!$W$9)))</f>
        <v>0.75407122999999998</v>
      </c>
      <c r="AP746" s="4">
        <f>IF(D746="M",IF($AM746&lt;45,WeightSDS!M$23*$AM746^10+WeightSDS!N$23*$AM746^9+WeightSDS!O$23*$AM746^8+WeightSDS!P$23*$AM746^7+WeightSDS!Q$23*$AM746^6+WeightSDS!R$23*$AM746^5+WeightSDS!S$23*$AM746^4+WeightSDS!T$23*$AM746^3+WeightSDS!U$23*$AM746^2+WeightSDS!V$23*$AM746+WeightSDS!W$23,IF($AM746&lt;153,WeightSDS!M$25*$AM746^10+WeightSDS!N$25*$AM746^9+WeightSDS!O$25*$AM746^8+WeightSDS!P$25*$AM746^7+WeightSDS!Q$25*$AM746^6+WeightSDS!R$25*$AM746^5+WeightSDS!S$25*$AM746^4+WeightSDS!T$25*$AM746^3+WeightSDS!U$25*$AM746^2+WeightSDS!V$25*$AM746+WeightSDS!W$25,WeightSDS!M$27+WeightSDS!N$27/(1+EXP(WeightSDS!O$27+WeightSDS!P$27*$AM746)))),IF($AM746&lt;43.8,WeightSDS!M$29*$AM746^10+WeightSDS!N$29*$AM746^9+WeightSDS!O$29*$AM746^8+WeightSDS!P$29*$AM746^7+WeightSDS!Q$29*$AM746^6+WeightSDS!R$29*$AM746^5+WeightSDS!S$29*$AM746^4+WeightSDS!T$29*$AM746^3+WeightSDS!U$29*$AM746^2+WeightSDS!V$29*$AM746+WeightSDS!W$29-0.010431*(1-$AM746/210),IF($AM746&lt;123,WeightSDS!M$30*$AM746^10+WeightSDS!N$30*$AM746^9+WeightSDS!O$30*$AM746^8+WeightSDS!P$30*$AM746^7+WeightSDS!Q$30*$AM746^6+WeightSDS!R$30*$AM746^5+WeightSDS!S$30*$AM746^4+WeightSDS!T$30*$AM746^3+WeightSDS!U$30*$AM746^2+WeightSDS!V$30*$AM746+WeightSDS!W$30-0.010431*(1-1/$AM746),WeightSDS!M$32+WeightSDS!N$32/(1+EXP(WeightSDS!O$32+WeightSDS!P$32*$AM746))-0.010431*(1-$AM746/210))))</f>
        <v>2.9500001032655536</v>
      </c>
      <c r="AQ746" s="4">
        <f>IF(D746="M",IF($AM746&lt;162,WeightSDS!P$12*$AM746^7+WeightSDS!Q$12*$AM746^6+WeightSDS!R$12*$AM746^5+WeightSDS!S$12*$AM746^4+WeightSDS!T$12*$AM746^3+WeightSDS!U$12*$AM746^2+WeightSDS!V$12*$AM746+WeightSDS!W$12,WeightSDS!P$14*$AM746^7+WeightSDS!Q$14*$AM746^6+WeightSDS!R$14*$AM746^5+WeightSDS!S$14*$AM746^4+WeightSDS!T$14*$AM746^3+WeightSDS!U$14*$AM746^2+WeightSDS!V$14*$AM746+WeightSDS!W$14),IF($AM746&lt;156,WeightSDS!O$17*$AM746^8+WeightSDS!P$17*$AM746^7+WeightSDS!Q$17*$AM746^6+WeightSDS!R$17*$AM746^5+WeightSDS!S$17*$AM746^4+WeightSDS!T$17*$AM746^3+WeightSDS!U$17*$AM746^2+WeightSDS!V$17*$AM746+WeightSDS!W$17,IF($AM746&lt;186,WeightSDS!$U$18+(WeightSDS!$V$18-WeightSDS!$U$18)/24*($AM746-186)+WeightSDS!$W$18*(-$AM746+186)^2-0.005,WeightSDS!$U$18+(WeightSDS!$V$18-WeightSDS!$U$18)/24*($AM746-186)-0.005)))</f>
        <v>0.14604529399999999</v>
      </c>
      <c r="AT746" s="4">
        <f t="shared" si="238"/>
        <v>0.56299999999999994</v>
      </c>
      <c r="AU746" s="4">
        <f t="shared" si="239"/>
        <v>69</v>
      </c>
      <c r="AV746" s="4">
        <f t="shared" si="240"/>
        <v>0.51</v>
      </c>
    </row>
    <row r="747" spans="1:48" x14ac:dyDescent="0.15">
      <c r="A747" s="4"/>
      <c r="B747" s="21"/>
      <c r="C747" s="21"/>
      <c r="D747" s="21"/>
      <c r="E747" s="22"/>
      <c r="F747" s="22"/>
      <c r="G747" s="23"/>
      <c r="H747" s="23"/>
      <c r="I747" s="181"/>
      <c r="J747" s="8" t="str">
        <f t="shared" si="232"/>
        <v/>
      </c>
      <c r="K747" s="2" t="str">
        <f t="shared" si="241"/>
        <v/>
      </c>
      <c r="L747" s="2" t="str">
        <f t="shared" si="233"/>
        <v/>
      </c>
      <c r="M747" s="2" t="str">
        <f t="shared" si="242"/>
        <v/>
      </c>
      <c r="N747" s="2" t="str">
        <f t="shared" si="250"/>
        <v/>
      </c>
      <c r="O747" s="2" t="str">
        <f t="shared" si="243"/>
        <v/>
      </c>
      <c r="P747" s="8" t="str">
        <f t="shared" si="244"/>
        <v/>
      </c>
      <c r="Q747" s="8" t="str">
        <f t="shared" si="245"/>
        <v/>
      </c>
      <c r="R747" s="111" t="str">
        <f t="shared" si="246"/>
        <v/>
      </c>
      <c r="S747" s="44" t="str">
        <f t="shared" si="247"/>
        <v/>
      </c>
      <c r="T747" s="37" t="str">
        <f t="shared" si="248"/>
        <v/>
      </c>
      <c r="U747" s="44" t="str">
        <f t="shared" si="249"/>
        <v/>
      </c>
      <c r="V747" s="26"/>
      <c r="W747" s="26"/>
      <c r="X747" s="26"/>
      <c r="Y747" s="26"/>
      <c r="Z747" s="24"/>
      <c r="AA747" s="169">
        <f t="shared" si="234"/>
        <v>0</v>
      </c>
      <c r="AB747" s="4">
        <f t="shared" si="235"/>
        <v>0</v>
      </c>
      <c r="AC747" s="170">
        <f t="shared" si="252"/>
        <v>0</v>
      </c>
      <c r="AD747" s="58"/>
      <c r="AE747" s="58"/>
      <c r="AF747" s="58"/>
      <c r="AG747" s="59">
        <f t="shared" si="236"/>
        <v>9.0359999999999996</v>
      </c>
      <c r="AH747" s="59">
        <f t="shared" si="237"/>
        <v>-184.49199999999999</v>
      </c>
      <c r="AJ747" s="4">
        <f>IF(D747="M",IF(AM747&lt;78,BMILMS!$D$5*AM747^3+BMILMS!$E$5*AM747^2+BMILMS!$F$5*AM747+BMILMS!$G$5,IF(AM747&lt;150,BMILMS!$D$6*AM747^3+BMILMS!$E$6*AM747^2+BMILMS!$F$6*AM747+BMILMS!$G$6,BMILMS!$D$7*AM747^3+BMILMS!$E$7*AM747^2+BMILMS!$F$7*AM747+BMILMS!$G$7)),IF(AM747&lt;69,BMILMS!$D$9*AM747^3+BMILMS!$E$9*AM747^2+BMILMS!$F$9*AM747+BMILMS!$G$9,IF(AM747&lt;150,BMILMS!$D$10*AM747^3+BMILMS!$E$10*AM747^2+BMILMS!$F$10*AM747+BMILMS!$G$10,BMILMS!$D$11*AM747^3+BMILMS!$E$11*AM747^2+BMILMS!$F$11*AM747+BMILMS!$G$11)))</f>
        <v>0.79584630099999998</v>
      </c>
      <c r="AK747" s="4">
        <f>IF(D747="M",(IF(AM747&lt;2.5,BMILMS!$D$21*AM747^3+BMILMS!$E$21*AM747^2+BMILMS!$F$21*AM747+BMILMS!$G$21,IF(AM747&lt;9.5,BMILMS!$D$22*AM747^3+BMILMS!$E$22*AM747^2+BMILMS!$F$22*AM747+BMILMS!$G$22,IF(AM747&lt;26.75,BMILMS!$D$23*AM747^3+BMILMS!$E$23*AM747^2+BMILMS!$F$23*AM747+BMILMS!$G$23,IF(AM747&lt;90,BMILMS!$D$24*AM747^3+BMILMS!$E$24*AM747^2+BMILMS!$F$24*AM747+BMILMS!$G$24,BMILMS!$D$25*AM747^3+BMILMS!$E$25*AM747^2+BMILMS!$F$25*AM747+BMILMS!$G$25))))),(IF(AM747&lt;2.5,BMILMS!$D$27*AM747^3+BMILMS!$E$27*AM747^2+BMILMS!$F$27*AM747+BMILMS!$G$27,IF(AM747&lt;9.5,BMILMS!$D$28*AM747^3+BMILMS!$E$28*AM747^2+BMILMS!$F$28*AM747+BMILMS!$G$28,IF(AM747&lt;26.75,BMILMS!$D$29*AM747^3+BMILMS!$E$29*AM747^2+BMILMS!$F$29*AM747+BMILMS!$G$29,IF(AM747&lt;90,BMILMS!$D$30*AM747^3+BMILMS!$E$30*AM747^2+BMILMS!$F$30*AM747+BMILMS!$G$30,IF(AM747&lt;150,BMILMS!$D$31*AM747^3+BMILMS!$E$31*AM747^2+BMILMS!$F$31*AM747+BMILMS!$G$31,BMILMS!$D$32*AM747^3+BMILMS!$E$32*AM747^2+BMILMS!$F$32*AM747+BMILMS!$G$32)))))))</f>
        <v>12.568967990000001</v>
      </c>
      <c r="AL747" s="4">
        <f>IF(D747="M",(IF(AM747&lt;90,BMILMS!$D$14*AM747^3+BMILMS!$E$14*AM747^2+BMILMS!$F$14*AM747+BMILMS!$G$14,BMILMS!$D$15*AM747^3+BMILMS!$E$15*AM747^2+BMILMS!$F$15*AM747+BMILMS!$G$15)),(IF(AM747&lt;90,BMILMS!$D$17*AM747^3+BMILMS!$E$17*AM747^2+BMILMS!$F$17*AM747+BMILMS!$G$17,BMILMS!$D$18*AM747^3+BMILMS!$E$18*AM747^2+BMILMS!$F$18*AM747+BMILMS!$G$18)))</f>
        <v>8.8969350000000003E-2</v>
      </c>
      <c r="AM747" s="4">
        <f t="shared" si="251"/>
        <v>0</v>
      </c>
      <c r="AO747" s="56">
        <f>IF(D747="M",WeightSDS!P$5*$AM747^7+WeightSDS!Q$5*$AM747^6+WeightSDS!R$5*$AM747^5+WeightSDS!S$5*$AM747^4+WeightSDS!T$5*$AM747^3+WeightSDS!U$5*$AM747^2+WeightSDS!V$5*$AM747+WeightSDS!W$5,IF($AM747&lt;186,WeightSDS!P$8*$AM747^7+WeightSDS!Q$8*$AM747^6+WeightSDS!R$8*$AM747^5+WeightSDS!S$8*$AM747^4+WeightSDS!T$8*$AM747^3+WeightSDS!U$8*$AM747^2+WeightSDS!V$8*$AM747+WeightSDS!W$8,WeightSDS!$U$9+WeightSDS!$V$9*($AM747-WeightSDS!$W$9)))</f>
        <v>0.75407122999999998</v>
      </c>
      <c r="AP747" s="4">
        <f>IF(D747="M",IF($AM747&lt;45,WeightSDS!M$23*$AM747^10+WeightSDS!N$23*$AM747^9+WeightSDS!O$23*$AM747^8+WeightSDS!P$23*$AM747^7+WeightSDS!Q$23*$AM747^6+WeightSDS!R$23*$AM747^5+WeightSDS!S$23*$AM747^4+WeightSDS!T$23*$AM747^3+WeightSDS!U$23*$AM747^2+WeightSDS!V$23*$AM747+WeightSDS!W$23,IF($AM747&lt;153,WeightSDS!M$25*$AM747^10+WeightSDS!N$25*$AM747^9+WeightSDS!O$25*$AM747^8+WeightSDS!P$25*$AM747^7+WeightSDS!Q$25*$AM747^6+WeightSDS!R$25*$AM747^5+WeightSDS!S$25*$AM747^4+WeightSDS!T$25*$AM747^3+WeightSDS!U$25*$AM747^2+WeightSDS!V$25*$AM747+WeightSDS!W$25,WeightSDS!M$27+WeightSDS!N$27/(1+EXP(WeightSDS!O$27+WeightSDS!P$27*$AM747)))),IF($AM747&lt;43.8,WeightSDS!M$29*$AM747^10+WeightSDS!N$29*$AM747^9+WeightSDS!O$29*$AM747^8+WeightSDS!P$29*$AM747^7+WeightSDS!Q$29*$AM747^6+WeightSDS!R$29*$AM747^5+WeightSDS!S$29*$AM747^4+WeightSDS!T$29*$AM747^3+WeightSDS!U$29*$AM747^2+WeightSDS!V$29*$AM747+WeightSDS!W$29-0.010431*(1-$AM747/210),IF($AM747&lt;123,WeightSDS!M$30*$AM747^10+WeightSDS!N$30*$AM747^9+WeightSDS!O$30*$AM747^8+WeightSDS!P$30*$AM747^7+WeightSDS!Q$30*$AM747^6+WeightSDS!R$30*$AM747^5+WeightSDS!S$30*$AM747^4+WeightSDS!T$30*$AM747^3+WeightSDS!U$30*$AM747^2+WeightSDS!V$30*$AM747+WeightSDS!W$30-0.010431*(1-1/$AM747),WeightSDS!M$32+WeightSDS!N$32/(1+EXP(WeightSDS!O$32+WeightSDS!P$32*$AM747))-0.010431*(1-$AM747/210))))</f>
        <v>2.9500001032655536</v>
      </c>
      <c r="AQ747" s="4">
        <f>IF(D747="M",IF($AM747&lt;162,WeightSDS!P$12*$AM747^7+WeightSDS!Q$12*$AM747^6+WeightSDS!R$12*$AM747^5+WeightSDS!S$12*$AM747^4+WeightSDS!T$12*$AM747^3+WeightSDS!U$12*$AM747^2+WeightSDS!V$12*$AM747+WeightSDS!W$12,WeightSDS!P$14*$AM747^7+WeightSDS!Q$14*$AM747^6+WeightSDS!R$14*$AM747^5+WeightSDS!S$14*$AM747^4+WeightSDS!T$14*$AM747^3+WeightSDS!U$14*$AM747^2+WeightSDS!V$14*$AM747+WeightSDS!W$14),IF($AM747&lt;156,WeightSDS!O$17*$AM747^8+WeightSDS!P$17*$AM747^7+WeightSDS!Q$17*$AM747^6+WeightSDS!R$17*$AM747^5+WeightSDS!S$17*$AM747^4+WeightSDS!T$17*$AM747^3+WeightSDS!U$17*$AM747^2+WeightSDS!V$17*$AM747+WeightSDS!W$17,IF($AM747&lt;186,WeightSDS!$U$18+(WeightSDS!$V$18-WeightSDS!$U$18)/24*($AM747-186)+WeightSDS!$W$18*(-$AM747+186)^2-0.005,WeightSDS!$U$18+(WeightSDS!$V$18-WeightSDS!$U$18)/24*($AM747-186)-0.005)))</f>
        <v>0.14604529399999999</v>
      </c>
      <c r="AT747" s="4">
        <f t="shared" si="238"/>
        <v>0.56299999999999994</v>
      </c>
      <c r="AU747" s="4">
        <f t="shared" si="239"/>
        <v>69</v>
      </c>
      <c r="AV747" s="4">
        <f t="shared" si="240"/>
        <v>0.51</v>
      </c>
    </row>
    <row r="748" spans="1:48" x14ac:dyDescent="0.15">
      <c r="A748" s="4"/>
      <c r="B748" s="21"/>
      <c r="C748" s="21"/>
      <c r="D748" s="21"/>
      <c r="E748" s="22"/>
      <c r="F748" s="22"/>
      <c r="G748" s="23"/>
      <c r="H748" s="23"/>
      <c r="I748" s="181"/>
      <c r="J748" s="8" t="str">
        <f t="shared" si="232"/>
        <v/>
      </c>
      <c r="K748" s="2" t="str">
        <f t="shared" si="241"/>
        <v/>
      </c>
      <c r="L748" s="2" t="str">
        <f t="shared" si="233"/>
        <v/>
      </c>
      <c r="M748" s="2" t="str">
        <f t="shared" si="242"/>
        <v/>
      </c>
      <c r="N748" s="2" t="str">
        <f t="shared" si="250"/>
        <v/>
      </c>
      <c r="O748" s="2" t="str">
        <f t="shared" si="243"/>
        <v/>
      </c>
      <c r="P748" s="8" t="str">
        <f t="shared" si="244"/>
        <v/>
      </c>
      <c r="Q748" s="8" t="str">
        <f t="shared" si="245"/>
        <v/>
      </c>
      <c r="R748" s="111" t="str">
        <f t="shared" si="246"/>
        <v/>
      </c>
      <c r="S748" s="44" t="str">
        <f t="shared" si="247"/>
        <v/>
      </c>
      <c r="T748" s="37" t="str">
        <f t="shared" si="248"/>
        <v/>
      </c>
      <c r="U748" s="44" t="str">
        <f t="shared" si="249"/>
        <v/>
      </c>
      <c r="V748" s="26"/>
      <c r="W748" s="26"/>
      <c r="X748" s="26"/>
      <c r="Y748" s="26"/>
      <c r="Z748" s="24"/>
      <c r="AA748" s="169">
        <f t="shared" si="234"/>
        <v>0</v>
      </c>
      <c r="AB748" s="4">
        <f t="shared" si="235"/>
        <v>0</v>
      </c>
      <c r="AC748" s="170">
        <f t="shared" si="252"/>
        <v>0</v>
      </c>
      <c r="AD748" s="58"/>
      <c r="AE748" s="58"/>
      <c r="AF748" s="58"/>
      <c r="AG748" s="59">
        <f t="shared" si="236"/>
        <v>9.0359999999999996</v>
      </c>
      <c r="AH748" s="59">
        <f t="shared" si="237"/>
        <v>-184.49199999999999</v>
      </c>
      <c r="AJ748" s="4">
        <f>IF(D748="M",IF(AM748&lt;78,BMILMS!$D$5*AM748^3+BMILMS!$E$5*AM748^2+BMILMS!$F$5*AM748+BMILMS!$G$5,IF(AM748&lt;150,BMILMS!$D$6*AM748^3+BMILMS!$E$6*AM748^2+BMILMS!$F$6*AM748+BMILMS!$G$6,BMILMS!$D$7*AM748^3+BMILMS!$E$7*AM748^2+BMILMS!$F$7*AM748+BMILMS!$G$7)),IF(AM748&lt;69,BMILMS!$D$9*AM748^3+BMILMS!$E$9*AM748^2+BMILMS!$F$9*AM748+BMILMS!$G$9,IF(AM748&lt;150,BMILMS!$D$10*AM748^3+BMILMS!$E$10*AM748^2+BMILMS!$F$10*AM748+BMILMS!$G$10,BMILMS!$D$11*AM748^3+BMILMS!$E$11*AM748^2+BMILMS!$F$11*AM748+BMILMS!$G$11)))</f>
        <v>0.79584630099999998</v>
      </c>
      <c r="AK748" s="4">
        <f>IF(D748="M",(IF(AM748&lt;2.5,BMILMS!$D$21*AM748^3+BMILMS!$E$21*AM748^2+BMILMS!$F$21*AM748+BMILMS!$G$21,IF(AM748&lt;9.5,BMILMS!$D$22*AM748^3+BMILMS!$E$22*AM748^2+BMILMS!$F$22*AM748+BMILMS!$G$22,IF(AM748&lt;26.75,BMILMS!$D$23*AM748^3+BMILMS!$E$23*AM748^2+BMILMS!$F$23*AM748+BMILMS!$G$23,IF(AM748&lt;90,BMILMS!$D$24*AM748^3+BMILMS!$E$24*AM748^2+BMILMS!$F$24*AM748+BMILMS!$G$24,BMILMS!$D$25*AM748^3+BMILMS!$E$25*AM748^2+BMILMS!$F$25*AM748+BMILMS!$G$25))))),(IF(AM748&lt;2.5,BMILMS!$D$27*AM748^3+BMILMS!$E$27*AM748^2+BMILMS!$F$27*AM748+BMILMS!$G$27,IF(AM748&lt;9.5,BMILMS!$D$28*AM748^3+BMILMS!$E$28*AM748^2+BMILMS!$F$28*AM748+BMILMS!$G$28,IF(AM748&lt;26.75,BMILMS!$D$29*AM748^3+BMILMS!$E$29*AM748^2+BMILMS!$F$29*AM748+BMILMS!$G$29,IF(AM748&lt;90,BMILMS!$D$30*AM748^3+BMILMS!$E$30*AM748^2+BMILMS!$F$30*AM748+BMILMS!$G$30,IF(AM748&lt;150,BMILMS!$D$31*AM748^3+BMILMS!$E$31*AM748^2+BMILMS!$F$31*AM748+BMILMS!$G$31,BMILMS!$D$32*AM748^3+BMILMS!$E$32*AM748^2+BMILMS!$F$32*AM748+BMILMS!$G$32)))))))</f>
        <v>12.568967990000001</v>
      </c>
      <c r="AL748" s="4">
        <f>IF(D748="M",(IF(AM748&lt;90,BMILMS!$D$14*AM748^3+BMILMS!$E$14*AM748^2+BMILMS!$F$14*AM748+BMILMS!$G$14,BMILMS!$D$15*AM748^3+BMILMS!$E$15*AM748^2+BMILMS!$F$15*AM748+BMILMS!$G$15)),(IF(AM748&lt;90,BMILMS!$D$17*AM748^3+BMILMS!$E$17*AM748^2+BMILMS!$F$17*AM748+BMILMS!$G$17,BMILMS!$D$18*AM748^3+BMILMS!$E$18*AM748^2+BMILMS!$F$18*AM748+BMILMS!$G$18)))</f>
        <v>8.8969350000000003E-2</v>
      </c>
      <c r="AM748" s="4">
        <f t="shared" si="251"/>
        <v>0</v>
      </c>
      <c r="AO748" s="56">
        <f>IF(D748="M",WeightSDS!P$5*$AM748^7+WeightSDS!Q$5*$AM748^6+WeightSDS!R$5*$AM748^5+WeightSDS!S$5*$AM748^4+WeightSDS!T$5*$AM748^3+WeightSDS!U$5*$AM748^2+WeightSDS!V$5*$AM748+WeightSDS!W$5,IF($AM748&lt;186,WeightSDS!P$8*$AM748^7+WeightSDS!Q$8*$AM748^6+WeightSDS!R$8*$AM748^5+WeightSDS!S$8*$AM748^4+WeightSDS!T$8*$AM748^3+WeightSDS!U$8*$AM748^2+WeightSDS!V$8*$AM748+WeightSDS!W$8,WeightSDS!$U$9+WeightSDS!$V$9*($AM748-WeightSDS!$W$9)))</f>
        <v>0.75407122999999998</v>
      </c>
      <c r="AP748" s="4">
        <f>IF(D748="M",IF($AM748&lt;45,WeightSDS!M$23*$AM748^10+WeightSDS!N$23*$AM748^9+WeightSDS!O$23*$AM748^8+WeightSDS!P$23*$AM748^7+WeightSDS!Q$23*$AM748^6+WeightSDS!R$23*$AM748^5+WeightSDS!S$23*$AM748^4+WeightSDS!T$23*$AM748^3+WeightSDS!U$23*$AM748^2+WeightSDS!V$23*$AM748+WeightSDS!W$23,IF($AM748&lt;153,WeightSDS!M$25*$AM748^10+WeightSDS!N$25*$AM748^9+WeightSDS!O$25*$AM748^8+WeightSDS!P$25*$AM748^7+WeightSDS!Q$25*$AM748^6+WeightSDS!R$25*$AM748^5+WeightSDS!S$25*$AM748^4+WeightSDS!T$25*$AM748^3+WeightSDS!U$25*$AM748^2+WeightSDS!V$25*$AM748+WeightSDS!W$25,WeightSDS!M$27+WeightSDS!N$27/(1+EXP(WeightSDS!O$27+WeightSDS!P$27*$AM748)))),IF($AM748&lt;43.8,WeightSDS!M$29*$AM748^10+WeightSDS!N$29*$AM748^9+WeightSDS!O$29*$AM748^8+WeightSDS!P$29*$AM748^7+WeightSDS!Q$29*$AM748^6+WeightSDS!R$29*$AM748^5+WeightSDS!S$29*$AM748^4+WeightSDS!T$29*$AM748^3+WeightSDS!U$29*$AM748^2+WeightSDS!V$29*$AM748+WeightSDS!W$29-0.010431*(1-$AM748/210),IF($AM748&lt;123,WeightSDS!M$30*$AM748^10+WeightSDS!N$30*$AM748^9+WeightSDS!O$30*$AM748^8+WeightSDS!P$30*$AM748^7+WeightSDS!Q$30*$AM748^6+WeightSDS!R$30*$AM748^5+WeightSDS!S$30*$AM748^4+WeightSDS!T$30*$AM748^3+WeightSDS!U$30*$AM748^2+WeightSDS!V$30*$AM748+WeightSDS!W$30-0.010431*(1-1/$AM748),WeightSDS!M$32+WeightSDS!N$32/(1+EXP(WeightSDS!O$32+WeightSDS!P$32*$AM748))-0.010431*(1-$AM748/210))))</f>
        <v>2.9500001032655536</v>
      </c>
      <c r="AQ748" s="4">
        <f>IF(D748="M",IF($AM748&lt;162,WeightSDS!P$12*$AM748^7+WeightSDS!Q$12*$AM748^6+WeightSDS!R$12*$AM748^5+WeightSDS!S$12*$AM748^4+WeightSDS!T$12*$AM748^3+WeightSDS!U$12*$AM748^2+WeightSDS!V$12*$AM748+WeightSDS!W$12,WeightSDS!P$14*$AM748^7+WeightSDS!Q$14*$AM748^6+WeightSDS!R$14*$AM748^5+WeightSDS!S$14*$AM748^4+WeightSDS!T$14*$AM748^3+WeightSDS!U$14*$AM748^2+WeightSDS!V$14*$AM748+WeightSDS!W$14),IF($AM748&lt;156,WeightSDS!O$17*$AM748^8+WeightSDS!P$17*$AM748^7+WeightSDS!Q$17*$AM748^6+WeightSDS!R$17*$AM748^5+WeightSDS!S$17*$AM748^4+WeightSDS!T$17*$AM748^3+WeightSDS!U$17*$AM748^2+WeightSDS!V$17*$AM748+WeightSDS!W$17,IF($AM748&lt;186,WeightSDS!$U$18+(WeightSDS!$V$18-WeightSDS!$U$18)/24*($AM748-186)+WeightSDS!$W$18*(-$AM748+186)^2-0.005,WeightSDS!$U$18+(WeightSDS!$V$18-WeightSDS!$U$18)/24*($AM748-186)-0.005)))</f>
        <v>0.14604529399999999</v>
      </c>
      <c r="AT748" s="4">
        <f t="shared" si="238"/>
        <v>0.56299999999999994</v>
      </c>
      <c r="AU748" s="4">
        <f t="shared" si="239"/>
        <v>69</v>
      </c>
      <c r="AV748" s="4">
        <f t="shared" si="240"/>
        <v>0.51</v>
      </c>
    </row>
    <row r="749" spans="1:48" x14ac:dyDescent="0.15">
      <c r="A749" s="4"/>
      <c r="B749" s="21"/>
      <c r="C749" s="21"/>
      <c r="D749" s="21"/>
      <c r="E749" s="22"/>
      <c r="F749" s="22"/>
      <c r="G749" s="23"/>
      <c r="H749" s="23"/>
      <c r="I749" s="181"/>
      <c r="J749" s="8" t="str">
        <f t="shared" si="232"/>
        <v/>
      </c>
      <c r="K749" s="2" t="str">
        <f t="shared" si="241"/>
        <v/>
      </c>
      <c r="L749" s="2" t="str">
        <f t="shared" si="233"/>
        <v/>
      </c>
      <c r="M749" s="2" t="str">
        <f t="shared" si="242"/>
        <v/>
      </c>
      <c r="N749" s="2" t="str">
        <f t="shared" si="250"/>
        <v/>
      </c>
      <c r="O749" s="2" t="str">
        <f t="shared" si="243"/>
        <v/>
      </c>
      <c r="P749" s="8" t="str">
        <f t="shared" si="244"/>
        <v/>
      </c>
      <c r="Q749" s="8" t="str">
        <f t="shared" si="245"/>
        <v/>
      </c>
      <c r="R749" s="111" t="str">
        <f t="shared" si="246"/>
        <v/>
      </c>
      <c r="S749" s="44" t="str">
        <f t="shared" si="247"/>
        <v/>
      </c>
      <c r="T749" s="37" t="str">
        <f t="shared" si="248"/>
        <v/>
      </c>
      <c r="U749" s="44" t="str">
        <f t="shared" si="249"/>
        <v/>
      </c>
      <c r="V749" s="26"/>
      <c r="W749" s="26"/>
      <c r="X749" s="26"/>
      <c r="Y749" s="26"/>
      <c r="Z749" s="24"/>
      <c r="AA749" s="169">
        <f t="shared" si="234"/>
        <v>0</v>
      </c>
      <c r="AB749" s="4">
        <f t="shared" si="235"/>
        <v>0</v>
      </c>
      <c r="AC749" s="170">
        <f t="shared" si="252"/>
        <v>0</v>
      </c>
      <c r="AD749" s="58"/>
      <c r="AE749" s="58"/>
      <c r="AF749" s="58"/>
      <c r="AG749" s="59">
        <f t="shared" si="236"/>
        <v>9.0359999999999996</v>
      </c>
      <c r="AH749" s="59">
        <f t="shared" si="237"/>
        <v>-184.49199999999999</v>
      </c>
      <c r="AJ749" s="4">
        <f>IF(D749="M",IF(AM749&lt;78,BMILMS!$D$5*AM749^3+BMILMS!$E$5*AM749^2+BMILMS!$F$5*AM749+BMILMS!$G$5,IF(AM749&lt;150,BMILMS!$D$6*AM749^3+BMILMS!$E$6*AM749^2+BMILMS!$F$6*AM749+BMILMS!$G$6,BMILMS!$D$7*AM749^3+BMILMS!$E$7*AM749^2+BMILMS!$F$7*AM749+BMILMS!$G$7)),IF(AM749&lt;69,BMILMS!$D$9*AM749^3+BMILMS!$E$9*AM749^2+BMILMS!$F$9*AM749+BMILMS!$G$9,IF(AM749&lt;150,BMILMS!$D$10*AM749^3+BMILMS!$E$10*AM749^2+BMILMS!$F$10*AM749+BMILMS!$G$10,BMILMS!$D$11*AM749^3+BMILMS!$E$11*AM749^2+BMILMS!$F$11*AM749+BMILMS!$G$11)))</f>
        <v>0.79584630099999998</v>
      </c>
      <c r="AK749" s="4">
        <f>IF(D749="M",(IF(AM749&lt;2.5,BMILMS!$D$21*AM749^3+BMILMS!$E$21*AM749^2+BMILMS!$F$21*AM749+BMILMS!$G$21,IF(AM749&lt;9.5,BMILMS!$D$22*AM749^3+BMILMS!$E$22*AM749^2+BMILMS!$F$22*AM749+BMILMS!$G$22,IF(AM749&lt;26.75,BMILMS!$D$23*AM749^3+BMILMS!$E$23*AM749^2+BMILMS!$F$23*AM749+BMILMS!$G$23,IF(AM749&lt;90,BMILMS!$D$24*AM749^3+BMILMS!$E$24*AM749^2+BMILMS!$F$24*AM749+BMILMS!$G$24,BMILMS!$D$25*AM749^3+BMILMS!$E$25*AM749^2+BMILMS!$F$25*AM749+BMILMS!$G$25))))),(IF(AM749&lt;2.5,BMILMS!$D$27*AM749^3+BMILMS!$E$27*AM749^2+BMILMS!$F$27*AM749+BMILMS!$G$27,IF(AM749&lt;9.5,BMILMS!$D$28*AM749^3+BMILMS!$E$28*AM749^2+BMILMS!$F$28*AM749+BMILMS!$G$28,IF(AM749&lt;26.75,BMILMS!$D$29*AM749^3+BMILMS!$E$29*AM749^2+BMILMS!$F$29*AM749+BMILMS!$G$29,IF(AM749&lt;90,BMILMS!$D$30*AM749^3+BMILMS!$E$30*AM749^2+BMILMS!$F$30*AM749+BMILMS!$G$30,IF(AM749&lt;150,BMILMS!$D$31*AM749^3+BMILMS!$E$31*AM749^2+BMILMS!$F$31*AM749+BMILMS!$G$31,BMILMS!$D$32*AM749^3+BMILMS!$E$32*AM749^2+BMILMS!$F$32*AM749+BMILMS!$G$32)))))))</f>
        <v>12.568967990000001</v>
      </c>
      <c r="AL749" s="4">
        <f>IF(D749="M",(IF(AM749&lt;90,BMILMS!$D$14*AM749^3+BMILMS!$E$14*AM749^2+BMILMS!$F$14*AM749+BMILMS!$G$14,BMILMS!$D$15*AM749^3+BMILMS!$E$15*AM749^2+BMILMS!$F$15*AM749+BMILMS!$G$15)),(IF(AM749&lt;90,BMILMS!$D$17*AM749^3+BMILMS!$E$17*AM749^2+BMILMS!$F$17*AM749+BMILMS!$G$17,BMILMS!$D$18*AM749^3+BMILMS!$E$18*AM749^2+BMILMS!$F$18*AM749+BMILMS!$G$18)))</f>
        <v>8.8969350000000003E-2</v>
      </c>
      <c r="AM749" s="4">
        <f t="shared" si="251"/>
        <v>0</v>
      </c>
      <c r="AO749" s="56">
        <f>IF(D749="M",WeightSDS!P$5*$AM749^7+WeightSDS!Q$5*$AM749^6+WeightSDS!R$5*$AM749^5+WeightSDS!S$5*$AM749^4+WeightSDS!T$5*$AM749^3+WeightSDS!U$5*$AM749^2+WeightSDS!V$5*$AM749+WeightSDS!W$5,IF($AM749&lt;186,WeightSDS!P$8*$AM749^7+WeightSDS!Q$8*$AM749^6+WeightSDS!R$8*$AM749^5+WeightSDS!S$8*$AM749^4+WeightSDS!T$8*$AM749^3+WeightSDS!U$8*$AM749^2+WeightSDS!V$8*$AM749+WeightSDS!W$8,WeightSDS!$U$9+WeightSDS!$V$9*($AM749-WeightSDS!$W$9)))</f>
        <v>0.75407122999999998</v>
      </c>
      <c r="AP749" s="4">
        <f>IF(D749="M",IF($AM749&lt;45,WeightSDS!M$23*$AM749^10+WeightSDS!N$23*$AM749^9+WeightSDS!O$23*$AM749^8+WeightSDS!P$23*$AM749^7+WeightSDS!Q$23*$AM749^6+WeightSDS!R$23*$AM749^5+WeightSDS!S$23*$AM749^4+WeightSDS!T$23*$AM749^3+WeightSDS!U$23*$AM749^2+WeightSDS!V$23*$AM749+WeightSDS!W$23,IF($AM749&lt;153,WeightSDS!M$25*$AM749^10+WeightSDS!N$25*$AM749^9+WeightSDS!O$25*$AM749^8+WeightSDS!P$25*$AM749^7+WeightSDS!Q$25*$AM749^6+WeightSDS!R$25*$AM749^5+WeightSDS!S$25*$AM749^4+WeightSDS!T$25*$AM749^3+WeightSDS!U$25*$AM749^2+WeightSDS!V$25*$AM749+WeightSDS!W$25,WeightSDS!M$27+WeightSDS!N$27/(1+EXP(WeightSDS!O$27+WeightSDS!P$27*$AM749)))),IF($AM749&lt;43.8,WeightSDS!M$29*$AM749^10+WeightSDS!N$29*$AM749^9+WeightSDS!O$29*$AM749^8+WeightSDS!P$29*$AM749^7+WeightSDS!Q$29*$AM749^6+WeightSDS!R$29*$AM749^5+WeightSDS!S$29*$AM749^4+WeightSDS!T$29*$AM749^3+WeightSDS!U$29*$AM749^2+WeightSDS!V$29*$AM749+WeightSDS!W$29-0.010431*(1-$AM749/210),IF($AM749&lt;123,WeightSDS!M$30*$AM749^10+WeightSDS!N$30*$AM749^9+WeightSDS!O$30*$AM749^8+WeightSDS!P$30*$AM749^7+WeightSDS!Q$30*$AM749^6+WeightSDS!R$30*$AM749^5+WeightSDS!S$30*$AM749^4+WeightSDS!T$30*$AM749^3+WeightSDS!U$30*$AM749^2+WeightSDS!V$30*$AM749+WeightSDS!W$30-0.010431*(1-1/$AM749),WeightSDS!M$32+WeightSDS!N$32/(1+EXP(WeightSDS!O$32+WeightSDS!P$32*$AM749))-0.010431*(1-$AM749/210))))</f>
        <v>2.9500001032655536</v>
      </c>
      <c r="AQ749" s="4">
        <f>IF(D749="M",IF($AM749&lt;162,WeightSDS!P$12*$AM749^7+WeightSDS!Q$12*$AM749^6+WeightSDS!R$12*$AM749^5+WeightSDS!S$12*$AM749^4+WeightSDS!T$12*$AM749^3+WeightSDS!U$12*$AM749^2+WeightSDS!V$12*$AM749+WeightSDS!W$12,WeightSDS!P$14*$AM749^7+WeightSDS!Q$14*$AM749^6+WeightSDS!R$14*$AM749^5+WeightSDS!S$14*$AM749^4+WeightSDS!T$14*$AM749^3+WeightSDS!U$14*$AM749^2+WeightSDS!V$14*$AM749+WeightSDS!W$14),IF($AM749&lt;156,WeightSDS!O$17*$AM749^8+WeightSDS!P$17*$AM749^7+WeightSDS!Q$17*$AM749^6+WeightSDS!R$17*$AM749^5+WeightSDS!S$17*$AM749^4+WeightSDS!T$17*$AM749^3+WeightSDS!U$17*$AM749^2+WeightSDS!V$17*$AM749+WeightSDS!W$17,IF($AM749&lt;186,WeightSDS!$U$18+(WeightSDS!$V$18-WeightSDS!$U$18)/24*($AM749-186)+WeightSDS!$W$18*(-$AM749+186)^2-0.005,WeightSDS!$U$18+(WeightSDS!$V$18-WeightSDS!$U$18)/24*($AM749-186)-0.005)))</f>
        <v>0.14604529399999999</v>
      </c>
      <c r="AT749" s="4">
        <f t="shared" si="238"/>
        <v>0.56299999999999994</v>
      </c>
      <c r="AU749" s="4">
        <f t="shared" si="239"/>
        <v>69</v>
      </c>
      <c r="AV749" s="4">
        <f t="shared" si="240"/>
        <v>0.51</v>
      </c>
    </row>
    <row r="750" spans="1:48" x14ac:dyDescent="0.15">
      <c r="A750" s="4"/>
      <c r="B750" s="21"/>
      <c r="C750" s="21"/>
      <c r="D750" s="21"/>
      <c r="E750" s="22"/>
      <c r="F750" s="22"/>
      <c r="G750" s="23"/>
      <c r="H750" s="23"/>
      <c r="I750" s="181"/>
      <c r="J750" s="8" t="str">
        <f t="shared" si="232"/>
        <v/>
      </c>
      <c r="K750" s="2" t="str">
        <f t="shared" si="241"/>
        <v/>
      </c>
      <c r="L750" s="2" t="str">
        <f t="shared" si="233"/>
        <v/>
      </c>
      <c r="M750" s="2" t="str">
        <f t="shared" si="242"/>
        <v/>
      </c>
      <c r="N750" s="2" t="str">
        <f t="shared" si="250"/>
        <v/>
      </c>
      <c r="O750" s="2" t="str">
        <f t="shared" si="243"/>
        <v/>
      </c>
      <c r="P750" s="8" t="str">
        <f t="shared" si="244"/>
        <v/>
      </c>
      <c r="Q750" s="8" t="str">
        <f t="shared" si="245"/>
        <v/>
      </c>
      <c r="R750" s="111" t="str">
        <f t="shared" si="246"/>
        <v/>
      </c>
      <c r="S750" s="44" t="str">
        <f t="shared" si="247"/>
        <v/>
      </c>
      <c r="T750" s="37" t="str">
        <f t="shared" si="248"/>
        <v/>
      </c>
      <c r="U750" s="44" t="str">
        <f t="shared" si="249"/>
        <v/>
      </c>
      <c r="V750" s="26"/>
      <c r="W750" s="26"/>
      <c r="X750" s="26"/>
      <c r="Y750" s="26"/>
      <c r="Z750" s="24"/>
      <c r="AA750" s="169">
        <f t="shared" si="234"/>
        <v>0</v>
      </c>
      <c r="AB750" s="4">
        <f t="shared" si="235"/>
        <v>0</v>
      </c>
      <c r="AC750" s="170">
        <f t="shared" si="252"/>
        <v>0</v>
      </c>
      <c r="AD750" s="58"/>
      <c r="AE750" s="58"/>
      <c r="AF750" s="58"/>
      <c r="AG750" s="59">
        <f t="shared" si="236"/>
        <v>9.0359999999999996</v>
      </c>
      <c r="AH750" s="59">
        <f t="shared" si="237"/>
        <v>-184.49199999999999</v>
      </c>
      <c r="AJ750" s="4">
        <f>IF(D750="M",IF(AM750&lt;78,BMILMS!$D$5*AM750^3+BMILMS!$E$5*AM750^2+BMILMS!$F$5*AM750+BMILMS!$G$5,IF(AM750&lt;150,BMILMS!$D$6*AM750^3+BMILMS!$E$6*AM750^2+BMILMS!$F$6*AM750+BMILMS!$G$6,BMILMS!$D$7*AM750^3+BMILMS!$E$7*AM750^2+BMILMS!$F$7*AM750+BMILMS!$G$7)),IF(AM750&lt;69,BMILMS!$D$9*AM750^3+BMILMS!$E$9*AM750^2+BMILMS!$F$9*AM750+BMILMS!$G$9,IF(AM750&lt;150,BMILMS!$D$10*AM750^3+BMILMS!$E$10*AM750^2+BMILMS!$F$10*AM750+BMILMS!$G$10,BMILMS!$D$11*AM750^3+BMILMS!$E$11*AM750^2+BMILMS!$F$11*AM750+BMILMS!$G$11)))</f>
        <v>0.79584630099999998</v>
      </c>
      <c r="AK750" s="4">
        <f>IF(D750="M",(IF(AM750&lt;2.5,BMILMS!$D$21*AM750^3+BMILMS!$E$21*AM750^2+BMILMS!$F$21*AM750+BMILMS!$G$21,IF(AM750&lt;9.5,BMILMS!$D$22*AM750^3+BMILMS!$E$22*AM750^2+BMILMS!$F$22*AM750+BMILMS!$G$22,IF(AM750&lt;26.75,BMILMS!$D$23*AM750^3+BMILMS!$E$23*AM750^2+BMILMS!$F$23*AM750+BMILMS!$G$23,IF(AM750&lt;90,BMILMS!$D$24*AM750^3+BMILMS!$E$24*AM750^2+BMILMS!$F$24*AM750+BMILMS!$G$24,BMILMS!$D$25*AM750^3+BMILMS!$E$25*AM750^2+BMILMS!$F$25*AM750+BMILMS!$G$25))))),(IF(AM750&lt;2.5,BMILMS!$D$27*AM750^3+BMILMS!$E$27*AM750^2+BMILMS!$F$27*AM750+BMILMS!$G$27,IF(AM750&lt;9.5,BMILMS!$D$28*AM750^3+BMILMS!$E$28*AM750^2+BMILMS!$F$28*AM750+BMILMS!$G$28,IF(AM750&lt;26.75,BMILMS!$D$29*AM750^3+BMILMS!$E$29*AM750^2+BMILMS!$F$29*AM750+BMILMS!$G$29,IF(AM750&lt;90,BMILMS!$D$30*AM750^3+BMILMS!$E$30*AM750^2+BMILMS!$F$30*AM750+BMILMS!$G$30,IF(AM750&lt;150,BMILMS!$D$31*AM750^3+BMILMS!$E$31*AM750^2+BMILMS!$F$31*AM750+BMILMS!$G$31,BMILMS!$D$32*AM750^3+BMILMS!$E$32*AM750^2+BMILMS!$F$32*AM750+BMILMS!$G$32)))))))</f>
        <v>12.568967990000001</v>
      </c>
      <c r="AL750" s="4">
        <f>IF(D750="M",(IF(AM750&lt;90,BMILMS!$D$14*AM750^3+BMILMS!$E$14*AM750^2+BMILMS!$F$14*AM750+BMILMS!$G$14,BMILMS!$D$15*AM750^3+BMILMS!$E$15*AM750^2+BMILMS!$F$15*AM750+BMILMS!$G$15)),(IF(AM750&lt;90,BMILMS!$D$17*AM750^3+BMILMS!$E$17*AM750^2+BMILMS!$F$17*AM750+BMILMS!$G$17,BMILMS!$D$18*AM750^3+BMILMS!$E$18*AM750^2+BMILMS!$F$18*AM750+BMILMS!$G$18)))</f>
        <v>8.8969350000000003E-2</v>
      </c>
      <c r="AM750" s="4">
        <f t="shared" si="251"/>
        <v>0</v>
      </c>
      <c r="AO750" s="56">
        <f>IF(D750="M",WeightSDS!P$5*$AM750^7+WeightSDS!Q$5*$AM750^6+WeightSDS!R$5*$AM750^5+WeightSDS!S$5*$AM750^4+WeightSDS!T$5*$AM750^3+WeightSDS!U$5*$AM750^2+WeightSDS!V$5*$AM750+WeightSDS!W$5,IF($AM750&lt;186,WeightSDS!P$8*$AM750^7+WeightSDS!Q$8*$AM750^6+WeightSDS!R$8*$AM750^5+WeightSDS!S$8*$AM750^4+WeightSDS!T$8*$AM750^3+WeightSDS!U$8*$AM750^2+WeightSDS!V$8*$AM750+WeightSDS!W$8,WeightSDS!$U$9+WeightSDS!$V$9*($AM750-WeightSDS!$W$9)))</f>
        <v>0.75407122999999998</v>
      </c>
      <c r="AP750" s="4">
        <f>IF(D750="M",IF($AM750&lt;45,WeightSDS!M$23*$AM750^10+WeightSDS!N$23*$AM750^9+WeightSDS!O$23*$AM750^8+WeightSDS!P$23*$AM750^7+WeightSDS!Q$23*$AM750^6+WeightSDS!R$23*$AM750^5+WeightSDS!S$23*$AM750^4+WeightSDS!T$23*$AM750^3+WeightSDS!U$23*$AM750^2+WeightSDS!V$23*$AM750+WeightSDS!W$23,IF($AM750&lt;153,WeightSDS!M$25*$AM750^10+WeightSDS!N$25*$AM750^9+WeightSDS!O$25*$AM750^8+WeightSDS!P$25*$AM750^7+WeightSDS!Q$25*$AM750^6+WeightSDS!R$25*$AM750^5+WeightSDS!S$25*$AM750^4+WeightSDS!T$25*$AM750^3+WeightSDS!U$25*$AM750^2+WeightSDS!V$25*$AM750+WeightSDS!W$25,WeightSDS!M$27+WeightSDS!N$27/(1+EXP(WeightSDS!O$27+WeightSDS!P$27*$AM750)))),IF($AM750&lt;43.8,WeightSDS!M$29*$AM750^10+WeightSDS!N$29*$AM750^9+WeightSDS!O$29*$AM750^8+WeightSDS!P$29*$AM750^7+WeightSDS!Q$29*$AM750^6+WeightSDS!R$29*$AM750^5+WeightSDS!S$29*$AM750^4+WeightSDS!T$29*$AM750^3+WeightSDS!U$29*$AM750^2+WeightSDS!V$29*$AM750+WeightSDS!W$29-0.010431*(1-$AM750/210),IF($AM750&lt;123,WeightSDS!M$30*$AM750^10+WeightSDS!N$30*$AM750^9+WeightSDS!O$30*$AM750^8+WeightSDS!P$30*$AM750^7+WeightSDS!Q$30*$AM750^6+WeightSDS!R$30*$AM750^5+WeightSDS!S$30*$AM750^4+WeightSDS!T$30*$AM750^3+WeightSDS!U$30*$AM750^2+WeightSDS!V$30*$AM750+WeightSDS!W$30-0.010431*(1-1/$AM750),WeightSDS!M$32+WeightSDS!N$32/(1+EXP(WeightSDS!O$32+WeightSDS!P$32*$AM750))-0.010431*(1-$AM750/210))))</f>
        <v>2.9500001032655536</v>
      </c>
      <c r="AQ750" s="4">
        <f>IF(D750="M",IF($AM750&lt;162,WeightSDS!P$12*$AM750^7+WeightSDS!Q$12*$AM750^6+WeightSDS!R$12*$AM750^5+WeightSDS!S$12*$AM750^4+WeightSDS!T$12*$AM750^3+WeightSDS!U$12*$AM750^2+WeightSDS!V$12*$AM750+WeightSDS!W$12,WeightSDS!P$14*$AM750^7+WeightSDS!Q$14*$AM750^6+WeightSDS!R$14*$AM750^5+WeightSDS!S$14*$AM750^4+WeightSDS!T$14*$AM750^3+WeightSDS!U$14*$AM750^2+WeightSDS!V$14*$AM750+WeightSDS!W$14),IF($AM750&lt;156,WeightSDS!O$17*$AM750^8+WeightSDS!P$17*$AM750^7+WeightSDS!Q$17*$AM750^6+WeightSDS!R$17*$AM750^5+WeightSDS!S$17*$AM750^4+WeightSDS!T$17*$AM750^3+WeightSDS!U$17*$AM750^2+WeightSDS!V$17*$AM750+WeightSDS!W$17,IF($AM750&lt;186,WeightSDS!$U$18+(WeightSDS!$V$18-WeightSDS!$U$18)/24*($AM750-186)+WeightSDS!$W$18*(-$AM750+186)^2-0.005,WeightSDS!$U$18+(WeightSDS!$V$18-WeightSDS!$U$18)/24*($AM750-186)-0.005)))</f>
        <v>0.14604529399999999</v>
      </c>
      <c r="AT750" s="4">
        <f t="shared" si="238"/>
        <v>0.56299999999999994</v>
      </c>
      <c r="AU750" s="4">
        <f t="shared" si="239"/>
        <v>69</v>
      </c>
      <c r="AV750" s="4">
        <f t="shared" si="240"/>
        <v>0.51</v>
      </c>
    </row>
    <row r="751" spans="1:48" x14ac:dyDescent="0.15">
      <c r="A751" s="4"/>
      <c r="B751" s="21"/>
      <c r="C751" s="21"/>
      <c r="D751" s="21"/>
      <c r="E751" s="22"/>
      <c r="F751" s="22"/>
      <c r="G751" s="23"/>
      <c r="H751" s="23"/>
      <c r="I751" s="181"/>
      <c r="J751" s="8" t="str">
        <f t="shared" si="232"/>
        <v/>
      </c>
      <c r="K751" s="2" t="str">
        <f t="shared" si="241"/>
        <v/>
      </c>
      <c r="L751" s="2" t="str">
        <f t="shared" si="233"/>
        <v/>
      </c>
      <c r="M751" s="2" t="str">
        <f t="shared" si="242"/>
        <v/>
      </c>
      <c r="N751" s="2" t="str">
        <f t="shared" si="250"/>
        <v/>
      </c>
      <c r="O751" s="2" t="str">
        <f t="shared" si="243"/>
        <v/>
      </c>
      <c r="P751" s="8" t="str">
        <f t="shared" si="244"/>
        <v/>
      </c>
      <c r="Q751" s="8" t="str">
        <f t="shared" si="245"/>
        <v/>
      </c>
      <c r="R751" s="111" t="str">
        <f t="shared" si="246"/>
        <v/>
      </c>
      <c r="S751" s="44" t="str">
        <f t="shared" si="247"/>
        <v/>
      </c>
      <c r="T751" s="37" t="str">
        <f t="shared" si="248"/>
        <v/>
      </c>
      <c r="U751" s="44" t="str">
        <f t="shared" si="249"/>
        <v/>
      </c>
      <c r="V751" s="26"/>
      <c r="W751" s="26"/>
      <c r="X751" s="26"/>
      <c r="Y751" s="26"/>
      <c r="Z751" s="24"/>
      <c r="AA751" s="169">
        <f t="shared" si="234"/>
        <v>0</v>
      </c>
      <c r="AB751" s="4">
        <f t="shared" si="235"/>
        <v>0</v>
      </c>
      <c r="AC751" s="170">
        <f t="shared" si="252"/>
        <v>0</v>
      </c>
      <c r="AD751" s="58"/>
      <c r="AE751" s="58"/>
      <c r="AF751" s="58"/>
      <c r="AG751" s="59">
        <f t="shared" si="236"/>
        <v>9.0359999999999996</v>
      </c>
      <c r="AH751" s="59">
        <f t="shared" si="237"/>
        <v>-184.49199999999999</v>
      </c>
      <c r="AJ751" s="4">
        <f>IF(D751="M",IF(AM751&lt;78,BMILMS!$D$5*AM751^3+BMILMS!$E$5*AM751^2+BMILMS!$F$5*AM751+BMILMS!$G$5,IF(AM751&lt;150,BMILMS!$D$6*AM751^3+BMILMS!$E$6*AM751^2+BMILMS!$F$6*AM751+BMILMS!$G$6,BMILMS!$D$7*AM751^3+BMILMS!$E$7*AM751^2+BMILMS!$F$7*AM751+BMILMS!$G$7)),IF(AM751&lt;69,BMILMS!$D$9*AM751^3+BMILMS!$E$9*AM751^2+BMILMS!$F$9*AM751+BMILMS!$G$9,IF(AM751&lt;150,BMILMS!$D$10*AM751^3+BMILMS!$E$10*AM751^2+BMILMS!$F$10*AM751+BMILMS!$G$10,BMILMS!$D$11*AM751^3+BMILMS!$E$11*AM751^2+BMILMS!$F$11*AM751+BMILMS!$G$11)))</f>
        <v>0.79584630099999998</v>
      </c>
      <c r="AK751" s="4">
        <f>IF(D751="M",(IF(AM751&lt;2.5,BMILMS!$D$21*AM751^3+BMILMS!$E$21*AM751^2+BMILMS!$F$21*AM751+BMILMS!$G$21,IF(AM751&lt;9.5,BMILMS!$D$22*AM751^3+BMILMS!$E$22*AM751^2+BMILMS!$F$22*AM751+BMILMS!$G$22,IF(AM751&lt;26.75,BMILMS!$D$23*AM751^3+BMILMS!$E$23*AM751^2+BMILMS!$F$23*AM751+BMILMS!$G$23,IF(AM751&lt;90,BMILMS!$D$24*AM751^3+BMILMS!$E$24*AM751^2+BMILMS!$F$24*AM751+BMILMS!$G$24,BMILMS!$D$25*AM751^3+BMILMS!$E$25*AM751^2+BMILMS!$F$25*AM751+BMILMS!$G$25))))),(IF(AM751&lt;2.5,BMILMS!$D$27*AM751^3+BMILMS!$E$27*AM751^2+BMILMS!$F$27*AM751+BMILMS!$G$27,IF(AM751&lt;9.5,BMILMS!$D$28*AM751^3+BMILMS!$E$28*AM751^2+BMILMS!$F$28*AM751+BMILMS!$G$28,IF(AM751&lt;26.75,BMILMS!$D$29*AM751^3+BMILMS!$E$29*AM751^2+BMILMS!$F$29*AM751+BMILMS!$G$29,IF(AM751&lt;90,BMILMS!$D$30*AM751^3+BMILMS!$E$30*AM751^2+BMILMS!$F$30*AM751+BMILMS!$G$30,IF(AM751&lt;150,BMILMS!$D$31*AM751^3+BMILMS!$E$31*AM751^2+BMILMS!$F$31*AM751+BMILMS!$G$31,BMILMS!$D$32*AM751^3+BMILMS!$E$32*AM751^2+BMILMS!$F$32*AM751+BMILMS!$G$32)))))))</f>
        <v>12.568967990000001</v>
      </c>
      <c r="AL751" s="4">
        <f>IF(D751="M",(IF(AM751&lt;90,BMILMS!$D$14*AM751^3+BMILMS!$E$14*AM751^2+BMILMS!$F$14*AM751+BMILMS!$G$14,BMILMS!$D$15*AM751^3+BMILMS!$E$15*AM751^2+BMILMS!$F$15*AM751+BMILMS!$G$15)),(IF(AM751&lt;90,BMILMS!$D$17*AM751^3+BMILMS!$E$17*AM751^2+BMILMS!$F$17*AM751+BMILMS!$G$17,BMILMS!$D$18*AM751^3+BMILMS!$E$18*AM751^2+BMILMS!$F$18*AM751+BMILMS!$G$18)))</f>
        <v>8.8969350000000003E-2</v>
      </c>
      <c r="AM751" s="4">
        <f t="shared" si="251"/>
        <v>0</v>
      </c>
      <c r="AO751" s="56">
        <f>IF(D751="M",WeightSDS!P$5*$AM751^7+WeightSDS!Q$5*$AM751^6+WeightSDS!R$5*$AM751^5+WeightSDS!S$5*$AM751^4+WeightSDS!T$5*$AM751^3+WeightSDS!U$5*$AM751^2+WeightSDS!V$5*$AM751+WeightSDS!W$5,IF($AM751&lt;186,WeightSDS!P$8*$AM751^7+WeightSDS!Q$8*$AM751^6+WeightSDS!R$8*$AM751^5+WeightSDS!S$8*$AM751^4+WeightSDS!T$8*$AM751^3+WeightSDS!U$8*$AM751^2+WeightSDS!V$8*$AM751+WeightSDS!W$8,WeightSDS!$U$9+WeightSDS!$V$9*($AM751-WeightSDS!$W$9)))</f>
        <v>0.75407122999999998</v>
      </c>
      <c r="AP751" s="4">
        <f>IF(D751="M",IF($AM751&lt;45,WeightSDS!M$23*$AM751^10+WeightSDS!N$23*$AM751^9+WeightSDS!O$23*$AM751^8+WeightSDS!P$23*$AM751^7+WeightSDS!Q$23*$AM751^6+WeightSDS!R$23*$AM751^5+WeightSDS!S$23*$AM751^4+WeightSDS!T$23*$AM751^3+WeightSDS!U$23*$AM751^2+WeightSDS!V$23*$AM751+WeightSDS!W$23,IF($AM751&lt;153,WeightSDS!M$25*$AM751^10+WeightSDS!N$25*$AM751^9+WeightSDS!O$25*$AM751^8+WeightSDS!P$25*$AM751^7+WeightSDS!Q$25*$AM751^6+WeightSDS!R$25*$AM751^5+WeightSDS!S$25*$AM751^4+WeightSDS!T$25*$AM751^3+WeightSDS!U$25*$AM751^2+WeightSDS!V$25*$AM751+WeightSDS!W$25,WeightSDS!M$27+WeightSDS!N$27/(1+EXP(WeightSDS!O$27+WeightSDS!P$27*$AM751)))),IF($AM751&lt;43.8,WeightSDS!M$29*$AM751^10+WeightSDS!N$29*$AM751^9+WeightSDS!O$29*$AM751^8+WeightSDS!P$29*$AM751^7+WeightSDS!Q$29*$AM751^6+WeightSDS!R$29*$AM751^5+WeightSDS!S$29*$AM751^4+WeightSDS!T$29*$AM751^3+WeightSDS!U$29*$AM751^2+WeightSDS!V$29*$AM751+WeightSDS!W$29-0.010431*(1-$AM751/210),IF($AM751&lt;123,WeightSDS!M$30*$AM751^10+WeightSDS!N$30*$AM751^9+WeightSDS!O$30*$AM751^8+WeightSDS!P$30*$AM751^7+WeightSDS!Q$30*$AM751^6+WeightSDS!R$30*$AM751^5+WeightSDS!S$30*$AM751^4+WeightSDS!T$30*$AM751^3+WeightSDS!U$30*$AM751^2+WeightSDS!V$30*$AM751+WeightSDS!W$30-0.010431*(1-1/$AM751),WeightSDS!M$32+WeightSDS!N$32/(1+EXP(WeightSDS!O$32+WeightSDS!P$32*$AM751))-0.010431*(1-$AM751/210))))</f>
        <v>2.9500001032655536</v>
      </c>
      <c r="AQ751" s="4">
        <f>IF(D751="M",IF($AM751&lt;162,WeightSDS!P$12*$AM751^7+WeightSDS!Q$12*$AM751^6+WeightSDS!R$12*$AM751^5+WeightSDS!S$12*$AM751^4+WeightSDS!T$12*$AM751^3+WeightSDS!U$12*$AM751^2+WeightSDS!V$12*$AM751+WeightSDS!W$12,WeightSDS!P$14*$AM751^7+WeightSDS!Q$14*$AM751^6+WeightSDS!R$14*$AM751^5+WeightSDS!S$14*$AM751^4+WeightSDS!T$14*$AM751^3+WeightSDS!U$14*$AM751^2+WeightSDS!V$14*$AM751+WeightSDS!W$14),IF($AM751&lt;156,WeightSDS!O$17*$AM751^8+WeightSDS!P$17*$AM751^7+WeightSDS!Q$17*$AM751^6+WeightSDS!R$17*$AM751^5+WeightSDS!S$17*$AM751^4+WeightSDS!T$17*$AM751^3+WeightSDS!U$17*$AM751^2+WeightSDS!V$17*$AM751+WeightSDS!W$17,IF($AM751&lt;186,WeightSDS!$U$18+(WeightSDS!$V$18-WeightSDS!$U$18)/24*($AM751-186)+WeightSDS!$W$18*(-$AM751+186)^2-0.005,WeightSDS!$U$18+(WeightSDS!$V$18-WeightSDS!$U$18)/24*($AM751-186)-0.005)))</f>
        <v>0.14604529399999999</v>
      </c>
      <c r="AT751" s="4">
        <f t="shared" si="238"/>
        <v>0.56299999999999994</v>
      </c>
      <c r="AU751" s="4">
        <f t="shared" si="239"/>
        <v>69</v>
      </c>
      <c r="AV751" s="4">
        <f t="shared" si="240"/>
        <v>0.51</v>
      </c>
    </row>
    <row r="752" spans="1:48" x14ac:dyDescent="0.15">
      <c r="A752" s="4"/>
      <c r="B752" s="21"/>
      <c r="C752" s="21"/>
      <c r="D752" s="21"/>
      <c r="E752" s="22"/>
      <c r="F752" s="22"/>
      <c r="G752" s="23"/>
      <c r="H752" s="23"/>
      <c r="I752" s="181"/>
      <c r="J752" s="8" t="str">
        <f t="shared" si="232"/>
        <v/>
      </c>
      <c r="K752" s="2" t="str">
        <f t="shared" si="241"/>
        <v/>
      </c>
      <c r="L752" s="2" t="str">
        <f t="shared" si="233"/>
        <v/>
      </c>
      <c r="M752" s="2" t="str">
        <f t="shared" si="242"/>
        <v/>
      </c>
      <c r="N752" s="2" t="str">
        <f t="shared" si="250"/>
        <v/>
      </c>
      <c r="O752" s="2" t="str">
        <f t="shared" si="243"/>
        <v/>
      </c>
      <c r="P752" s="8" t="str">
        <f t="shared" si="244"/>
        <v/>
      </c>
      <c r="Q752" s="8" t="str">
        <f t="shared" si="245"/>
        <v/>
      </c>
      <c r="R752" s="111" t="str">
        <f t="shared" si="246"/>
        <v/>
      </c>
      <c r="S752" s="44" t="str">
        <f t="shared" si="247"/>
        <v/>
      </c>
      <c r="T752" s="37" t="str">
        <f t="shared" si="248"/>
        <v/>
      </c>
      <c r="U752" s="44" t="str">
        <f t="shared" si="249"/>
        <v/>
      </c>
      <c r="V752" s="26"/>
      <c r="W752" s="26"/>
      <c r="X752" s="26"/>
      <c r="Y752" s="26"/>
      <c r="Z752" s="24"/>
      <c r="AA752" s="169">
        <f t="shared" si="234"/>
        <v>0</v>
      </c>
      <c r="AB752" s="4">
        <f t="shared" si="235"/>
        <v>0</v>
      </c>
      <c r="AC752" s="170">
        <f t="shared" si="252"/>
        <v>0</v>
      </c>
      <c r="AD752" s="58"/>
      <c r="AE752" s="58"/>
      <c r="AF752" s="58"/>
      <c r="AG752" s="59">
        <f t="shared" si="236"/>
        <v>9.0359999999999996</v>
      </c>
      <c r="AH752" s="59">
        <f t="shared" si="237"/>
        <v>-184.49199999999999</v>
      </c>
      <c r="AJ752" s="4">
        <f>IF(D752="M",IF(AM752&lt;78,BMILMS!$D$5*AM752^3+BMILMS!$E$5*AM752^2+BMILMS!$F$5*AM752+BMILMS!$G$5,IF(AM752&lt;150,BMILMS!$D$6*AM752^3+BMILMS!$E$6*AM752^2+BMILMS!$F$6*AM752+BMILMS!$G$6,BMILMS!$D$7*AM752^3+BMILMS!$E$7*AM752^2+BMILMS!$F$7*AM752+BMILMS!$G$7)),IF(AM752&lt;69,BMILMS!$D$9*AM752^3+BMILMS!$E$9*AM752^2+BMILMS!$F$9*AM752+BMILMS!$G$9,IF(AM752&lt;150,BMILMS!$D$10*AM752^3+BMILMS!$E$10*AM752^2+BMILMS!$F$10*AM752+BMILMS!$G$10,BMILMS!$D$11*AM752^3+BMILMS!$E$11*AM752^2+BMILMS!$F$11*AM752+BMILMS!$G$11)))</f>
        <v>0.79584630099999998</v>
      </c>
      <c r="AK752" s="4">
        <f>IF(D752="M",(IF(AM752&lt;2.5,BMILMS!$D$21*AM752^3+BMILMS!$E$21*AM752^2+BMILMS!$F$21*AM752+BMILMS!$G$21,IF(AM752&lt;9.5,BMILMS!$D$22*AM752^3+BMILMS!$E$22*AM752^2+BMILMS!$F$22*AM752+BMILMS!$G$22,IF(AM752&lt;26.75,BMILMS!$D$23*AM752^3+BMILMS!$E$23*AM752^2+BMILMS!$F$23*AM752+BMILMS!$G$23,IF(AM752&lt;90,BMILMS!$D$24*AM752^3+BMILMS!$E$24*AM752^2+BMILMS!$F$24*AM752+BMILMS!$G$24,BMILMS!$D$25*AM752^3+BMILMS!$E$25*AM752^2+BMILMS!$F$25*AM752+BMILMS!$G$25))))),(IF(AM752&lt;2.5,BMILMS!$D$27*AM752^3+BMILMS!$E$27*AM752^2+BMILMS!$F$27*AM752+BMILMS!$G$27,IF(AM752&lt;9.5,BMILMS!$D$28*AM752^3+BMILMS!$E$28*AM752^2+BMILMS!$F$28*AM752+BMILMS!$G$28,IF(AM752&lt;26.75,BMILMS!$D$29*AM752^3+BMILMS!$E$29*AM752^2+BMILMS!$F$29*AM752+BMILMS!$G$29,IF(AM752&lt;90,BMILMS!$D$30*AM752^3+BMILMS!$E$30*AM752^2+BMILMS!$F$30*AM752+BMILMS!$G$30,IF(AM752&lt;150,BMILMS!$D$31*AM752^3+BMILMS!$E$31*AM752^2+BMILMS!$F$31*AM752+BMILMS!$G$31,BMILMS!$D$32*AM752^3+BMILMS!$E$32*AM752^2+BMILMS!$F$32*AM752+BMILMS!$G$32)))))))</f>
        <v>12.568967990000001</v>
      </c>
      <c r="AL752" s="4">
        <f>IF(D752="M",(IF(AM752&lt;90,BMILMS!$D$14*AM752^3+BMILMS!$E$14*AM752^2+BMILMS!$F$14*AM752+BMILMS!$G$14,BMILMS!$D$15*AM752^3+BMILMS!$E$15*AM752^2+BMILMS!$F$15*AM752+BMILMS!$G$15)),(IF(AM752&lt;90,BMILMS!$D$17*AM752^3+BMILMS!$E$17*AM752^2+BMILMS!$F$17*AM752+BMILMS!$G$17,BMILMS!$D$18*AM752^3+BMILMS!$E$18*AM752^2+BMILMS!$F$18*AM752+BMILMS!$G$18)))</f>
        <v>8.8969350000000003E-2</v>
      </c>
      <c r="AM752" s="4">
        <f t="shared" si="251"/>
        <v>0</v>
      </c>
      <c r="AO752" s="56">
        <f>IF(D752="M",WeightSDS!P$5*$AM752^7+WeightSDS!Q$5*$AM752^6+WeightSDS!R$5*$AM752^5+WeightSDS!S$5*$AM752^4+WeightSDS!T$5*$AM752^3+WeightSDS!U$5*$AM752^2+WeightSDS!V$5*$AM752+WeightSDS!W$5,IF($AM752&lt;186,WeightSDS!P$8*$AM752^7+WeightSDS!Q$8*$AM752^6+WeightSDS!R$8*$AM752^5+WeightSDS!S$8*$AM752^4+WeightSDS!T$8*$AM752^3+WeightSDS!U$8*$AM752^2+WeightSDS!V$8*$AM752+WeightSDS!W$8,WeightSDS!$U$9+WeightSDS!$V$9*($AM752-WeightSDS!$W$9)))</f>
        <v>0.75407122999999998</v>
      </c>
      <c r="AP752" s="4">
        <f>IF(D752="M",IF($AM752&lt;45,WeightSDS!M$23*$AM752^10+WeightSDS!N$23*$AM752^9+WeightSDS!O$23*$AM752^8+WeightSDS!P$23*$AM752^7+WeightSDS!Q$23*$AM752^6+WeightSDS!R$23*$AM752^5+WeightSDS!S$23*$AM752^4+WeightSDS!T$23*$AM752^3+WeightSDS!U$23*$AM752^2+WeightSDS!V$23*$AM752+WeightSDS!W$23,IF($AM752&lt;153,WeightSDS!M$25*$AM752^10+WeightSDS!N$25*$AM752^9+WeightSDS!O$25*$AM752^8+WeightSDS!P$25*$AM752^7+WeightSDS!Q$25*$AM752^6+WeightSDS!R$25*$AM752^5+WeightSDS!S$25*$AM752^4+WeightSDS!T$25*$AM752^3+WeightSDS!U$25*$AM752^2+WeightSDS!V$25*$AM752+WeightSDS!W$25,WeightSDS!M$27+WeightSDS!N$27/(1+EXP(WeightSDS!O$27+WeightSDS!P$27*$AM752)))),IF($AM752&lt;43.8,WeightSDS!M$29*$AM752^10+WeightSDS!N$29*$AM752^9+WeightSDS!O$29*$AM752^8+WeightSDS!P$29*$AM752^7+WeightSDS!Q$29*$AM752^6+WeightSDS!R$29*$AM752^5+WeightSDS!S$29*$AM752^4+WeightSDS!T$29*$AM752^3+WeightSDS!U$29*$AM752^2+WeightSDS!V$29*$AM752+WeightSDS!W$29-0.010431*(1-$AM752/210),IF($AM752&lt;123,WeightSDS!M$30*$AM752^10+WeightSDS!N$30*$AM752^9+WeightSDS!O$30*$AM752^8+WeightSDS!P$30*$AM752^7+WeightSDS!Q$30*$AM752^6+WeightSDS!R$30*$AM752^5+WeightSDS!S$30*$AM752^4+WeightSDS!T$30*$AM752^3+WeightSDS!U$30*$AM752^2+WeightSDS!V$30*$AM752+WeightSDS!W$30-0.010431*(1-1/$AM752),WeightSDS!M$32+WeightSDS!N$32/(1+EXP(WeightSDS!O$32+WeightSDS!P$32*$AM752))-0.010431*(1-$AM752/210))))</f>
        <v>2.9500001032655536</v>
      </c>
      <c r="AQ752" s="4">
        <f>IF(D752="M",IF($AM752&lt;162,WeightSDS!P$12*$AM752^7+WeightSDS!Q$12*$AM752^6+WeightSDS!R$12*$AM752^5+WeightSDS!S$12*$AM752^4+WeightSDS!T$12*$AM752^3+WeightSDS!U$12*$AM752^2+WeightSDS!V$12*$AM752+WeightSDS!W$12,WeightSDS!P$14*$AM752^7+WeightSDS!Q$14*$AM752^6+WeightSDS!R$14*$AM752^5+WeightSDS!S$14*$AM752^4+WeightSDS!T$14*$AM752^3+WeightSDS!U$14*$AM752^2+WeightSDS!V$14*$AM752+WeightSDS!W$14),IF($AM752&lt;156,WeightSDS!O$17*$AM752^8+WeightSDS!P$17*$AM752^7+WeightSDS!Q$17*$AM752^6+WeightSDS!R$17*$AM752^5+WeightSDS!S$17*$AM752^4+WeightSDS!T$17*$AM752^3+WeightSDS!U$17*$AM752^2+WeightSDS!V$17*$AM752+WeightSDS!W$17,IF($AM752&lt;186,WeightSDS!$U$18+(WeightSDS!$V$18-WeightSDS!$U$18)/24*($AM752-186)+WeightSDS!$W$18*(-$AM752+186)^2-0.005,WeightSDS!$U$18+(WeightSDS!$V$18-WeightSDS!$U$18)/24*($AM752-186)-0.005)))</f>
        <v>0.14604529399999999</v>
      </c>
      <c r="AT752" s="4">
        <f t="shared" si="238"/>
        <v>0.56299999999999994</v>
      </c>
      <c r="AU752" s="4">
        <f t="shared" si="239"/>
        <v>69</v>
      </c>
      <c r="AV752" s="4">
        <f t="shared" si="240"/>
        <v>0.51</v>
      </c>
    </row>
    <row r="753" spans="1:48" x14ac:dyDescent="0.15">
      <c r="A753" s="4"/>
      <c r="B753" s="21"/>
      <c r="C753" s="21"/>
      <c r="D753" s="21"/>
      <c r="E753" s="22"/>
      <c r="F753" s="22"/>
      <c r="G753" s="23"/>
      <c r="H753" s="23"/>
      <c r="I753" s="181"/>
      <c r="J753" s="8" t="str">
        <f t="shared" si="232"/>
        <v/>
      </c>
      <c r="K753" s="2" t="str">
        <f t="shared" si="241"/>
        <v/>
      </c>
      <c r="L753" s="2" t="str">
        <f t="shared" si="233"/>
        <v/>
      </c>
      <c r="M753" s="2" t="str">
        <f t="shared" si="242"/>
        <v/>
      </c>
      <c r="N753" s="2" t="str">
        <f t="shared" si="250"/>
        <v/>
      </c>
      <c r="O753" s="2" t="str">
        <f t="shared" si="243"/>
        <v/>
      </c>
      <c r="P753" s="8" t="str">
        <f t="shared" si="244"/>
        <v/>
      </c>
      <c r="Q753" s="8" t="str">
        <f t="shared" si="245"/>
        <v/>
      </c>
      <c r="R753" s="111" t="str">
        <f t="shared" si="246"/>
        <v/>
      </c>
      <c r="S753" s="44" t="str">
        <f t="shared" si="247"/>
        <v/>
      </c>
      <c r="T753" s="37" t="str">
        <f t="shared" si="248"/>
        <v/>
      </c>
      <c r="U753" s="44" t="str">
        <f t="shared" si="249"/>
        <v/>
      </c>
      <c r="V753" s="26"/>
      <c r="W753" s="26"/>
      <c r="X753" s="26"/>
      <c r="Y753" s="26"/>
      <c r="Z753" s="24"/>
      <c r="AA753" s="169">
        <f t="shared" si="234"/>
        <v>0</v>
      </c>
      <c r="AB753" s="4">
        <f t="shared" si="235"/>
        <v>0</v>
      </c>
      <c r="AC753" s="170">
        <f t="shared" si="252"/>
        <v>0</v>
      </c>
      <c r="AD753" s="58"/>
      <c r="AE753" s="58"/>
      <c r="AF753" s="58"/>
      <c r="AG753" s="59">
        <f t="shared" si="236"/>
        <v>9.0359999999999996</v>
      </c>
      <c r="AH753" s="59">
        <f t="shared" si="237"/>
        <v>-184.49199999999999</v>
      </c>
      <c r="AJ753" s="4">
        <f>IF(D753="M",IF(AM753&lt;78,BMILMS!$D$5*AM753^3+BMILMS!$E$5*AM753^2+BMILMS!$F$5*AM753+BMILMS!$G$5,IF(AM753&lt;150,BMILMS!$D$6*AM753^3+BMILMS!$E$6*AM753^2+BMILMS!$F$6*AM753+BMILMS!$G$6,BMILMS!$D$7*AM753^3+BMILMS!$E$7*AM753^2+BMILMS!$F$7*AM753+BMILMS!$G$7)),IF(AM753&lt;69,BMILMS!$D$9*AM753^3+BMILMS!$E$9*AM753^2+BMILMS!$F$9*AM753+BMILMS!$G$9,IF(AM753&lt;150,BMILMS!$D$10*AM753^3+BMILMS!$E$10*AM753^2+BMILMS!$F$10*AM753+BMILMS!$G$10,BMILMS!$D$11*AM753^3+BMILMS!$E$11*AM753^2+BMILMS!$F$11*AM753+BMILMS!$G$11)))</f>
        <v>0.79584630099999998</v>
      </c>
      <c r="AK753" s="4">
        <f>IF(D753="M",(IF(AM753&lt;2.5,BMILMS!$D$21*AM753^3+BMILMS!$E$21*AM753^2+BMILMS!$F$21*AM753+BMILMS!$G$21,IF(AM753&lt;9.5,BMILMS!$D$22*AM753^3+BMILMS!$E$22*AM753^2+BMILMS!$F$22*AM753+BMILMS!$G$22,IF(AM753&lt;26.75,BMILMS!$D$23*AM753^3+BMILMS!$E$23*AM753^2+BMILMS!$F$23*AM753+BMILMS!$G$23,IF(AM753&lt;90,BMILMS!$D$24*AM753^3+BMILMS!$E$24*AM753^2+BMILMS!$F$24*AM753+BMILMS!$G$24,BMILMS!$D$25*AM753^3+BMILMS!$E$25*AM753^2+BMILMS!$F$25*AM753+BMILMS!$G$25))))),(IF(AM753&lt;2.5,BMILMS!$D$27*AM753^3+BMILMS!$E$27*AM753^2+BMILMS!$F$27*AM753+BMILMS!$G$27,IF(AM753&lt;9.5,BMILMS!$D$28*AM753^3+BMILMS!$E$28*AM753^2+BMILMS!$F$28*AM753+BMILMS!$G$28,IF(AM753&lt;26.75,BMILMS!$D$29*AM753^3+BMILMS!$E$29*AM753^2+BMILMS!$F$29*AM753+BMILMS!$G$29,IF(AM753&lt;90,BMILMS!$D$30*AM753^3+BMILMS!$E$30*AM753^2+BMILMS!$F$30*AM753+BMILMS!$G$30,IF(AM753&lt;150,BMILMS!$D$31*AM753^3+BMILMS!$E$31*AM753^2+BMILMS!$F$31*AM753+BMILMS!$G$31,BMILMS!$D$32*AM753^3+BMILMS!$E$32*AM753^2+BMILMS!$F$32*AM753+BMILMS!$G$32)))))))</f>
        <v>12.568967990000001</v>
      </c>
      <c r="AL753" s="4">
        <f>IF(D753="M",(IF(AM753&lt;90,BMILMS!$D$14*AM753^3+BMILMS!$E$14*AM753^2+BMILMS!$F$14*AM753+BMILMS!$G$14,BMILMS!$D$15*AM753^3+BMILMS!$E$15*AM753^2+BMILMS!$F$15*AM753+BMILMS!$G$15)),(IF(AM753&lt;90,BMILMS!$D$17*AM753^3+BMILMS!$E$17*AM753^2+BMILMS!$F$17*AM753+BMILMS!$G$17,BMILMS!$D$18*AM753^3+BMILMS!$E$18*AM753^2+BMILMS!$F$18*AM753+BMILMS!$G$18)))</f>
        <v>8.8969350000000003E-2</v>
      </c>
      <c r="AM753" s="4">
        <f t="shared" si="251"/>
        <v>0</v>
      </c>
      <c r="AO753" s="56">
        <f>IF(D753="M",WeightSDS!P$5*$AM753^7+WeightSDS!Q$5*$AM753^6+WeightSDS!R$5*$AM753^5+WeightSDS!S$5*$AM753^4+WeightSDS!T$5*$AM753^3+WeightSDS!U$5*$AM753^2+WeightSDS!V$5*$AM753+WeightSDS!W$5,IF($AM753&lt;186,WeightSDS!P$8*$AM753^7+WeightSDS!Q$8*$AM753^6+WeightSDS!R$8*$AM753^5+WeightSDS!S$8*$AM753^4+WeightSDS!T$8*$AM753^3+WeightSDS!U$8*$AM753^2+WeightSDS!V$8*$AM753+WeightSDS!W$8,WeightSDS!$U$9+WeightSDS!$V$9*($AM753-WeightSDS!$W$9)))</f>
        <v>0.75407122999999998</v>
      </c>
      <c r="AP753" s="4">
        <f>IF(D753="M",IF($AM753&lt;45,WeightSDS!M$23*$AM753^10+WeightSDS!N$23*$AM753^9+WeightSDS!O$23*$AM753^8+WeightSDS!P$23*$AM753^7+WeightSDS!Q$23*$AM753^6+WeightSDS!R$23*$AM753^5+WeightSDS!S$23*$AM753^4+WeightSDS!T$23*$AM753^3+WeightSDS!U$23*$AM753^2+WeightSDS!V$23*$AM753+WeightSDS!W$23,IF($AM753&lt;153,WeightSDS!M$25*$AM753^10+WeightSDS!N$25*$AM753^9+WeightSDS!O$25*$AM753^8+WeightSDS!P$25*$AM753^7+WeightSDS!Q$25*$AM753^6+WeightSDS!R$25*$AM753^5+WeightSDS!S$25*$AM753^4+WeightSDS!T$25*$AM753^3+WeightSDS!U$25*$AM753^2+WeightSDS!V$25*$AM753+WeightSDS!W$25,WeightSDS!M$27+WeightSDS!N$27/(1+EXP(WeightSDS!O$27+WeightSDS!P$27*$AM753)))),IF($AM753&lt;43.8,WeightSDS!M$29*$AM753^10+WeightSDS!N$29*$AM753^9+WeightSDS!O$29*$AM753^8+WeightSDS!P$29*$AM753^7+WeightSDS!Q$29*$AM753^6+WeightSDS!R$29*$AM753^5+WeightSDS!S$29*$AM753^4+WeightSDS!T$29*$AM753^3+WeightSDS!U$29*$AM753^2+WeightSDS!V$29*$AM753+WeightSDS!W$29-0.010431*(1-$AM753/210),IF($AM753&lt;123,WeightSDS!M$30*$AM753^10+WeightSDS!N$30*$AM753^9+WeightSDS!O$30*$AM753^8+WeightSDS!P$30*$AM753^7+WeightSDS!Q$30*$AM753^6+WeightSDS!R$30*$AM753^5+WeightSDS!S$30*$AM753^4+WeightSDS!T$30*$AM753^3+WeightSDS!U$30*$AM753^2+WeightSDS!V$30*$AM753+WeightSDS!W$30-0.010431*(1-1/$AM753),WeightSDS!M$32+WeightSDS!N$32/(1+EXP(WeightSDS!O$32+WeightSDS!P$32*$AM753))-0.010431*(1-$AM753/210))))</f>
        <v>2.9500001032655536</v>
      </c>
      <c r="AQ753" s="4">
        <f>IF(D753="M",IF($AM753&lt;162,WeightSDS!P$12*$AM753^7+WeightSDS!Q$12*$AM753^6+WeightSDS!R$12*$AM753^5+WeightSDS!S$12*$AM753^4+WeightSDS!T$12*$AM753^3+WeightSDS!U$12*$AM753^2+WeightSDS!V$12*$AM753+WeightSDS!W$12,WeightSDS!P$14*$AM753^7+WeightSDS!Q$14*$AM753^6+WeightSDS!R$14*$AM753^5+WeightSDS!S$14*$AM753^4+WeightSDS!T$14*$AM753^3+WeightSDS!U$14*$AM753^2+WeightSDS!V$14*$AM753+WeightSDS!W$14),IF($AM753&lt;156,WeightSDS!O$17*$AM753^8+WeightSDS!P$17*$AM753^7+WeightSDS!Q$17*$AM753^6+WeightSDS!R$17*$AM753^5+WeightSDS!S$17*$AM753^4+WeightSDS!T$17*$AM753^3+WeightSDS!U$17*$AM753^2+WeightSDS!V$17*$AM753+WeightSDS!W$17,IF($AM753&lt;186,WeightSDS!$U$18+(WeightSDS!$V$18-WeightSDS!$U$18)/24*($AM753-186)+WeightSDS!$W$18*(-$AM753+186)^2-0.005,WeightSDS!$U$18+(WeightSDS!$V$18-WeightSDS!$U$18)/24*($AM753-186)-0.005)))</f>
        <v>0.14604529399999999</v>
      </c>
      <c r="AT753" s="4">
        <f t="shared" si="238"/>
        <v>0.56299999999999994</v>
      </c>
      <c r="AU753" s="4">
        <f t="shared" si="239"/>
        <v>69</v>
      </c>
      <c r="AV753" s="4">
        <f t="shared" si="240"/>
        <v>0.51</v>
      </c>
    </row>
    <row r="754" spans="1:48" x14ac:dyDescent="0.15">
      <c r="A754" s="4"/>
      <c r="B754" s="21"/>
      <c r="C754" s="21"/>
      <c r="D754" s="21"/>
      <c r="E754" s="22"/>
      <c r="F754" s="22"/>
      <c r="G754" s="23"/>
      <c r="H754" s="23"/>
      <c r="I754" s="181"/>
      <c r="J754" s="8" t="str">
        <f t="shared" si="232"/>
        <v/>
      </c>
      <c r="K754" s="2" t="str">
        <f t="shared" si="241"/>
        <v/>
      </c>
      <c r="L754" s="2" t="str">
        <f t="shared" si="233"/>
        <v/>
      </c>
      <c r="M754" s="2" t="str">
        <f t="shared" si="242"/>
        <v/>
      </c>
      <c r="N754" s="2" t="str">
        <f t="shared" si="250"/>
        <v/>
      </c>
      <c r="O754" s="2" t="str">
        <f t="shared" si="243"/>
        <v/>
      </c>
      <c r="P754" s="8" t="str">
        <f t="shared" si="244"/>
        <v/>
      </c>
      <c r="Q754" s="8" t="str">
        <f t="shared" si="245"/>
        <v/>
      </c>
      <c r="R754" s="111" t="str">
        <f t="shared" si="246"/>
        <v/>
      </c>
      <c r="S754" s="44" t="str">
        <f t="shared" si="247"/>
        <v/>
      </c>
      <c r="T754" s="37" t="str">
        <f t="shared" si="248"/>
        <v/>
      </c>
      <c r="U754" s="44" t="str">
        <f t="shared" si="249"/>
        <v/>
      </c>
      <c r="V754" s="26"/>
      <c r="W754" s="26"/>
      <c r="X754" s="26"/>
      <c r="Y754" s="26"/>
      <c r="Z754" s="24"/>
      <c r="AA754" s="169">
        <f t="shared" si="234"/>
        <v>0</v>
      </c>
      <c r="AB754" s="4">
        <f t="shared" si="235"/>
        <v>0</v>
      </c>
      <c r="AC754" s="170">
        <f t="shared" si="252"/>
        <v>0</v>
      </c>
      <c r="AD754" s="58"/>
      <c r="AE754" s="58"/>
      <c r="AF754" s="58"/>
      <c r="AG754" s="59">
        <f t="shared" si="236"/>
        <v>9.0359999999999996</v>
      </c>
      <c r="AH754" s="59">
        <f t="shared" si="237"/>
        <v>-184.49199999999999</v>
      </c>
      <c r="AJ754" s="4">
        <f>IF(D754="M",IF(AM754&lt;78,BMILMS!$D$5*AM754^3+BMILMS!$E$5*AM754^2+BMILMS!$F$5*AM754+BMILMS!$G$5,IF(AM754&lt;150,BMILMS!$D$6*AM754^3+BMILMS!$E$6*AM754^2+BMILMS!$F$6*AM754+BMILMS!$G$6,BMILMS!$D$7*AM754^3+BMILMS!$E$7*AM754^2+BMILMS!$F$7*AM754+BMILMS!$G$7)),IF(AM754&lt;69,BMILMS!$D$9*AM754^3+BMILMS!$E$9*AM754^2+BMILMS!$F$9*AM754+BMILMS!$G$9,IF(AM754&lt;150,BMILMS!$D$10*AM754^3+BMILMS!$E$10*AM754^2+BMILMS!$F$10*AM754+BMILMS!$G$10,BMILMS!$D$11*AM754^3+BMILMS!$E$11*AM754^2+BMILMS!$F$11*AM754+BMILMS!$G$11)))</f>
        <v>0.79584630099999998</v>
      </c>
      <c r="AK754" s="4">
        <f>IF(D754="M",(IF(AM754&lt;2.5,BMILMS!$D$21*AM754^3+BMILMS!$E$21*AM754^2+BMILMS!$F$21*AM754+BMILMS!$G$21,IF(AM754&lt;9.5,BMILMS!$D$22*AM754^3+BMILMS!$E$22*AM754^2+BMILMS!$F$22*AM754+BMILMS!$G$22,IF(AM754&lt;26.75,BMILMS!$D$23*AM754^3+BMILMS!$E$23*AM754^2+BMILMS!$F$23*AM754+BMILMS!$G$23,IF(AM754&lt;90,BMILMS!$D$24*AM754^3+BMILMS!$E$24*AM754^2+BMILMS!$F$24*AM754+BMILMS!$G$24,BMILMS!$D$25*AM754^3+BMILMS!$E$25*AM754^2+BMILMS!$F$25*AM754+BMILMS!$G$25))))),(IF(AM754&lt;2.5,BMILMS!$D$27*AM754^3+BMILMS!$E$27*AM754^2+BMILMS!$F$27*AM754+BMILMS!$G$27,IF(AM754&lt;9.5,BMILMS!$D$28*AM754^3+BMILMS!$E$28*AM754^2+BMILMS!$F$28*AM754+BMILMS!$G$28,IF(AM754&lt;26.75,BMILMS!$D$29*AM754^3+BMILMS!$E$29*AM754^2+BMILMS!$F$29*AM754+BMILMS!$G$29,IF(AM754&lt;90,BMILMS!$D$30*AM754^3+BMILMS!$E$30*AM754^2+BMILMS!$F$30*AM754+BMILMS!$G$30,IF(AM754&lt;150,BMILMS!$D$31*AM754^3+BMILMS!$E$31*AM754^2+BMILMS!$F$31*AM754+BMILMS!$G$31,BMILMS!$D$32*AM754^3+BMILMS!$E$32*AM754^2+BMILMS!$F$32*AM754+BMILMS!$G$32)))))))</f>
        <v>12.568967990000001</v>
      </c>
      <c r="AL754" s="4">
        <f>IF(D754="M",(IF(AM754&lt;90,BMILMS!$D$14*AM754^3+BMILMS!$E$14*AM754^2+BMILMS!$F$14*AM754+BMILMS!$G$14,BMILMS!$D$15*AM754^3+BMILMS!$E$15*AM754^2+BMILMS!$F$15*AM754+BMILMS!$G$15)),(IF(AM754&lt;90,BMILMS!$D$17*AM754^3+BMILMS!$E$17*AM754^2+BMILMS!$F$17*AM754+BMILMS!$G$17,BMILMS!$D$18*AM754^3+BMILMS!$E$18*AM754^2+BMILMS!$F$18*AM754+BMILMS!$G$18)))</f>
        <v>8.8969350000000003E-2</v>
      </c>
      <c r="AM754" s="4">
        <f t="shared" si="251"/>
        <v>0</v>
      </c>
      <c r="AO754" s="56">
        <f>IF(D754="M",WeightSDS!P$5*$AM754^7+WeightSDS!Q$5*$AM754^6+WeightSDS!R$5*$AM754^5+WeightSDS!S$5*$AM754^4+WeightSDS!T$5*$AM754^3+WeightSDS!U$5*$AM754^2+WeightSDS!V$5*$AM754+WeightSDS!W$5,IF($AM754&lt;186,WeightSDS!P$8*$AM754^7+WeightSDS!Q$8*$AM754^6+WeightSDS!R$8*$AM754^5+WeightSDS!S$8*$AM754^4+WeightSDS!T$8*$AM754^3+WeightSDS!U$8*$AM754^2+WeightSDS!V$8*$AM754+WeightSDS!W$8,WeightSDS!$U$9+WeightSDS!$V$9*($AM754-WeightSDS!$W$9)))</f>
        <v>0.75407122999999998</v>
      </c>
      <c r="AP754" s="4">
        <f>IF(D754="M",IF($AM754&lt;45,WeightSDS!M$23*$AM754^10+WeightSDS!N$23*$AM754^9+WeightSDS!O$23*$AM754^8+WeightSDS!P$23*$AM754^7+WeightSDS!Q$23*$AM754^6+WeightSDS!R$23*$AM754^5+WeightSDS!S$23*$AM754^4+WeightSDS!T$23*$AM754^3+WeightSDS!U$23*$AM754^2+WeightSDS!V$23*$AM754+WeightSDS!W$23,IF($AM754&lt;153,WeightSDS!M$25*$AM754^10+WeightSDS!N$25*$AM754^9+WeightSDS!O$25*$AM754^8+WeightSDS!P$25*$AM754^7+WeightSDS!Q$25*$AM754^6+WeightSDS!R$25*$AM754^5+WeightSDS!S$25*$AM754^4+WeightSDS!T$25*$AM754^3+WeightSDS!U$25*$AM754^2+WeightSDS!V$25*$AM754+WeightSDS!W$25,WeightSDS!M$27+WeightSDS!N$27/(1+EXP(WeightSDS!O$27+WeightSDS!P$27*$AM754)))),IF($AM754&lt;43.8,WeightSDS!M$29*$AM754^10+WeightSDS!N$29*$AM754^9+WeightSDS!O$29*$AM754^8+WeightSDS!P$29*$AM754^7+WeightSDS!Q$29*$AM754^6+WeightSDS!R$29*$AM754^5+WeightSDS!S$29*$AM754^4+WeightSDS!T$29*$AM754^3+WeightSDS!U$29*$AM754^2+WeightSDS!V$29*$AM754+WeightSDS!W$29-0.010431*(1-$AM754/210),IF($AM754&lt;123,WeightSDS!M$30*$AM754^10+WeightSDS!N$30*$AM754^9+WeightSDS!O$30*$AM754^8+WeightSDS!P$30*$AM754^7+WeightSDS!Q$30*$AM754^6+WeightSDS!R$30*$AM754^5+WeightSDS!S$30*$AM754^4+WeightSDS!T$30*$AM754^3+WeightSDS!U$30*$AM754^2+WeightSDS!V$30*$AM754+WeightSDS!W$30-0.010431*(1-1/$AM754),WeightSDS!M$32+WeightSDS!N$32/(1+EXP(WeightSDS!O$32+WeightSDS!P$32*$AM754))-0.010431*(1-$AM754/210))))</f>
        <v>2.9500001032655536</v>
      </c>
      <c r="AQ754" s="4">
        <f>IF(D754="M",IF($AM754&lt;162,WeightSDS!P$12*$AM754^7+WeightSDS!Q$12*$AM754^6+WeightSDS!R$12*$AM754^5+WeightSDS!S$12*$AM754^4+WeightSDS!T$12*$AM754^3+WeightSDS!U$12*$AM754^2+WeightSDS!V$12*$AM754+WeightSDS!W$12,WeightSDS!P$14*$AM754^7+WeightSDS!Q$14*$AM754^6+WeightSDS!R$14*$AM754^5+WeightSDS!S$14*$AM754^4+WeightSDS!T$14*$AM754^3+WeightSDS!U$14*$AM754^2+WeightSDS!V$14*$AM754+WeightSDS!W$14),IF($AM754&lt;156,WeightSDS!O$17*$AM754^8+WeightSDS!P$17*$AM754^7+WeightSDS!Q$17*$AM754^6+WeightSDS!R$17*$AM754^5+WeightSDS!S$17*$AM754^4+WeightSDS!T$17*$AM754^3+WeightSDS!U$17*$AM754^2+WeightSDS!V$17*$AM754+WeightSDS!W$17,IF($AM754&lt;186,WeightSDS!$U$18+(WeightSDS!$V$18-WeightSDS!$U$18)/24*($AM754-186)+WeightSDS!$W$18*(-$AM754+186)^2-0.005,WeightSDS!$U$18+(WeightSDS!$V$18-WeightSDS!$U$18)/24*($AM754-186)-0.005)))</f>
        <v>0.14604529399999999</v>
      </c>
      <c r="AT754" s="4">
        <f t="shared" si="238"/>
        <v>0.56299999999999994</v>
      </c>
      <c r="AU754" s="4">
        <f t="shared" si="239"/>
        <v>69</v>
      </c>
      <c r="AV754" s="4">
        <f t="shared" si="240"/>
        <v>0.51</v>
      </c>
    </row>
    <row r="755" spans="1:48" x14ac:dyDescent="0.15">
      <c r="A755" s="4"/>
      <c r="B755" s="21"/>
      <c r="C755" s="21"/>
      <c r="D755" s="21"/>
      <c r="E755" s="22"/>
      <c r="F755" s="22"/>
      <c r="G755" s="23"/>
      <c r="H755" s="23"/>
      <c r="I755" s="181"/>
      <c r="J755" s="8" t="str">
        <f t="shared" si="232"/>
        <v/>
      </c>
      <c r="K755" s="2" t="str">
        <f t="shared" si="241"/>
        <v/>
      </c>
      <c r="L755" s="2" t="str">
        <f t="shared" si="233"/>
        <v/>
      </c>
      <c r="M755" s="2" t="str">
        <f t="shared" si="242"/>
        <v/>
      </c>
      <c r="N755" s="2" t="str">
        <f t="shared" si="250"/>
        <v/>
      </c>
      <c r="O755" s="2" t="str">
        <f t="shared" si="243"/>
        <v/>
      </c>
      <c r="P755" s="8" t="str">
        <f t="shared" si="244"/>
        <v/>
      </c>
      <c r="Q755" s="8" t="str">
        <f t="shared" si="245"/>
        <v/>
      </c>
      <c r="R755" s="111" t="str">
        <f t="shared" si="246"/>
        <v/>
      </c>
      <c r="S755" s="44" t="str">
        <f t="shared" si="247"/>
        <v/>
      </c>
      <c r="T755" s="37" t="str">
        <f t="shared" si="248"/>
        <v/>
      </c>
      <c r="U755" s="44" t="str">
        <f t="shared" si="249"/>
        <v/>
      </c>
      <c r="V755" s="26"/>
      <c r="W755" s="26"/>
      <c r="X755" s="26"/>
      <c r="Y755" s="26"/>
      <c r="Z755" s="24"/>
      <c r="AA755" s="169">
        <f t="shared" si="234"/>
        <v>0</v>
      </c>
      <c r="AB755" s="4">
        <f t="shared" si="235"/>
        <v>0</v>
      </c>
      <c r="AC755" s="170">
        <f t="shared" si="252"/>
        <v>0</v>
      </c>
      <c r="AD755" s="58"/>
      <c r="AE755" s="58"/>
      <c r="AF755" s="58"/>
      <c r="AG755" s="59">
        <f t="shared" si="236"/>
        <v>9.0359999999999996</v>
      </c>
      <c r="AH755" s="59">
        <f t="shared" si="237"/>
        <v>-184.49199999999999</v>
      </c>
      <c r="AJ755" s="4">
        <f>IF(D755="M",IF(AM755&lt;78,BMILMS!$D$5*AM755^3+BMILMS!$E$5*AM755^2+BMILMS!$F$5*AM755+BMILMS!$G$5,IF(AM755&lt;150,BMILMS!$D$6*AM755^3+BMILMS!$E$6*AM755^2+BMILMS!$F$6*AM755+BMILMS!$G$6,BMILMS!$D$7*AM755^3+BMILMS!$E$7*AM755^2+BMILMS!$F$7*AM755+BMILMS!$G$7)),IF(AM755&lt;69,BMILMS!$D$9*AM755^3+BMILMS!$E$9*AM755^2+BMILMS!$F$9*AM755+BMILMS!$G$9,IF(AM755&lt;150,BMILMS!$D$10*AM755^3+BMILMS!$E$10*AM755^2+BMILMS!$F$10*AM755+BMILMS!$G$10,BMILMS!$D$11*AM755^3+BMILMS!$E$11*AM755^2+BMILMS!$F$11*AM755+BMILMS!$G$11)))</f>
        <v>0.79584630099999998</v>
      </c>
      <c r="AK755" s="4">
        <f>IF(D755="M",(IF(AM755&lt;2.5,BMILMS!$D$21*AM755^3+BMILMS!$E$21*AM755^2+BMILMS!$F$21*AM755+BMILMS!$G$21,IF(AM755&lt;9.5,BMILMS!$D$22*AM755^3+BMILMS!$E$22*AM755^2+BMILMS!$F$22*AM755+BMILMS!$G$22,IF(AM755&lt;26.75,BMILMS!$D$23*AM755^3+BMILMS!$E$23*AM755^2+BMILMS!$F$23*AM755+BMILMS!$G$23,IF(AM755&lt;90,BMILMS!$D$24*AM755^3+BMILMS!$E$24*AM755^2+BMILMS!$F$24*AM755+BMILMS!$G$24,BMILMS!$D$25*AM755^3+BMILMS!$E$25*AM755^2+BMILMS!$F$25*AM755+BMILMS!$G$25))))),(IF(AM755&lt;2.5,BMILMS!$D$27*AM755^3+BMILMS!$E$27*AM755^2+BMILMS!$F$27*AM755+BMILMS!$G$27,IF(AM755&lt;9.5,BMILMS!$D$28*AM755^3+BMILMS!$E$28*AM755^2+BMILMS!$F$28*AM755+BMILMS!$G$28,IF(AM755&lt;26.75,BMILMS!$D$29*AM755^3+BMILMS!$E$29*AM755^2+BMILMS!$F$29*AM755+BMILMS!$G$29,IF(AM755&lt;90,BMILMS!$D$30*AM755^3+BMILMS!$E$30*AM755^2+BMILMS!$F$30*AM755+BMILMS!$G$30,IF(AM755&lt;150,BMILMS!$D$31*AM755^3+BMILMS!$E$31*AM755^2+BMILMS!$F$31*AM755+BMILMS!$G$31,BMILMS!$D$32*AM755^3+BMILMS!$E$32*AM755^2+BMILMS!$F$32*AM755+BMILMS!$G$32)))))))</f>
        <v>12.568967990000001</v>
      </c>
      <c r="AL755" s="4">
        <f>IF(D755="M",(IF(AM755&lt;90,BMILMS!$D$14*AM755^3+BMILMS!$E$14*AM755^2+BMILMS!$F$14*AM755+BMILMS!$G$14,BMILMS!$D$15*AM755^3+BMILMS!$E$15*AM755^2+BMILMS!$F$15*AM755+BMILMS!$G$15)),(IF(AM755&lt;90,BMILMS!$D$17*AM755^3+BMILMS!$E$17*AM755^2+BMILMS!$F$17*AM755+BMILMS!$G$17,BMILMS!$D$18*AM755^3+BMILMS!$E$18*AM755^2+BMILMS!$F$18*AM755+BMILMS!$G$18)))</f>
        <v>8.8969350000000003E-2</v>
      </c>
      <c r="AM755" s="4">
        <f t="shared" si="251"/>
        <v>0</v>
      </c>
      <c r="AO755" s="56">
        <f>IF(D755="M",WeightSDS!P$5*$AM755^7+WeightSDS!Q$5*$AM755^6+WeightSDS!R$5*$AM755^5+WeightSDS!S$5*$AM755^4+WeightSDS!T$5*$AM755^3+WeightSDS!U$5*$AM755^2+WeightSDS!V$5*$AM755+WeightSDS!W$5,IF($AM755&lt;186,WeightSDS!P$8*$AM755^7+WeightSDS!Q$8*$AM755^6+WeightSDS!R$8*$AM755^5+WeightSDS!S$8*$AM755^4+WeightSDS!T$8*$AM755^3+WeightSDS!U$8*$AM755^2+WeightSDS!V$8*$AM755+WeightSDS!W$8,WeightSDS!$U$9+WeightSDS!$V$9*($AM755-WeightSDS!$W$9)))</f>
        <v>0.75407122999999998</v>
      </c>
      <c r="AP755" s="4">
        <f>IF(D755="M",IF($AM755&lt;45,WeightSDS!M$23*$AM755^10+WeightSDS!N$23*$AM755^9+WeightSDS!O$23*$AM755^8+WeightSDS!P$23*$AM755^7+WeightSDS!Q$23*$AM755^6+WeightSDS!R$23*$AM755^5+WeightSDS!S$23*$AM755^4+WeightSDS!T$23*$AM755^3+WeightSDS!U$23*$AM755^2+WeightSDS!V$23*$AM755+WeightSDS!W$23,IF($AM755&lt;153,WeightSDS!M$25*$AM755^10+WeightSDS!N$25*$AM755^9+WeightSDS!O$25*$AM755^8+WeightSDS!P$25*$AM755^7+WeightSDS!Q$25*$AM755^6+WeightSDS!R$25*$AM755^5+WeightSDS!S$25*$AM755^4+WeightSDS!T$25*$AM755^3+WeightSDS!U$25*$AM755^2+WeightSDS!V$25*$AM755+WeightSDS!W$25,WeightSDS!M$27+WeightSDS!N$27/(1+EXP(WeightSDS!O$27+WeightSDS!P$27*$AM755)))),IF($AM755&lt;43.8,WeightSDS!M$29*$AM755^10+WeightSDS!N$29*$AM755^9+WeightSDS!O$29*$AM755^8+WeightSDS!P$29*$AM755^7+WeightSDS!Q$29*$AM755^6+WeightSDS!R$29*$AM755^5+WeightSDS!S$29*$AM755^4+WeightSDS!T$29*$AM755^3+WeightSDS!U$29*$AM755^2+WeightSDS!V$29*$AM755+WeightSDS!W$29-0.010431*(1-$AM755/210),IF($AM755&lt;123,WeightSDS!M$30*$AM755^10+WeightSDS!N$30*$AM755^9+WeightSDS!O$30*$AM755^8+WeightSDS!P$30*$AM755^7+WeightSDS!Q$30*$AM755^6+WeightSDS!R$30*$AM755^5+WeightSDS!S$30*$AM755^4+WeightSDS!T$30*$AM755^3+WeightSDS!U$30*$AM755^2+WeightSDS!V$30*$AM755+WeightSDS!W$30-0.010431*(1-1/$AM755),WeightSDS!M$32+WeightSDS!N$32/(1+EXP(WeightSDS!O$32+WeightSDS!P$32*$AM755))-0.010431*(1-$AM755/210))))</f>
        <v>2.9500001032655536</v>
      </c>
      <c r="AQ755" s="4">
        <f>IF(D755="M",IF($AM755&lt;162,WeightSDS!P$12*$AM755^7+WeightSDS!Q$12*$AM755^6+WeightSDS!R$12*$AM755^5+WeightSDS!S$12*$AM755^4+WeightSDS!T$12*$AM755^3+WeightSDS!U$12*$AM755^2+WeightSDS!V$12*$AM755+WeightSDS!W$12,WeightSDS!P$14*$AM755^7+WeightSDS!Q$14*$AM755^6+WeightSDS!R$14*$AM755^5+WeightSDS!S$14*$AM755^4+WeightSDS!T$14*$AM755^3+WeightSDS!U$14*$AM755^2+WeightSDS!V$14*$AM755+WeightSDS!W$14),IF($AM755&lt;156,WeightSDS!O$17*$AM755^8+WeightSDS!P$17*$AM755^7+WeightSDS!Q$17*$AM755^6+WeightSDS!R$17*$AM755^5+WeightSDS!S$17*$AM755^4+WeightSDS!T$17*$AM755^3+WeightSDS!U$17*$AM755^2+WeightSDS!V$17*$AM755+WeightSDS!W$17,IF($AM755&lt;186,WeightSDS!$U$18+(WeightSDS!$V$18-WeightSDS!$U$18)/24*($AM755-186)+WeightSDS!$W$18*(-$AM755+186)^2-0.005,WeightSDS!$U$18+(WeightSDS!$V$18-WeightSDS!$U$18)/24*($AM755-186)-0.005)))</f>
        <v>0.14604529399999999</v>
      </c>
      <c r="AT755" s="4">
        <f t="shared" si="238"/>
        <v>0.56299999999999994</v>
      </c>
      <c r="AU755" s="4">
        <f t="shared" si="239"/>
        <v>69</v>
      </c>
      <c r="AV755" s="4">
        <f t="shared" si="240"/>
        <v>0.51</v>
      </c>
    </row>
    <row r="756" spans="1:48" x14ac:dyDescent="0.15">
      <c r="A756" s="4"/>
      <c r="B756" s="21"/>
      <c r="C756" s="21"/>
      <c r="D756" s="21"/>
      <c r="E756" s="22"/>
      <c r="F756" s="22"/>
      <c r="G756" s="23"/>
      <c r="H756" s="23"/>
      <c r="I756" s="181"/>
      <c r="J756" s="8" t="str">
        <f t="shared" si="232"/>
        <v/>
      </c>
      <c r="K756" s="2" t="str">
        <f t="shared" si="241"/>
        <v/>
      </c>
      <c r="L756" s="2" t="str">
        <f t="shared" si="233"/>
        <v/>
      </c>
      <c r="M756" s="2" t="str">
        <f t="shared" si="242"/>
        <v/>
      </c>
      <c r="N756" s="2" t="str">
        <f t="shared" si="250"/>
        <v/>
      </c>
      <c r="O756" s="2" t="str">
        <f t="shared" si="243"/>
        <v/>
      </c>
      <c r="P756" s="8" t="str">
        <f t="shared" si="244"/>
        <v/>
      </c>
      <c r="Q756" s="8" t="str">
        <f t="shared" si="245"/>
        <v/>
      </c>
      <c r="R756" s="111" t="str">
        <f t="shared" si="246"/>
        <v/>
      </c>
      <c r="S756" s="44" t="str">
        <f t="shared" si="247"/>
        <v/>
      </c>
      <c r="T756" s="37" t="str">
        <f t="shared" si="248"/>
        <v/>
      </c>
      <c r="U756" s="44" t="str">
        <f t="shared" si="249"/>
        <v/>
      </c>
      <c r="V756" s="26"/>
      <c r="W756" s="26"/>
      <c r="X756" s="26"/>
      <c r="Y756" s="26"/>
      <c r="Z756" s="24"/>
      <c r="AA756" s="169">
        <f t="shared" si="234"/>
        <v>0</v>
      </c>
      <c r="AB756" s="4">
        <f t="shared" si="235"/>
        <v>0</v>
      </c>
      <c r="AC756" s="170">
        <f t="shared" si="252"/>
        <v>0</v>
      </c>
      <c r="AD756" s="58"/>
      <c r="AE756" s="58"/>
      <c r="AF756" s="58"/>
      <c r="AG756" s="59">
        <f t="shared" si="236"/>
        <v>9.0359999999999996</v>
      </c>
      <c r="AH756" s="59">
        <f t="shared" si="237"/>
        <v>-184.49199999999999</v>
      </c>
      <c r="AJ756" s="4">
        <f>IF(D756="M",IF(AM756&lt;78,BMILMS!$D$5*AM756^3+BMILMS!$E$5*AM756^2+BMILMS!$F$5*AM756+BMILMS!$G$5,IF(AM756&lt;150,BMILMS!$D$6*AM756^3+BMILMS!$E$6*AM756^2+BMILMS!$F$6*AM756+BMILMS!$G$6,BMILMS!$D$7*AM756^3+BMILMS!$E$7*AM756^2+BMILMS!$F$7*AM756+BMILMS!$G$7)),IF(AM756&lt;69,BMILMS!$D$9*AM756^3+BMILMS!$E$9*AM756^2+BMILMS!$F$9*AM756+BMILMS!$G$9,IF(AM756&lt;150,BMILMS!$D$10*AM756^3+BMILMS!$E$10*AM756^2+BMILMS!$F$10*AM756+BMILMS!$G$10,BMILMS!$D$11*AM756^3+BMILMS!$E$11*AM756^2+BMILMS!$F$11*AM756+BMILMS!$G$11)))</f>
        <v>0.79584630099999998</v>
      </c>
      <c r="AK756" s="4">
        <f>IF(D756="M",(IF(AM756&lt;2.5,BMILMS!$D$21*AM756^3+BMILMS!$E$21*AM756^2+BMILMS!$F$21*AM756+BMILMS!$G$21,IF(AM756&lt;9.5,BMILMS!$D$22*AM756^3+BMILMS!$E$22*AM756^2+BMILMS!$F$22*AM756+BMILMS!$G$22,IF(AM756&lt;26.75,BMILMS!$D$23*AM756^3+BMILMS!$E$23*AM756^2+BMILMS!$F$23*AM756+BMILMS!$G$23,IF(AM756&lt;90,BMILMS!$D$24*AM756^3+BMILMS!$E$24*AM756^2+BMILMS!$F$24*AM756+BMILMS!$G$24,BMILMS!$D$25*AM756^3+BMILMS!$E$25*AM756^2+BMILMS!$F$25*AM756+BMILMS!$G$25))))),(IF(AM756&lt;2.5,BMILMS!$D$27*AM756^3+BMILMS!$E$27*AM756^2+BMILMS!$F$27*AM756+BMILMS!$G$27,IF(AM756&lt;9.5,BMILMS!$D$28*AM756^3+BMILMS!$E$28*AM756^2+BMILMS!$F$28*AM756+BMILMS!$G$28,IF(AM756&lt;26.75,BMILMS!$D$29*AM756^3+BMILMS!$E$29*AM756^2+BMILMS!$F$29*AM756+BMILMS!$G$29,IF(AM756&lt;90,BMILMS!$D$30*AM756^3+BMILMS!$E$30*AM756^2+BMILMS!$F$30*AM756+BMILMS!$G$30,IF(AM756&lt;150,BMILMS!$D$31*AM756^3+BMILMS!$E$31*AM756^2+BMILMS!$F$31*AM756+BMILMS!$G$31,BMILMS!$D$32*AM756^3+BMILMS!$E$32*AM756^2+BMILMS!$F$32*AM756+BMILMS!$G$32)))))))</f>
        <v>12.568967990000001</v>
      </c>
      <c r="AL756" s="4">
        <f>IF(D756="M",(IF(AM756&lt;90,BMILMS!$D$14*AM756^3+BMILMS!$E$14*AM756^2+BMILMS!$F$14*AM756+BMILMS!$G$14,BMILMS!$D$15*AM756^3+BMILMS!$E$15*AM756^2+BMILMS!$F$15*AM756+BMILMS!$G$15)),(IF(AM756&lt;90,BMILMS!$D$17*AM756^3+BMILMS!$E$17*AM756^2+BMILMS!$F$17*AM756+BMILMS!$G$17,BMILMS!$D$18*AM756^3+BMILMS!$E$18*AM756^2+BMILMS!$F$18*AM756+BMILMS!$G$18)))</f>
        <v>8.8969350000000003E-2</v>
      </c>
      <c r="AM756" s="4">
        <f t="shared" si="251"/>
        <v>0</v>
      </c>
      <c r="AO756" s="56">
        <f>IF(D756="M",WeightSDS!P$5*$AM756^7+WeightSDS!Q$5*$AM756^6+WeightSDS!R$5*$AM756^5+WeightSDS!S$5*$AM756^4+WeightSDS!T$5*$AM756^3+WeightSDS!U$5*$AM756^2+WeightSDS!V$5*$AM756+WeightSDS!W$5,IF($AM756&lt;186,WeightSDS!P$8*$AM756^7+WeightSDS!Q$8*$AM756^6+WeightSDS!R$8*$AM756^5+WeightSDS!S$8*$AM756^4+WeightSDS!T$8*$AM756^3+WeightSDS!U$8*$AM756^2+WeightSDS!V$8*$AM756+WeightSDS!W$8,WeightSDS!$U$9+WeightSDS!$V$9*($AM756-WeightSDS!$W$9)))</f>
        <v>0.75407122999999998</v>
      </c>
      <c r="AP756" s="4">
        <f>IF(D756="M",IF($AM756&lt;45,WeightSDS!M$23*$AM756^10+WeightSDS!N$23*$AM756^9+WeightSDS!O$23*$AM756^8+WeightSDS!P$23*$AM756^7+WeightSDS!Q$23*$AM756^6+WeightSDS!R$23*$AM756^5+WeightSDS!S$23*$AM756^4+WeightSDS!T$23*$AM756^3+WeightSDS!U$23*$AM756^2+WeightSDS!V$23*$AM756+WeightSDS!W$23,IF($AM756&lt;153,WeightSDS!M$25*$AM756^10+WeightSDS!N$25*$AM756^9+WeightSDS!O$25*$AM756^8+WeightSDS!P$25*$AM756^7+WeightSDS!Q$25*$AM756^6+WeightSDS!R$25*$AM756^5+WeightSDS!S$25*$AM756^4+WeightSDS!T$25*$AM756^3+WeightSDS!U$25*$AM756^2+WeightSDS!V$25*$AM756+WeightSDS!W$25,WeightSDS!M$27+WeightSDS!N$27/(1+EXP(WeightSDS!O$27+WeightSDS!P$27*$AM756)))),IF($AM756&lt;43.8,WeightSDS!M$29*$AM756^10+WeightSDS!N$29*$AM756^9+WeightSDS!O$29*$AM756^8+WeightSDS!P$29*$AM756^7+WeightSDS!Q$29*$AM756^6+WeightSDS!R$29*$AM756^5+WeightSDS!S$29*$AM756^4+WeightSDS!T$29*$AM756^3+WeightSDS!U$29*$AM756^2+WeightSDS!V$29*$AM756+WeightSDS!W$29-0.010431*(1-$AM756/210),IF($AM756&lt;123,WeightSDS!M$30*$AM756^10+WeightSDS!N$30*$AM756^9+WeightSDS!O$30*$AM756^8+WeightSDS!P$30*$AM756^7+WeightSDS!Q$30*$AM756^6+WeightSDS!R$30*$AM756^5+WeightSDS!S$30*$AM756^4+WeightSDS!T$30*$AM756^3+WeightSDS!U$30*$AM756^2+WeightSDS!V$30*$AM756+WeightSDS!W$30-0.010431*(1-1/$AM756),WeightSDS!M$32+WeightSDS!N$32/(1+EXP(WeightSDS!O$32+WeightSDS!P$32*$AM756))-0.010431*(1-$AM756/210))))</f>
        <v>2.9500001032655536</v>
      </c>
      <c r="AQ756" s="4">
        <f>IF(D756="M",IF($AM756&lt;162,WeightSDS!P$12*$AM756^7+WeightSDS!Q$12*$AM756^6+WeightSDS!R$12*$AM756^5+WeightSDS!S$12*$AM756^4+WeightSDS!T$12*$AM756^3+WeightSDS!U$12*$AM756^2+WeightSDS!V$12*$AM756+WeightSDS!W$12,WeightSDS!P$14*$AM756^7+WeightSDS!Q$14*$AM756^6+WeightSDS!R$14*$AM756^5+WeightSDS!S$14*$AM756^4+WeightSDS!T$14*$AM756^3+WeightSDS!U$14*$AM756^2+WeightSDS!V$14*$AM756+WeightSDS!W$14),IF($AM756&lt;156,WeightSDS!O$17*$AM756^8+WeightSDS!P$17*$AM756^7+WeightSDS!Q$17*$AM756^6+WeightSDS!R$17*$AM756^5+WeightSDS!S$17*$AM756^4+WeightSDS!T$17*$AM756^3+WeightSDS!U$17*$AM756^2+WeightSDS!V$17*$AM756+WeightSDS!W$17,IF($AM756&lt;186,WeightSDS!$U$18+(WeightSDS!$V$18-WeightSDS!$U$18)/24*($AM756-186)+WeightSDS!$W$18*(-$AM756+186)^2-0.005,WeightSDS!$U$18+(WeightSDS!$V$18-WeightSDS!$U$18)/24*($AM756-186)-0.005)))</f>
        <v>0.14604529399999999</v>
      </c>
      <c r="AT756" s="4">
        <f t="shared" si="238"/>
        <v>0.56299999999999994</v>
      </c>
      <c r="AU756" s="4">
        <f t="shared" si="239"/>
        <v>69</v>
      </c>
      <c r="AV756" s="4">
        <f t="shared" si="240"/>
        <v>0.51</v>
      </c>
    </row>
    <row r="757" spans="1:48" x14ac:dyDescent="0.15">
      <c r="A757" s="4"/>
      <c r="B757" s="21"/>
      <c r="C757" s="21"/>
      <c r="D757" s="21"/>
      <c r="E757" s="22"/>
      <c r="F757" s="22"/>
      <c r="G757" s="23"/>
      <c r="H757" s="23"/>
      <c r="I757" s="181"/>
      <c r="J757" s="8" t="str">
        <f t="shared" si="232"/>
        <v/>
      </c>
      <c r="K757" s="2" t="str">
        <f t="shared" si="241"/>
        <v/>
      </c>
      <c r="L757" s="2" t="str">
        <f t="shared" si="233"/>
        <v/>
      </c>
      <c r="M757" s="2" t="str">
        <f t="shared" si="242"/>
        <v/>
      </c>
      <c r="N757" s="2" t="str">
        <f t="shared" si="250"/>
        <v/>
      </c>
      <c r="O757" s="2" t="str">
        <f t="shared" si="243"/>
        <v/>
      </c>
      <c r="P757" s="8" t="str">
        <f t="shared" si="244"/>
        <v/>
      </c>
      <c r="Q757" s="8" t="str">
        <f t="shared" si="245"/>
        <v/>
      </c>
      <c r="R757" s="111" t="str">
        <f t="shared" si="246"/>
        <v/>
      </c>
      <c r="S757" s="44" t="str">
        <f t="shared" si="247"/>
        <v/>
      </c>
      <c r="T757" s="37" t="str">
        <f t="shared" si="248"/>
        <v/>
      </c>
      <c r="U757" s="44" t="str">
        <f t="shared" si="249"/>
        <v/>
      </c>
      <c r="V757" s="26"/>
      <c r="W757" s="26"/>
      <c r="X757" s="26"/>
      <c r="Y757" s="26"/>
      <c r="Z757" s="24"/>
      <c r="AA757" s="169">
        <f t="shared" si="234"/>
        <v>0</v>
      </c>
      <c r="AB757" s="4">
        <f t="shared" si="235"/>
        <v>0</v>
      </c>
      <c r="AC757" s="170">
        <f t="shared" si="252"/>
        <v>0</v>
      </c>
      <c r="AD757" s="58"/>
      <c r="AE757" s="58"/>
      <c r="AF757" s="58"/>
      <c r="AG757" s="59">
        <f t="shared" si="236"/>
        <v>9.0359999999999996</v>
      </c>
      <c r="AH757" s="59">
        <f t="shared" si="237"/>
        <v>-184.49199999999999</v>
      </c>
      <c r="AJ757" s="4">
        <f>IF(D757="M",IF(AM757&lt;78,BMILMS!$D$5*AM757^3+BMILMS!$E$5*AM757^2+BMILMS!$F$5*AM757+BMILMS!$G$5,IF(AM757&lt;150,BMILMS!$D$6*AM757^3+BMILMS!$E$6*AM757^2+BMILMS!$F$6*AM757+BMILMS!$G$6,BMILMS!$D$7*AM757^3+BMILMS!$E$7*AM757^2+BMILMS!$F$7*AM757+BMILMS!$G$7)),IF(AM757&lt;69,BMILMS!$D$9*AM757^3+BMILMS!$E$9*AM757^2+BMILMS!$F$9*AM757+BMILMS!$G$9,IF(AM757&lt;150,BMILMS!$D$10*AM757^3+BMILMS!$E$10*AM757^2+BMILMS!$F$10*AM757+BMILMS!$G$10,BMILMS!$D$11*AM757^3+BMILMS!$E$11*AM757^2+BMILMS!$F$11*AM757+BMILMS!$G$11)))</f>
        <v>0.79584630099999998</v>
      </c>
      <c r="AK757" s="4">
        <f>IF(D757="M",(IF(AM757&lt;2.5,BMILMS!$D$21*AM757^3+BMILMS!$E$21*AM757^2+BMILMS!$F$21*AM757+BMILMS!$G$21,IF(AM757&lt;9.5,BMILMS!$D$22*AM757^3+BMILMS!$E$22*AM757^2+BMILMS!$F$22*AM757+BMILMS!$G$22,IF(AM757&lt;26.75,BMILMS!$D$23*AM757^3+BMILMS!$E$23*AM757^2+BMILMS!$F$23*AM757+BMILMS!$G$23,IF(AM757&lt;90,BMILMS!$D$24*AM757^3+BMILMS!$E$24*AM757^2+BMILMS!$F$24*AM757+BMILMS!$G$24,BMILMS!$D$25*AM757^3+BMILMS!$E$25*AM757^2+BMILMS!$F$25*AM757+BMILMS!$G$25))))),(IF(AM757&lt;2.5,BMILMS!$D$27*AM757^3+BMILMS!$E$27*AM757^2+BMILMS!$F$27*AM757+BMILMS!$G$27,IF(AM757&lt;9.5,BMILMS!$D$28*AM757^3+BMILMS!$E$28*AM757^2+BMILMS!$F$28*AM757+BMILMS!$G$28,IF(AM757&lt;26.75,BMILMS!$D$29*AM757^3+BMILMS!$E$29*AM757^2+BMILMS!$F$29*AM757+BMILMS!$G$29,IF(AM757&lt;90,BMILMS!$D$30*AM757^3+BMILMS!$E$30*AM757^2+BMILMS!$F$30*AM757+BMILMS!$G$30,IF(AM757&lt;150,BMILMS!$D$31*AM757^3+BMILMS!$E$31*AM757^2+BMILMS!$F$31*AM757+BMILMS!$G$31,BMILMS!$D$32*AM757^3+BMILMS!$E$32*AM757^2+BMILMS!$F$32*AM757+BMILMS!$G$32)))))))</f>
        <v>12.568967990000001</v>
      </c>
      <c r="AL757" s="4">
        <f>IF(D757="M",(IF(AM757&lt;90,BMILMS!$D$14*AM757^3+BMILMS!$E$14*AM757^2+BMILMS!$F$14*AM757+BMILMS!$G$14,BMILMS!$D$15*AM757^3+BMILMS!$E$15*AM757^2+BMILMS!$F$15*AM757+BMILMS!$G$15)),(IF(AM757&lt;90,BMILMS!$D$17*AM757^3+BMILMS!$E$17*AM757^2+BMILMS!$F$17*AM757+BMILMS!$G$17,BMILMS!$D$18*AM757^3+BMILMS!$E$18*AM757^2+BMILMS!$F$18*AM757+BMILMS!$G$18)))</f>
        <v>8.8969350000000003E-2</v>
      </c>
      <c r="AM757" s="4">
        <f t="shared" si="251"/>
        <v>0</v>
      </c>
      <c r="AO757" s="56">
        <f>IF(D757="M",WeightSDS!P$5*$AM757^7+WeightSDS!Q$5*$AM757^6+WeightSDS!R$5*$AM757^5+WeightSDS!S$5*$AM757^4+WeightSDS!T$5*$AM757^3+WeightSDS!U$5*$AM757^2+WeightSDS!V$5*$AM757+WeightSDS!W$5,IF($AM757&lt;186,WeightSDS!P$8*$AM757^7+WeightSDS!Q$8*$AM757^6+WeightSDS!R$8*$AM757^5+WeightSDS!S$8*$AM757^4+WeightSDS!T$8*$AM757^3+WeightSDS!U$8*$AM757^2+WeightSDS!V$8*$AM757+WeightSDS!W$8,WeightSDS!$U$9+WeightSDS!$V$9*($AM757-WeightSDS!$W$9)))</f>
        <v>0.75407122999999998</v>
      </c>
      <c r="AP757" s="4">
        <f>IF(D757="M",IF($AM757&lt;45,WeightSDS!M$23*$AM757^10+WeightSDS!N$23*$AM757^9+WeightSDS!O$23*$AM757^8+WeightSDS!P$23*$AM757^7+WeightSDS!Q$23*$AM757^6+WeightSDS!R$23*$AM757^5+WeightSDS!S$23*$AM757^4+WeightSDS!T$23*$AM757^3+WeightSDS!U$23*$AM757^2+WeightSDS!V$23*$AM757+WeightSDS!W$23,IF($AM757&lt;153,WeightSDS!M$25*$AM757^10+WeightSDS!N$25*$AM757^9+WeightSDS!O$25*$AM757^8+WeightSDS!P$25*$AM757^7+WeightSDS!Q$25*$AM757^6+WeightSDS!R$25*$AM757^5+WeightSDS!S$25*$AM757^4+WeightSDS!T$25*$AM757^3+WeightSDS!U$25*$AM757^2+WeightSDS!V$25*$AM757+WeightSDS!W$25,WeightSDS!M$27+WeightSDS!N$27/(1+EXP(WeightSDS!O$27+WeightSDS!P$27*$AM757)))),IF($AM757&lt;43.8,WeightSDS!M$29*$AM757^10+WeightSDS!N$29*$AM757^9+WeightSDS!O$29*$AM757^8+WeightSDS!P$29*$AM757^7+WeightSDS!Q$29*$AM757^6+WeightSDS!R$29*$AM757^5+WeightSDS!S$29*$AM757^4+WeightSDS!T$29*$AM757^3+WeightSDS!U$29*$AM757^2+WeightSDS!V$29*$AM757+WeightSDS!W$29-0.010431*(1-$AM757/210),IF($AM757&lt;123,WeightSDS!M$30*$AM757^10+WeightSDS!N$30*$AM757^9+WeightSDS!O$30*$AM757^8+WeightSDS!P$30*$AM757^7+WeightSDS!Q$30*$AM757^6+WeightSDS!R$30*$AM757^5+WeightSDS!S$30*$AM757^4+WeightSDS!T$30*$AM757^3+WeightSDS!U$30*$AM757^2+WeightSDS!V$30*$AM757+WeightSDS!W$30-0.010431*(1-1/$AM757),WeightSDS!M$32+WeightSDS!N$32/(1+EXP(WeightSDS!O$32+WeightSDS!P$32*$AM757))-0.010431*(1-$AM757/210))))</f>
        <v>2.9500001032655536</v>
      </c>
      <c r="AQ757" s="4">
        <f>IF(D757="M",IF($AM757&lt;162,WeightSDS!P$12*$AM757^7+WeightSDS!Q$12*$AM757^6+WeightSDS!R$12*$AM757^5+WeightSDS!S$12*$AM757^4+WeightSDS!T$12*$AM757^3+WeightSDS!U$12*$AM757^2+WeightSDS!V$12*$AM757+WeightSDS!W$12,WeightSDS!P$14*$AM757^7+WeightSDS!Q$14*$AM757^6+WeightSDS!R$14*$AM757^5+WeightSDS!S$14*$AM757^4+WeightSDS!T$14*$AM757^3+WeightSDS!U$14*$AM757^2+WeightSDS!V$14*$AM757+WeightSDS!W$14),IF($AM757&lt;156,WeightSDS!O$17*$AM757^8+WeightSDS!P$17*$AM757^7+WeightSDS!Q$17*$AM757^6+WeightSDS!R$17*$AM757^5+WeightSDS!S$17*$AM757^4+WeightSDS!T$17*$AM757^3+WeightSDS!U$17*$AM757^2+WeightSDS!V$17*$AM757+WeightSDS!W$17,IF($AM757&lt;186,WeightSDS!$U$18+(WeightSDS!$V$18-WeightSDS!$U$18)/24*($AM757-186)+WeightSDS!$W$18*(-$AM757+186)^2-0.005,WeightSDS!$U$18+(WeightSDS!$V$18-WeightSDS!$U$18)/24*($AM757-186)-0.005)))</f>
        <v>0.14604529399999999</v>
      </c>
      <c r="AT757" s="4">
        <f t="shared" si="238"/>
        <v>0.56299999999999994</v>
      </c>
      <c r="AU757" s="4">
        <f t="shared" si="239"/>
        <v>69</v>
      </c>
      <c r="AV757" s="4">
        <f t="shared" si="240"/>
        <v>0.51</v>
      </c>
    </row>
    <row r="758" spans="1:48" x14ac:dyDescent="0.15">
      <c r="A758" s="4"/>
      <c r="B758" s="21"/>
      <c r="C758" s="21"/>
      <c r="D758" s="21"/>
      <c r="E758" s="22"/>
      <c r="F758" s="22"/>
      <c r="G758" s="23"/>
      <c r="H758" s="23"/>
      <c r="I758" s="181"/>
      <c r="J758" s="8" t="str">
        <f t="shared" si="232"/>
        <v/>
      </c>
      <c r="K758" s="2" t="str">
        <f t="shared" si="241"/>
        <v/>
      </c>
      <c r="L758" s="2" t="str">
        <f t="shared" si="233"/>
        <v/>
      </c>
      <c r="M758" s="2" t="str">
        <f t="shared" si="242"/>
        <v/>
      </c>
      <c r="N758" s="2" t="str">
        <f t="shared" si="250"/>
        <v/>
      </c>
      <c r="O758" s="2" t="str">
        <f t="shared" si="243"/>
        <v/>
      </c>
      <c r="P758" s="8" t="str">
        <f t="shared" si="244"/>
        <v/>
      </c>
      <c r="Q758" s="8" t="str">
        <f t="shared" si="245"/>
        <v/>
      </c>
      <c r="R758" s="111" t="str">
        <f t="shared" si="246"/>
        <v/>
      </c>
      <c r="S758" s="44" t="str">
        <f t="shared" si="247"/>
        <v/>
      </c>
      <c r="T758" s="37" t="str">
        <f t="shared" si="248"/>
        <v/>
      </c>
      <c r="U758" s="44" t="str">
        <f t="shared" si="249"/>
        <v/>
      </c>
      <c r="V758" s="26"/>
      <c r="W758" s="26"/>
      <c r="X758" s="26"/>
      <c r="Y758" s="26"/>
      <c r="Z758" s="24"/>
      <c r="AA758" s="169">
        <f t="shared" si="234"/>
        <v>0</v>
      </c>
      <c r="AB758" s="4">
        <f t="shared" si="235"/>
        <v>0</v>
      </c>
      <c r="AC758" s="170">
        <f t="shared" si="252"/>
        <v>0</v>
      </c>
      <c r="AD758" s="58"/>
      <c r="AE758" s="58"/>
      <c r="AF758" s="58"/>
      <c r="AG758" s="59">
        <f t="shared" si="236"/>
        <v>9.0359999999999996</v>
      </c>
      <c r="AH758" s="59">
        <f t="shared" si="237"/>
        <v>-184.49199999999999</v>
      </c>
      <c r="AJ758" s="4">
        <f>IF(D758="M",IF(AM758&lt;78,BMILMS!$D$5*AM758^3+BMILMS!$E$5*AM758^2+BMILMS!$F$5*AM758+BMILMS!$G$5,IF(AM758&lt;150,BMILMS!$D$6*AM758^3+BMILMS!$E$6*AM758^2+BMILMS!$F$6*AM758+BMILMS!$G$6,BMILMS!$D$7*AM758^3+BMILMS!$E$7*AM758^2+BMILMS!$F$7*AM758+BMILMS!$G$7)),IF(AM758&lt;69,BMILMS!$D$9*AM758^3+BMILMS!$E$9*AM758^2+BMILMS!$F$9*AM758+BMILMS!$G$9,IF(AM758&lt;150,BMILMS!$D$10*AM758^3+BMILMS!$E$10*AM758^2+BMILMS!$F$10*AM758+BMILMS!$G$10,BMILMS!$D$11*AM758^3+BMILMS!$E$11*AM758^2+BMILMS!$F$11*AM758+BMILMS!$G$11)))</f>
        <v>0.79584630099999998</v>
      </c>
      <c r="AK758" s="4">
        <f>IF(D758="M",(IF(AM758&lt;2.5,BMILMS!$D$21*AM758^3+BMILMS!$E$21*AM758^2+BMILMS!$F$21*AM758+BMILMS!$G$21,IF(AM758&lt;9.5,BMILMS!$D$22*AM758^3+BMILMS!$E$22*AM758^2+BMILMS!$F$22*AM758+BMILMS!$G$22,IF(AM758&lt;26.75,BMILMS!$D$23*AM758^3+BMILMS!$E$23*AM758^2+BMILMS!$F$23*AM758+BMILMS!$G$23,IF(AM758&lt;90,BMILMS!$D$24*AM758^3+BMILMS!$E$24*AM758^2+BMILMS!$F$24*AM758+BMILMS!$G$24,BMILMS!$D$25*AM758^3+BMILMS!$E$25*AM758^2+BMILMS!$F$25*AM758+BMILMS!$G$25))))),(IF(AM758&lt;2.5,BMILMS!$D$27*AM758^3+BMILMS!$E$27*AM758^2+BMILMS!$F$27*AM758+BMILMS!$G$27,IF(AM758&lt;9.5,BMILMS!$D$28*AM758^3+BMILMS!$E$28*AM758^2+BMILMS!$F$28*AM758+BMILMS!$G$28,IF(AM758&lt;26.75,BMILMS!$D$29*AM758^3+BMILMS!$E$29*AM758^2+BMILMS!$F$29*AM758+BMILMS!$G$29,IF(AM758&lt;90,BMILMS!$D$30*AM758^3+BMILMS!$E$30*AM758^2+BMILMS!$F$30*AM758+BMILMS!$G$30,IF(AM758&lt;150,BMILMS!$D$31*AM758^3+BMILMS!$E$31*AM758^2+BMILMS!$F$31*AM758+BMILMS!$G$31,BMILMS!$D$32*AM758^3+BMILMS!$E$32*AM758^2+BMILMS!$F$32*AM758+BMILMS!$G$32)))))))</f>
        <v>12.568967990000001</v>
      </c>
      <c r="AL758" s="4">
        <f>IF(D758="M",(IF(AM758&lt;90,BMILMS!$D$14*AM758^3+BMILMS!$E$14*AM758^2+BMILMS!$F$14*AM758+BMILMS!$G$14,BMILMS!$D$15*AM758^3+BMILMS!$E$15*AM758^2+BMILMS!$F$15*AM758+BMILMS!$G$15)),(IF(AM758&lt;90,BMILMS!$D$17*AM758^3+BMILMS!$E$17*AM758^2+BMILMS!$F$17*AM758+BMILMS!$G$17,BMILMS!$D$18*AM758^3+BMILMS!$E$18*AM758^2+BMILMS!$F$18*AM758+BMILMS!$G$18)))</f>
        <v>8.8969350000000003E-2</v>
      </c>
      <c r="AM758" s="4">
        <f t="shared" si="251"/>
        <v>0</v>
      </c>
      <c r="AO758" s="56">
        <f>IF(D758="M",WeightSDS!P$5*$AM758^7+WeightSDS!Q$5*$AM758^6+WeightSDS!R$5*$AM758^5+WeightSDS!S$5*$AM758^4+WeightSDS!T$5*$AM758^3+WeightSDS!U$5*$AM758^2+WeightSDS!V$5*$AM758+WeightSDS!W$5,IF($AM758&lt;186,WeightSDS!P$8*$AM758^7+WeightSDS!Q$8*$AM758^6+WeightSDS!R$8*$AM758^5+WeightSDS!S$8*$AM758^4+WeightSDS!T$8*$AM758^3+WeightSDS!U$8*$AM758^2+WeightSDS!V$8*$AM758+WeightSDS!W$8,WeightSDS!$U$9+WeightSDS!$V$9*($AM758-WeightSDS!$W$9)))</f>
        <v>0.75407122999999998</v>
      </c>
      <c r="AP758" s="4">
        <f>IF(D758="M",IF($AM758&lt;45,WeightSDS!M$23*$AM758^10+WeightSDS!N$23*$AM758^9+WeightSDS!O$23*$AM758^8+WeightSDS!P$23*$AM758^7+WeightSDS!Q$23*$AM758^6+WeightSDS!R$23*$AM758^5+WeightSDS!S$23*$AM758^4+WeightSDS!T$23*$AM758^3+WeightSDS!U$23*$AM758^2+WeightSDS!V$23*$AM758+WeightSDS!W$23,IF($AM758&lt;153,WeightSDS!M$25*$AM758^10+WeightSDS!N$25*$AM758^9+WeightSDS!O$25*$AM758^8+WeightSDS!P$25*$AM758^7+WeightSDS!Q$25*$AM758^6+WeightSDS!R$25*$AM758^5+WeightSDS!S$25*$AM758^4+WeightSDS!T$25*$AM758^3+WeightSDS!U$25*$AM758^2+WeightSDS!V$25*$AM758+WeightSDS!W$25,WeightSDS!M$27+WeightSDS!N$27/(1+EXP(WeightSDS!O$27+WeightSDS!P$27*$AM758)))),IF($AM758&lt;43.8,WeightSDS!M$29*$AM758^10+WeightSDS!N$29*$AM758^9+WeightSDS!O$29*$AM758^8+WeightSDS!P$29*$AM758^7+WeightSDS!Q$29*$AM758^6+WeightSDS!R$29*$AM758^5+WeightSDS!S$29*$AM758^4+WeightSDS!T$29*$AM758^3+WeightSDS!U$29*$AM758^2+WeightSDS!V$29*$AM758+WeightSDS!W$29-0.010431*(1-$AM758/210),IF($AM758&lt;123,WeightSDS!M$30*$AM758^10+WeightSDS!N$30*$AM758^9+WeightSDS!O$30*$AM758^8+WeightSDS!P$30*$AM758^7+WeightSDS!Q$30*$AM758^6+WeightSDS!R$30*$AM758^5+WeightSDS!S$30*$AM758^4+WeightSDS!T$30*$AM758^3+WeightSDS!U$30*$AM758^2+WeightSDS!V$30*$AM758+WeightSDS!W$30-0.010431*(1-1/$AM758),WeightSDS!M$32+WeightSDS!N$32/(1+EXP(WeightSDS!O$32+WeightSDS!P$32*$AM758))-0.010431*(1-$AM758/210))))</f>
        <v>2.9500001032655536</v>
      </c>
      <c r="AQ758" s="4">
        <f>IF(D758="M",IF($AM758&lt;162,WeightSDS!P$12*$AM758^7+WeightSDS!Q$12*$AM758^6+WeightSDS!R$12*$AM758^5+WeightSDS!S$12*$AM758^4+WeightSDS!T$12*$AM758^3+WeightSDS!U$12*$AM758^2+WeightSDS!V$12*$AM758+WeightSDS!W$12,WeightSDS!P$14*$AM758^7+WeightSDS!Q$14*$AM758^6+WeightSDS!R$14*$AM758^5+WeightSDS!S$14*$AM758^4+WeightSDS!T$14*$AM758^3+WeightSDS!U$14*$AM758^2+WeightSDS!V$14*$AM758+WeightSDS!W$14),IF($AM758&lt;156,WeightSDS!O$17*$AM758^8+WeightSDS!P$17*$AM758^7+WeightSDS!Q$17*$AM758^6+WeightSDS!R$17*$AM758^5+WeightSDS!S$17*$AM758^4+WeightSDS!T$17*$AM758^3+WeightSDS!U$17*$AM758^2+WeightSDS!V$17*$AM758+WeightSDS!W$17,IF($AM758&lt;186,WeightSDS!$U$18+(WeightSDS!$V$18-WeightSDS!$U$18)/24*($AM758-186)+WeightSDS!$W$18*(-$AM758+186)^2-0.005,WeightSDS!$U$18+(WeightSDS!$V$18-WeightSDS!$U$18)/24*($AM758-186)-0.005)))</f>
        <v>0.14604529399999999</v>
      </c>
      <c r="AT758" s="4">
        <f t="shared" si="238"/>
        <v>0.56299999999999994</v>
      </c>
      <c r="AU758" s="4">
        <f t="shared" si="239"/>
        <v>69</v>
      </c>
      <c r="AV758" s="4">
        <f t="shared" si="240"/>
        <v>0.51</v>
      </c>
    </row>
    <row r="759" spans="1:48" x14ac:dyDescent="0.15">
      <c r="A759" s="4"/>
      <c r="B759" s="21"/>
      <c r="C759" s="21"/>
      <c r="D759" s="21"/>
      <c r="E759" s="22"/>
      <c r="F759" s="22"/>
      <c r="G759" s="23"/>
      <c r="H759" s="23"/>
      <c r="I759" s="181"/>
      <c r="J759" s="8" t="str">
        <f t="shared" si="232"/>
        <v/>
      </c>
      <c r="K759" s="2" t="str">
        <f t="shared" si="241"/>
        <v/>
      </c>
      <c r="L759" s="2" t="str">
        <f t="shared" si="233"/>
        <v/>
      </c>
      <c r="M759" s="2" t="str">
        <f t="shared" si="242"/>
        <v/>
      </c>
      <c r="N759" s="2" t="str">
        <f t="shared" si="250"/>
        <v/>
      </c>
      <c r="O759" s="2" t="str">
        <f t="shared" si="243"/>
        <v/>
      </c>
      <c r="P759" s="8" t="str">
        <f t="shared" si="244"/>
        <v/>
      </c>
      <c r="Q759" s="8" t="str">
        <f t="shared" si="245"/>
        <v/>
      </c>
      <c r="R759" s="111" t="str">
        <f t="shared" si="246"/>
        <v/>
      </c>
      <c r="S759" s="44" t="str">
        <f t="shared" si="247"/>
        <v/>
      </c>
      <c r="T759" s="37" t="str">
        <f t="shared" si="248"/>
        <v/>
      </c>
      <c r="U759" s="44" t="str">
        <f t="shared" si="249"/>
        <v/>
      </c>
      <c r="V759" s="26"/>
      <c r="W759" s="26"/>
      <c r="X759" s="26"/>
      <c r="Y759" s="26"/>
      <c r="Z759" s="24"/>
      <c r="AA759" s="169">
        <f t="shared" si="234"/>
        <v>0</v>
      </c>
      <c r="AB759" s="4">
        <f t="shared" si="235"/>
        <v>0</v>
      </c>
      <c r="AC759" s="170">
        <f t="shared" si="252"/>
        <v>0</v>
      </c>
      <c r="AD759" s="58"/>
      <c r="AE759" s="58"/>
      <c r="AF759" s="58"/>
      <c r="AG759" s="59">
        <f t="shared" si="236"/>
        <v>9.0359999999999996</v>
      </c>
      <c r="AH759" s="59">
        <f t="shared" si="237"/>
        <v>-184.49199999999999</v>
      </c>
      <c r="AJ759" s="4">
        <f>IF(D759="M",IF(AM759&lt;78,BMILMS!$D$5*AM759^3+BMILMS!$E$5*AM759^2+BMILMS!$F$5*AM759+BMILMS!$G$5,IF(AM759&lt;150,BMILMS!$D$6*AM759^3+BMILMS!$E$6*AM759^2+BMILMS!$F$6*AM759+BMILMS!$G$6,BMILMS!$D$7*AM759^3+BMILMS!$E$7*AM759^2+BMILMS!$F$7*AM759+BMILMS!$G$7)),IF(AM759&lt;69,BMILMS!$D$9*AM759^3+BMILMS!$E$9*AM759^2+BMILMS!$F$9*AM759+BMILMS!$G$9,IF(AM759&lt;150,BMILMS!$D$10*AM759^3+BMILMS!$E$10*AM759^2+BMILMS!$F$10*AM759+BMILMS!$G$10,BMILMS!$D$11*AM759^3+BMILMS!$E$11*AM759^2+BMILMS!$F$11*AM759+BMILMS!$G$11)))</f>
        <v>0.79584630099999998</v>
      </c>
      <c r="AK759" s="4">
        <f>IF(D759="M",(IF(AM759&lt;2.5,BMILMS!$D$21*AM759^3+BMILMS!$E$21*AM759^2+BMILMS!$F$21*AM759+BMILMS!$G$21,IF(AM759&lt;9.5,BMILMS!$D$22*AM759^3+BMILMS!$E$22*AM759^2+BMILMS!$F$22*AM759+BMILMS!$G$22,IF(AM759&lt;26.75,BMILMS!$D$23*AM759^3+BMILMS!$E$23*AM759^2+BMILMS!$F$23*AM759+BMILMS!$G$23,IF(AM759&lt;90,BMILMS!$D$24*AM759^3+BMILMS!$E$24*AM759^2+BMILMS!$F$24*AM759+BMILMS!$G$24,BMILMS!$D$25*AM759^3+BMILMS!$E$25*AM759^2+BMILMS!$F$25*AM759+BMILMS!$G$25))))),(IF(AM759&lt;2.5,BMILMS!$D$27*AM759^3+BMILMS!$E$27*AM759^2+BMILMS!$F$27*AM759+BMILMS!$G$27,IF(AM759&lt;9.5,BMILMS!$D$28*AM759^3+BMILMS!$E$28*AM759^2+BMILMS!$F$28*AM759+BMILMS!$G$28,IF(AM759&lt;26.75,BMILMS!$D$29*AM759^3+BMILMS!$E$29*AM759^2+BMILMS!$F$29*AM759+BMILMS!$G$29,IF(AM759&lt;90,BMILMS!$D$30*AM759^3+BMILMS!$E$30*AM759^2+BMILMS!$F$30*AM759+BMILMS!$G$30,IF(AM759&lt;150,BMILMS!$D$31*AM759^3+BMILMS!$E$31*AM759^2+BMILMS!$F$31*AM759+BMILMS!$G$31,BMILMS!$D$32*AM759^3+BMILMS!$E$32*AM759^2+BMILMS!$F$32*AM759+BMILMS!$G$32)))))))</f>
        <v>12.568967990000001</v>
      </c>
      <c r="AL759" s="4">
        <f>IF(D759="M",(IF(AM759&lt;90,BMILMS!$D$14*AM759^3+BMILMS!$E$14*AM759^2+BMILMS!$F$14*AM759+BMILMS!$G$14,BMILMS!$D$15*AM759^3+BMILMS!$E$15*AM759^2+BMILMS!$F$15*AM759+BMILMS!$G$15)),(IF(AM759&lt;90,BMILMS!$D$17*AM759^3+BMILMS!$E$17*AM759^2+BMILMS!$F$17*AM759+BMILMS!$G$17,BMILMS!$D$18*AM759^3+BMILMS!$E$18*AM759^2+BMILMS!$F$18*AM759+BMILMS!$G$18)))</f>
        <v>8.8969350000000003E-2</v>
      </c>
      <c r="AM759" s="4">
        <f t="shared" si="251"/>
        <v>0</v>
      </c>
      <c r="AO759" s="56">
        <f>IF(D759="M",WeightSDS!P$5*$AM759^7+WeightSDS!Q$5*$AM759^6+WeightSDS!R$5*$AM759^5+WeightSDS!S$5*$AM759^4+WeightSDS!T$5*$AM759^3+WeightSDS!U$5*$AM759^2+WeightSDS!V$5*$AM759+WeightSDS!W$5,IF($AM759&lt;186,WeightSDS!P$8*$AM759^7+WeightSDS!Q$8*$AM759^6+WeightSDS!R$8*$AM759^5+WeightSDS!S$8*$AM759^4+WeightSDS!T$8*$AM759^3+WeightSDS!U$8*$AM759^2+WeightSDS!V$8*$AM759+WeightSDS!W$8,WeightSDS!$U$9+WeightSDS!$V$9*($AM759-WeightSDS!$W$9)))</f>
        <v>0.75407122999999998</v>
      </c>
      <c r="AP759" s="4">
        <f>IF(D759="M",IF($AM759&lt;45,WeightSDS!M$23*$AM759^10+WeightSDS!N$23*$AM759^9+WeightSDS!O$23*$AM759^8+WeightSDS!P$23*$AM759^7+WeightSDS!Q$23*$AM759^6+WeightSDS!R$23*$AM759^5+WeightSDS!S$23*$AM759^4+WeightSDS!T$23*$AM759^3+WeightSDS!U$23*$AM759^2+WeightSDS!V$23*$AM759+WeightSDS!W$23,IF($AM759&lt;153,WeightSDS!M$25*$AM759^10+WeightSDS!N$25*$AM759^9+WeightSDS!O$25*$AM759^8+WeightSDS!P$25*$AM759^7+WeightSDS!Q$25*$AM759^6+WeightSDS!R$25*$AM759^5+WeightSDS!S$25*$AM759^4+WeightSDS!T$25*$AM759^3+WeightSDS!U$25*$AM759^2+WeightSDS!V$25*$AM759+WeightSDS!W$25,WeightSDS!M$27+WeightSDS!N$27/(1+EXP(WeightSDS!O$27+WeightSDS!P$27*$AM759)))),IF($AM759&lt;43.8,WeightSDS!M$29*$AM759^10+WeightSDS!N$29*$AM759^9+WeightSDS!O$29*$AM759^8+WeightSDS!P$29*$AM759^7+WeightSDS!Q$29*$AM759^6+WeightSDS!R$29*$AM759^5+WeightSDS!S$29*$AM759^4+WeightSDS!T$29*$AM759^3+WeightSDS!U$29*$AM759^2+WeightSDS!V$29*$AM759+WeightSDS!W$29-0.010431*(1-$AM759/210),IF($AM759&lt;123,WeightSDS!M$30*$AM759^10+WeightSDS!N$30*$AM759^9+WeightSDS!O$30*$AM759^8+WeightSDS!P$30*$AM759^7+WeightSDS!Q$30*$AM759^6+WeightSDS!R$30*$AM759^5+WeightSDS!S$30*$AM759^4+WeightSDS!T$30*$AM759^3+WeightSDS!U$30*$AM759^2+WeightSDS!V$30*$AM759+WeightSDS!W$30-0.010431*(1-1/$AM759),WeightSDS!M$32+WeightSDS!N$32/(1+EXP(WeightSDS!O$32+WeightSDS!P$32*$AM759))-0.010431*(1-$AM759/210))))</f>
        <v>2.9500001032655536</v>
      </c>
      <c r="AQ759" s="4">
        <f>IF(D759="M",IF($AM759&lt;162,WeightSDS!P$12*$AM759^7+WeightSDS!Q$12*$AM759^6+WeightSDS!R$12*$AM759^5+WeightSDS!S$12*$AM759^4+WeightSDS!T$12*$AM759^3+WeightSDS!U$12*$AM759^2+WeightSDS!V$12*$AM759+WeightSDS!W$12,WeightSDS!P$14*$AM759^7+WeightSDS!Q$14*$AM759^6+WeightSDS!R$14*$AM759^5+WeightSDS!S$14*$AM759^4+WeightSDS!T$14*$AM759^3+WeightSDS!U$14*$AM759^2+WeightSDS!V$14*$AM759+WeightSDS!W$14),IF($AM759&lt;156,WeightSDS!O$17*$AM759^8+WeightSDS!P$17*$AM759^7+WeightSDS!Q$17*$AM759^6+WeightSDS!R$17*$AM759^5+WeightSDS!S$17*$AM759^4+WeightSDS!T$17*$AM759^3+WeightSDS!U$17*$AM759^2+WeightSDS!V$17*$AM759+WeightSDS!W$17,IF($AM759&lt;186,WeightSDS!$U$18+(WeightSDS!$V$18-WeightSDS!$U$18)/24*($AM759-186)+WeightSDS!$W$18*(-$AM759+186)^2-0.005,WeightSDS!$U$18+(WeightSDS!$V$18-WeightSDS!$U$18)/24*($AM759-186)-0.005)))</f>
        <v>0.14604529399999999</v>
      </c>
      <c r="AT759" s="4">
        <f t="shared" si="238"/>
        <v>0.56299999999999994</v>
      </c>
      <c r="AU759" s="4">
        <f t="shared" si="239"/>
        <v>69</v>
      </c>
      <c r="AV759" s="4">
        <f t="shared" si="240"/>
        <v>0.51</v>
      </c>
    </row>
    <row r="760" spans="1:48" x14ac:dyDescent="0.15">
      <c r="A760" s="4"/>
      <c r="B760" s="21"/>
      <c r="C760" s="21"/>
      <c r="D760" s="21"/>
      <c r="E760" s="22"/>
      <c r="F760" s="22"/>
      <c r="G760" s="23"/>
      <c r="H760" s="23"/>
      <c r="I760" s="181"/>
      <c r="J760" s="8" t="str">
        <f t="shared" si="232"/>
        <v/>
      </c>
      <c r="K760" s="2" t="str">
        <f t="shared" si="241"/>
        <v/>
      </c>
      <c r="L760" s="2" t="str">
        <f t="shared" si="233"/>
        <v/>
      </c>
      <c r="M760" s="2" t="str">
        <f t="shared" si="242"/>
        <v/>
      </c>
      <c r="N760" s="2" t="str">
        <f t="shared" si="250"/>
        <v/>
      </c>
      <c r="O760" s="2" t="str">
        <f t="shared" si="243"/>
        <v/>
      </c>
      <c r="P760" s="8" t="str">
        <f t="shared" si="244"/>
        <v/>
      </c>
      <c r="Q760" s="8" t="str">
        <f t="shared" si="245"/>
        <v/>
      </c>
      <c r="R760" s="111" t="str">
        <f t="shared" si="246"/>
        <v/>
      </c>
      <c r="S760" s="44" t="str">
        <f t="shared" si="247"/>
        <v/>
      </c>
      <c r="T760" s="37" t="str">
        <f t="shared" si="248"/>
        <v/>
      </c>
      <c r="U760" s="44" t="str">
        <f t="shared" si="249"/>
        <v/>
      </c>
      <c r="V760" s="26"/>
      <c r="W760" s="26"/>
      <c r="X760" s="26"/>
      <c r="Y760" s="26"/>
      <c r="Z760" s="24"/>
      <c r="AA760" s="169">
        <f t="shared" si="234"/>
        <v>0</v>
      </c>
      <c r="AB760" s="4">
        <f t="shared" si="235"/>
        <v>0</v>
      </c>
      <c r="AC760" s="170">
        <f t="shared" si="252"/>
        <v>0</v>
      </c>
      <c r="AD760" s="58"/>
      <c r="AE760" s="58"/>
      <c r="AF760" s="58"/>
      <c r="AG760" s="59">
        <f t="shared" si="236"/>
        <v>9.0359999999999996</v>
      </c>
      <c r="AH760" s="59">
        <f t="shared" si="237"/>
        <v>-184.49199999999999</v>
      </c>
      <c r="AJ760" s="4">
        <f>IF(D760="M",IF(AM760&lt;78,BMILMS!$D$5*AM760^3+BMILMS!$E$5*AM760^2+BMILMS!$F$5*AM760+BMILMS!$G$5,IF(AM760&lt;150,BMILMS!$D$6*AM760^3+BMILMS!$E$6*AM760^2+BMILMS!$F$6*AM760+BMILMS!$G$6,BMILMS!$D$7*AM760^3+BMILMS!$E$7*AM760^2+BMILMS!$F$7*AM760+BMILMS!$G$7)),IF(AM760&lt;69,BMILMS!$D$9*AM760^3+BMILMS!$E$9*AM760^2+BMILMS!$F$9*AM760+BMILMS!$G$9,IF(AM760&lt;150,BMILMS!$D$10*AM760^3+BMILMS!$E$10*AM760^2+BMILMS!$F$10*AM760+BMILMS!$G$10,BMILMS!$D$11*AM760^3+BMILMS!$E$11*AM760^2+BMILMS!$F$11*AM760+BMILMS!$G$11)))</f>
        <v>0.79584630099999998</v>
      </c>
      <c r="AK760" s="4">
        <f>IF(D760="M",(IF(AM760&lt;2.5,BMILMS!$D$21*AM760^3+BMILMS!$E$21*AM760^2+BMILMS!$F$21*AM760+BMILMS!$G$21,IF(AM760&lt;9.5,BMILMS!$D$22*AM760^3+BMILMS!$E$22*AM760^2+BMILMS!$F$22*AM760+BMILMS!$G$22,IF(AM760&lt;26.75,BMILMS!$D$23*AM760^3+BMILMS!$E$23*AM760^2+BMILMS!$F$23*AM760+BMILMS!$G$23,IF(AM760&lt;90,BMILMS!$D$24*AM760^3+BMILMS!$E$24*AM760^2+BMILMS!$F$24*AM760+BMILMS!$G$24,BMILMS!$D$25*AM760^3+BMILMS!$E$25*AM760^2+BMILMS!$F$25*AM760+BMILMS!$G$25))))),(IF(AM760&lt;2.5,BMILMS!$D$27*AM760^3+BMILMS!$E$27*AM760^2+BMILMS!$F$27*AM760+BMILMS!$G$27,IF(AM760&lt;9.5,BMILMS!$D$28*AM760^3+BMILMS!$E$28*AM760^2+BMILMS!$F$28*AM760+BMILMS!$G$28,IF(AM760&lt;26.75,BMILMS!$D$29*AM760^3+BMILMS!$E$29*AM760^2+BMILMS!$F$29*AM760+BMILMS!$G$29,IF(AM760&lt;90,BMILMS!$D$30*AM760^3+BMILMS!$E$30*AM760^2+BMILMS!$F$30*AM760+BMILMS!$G$30,IF(AM760&lt;150,BMILMS!$D$31*AM760^3+BMILMS!$E$31*AM760^2+BMILMS!$F$31*AM760+BMILMS!$G$31,BMILMS!$D$32*AM760^3+BMILMS!$E$32*AM760^2+BMILMS!$F$32*AM760+BMILMS!$G$32)))))))</f>
        <v>12.568967990000001</v>
      </c>
      <c r="AL760" s="4">
        <f>IF(D760="M",(IF(AM760&lt;90,BMILMS!$D$14*AM760^3+BMILMS!$E$14*AM760^2+BMILMS!$F$14*AM760+BMILMS!$G$14,BMILMS!$D$15*AM760^3+BMILMS!$E$15*AM760^2+BMILMS!$F$15*AM760+BMILMS!$G$15)),(IF(AM760&lt;90,BMILMS!$D$17*AM760^3+BMILMS!$E$17*AM760^2+BMILMS!$F$17*AM760+BMILMS!$G$17,BMILMS!$D$18*AM760^3+BMILMS!$E$18*AM760^2+BMILMS!$F$18*AM760+BMILMS!$G$18)))</f>
        <v>8.8969350000000003E-2</v>
      </c>
      <c r="AM760" s="4">
        <f t="shared" si="251"/>
        <v>0</v>
      </c>
      <c r="AO760" s="56">
        <f>IF(D760="M",WeightSDS!P$5*$AM760^7+WeightSDS!Q$5*$AM760^6+WeightSDS!R$5*$AM760^5+WeightSDS!S$5*$AM760^4+WeightSDS!T$5*$AM760^3+WeightSDS!U$5*$AM760^2+WeightSDS!V$5*$AM760+WeightSDS!W$5,IF($AM760&lt;186,WeightSDS!P$8*$AM760^7+WeightSDS!Q$8*$AM760^6+WeightSDS!R$8*$AM760^5+WeightSDS!S$8*$AM760^4+WeightSDS!T$8*$AM760^3+WeightSDS!U$8*$AM760^2+WeightSDS!V$8*$AM760+WeightSDS!W$8,WeightSDS!$U$9+WeightSDS!$V$9*($AM760-WeightSDS!$W$9)))</f>
        <v>0.75407122999999998</v>
      </c>
      <c r="AP760" s="4">
        <f>IF(D760="M",IF($AM760&lt;45,WeightSDS!M$23*$AM760^10+WeightSDS!N$23*$AM760^9+WeightSDS!O$23*$AM760^8+WeightSDS!P$23*$AM760^7+WeightSDS!Q$23*$AM760^6+WeightSDS!R$23*$AM760^5+WeightSDS!S$23*$AM760^4+WeightSDS!T$23*$AM760^3+WeightSDS!U$23*$AM760^2+WeightSDS!V$23*$AM760+WeightSDS!W$23,IF($AM760&lt;153,WeightSDS!M$25*$AM760^10+WeightSDS!N$25*$AM760^9+WeightSDS!O$25*$AM760^8+WeightSDS!P$25*$AM760^7+WeightSDS!Q$25*$AM760^6+WeightSDS!R$25*$AM760^5+WeightSDS!S$25*$AM760^4+WeightSDS!T$25*$AM760^3+WeightSDS!U$25*$AM760^2+WeightSDS!V$25*$AM760+WeightSDS!W$25,WeightSDS!M$27+WeightSDS!N$27/(1+EXP(WeightSDS!O$27+WeightSDS!P$27*$AM760)))),IF($AM760&lt;43.8,WeightSDS!M$29*$AM760^10+WeightSDS!N$29*$AM760^9+WeightSDS!O$29*$AM760^8+WeightSDS!P$29*$AM760^7+WeightSDS!Q$29*$AM760^6+WeightSDS!R$29*$AM760^5+WeightSDS!S$29*$AM760^4+WeightSDS!T$29*$AM760^3+WeightSDS!U$29*$AM760^2+WeightSDS!V$29*$AM760+WeightSDS!W$29-0.010431*(1-$AM760/210),IF($AM760&lt;123,WeightSDS!M$30*$AM760^10+WeightSDS!N$30*$AM760^9+WeightSDS!O$30*$AM760^8+WeightSDS!P$30*$AM760^7+WeightSDS!Q$30*$AM760^6+WeightSDS!R$30*$AM760^5+WeightSDS!S$30*$AM760^4+WeightSDS!T$30*$AM760^3+WeightSDS!U$30*$AM760^2+WeightSDS!V$30*$AM760+WeightSDS!W$30-0.010431*(1-1/$AM760),WeightSDS!M$32+WeightSDS!N$32/(1+EXP(WeightSDS!O$32+WeightSDS!P$32*$AM760))-0.010431*(1-$AM760/210))))</f>
        <v>2.9500001032655536</v>
      </c>
      <c r="AQ760" s="4">
        <f>IF(D760="M",IF($AM760&lt;162,WeightSDS!P$12*$AM760^7+WeightSDS!Q$12*$AM760^6+WeightSDS!R$12*$AM760^5+WeightSDS!S$12*$AM760^4+WeightSDS!T$12*$AM760^3+WeightSDS!U$12*$AM760^2+WeightSDS!V$12*$AM760+WeightSDS!W$12,WeightSDS!P$14*$AM760^7+WeightSDS!Q$14*$AM760^6+WeightSDS!R$14*$AM760^5+WeightSDS!S$14*$AM760^4+WeightSDS!T$14*$AM760^3+WeightSDS!U$14*$AM760^2+WeightSDS!V$14*$AM760+WeightSDS!W$14),IF($AM760&lt;156,WeightSDS!O$17*$AM760^8+WeightSDS!P$17*$AM760^7+WeightSDS!Q$17*$AM760^6+WeightSDS!R$17*$AM760^5+WeightSDS!S$17*$AM760^4+WeightSDS!T$17*$AM760^3+WeightSDS!U$17*$AM760^2+WeightSDS!V$17*$AM760+WeightSDS!W$17,IF($AM760&lt;186,WeightSDS!$U$18+(WeightSDS!$V$18-WeightSDS!$U$18)/24*($AM760-186)+WeightSDS!$W$18*(-$AM760+186)^2-0.005,WeightSDS!$U$18+(WeightSDS!$V$18-WeightSDS!$U$18)/24*($AM760-186)-0.005)))</f>
        <v>0.14604529399999999</v>
      </c>
      <c r="AT760" s="4">
        <f t="shared" si="238"/>
        <v>0.56299999999999994</v>
      </c>
      <c r="AU760" s="4">
        <f t="shared" si="239"/>
        <v>69</v>
      </c>
      <c r="AV760" s="4">
        <f t="shared" si="240"/>
        <v>0.51</v>
      </c>
    </row>
    <row r="761" spans="1:48" x14ac:dyDescent="0.15">
      <c r="A761" s="4"/>
      <c r="B761" s="21"/>
      <c r="C761" s="21"/>
      <c r="D761" s="21"/>
      <c r="E761" s="22"/>
      <c r="F761" s="22"/>
      <c r="G761" s="23"/>
      <c r="H761" s="23"/>
      <c r="I761" s="181"/>
      <c r="J761" s="8" t="str">
        <f t="shared" si="232"/>
        <v/>
      </c>
      <c r="K761" s="2" t="str">
        <f t="shared" si="241"/>
        <v/>
      </c>
      <c r="L761" s="2" t="str">
        <f t="shared" si="233"/>
        <v/>
      </c>
      <c r="M761" s="2" t="str">
        <f t="shared" si="242"/>
        <v/>
      </c>
      <c r="N761" s="2" t="str">
        <f t="shared" si="250"/>
        <v/>
      </c>
      <c r="O761" s="2" t="str">
        <f t="shared" si="243"/>
        <v/>
      </c>
      <c r="P761" s="8" t="str">
        <f t="shared" si="244"/>
        <v/>
      </c>
      <c r="Q761" s="8" t="str">
        <f t="shared" si="245"/>
        <v/>
      </c>
      <c r="R761" s="111" t="str">
        <f t="shared" si="246"/>
        <v/>
      </c>
      <c r="S761" s="44" t="str">
        <f t="shared" si="247"/>
        <v/>
      </c>
      <c r="T761" s="37" t="str">
        <f t="shared" si="248"/>
        <v/>
      </c>
      <c r="U761" s="44" t="str">
        <f t="shared" si="249"/>
        <v/>
      </c>
      <c r="V761" s="26"/>
      <c r="W761" s="26"/>
      <c r="X761" s="26"/>
      <c r="Y761" s="26"/>
      <c r="Z761" s="24"/>
      <c r="AA761" s="169">
        <f t="shared" si="234"/>
        <v>0</v>
      </c>
      <c r="AB761" s="4">
        <f t="shared" si="235"/>
        <v>0</v>
      </c>
      <c r="AC761" s="170">
        <f t="shared" si="252"/>
        <v>0</v>
      </c>
      <c r="AD761" s="58"/>
      <c r="AE761" s="58"/>
      <c r="AF761" s="58"/>
      <c r="AG761" s="59">
        <f t="shared" si="236"/>
        <v>9.0359999999999996</v>
      </c>
      <c r="AH761" s="59">
        <f t="shared" si="237"/>
        <v>-184.49199999999999</v>
      </c>
      <c r="AJ761" s="4">
        <f>IF(D761="M",IF(AM761&lt;78,BMILMS!$D$5*AM761^3+BMILMS!$E$5*AM761^2+BMILMS!$F$5*AM761+BMILMS!$G$5,IF(AM761&lt;150,BMILMS!$D$6*AM761^3+BMILMS!$E$6*AM761^2+BMILMS!$F$6*AM761+BMILMS!$G$6,BMILMS!$D$7*AM761^3+BMILMS!$E$7*AM761^2+BMILMS!$F$7*AM761+BMILMS!$G$7)),IF(AM761&lt;69,BMILMS!$D$9*AM761^3+BMILMS!$E$9*AM761^2+BMILMS!$F$9*AM761+BMILMS!$G$9,IF(AM761&lt;150,BMILMS!$D$10*AM761^3+BMILMS!$E$10*AM761^2+BMILMS!$F$10*AM761+BMILMS!$G$10,BMILMS!$D$11*AM761^3+BMILMS!$E$11*AM761^2+BMILMS!$F$11*AM761+BMILMS!$G$11)))</f>
        <v>0.79584630099999998</v>
      </c>
      <c r="AK761" s="4">
        <f>IF(D761="M",(IF(AM761&lt;2.5,BMILMS!$D$21*AM761^3+BMILMS!$E$21*AM761^2+BMILMS!$F$21*AM761+BMILMS!$G$21,IF(AM761&lt;9.5,BMILMS!$D$22*AM761^3+BMILMS!$E$22*AM761^2+BMILMS!$F$22*AM761+BMILMS!$G$22,IF(AM761&lt;26.75,BMILMS!$D$23*AM761^3+BMILMS!$E$23*AM761^2+BMILMS!$F$23*AM761+BMILMS!$G$23,IF(AM761&lt;90,BMILMS!$D$24*AM761^3+BMILMS!$E$24*AM761^2+BMILMS!$F$24*AM761+BMILMS!$G$24,BMILMS!$D$25*AM761^3+BMILMS!$E$25*AM761^2+BMILMS!$F$25*AM761+BMILMS!$G$25))))),(IF(AM761&lt;2.5,BMILMS!$D$27*AM761^3+BMILMS!$E$27*AM761^2+BMILMS!$F$27*AM761+BMILMS!$G$27,IF(AM761&lt;9.5,BMILMS!$D$28*AM761^3+BMILMS!$E$28*AM761^2+BMILMS!$F$28*AM761+BMILMS!$G$28,IF(AM761&lt;26.75,BMILMS!$D$29*AM761^3+BMILMS!$E$29*AM761^2+BMILMS!$F$29*AM761+BMILMS!$G$29,IF(AM761&lt;90,BMILMS!$D$30*AM761^3+BMILMS!$E$30*AM761^2+BMILMS!$F$30*AM761+BMILMS!$G$30,IF(AM761&lt;150,BMILMS!$D$31*AM761^3+BMILMS!$E$31*AM761^2+BMILMS!$F$31*AM761+BMILMS!$G$31,BMILMS!$D$32*AM761^3+BMILMS!$E$32*AM761^2+BMILMS!$F$32*AM761+BMILMS!$G$32)))))))</f>
        <v>12.568967990000001</v>
      </c>
      <c r="AL761" s="4">
        <f>IF(D761="M",(IF(AM761&lt;90,BMILMS!$D$14*AM761^3+BMILMS!$E$14*AM761^2+BMILMS!$F$14*AM761+BMILMS!$G$14,BMILMS!$D$15*AM761^3+BMILMS!$E$15*AM761^2+BMILMS!$F$15*AM761+BMILMS!$G$15)),(IF(AM761&lt;90,BMILMS!$D$17*AM761^3+BMILMS!$E$17*AM761^2+BMILMS!$F$17*AM761+BMILMS!$G$17,BMILMS!$D$18*AM761^3+BMILMS!$E$18*AM761^2+BMILMS!$F$18*AM761+BMILMS!$G$18)))</f>
        <v>8.8969350000000003E-2</v>
      </c>
      <c r="AM761" s="4">
        <f t="shared" si="251"/>
        <v>0</v>
      </c>
      <c r="AO761" s="56">
        <f>IF(D761="M",WeightSDS!P$5*$AM761^7+WeightSDS!Q$5*$AM761^6+WeightSDS!R$5*$AM761^5+WeightSDS!S$5*$AM761^4+WeightSDS!T$5*$AM761^3+WeightSDS!U$5*$AM761^2+WeightSDS!V$5*$AM761+WeightSDS!W$5,IF($AM761&lt;186,WeightSDS!P$8*$AM761^7+WeightSDS!Q$8*$AM761^6+WeightSDS!R$8*$AM761^5+WeightSDS!S$8*$AM761^4+WeightSDS!T$8*$AM761^3+WeightSDS!U$8*$AM761^2+WeightSDS!V$8*$AM761+WeightSDS!W$8,WeightSDS!$U$9+WeightSDS!$V$9*($AM761-WeightSDS!$W$9)))</f>
        <v>0.75407122999999998</v>
      </c>
      <c r="AP761" s="4">
        <f>IF(D761="M",IF($AM761&lt;45,WeightSDS!M$23*$AM761^10+WeightSDS!N$23*$AM761^9+WeightSDS!O$23*$AM761^8+WeightSDS!P$23*$AM761^7+WeightSDS!Q$23*$AM761^6+WeightSDS!R$23*$AM761^5+WeightSDS!S$23*$AM761^4+WeightSDS!T$23*$AM761^3+WeightSDS!U$23*$AM761^2+WeightSDS!V$23*$AM761+WeightSDS!W$23,IF($AM761&lt;153,WeightSDS!M$25*$AM761^10+WeightSDS!N$25*$AM761^9+WeightSDS!O$25*$AM761^8+WeightSDS!P$25*$AM761^7+WeightSDS!Q$25*$AM761^6+WeightSDS!R$25*$AM761^5+WeightSDS!S$25*$AM761^4+WeightSDS!T$25*$AM761^3+WeightSDS!U$25*$AM761^2+WeightSDS!V$25*$AM761+WeightSDS!W$25,WeightSDS!M$27+WeightSDS!N$27/(1+EXP(WeightSDS!O$27+WeightSDS!P$27*$AM761)))),IF($AM761&lt;43.8,WeightSDS!M$29*$AM761^10+WeightSDS!N$29*$AM761^9+WeightSDS!O$29*$AM761^8+WeightSDS!P$29*$AM761^7+WeightSDS!Q$29*$AM761^6+WeightSDS!R$29*$AM761^5+WeightSDS!S$29*$AM761^4+WeightSDS!T$29*$AM761^3+WeightSDS!U$29*$AM761^2+WeightSDS!V$29*$AM761+WeightSDS!W$29-0.010431*(1-$AM761/210),IF($AM761&lt;123,WeightSDS!M$30*$AM761^10+WeightSDS!N$30*$AM761^9+WeightSDS!O$30*$AM761^8+WeightSDS!P$30*$AM761^7+WeightSDS!Q$30*$AM761^6+WeightSDS!R$30*$AM761^5+WeightSDS!S$30*$AM761^4+WeightSDS!T$30*$AM761^3+WeightSDS!U$30*$AM761^2+WeightSDS!V$30*$AM761+WeightSDS!W$30-0.010431*(1-1/$AM761),WeightSDS!M$32+WeightSDS!N$32/(1+EXP(WeightSDS!O$32+WeightSDS!P$32*$AM761))-0.010431*(1-$AM761/210))))</f>
        <v>2.9500001032655536</v>
      </c>
      <c r="AQ761" s="4">
        <f>IF(D761="M",IF($AM761&lt;162,WeightSDS!P$12*$AM761^7+WeightSDS!Q$12*$AM761^6+WeightSDS!R$12*$AM761^5+WeightSDS!S$12*$AM761^4+WeightSDS!T$12*$AM761^3+WeightSDS!U$12*$AM761^2+WeightSDS!V$12*$AM761+WeightSDS!W$12,WeightSDS!P$14*$AM761^7+WeightSDS!Q$14*$AM761^6+WeightSDS!R$14*$AM761^5+WeightSDS!S$14*$AM761^4+WeightSDS!T$14*$AM761^3+WeightSDS!U$14*$AM761^2+WeightSDS!V$14*$AM761+WeightSDS!W$14),IF($AM761&lt;156,WeightSDS!O$17*$AM761^8+WeightSDS!P$17*$AM761^7+WeightSDS!Q$17*$AM761^6+WeightSDS!R$17*$AM761^5+WeightSDS!S$17*$AM761^4+WeightSDS!T$17*$AM761^3+WeightSDS!U$17*$AM761^2+WeightSDS!V$17*$AM761+WeightSDS!W$17,IF($AM761&lt;186,WeightSDS!$U$18+(WeightSDS!$V$18-WeightSDS!$U$18)/24*($AM761-186)+WeightSDS!$W$18*(-$AM761+186)^2-0.005,WeightSDS!$U$18+(WeightSDS!$V$18-WeightSDS!$U$18)/24*($AM761-186)-0.005)))</f>
        <v>0.14604529399999999</v>
      </c>
      <c r="AT761" s="4">
        <f t="shared" si="238"/>
        <v>0.56299999999999994</v>
      </c>
      <c r="AU761" s="4">
        <f t="shared" si="239"/>
        <v>69</v>
      </c>
      <c r="AV761" s="4">
        <f t="shared" si="240"/>
        <v>0.51</v>
      </c>
    </row>
    <row r="762" spans="1:48" x14ac:dyDescent="0.15">
      <c r="A762" s="4"/>
      <c r="B762" s="21"/>
      <c r="C762" s="21"/>
      <c r="D762" s="21"/>
      <c r="E762" s="22"/>
      <c r="F762" s="22"/>
      <c r="G762" s="23"/>
      <c r="H762" s="23"/>
      <c r="I762" s="181"/>
      <c r="J762" s="8" t="str">
        <f t="shared" si="232"/>
        <v/>
      </c>
      <c r="K762" s="2" t="str">
        <f t="shared" si="241"/>
        <v/>
      </c>
      <c r="L762" s="2" t="str">
        <f t="shared" si="233"/>
        <v/>
      </c>
      <c r="M762" s="2" t="str">
        <f t="shared" si="242"/>
        <v/>
      </c>
      <c r="N762" s="2" t="str">
        <f t="shared" si="250"/>
        <v/>
      </c>
      <c r="O762" s="2" t="str">
        <f t="shared" si="243"/>
        <v/>
      </c>
      <c r="P762" s="8" t="str">
        <f t="shared" si="244"/>
        <v/>
      </c>
      <c r="Q762" s="8" t="str">
        <f t="shared" si="245"/>
        <v/>
      </c>
      <c r="R762" s="111" t="str">
        <f t="shared" si="246"/>
        <v/>
      </c>
      <c r="S762" s="44" t="str">
        <f t="shared" si="247"/>
        <v/>
      </c>
      <c r="T762" s="37" t="str">
        <f t="shared" si="248"/>
        <v/>
      </c>
      <c r="U762" s="44" t="str">
        <f t="shared" si="249"/>
        <v/>
      </c>
      <c r="V762" s="26"/>
      <c r="W762" s="26"/>
      <c r="X762" s="26"/>
      <c r="Y762" s="26"/>
      <c r="Z762" s="24"/>
      <c r="AA762" s="169">
        <f t="shared" si="234"/>
        <v>0</v>
      </c>
      <c r="AB762" s="4">
        <f t="shared" si="235"/>
        <v>0</v>
      </c>
      <c r="AC762" s="170">
        <f t="shared" si="252"/>
        <v>0</v>
      </c>
      <c r="AD762" s="58"/>
      <c r="AE762" s="58"/>
      <c r="AF762" s="58"/>
      <c r="AG762" s="59">
        <f t="shared" si="236"/>
        <v>9.0359999999999996</v>
      </c>
      <c r="AH762" s="59">
        <f t="shared" si="237"/>
        <v>-184.49199999999999</v>
      </c>
      <c r="AJ762" s="4">
        <f>IF(D762="M",IF(AM762&lt;78,BMILMS!$D$5*AM762^3+BMILMS!$E$5*AM762^2+BMILMS!$F$5*AM762+BMILMS!$G$5,IF(AM762&lt;150,BMILMS!$D$6*AM762^3+BMILMS!$E$6*AM762^2+BMILMS!$F$6*AM762+BMILMS!$G$6,BMILMS!$D$7*AM762^3+BMILMS!$E$7*AM762^2+BMILMS!$F$7*AM762+BMILMS!$G$7)),IF(AM762&lt;69,BMILMS!$D$9*AM762^3+BMILMS!$E$9*AM762^2+BMILMS!$F$9*AM762+BMILMS!$G$9,IF(AM762&lt;150,BMILMS!$D$10*AM762^3+BMILMS!$E$10*AM762^2+BMILMS!$F$10*AM762+BMILMS!$G$10,BMILMS!$D$11*AM762^3+BMILMS!$E$11*AM762^2+BMILMS!$F$11*AM762+BMILMS!$G$11)))</f>
        <v>0.79584630099999998</v>
      </c>
      <c r="AK762" s="4">
        <f>IF(D762="M",(IF(AM762&lt;2.5,BMILMS!$D$21*AM762^3+BMILMS!$E$21*AM762^2+BMILMS!$F$21*AM762+BMILMS!$G$21,IF(AM762&lt;9.5,BMILMS!$D$22*AM762^3+BMILMS!$E$22*AM762^2+BMILMS!$F$22*AM762+BMILMS!$G$22,IF(AM762&lt;26.75,BMILMS!$D$23*AM762^3+BMILMS!$E$23*AM762^2+BMILMS!$F$23*AM762+BMILMS!$G$23,IF(AM762&lt;90,BMILMS!$D$24*AM762^3+BMILMS!$E$24*AM762^2+BMILMS!$F$24*AM762+BMILMS!$G$24,BMILMS!$D$25*AM762^3+BMILMS!$E$25*AM762^2+BMILMS!$F$25*AM762+BMILMS!$G$25))))),(IF(AM762&lt;2.5,BMILMS!$D$27*AM762^3+BMILMS!$E$27*AM762^2+BMILMS!$F$27*AM762+BMILMS!$G$27,IF(AM762&lt;9.5,BMILMS!$D$28*AM762^3+BMILMS!$E$28*AM762^2+BMILMS!$F$28*AM762+BMILMS!$G$28,IF(AM762&lt;26.75,BMILMS!$D$29*AM762^3+BMILMS!$E$29*AM762^2+BMILMS!$F$29*AM762+BMILMS!$G$29,IF(AM762&lt;90,BMILMS!$D$30*AM762^3+BMILMS!$E$30*AM762^2+BMILMS!$F$30*AM762+BMILMS!$G$30,IF(AM762&lt;150,BMILMS!$D$31*AM762^3+BMILMS!$E$31*AM762^2+BMILMS!$F$31*AM762+BMILMS!$G$31,BMILMS!$D$32*AM762^3+BMILMS!$E$32*AM762^2+BMILMS!$F$32*AM762+BMILMS!$G$32)))))))</f>
        <v>12.568967990000001</v>
      </c>
      <c r="AL762" s="4">
        <f>IF(D762="M",(IF(AM762&lt;90,BMILMS!$D$14*AM762^3+BMILMS!$E$14*AM762^2+BMILMS!$F$14*AM762+BMILMS!$G$14,BMILMS!$D$15*AM762^3+BMILMS!$E$15*AM762^2+BMILMS!$F$15*AM762+BMILMS!$G$15)),(IF(AM762&lt;90,BMILMS!$D$17*AM762^3+BMILMS!$E$17*AM762^2+BMILMS!$F$17*AM762+BMILMS!$G$17,BMILMS!$D$18*AM762^3+BMILMS!$E$18*AM762^2+BMILMS!$F$18*AM762+BMILMS!$G$18)))</f>
        <v>8.8969350000000003E-2</v>
      </c>
      <c r="AM762" s="4">
        <f t="shared" si="251"/>
        <v>0</v>
      </c>
      <c r="AO762" s="56">
        <f>IF(D762="M",WeightSDS!P$5*$AM762^7+WeightSDS!Q$5*$AM762^6+WeightSDS!R$5*$AM762^5+WeightSDS!S$5*$AM762^4+WeightSDS!T$5*$AM762^3+WeightSDS!U$5*$AM762^2+WeightSDS!V$5*$AM762+WeightSDS!W$5,IF($AM762&lt;186,WeightSDS!P$8*$AM762^7+WeightSDS!Q$8*$AM762^6+WeightSDS!R$8*$AM762^5+WeightSDS!S$8*$AM762^4+WeightSDS!T$8*$AM762^3+WeightSDS!U$8*$AM762^2+WeightSDS!V$8*$AM762+WeightSDS!W$8,WeightSDS!$U$9+WeightSDS!$V$9*($AM762-WeightSDS!$W$9)))</f>
        <v>0.75407122999999998</v>
      </c>
      <c r="AP762" s="4">
        <f>IF(D762="M",IF($AM762&lt;45,WeightSDS!M$23*$AM762^10+WeightSDS!N$23*$AM762^9+WeightSDS!O$23*$AM762^8+WeightSDS!P$23*$AM762^7+WeightSDS!Q$23*$AM762^6+WeightSDS!R$23*$AM762^5+WeightSDS!S$23*$AM762^4+WeightSDS!T$23*$AM762^3+WeightSDS!U$23*$AM762^2+WeightSDS!V$23*$AM762+WeightSDS!W$23,IF($AM762&lt;153,WeightSDS!M$25*$AM762^10+WeightSDS!N$25*$AM762^9+WeightSDS!O$25*$AM762^8+WeightSDS!P$25*$AM762^7+WeightSDS!Q$25*$AM762^6+WeightSDS!R$25*$AM762^5+WeightSDS!S$25*$AM762^4+WeightSDS!T$25*$AM762^3+WeightSDS!U$25*$AM762^2+WeightSDS!V$25*$AM762+WeightSDS!W$25,WeightSDS!M$27+WeightSDS!N$27/(1+EXP(WeightSDS!O$27+WeightSDS!P$27*$AM762)))),IF($AM762&lt;43.8,WeightSDS!M$29*$AM762^10+WeightSDS!N$29*$AM762^9+WeightSDS!O$29*$AM762^8+WeightSDS!P$29*$AM762^7+WeightSDS!Q$29*$AM762^6+WeightSDS!R$29*$AM762^5+WeightSDS!S$29*$AM762^4+WeightSDS!T$29*$AM762^3+WeightSDS!U$29*$AM762^2+WeightSDS!V$29*$AM762+WeightSDS!W$29-0.010431*(1-$AM762/210),IF($AM762&lt;123,WeightSDS!M$30*$AM762^10+WeightSDS!N$30*$AM762^9+WeightSDS!O$30*$AM762^8+WeightSDS!P$30*$AM762^7+WeightSDS!Q$30*$AM762^6+WeightSDS!R$30*$AM762^5+WeightSDS!S$30*$AM762^4+WeightSDS!T$30*$AM762^3+WeightSDS!U$30*$AM762^2+WeightSDS!V$30*$AM762+WeightSDS!W$30-0.010431*(1-1/$AM762),WeightSDS!M$32+WeightSDS!N$32/(1+EXP(WeightSDS!O$32+WeightSDS!P$32*$AM762))-0.010431*(1-$AM762/210))))</f>
        <v>2.9500001032655536</v>
      </c>
      <c r="AQ762" s="4">
        <f>IF(D762="M",IF($AM762&lt;162,WeightSDS!P$12*$AM762^7+WeightSDS!Q$12*$AM762^6+WeightSDS!R$12*$AM762^5+WeightSDS!S$12*$AM762^4+WeightSDS!T$12*$AM762^3+WeightSDS!U$12*$AM762^2+WeightSDS!V$12*$AM762+WeightSDS!W$12,WeightSDS!P$14*$AM762^7+WeightSDS!Q$14*$AM762^6+WeightSDS!R$14*$AM762^5+WeightSDS!S$14*$AM762^4+WeightSDS!T$14*$AM762^3+WeightSDS!U$14*$AM762^2+WeightSDS!V$14*$AM762+WeightSDS!W$14),IF($AM762&lt;156,WeightSDS!O$17*$AM762^8+WeightSDS!P$17*$AM762^7+WeightSDS!Q$17*$AM762^6+WeightSDS!R$17*$AM762^5+WeightSDS!S$17*$AM762^4+WeightSDS!T$17*$AM762^3+WeightSDS!U$17*$AM762^2+WeightSDS!V$17*$AM762+WeightSDS!W$17,IF($AM762&lt;186,WeightSDS!$U$18+(WeightSDS!$V$18-WeightSDS!$U$18)/24*($AM762-186)+WeightSDS!$W$18*(-$AM762+186)^2-0.005,WeightSDS!$U$18+(WeightSDS!$V$18-WeightSDS!$U$18)/24*($AM762-186)-0.005)))</f>
        <v>0.14604529399999999</v>
      </c>
      <c r="AT762" s="4">
        <f t="shared" si="238"/>
        <v>0.56299999999999994</v>
      </c>
      <c r="AU762" s="4">
        <f t="shared" si="239"/>
        <v>69</v>
      </c>
      <c r="AV762" s="4">
        <f t="shared" si="240"/>
        <v>0.51</v>
      </c>
    </row>
    <row r="763" spans="1:48" x14ac:dyDescent="0.15">
      <c r="A763" s="4"/>
      <c r="B763" s="21"/>
      <c r="C763" s="21"/>
      <c r="D763" s="21"/>
      <c r="E763" s="22"/>
      <c r="F763" s="22"/>
      <c r="G763" s="23"/>
      <c r="H763" s="23"/>
      <c r="I763" s="181"/>
      <c r="J763" s="8" t="str">
        <f t="shared" si="232"/>
        <v/>
      </c>
      <c r="K763" s="2" t="str">
        <f t="shared" si="241"/>
        <v/>
      </c>
      <c r="L763" s="2" t="str">
        <f t="shared" si="233"/>
        <v/>
      </c>
      <c r="M763" s="2" t="str">
        <f t="shared" si="242"/>
        <v/>
      </c>
      <c r="N763" s="2" t="str">
        <f t="shared" si="250"/>
        <v/>
      </c>
      <c r="O763" s="2" t="str">
        <f t="shared" si="243"/>
        <v/>
      </c>
      <c r="P763" s="8" t="str">
        <f t="shared" si="244"/>
        <v/>
      </c>
      <c r="Q763" s="8" t="str">
        <f t="shared" si="245"/>
        <v/>
      </c>
      <c r="R763" s="111" t="str">
        <f t="shared" si="246"/>
        <v/>
      </c>
      <c r="S763" s="44" t="str">
        <f t="shared" si="247"/>
        <v/>
      </c>
      <c r="T763" s="37" t="str">
        <f t="shared" si="248"/>
        <v/>
      </c>
      <c r="U763" s="44" t="str">
        <f t="shared" si="249"/>
        <v/>
      </c>
      <c r="V763" s="26"/>
      <c r="W763" s="26"/>
      <c r="X763" s="26"/>
      <c r="Y763" s="26"/>
      <c r="Z763" s="24"/>
      <c r="AA763" s="169">
        <f t="shared" si="234"/>
        <v>0</v>
      </c>
      <c r="AB763" s="4">
        <f t="shared" si="235"/>
        <v>0</v>
      </c>
      <c r="AC763" s="170">
        <f t="shared" si="252"/>
        <v>0</v>
      </c>
      <c r="AD763" s="58"/>
      <c r="AE763" s="58"/>
      <c r="AF763" s="58"/>
      <c r="AG763" s="59">
        <f t="shared" si="236"/>
        <v>9.0359999999999996</v>
      </c>
      <c r="AH763" s="59">
        <f t="shared" si="237"/>
        <v>-184.49199999999999</v>
      </c>
      <c r="AJ763" s="4">
        <f>IF(D763="M",IF(AM763&lt;78,BMILMS!$D$5*AM763^3+BMILMS!$E$5*AM763^2+BMILMS!$F$5*AM763+BMILMS!$G$5,IF(AM763&lt;150,BMILMS!$D$6*AM763^3+BMILMS!$E$6*AM763^2+BMILMS!$F$6*AM763+BMILMS!$G$6,BMILMS!$D$7*AM763^3+BMILMS!$E$7*AM763^2+BMILMS!$F$7*AM763+BMILMS!$G$7)),IF(AM763&lt;69,BMILMS!$D$9*AM763^3+BMILMS!$E$9*AM763^2+BMILMS!$F$9*AM763+BMILMS!$G$9,IF(AM763&lt;150,BMILMS!$D$10*AM763^3+BMILMS!$E$10*AM763^2+BMILMS!$F$10*AM763+BMILMS!$G$10,BMILMS!$D$11*AM763^3+BMILMS!$E$11*AM763^2+BMILMS!$F$11*AM763+BMILMS!$G$11)))</f>
        <v>0.79584630099999998</v>
      </c>
      <c r="AK763" s="4">
        <f>IF(D763="M",(IF(AM763&lt;2.5,BMILMS!$D$21*AM763^3+BMILMS!$E$21*AM763^2+BMILMS!$F$21*AM763+BMILMS!$G$21,IF(AM763&lt;9.5,BMILMS!$D$22*AM763^3+BMILMS!$E$22*AM763^2+BMILMS!$F$22*AM763+BMILMS!$G$22,IF(AM763&lt;26.75,BMILMS!$D$23*AM763^3+BMILMS!$E$23*AM763^2+BMILMS!$F$23*AM763+BMILMS!$G$23,IF(AM763&lt;90,BMILMS!$D$24*AM763^3+BMILMS!$E$24*AM763^2+BMILMS!$F$24*AM763+BMILMS!$G$24,BMILMS!$D$25*AM763^3+BMILMS!$E$25*AM763^2+BMILMS!$F$25*AM763+BMILMS!$G$25))))),(IF(AM763&lt;2.5,BMILMS!$D$27*AM763^3+BMILMS!$E$27*AM763^2+BMILMS!$F$27*AM763+BMILMS!$G$27,IF(AM763&lt;9.5,BMILMS!$D$28*AM763^3+BMILMS!$E$28*AM763^2+BMILMS!$F$28*AM763+BMILMS!$G$28,IF(AM763&lt;26.75,BMILMS!$D$29*AM763^3+BMILMS!$E$29*AM763^2+BMILMS!$F$29*AM763+BMILMS!$G$29,IF(AM763&lt;90,BMILMS!$D$30*AM763^3+BMILMS!$E$30*AM763^2+BMILMS!$F$30*AM763+BMILMS!$G$30,IF(AM763&lt;150,BMILMS!$D$31*AM763^3+BMILMS!$E$31*AM763^2+BMILMS!$F$31*AM763+BMILMS!$G$31,BMILMS!$D$32*AM763^3+BMILMS!$E$32*AM763^2+BMILMS!$F$32*AM763+BMILMS!$G$32)))))))</f>
        <v>12.568967990000001</v>
      </c>
      <c r="AL763" s="4">
        <f>IF(D763="M",(IF(AM763&lt;90,BMILMS!$D$14*AM763^3+BMILMS!$E$14*AM763^2+BMILMS!$F$14*AM763+BMILMS!$G$14,BMILMS!$D$15*AM763^3+BMILMS!$E$15*AM763^2+BMILMS!$F$15*AM763+BMILMS!$G$15)),(IF(AM763&lt;90,BMILMS!$D$17*AM763^3+BMILMS!$E$17*AM763^2+BMILMS!$F$17*AM763+BMILMS!$G$17,BMILMS!$D$18*AM763^3+BMILMS!$E$18*AM763^2+BMILMS!$F$18*AM763+BMILMS!$G$18)))</f>
        <v>8.8969350000000003E-2</v>
      </c>
      <c r="AM763" s="4">
        <f t="shared" si="251"/>
        <v>0</v>
      </c>
      <c r="AO763" s="56">
        <f>IF(D763="M",WeightSDS!P$5*$AM763^7+WeightSDS!Q$5*$AM763^6+WeightSDS!R$5*$AM763^5+WeightSDS!S$5*$AM763^4+WeightSDS!T$5*$AM763^3+WeightSDS!U$5*$AM763^2+WeightSDS!V$5*$AM763+WeightSDS!W$5,IF($AM763&lt;186,WeightSDS!P$8*$AM763^7+WeightSDS!Q$8*$AM763^6+WeightSDS!R$8*$AM763^5+WeightSDS!S$8*$AM763^4+WeightSDS!T$8*$AM763^3+WeightSDS!U$8*$AM763^2+WeightSDS!V$8*$AM763+WeightSDS!W$8,WeightSDS!$U$9+WeightSDS!$V$9*($AM763-WeightSDS!$W$9)))</f>
        <v>0.75407122999999998</v>
      </c>
      <c r="AP763" s="4">
        <f>IF(D763="M",IF($AM763&lt;45,WeightSDS!M$23*$AM763^10+WeightSDS!N$23*$AM763^9+WeightSDS!O$23*$AM763^8+WeightSDS!P$23*$AM763^7+WeightSDS!Q$23*$AM763^6+WeightSDS!R$23*$AM763^5+WeightSDS!S$23*$AM763^4+WeightSDS!T$23*$AM763^3+WeightSDS!U$23*$AM763^2+WeightSDS!V$23*$AM763+WeightSDS!W$23,IF($AM763&lt;153,WeightSDS!M$25*$AM763^10+WeightSDS!N$25*$AM763^9+WeightSDS!O$25*$AM763^8+WeightSDS!P$25*$AM763^7+WeightSDS!Q$25*$AM763^6+WeightSDS!R$25*$AM763^5+WeightSDS!S$25*$AM763^4+WeightSDS!T$25*$AM763^3+WeightSDS!U$25*$AM763^2+WeightSDS!V$25*$AM763+WeightSDS!W$25,WeightSDS!M$27+WeightSDS!N$27/(1+EXP(WeightSDS!O$27+WeightSDS!P$27*$AM763)))),IF($AM763&lt;43.8,WeightSDS!M$29*$AM763^10+WeightSDS!N$29*$AM763^9+WeightSDS!O$29*$AM763^8+WeightSDS!P$29*$AM763^7+WeightSDS!Q$29*$AM763^6+WeightSDS!R$29*$AM763^5+WeightSDS!S$29*$AM763^4+WeightSDS!T$29*$AM763^3+WeightSDS!U$29*$AM763^2+WeightSDS!V$29*$AM763+WeightSDS!W$29-0.010431*(1-$AM763/210),IF($AM763&lt;123,WeightSDS!M$30*$AM763^10+WeightSDS!N$30*$AM763^9+WeightSDS!O$30*$AM763^8+WeightSDS!P$30*$AM763^7+WeightSDS!Q$30*$AM763^6+WeightSDS!R$30*$AM763^5+WeightSDS!S$30*$AM763^4+WeightSDS!T$30*$AM763^3+WeightSDS!U$30*$AM763^2+WeightSDS!V$30*$AM763+WeightSDS!W$30-0.010431*(1-1/$AM763),WeightSDS!M$32+WeightSDS!N$32/(1+EXP(WeightSDS!O$32+WeightSDS!P$32*$AM763))-0.010431*(1-$AM763/210))))</f>
        <v>2.9500001032655536</v>
      </c>
      <c r="AQ763" s="4">
        <f>IF(D763="M",IF($AM763&lt;162,WeightSDS!P$12*$AM763^7+WeightSDS!Q$12*$AM763^6+WeightSDS!R$12*$AM763^5+WeightSDS!S$12*$AM763^4+WeightSDS!T$12*$AM763^3+WeightSDS!U$12*$AM763^2+WeightSDS!V$12*$AM763+WeightSDS!W$12,WeightSDS!P$14*$AM763^7+WeightSDS!Q$14*$AM763^6+WeightSDS!R$14*$AM763^5+WeightSDS!S$14*$AM763^4+WeightSDS!T$14*$AM763^3+WeightSDS!U$14*$AM763^2+WeightSDS!V$14*$AM763+WeightSDS!W$14),IF($AM763&lt;156,WeightSDS!O$17*$AM763^8+WeightSDS!P$17*$AM763^7+WeightSDS!Q$17*$AM763^6+WeightSDS!R$17*$AM763^5+WeightSDS!S$17*$AM763^4+WeightSDS!T$17*$AM763^3+WeightSDS!U$17*$AM763^2+WeightSDS!V$17*$AM763+WeightSDS!W$17,IF($AM763&lt;186,WeightSDS!$U$18+(WeightSDS!$V$18-WeightSDS!$U$18)/24*($AM763-186)+WeightSDS!$W$18*(-$AM763+186)^2-0.005,WeightSDS!$U$18+(WeightSDS!$V$18-WeightSDS!$U$18)/24*($AM763-186)-0.005)))</f>
        <v>0.14604529399999999</v>
      </c>
      <c r="AT763" s="4">
        <f t="shared" si="238"/>
        <v>0.56299999999999994</v>
      </c>
      <c r="AU763" s="4">
        <f t="shared" si="239"/>
        <v>69</v>
      </c>
      <c r="AV763" s="4">
        <f t="shared" si="240"/>
        <v>0.51</v>
      </c>
    </row>
    <row r="764" spans="1:48" x14ac:dyDescent="0.15">
      <c r="A764" s="4"/>
      <c r="B764" s="21"/>
      <c r="C764" s="21"/>
      <c r="D764" s="21"/>
      <c r="E764" s="22"/>
      <c r="F764" s="22"/>
      <c r="G764" s="23"/>
      <c r="H764" s="23"/>
      <c r="I764" s="181"/>
      <c r="J764" s="8" t="str">
        <f t="shared" si="232"/>
        <v/>
      </c>
      <c r="K764" s="2" t="str">
        <f t="shared" si="241"/>
        <v/>
      </c>
      <c r="L764" s="2" t="str">
        <f t="shared" si="233"/>
        <v/>
      </c>
      <c r="M764" s="2" t="str">
        <f t="shared" si="242"/>
        <v/>
      </c>
      <c r="N764" s="2" t="str">
        <f t="shared" si="250"/>
        <v/>
      </c>
      <c r="O764" s="2" t="str">
        <f t="shared" si="243"/>
        <v/>
      </c>
      <c r="P764" s="8" t="str">
        <f t="shared" si="244"/>
        <v/>
      </c>
      <c r="Q764" s="8" t="str">
        <f t="shared" si="245"/>
        <v/>
      </c>
      <c r="R764" s="111" t="str">
        <f t="shared" si="246"/>
        <v/>
      </c>
      <c r="S764" s="44" t="str">
        <f t="shared" si="247"/>
        <v/>
      </c>
      <c r="T764" s="37" t="str">
        <f t="shared" si="248"/>
        <v/>
      </c>
      <c r="U764" s="44" t="str">
        <f t="shared" si="249"/>
        <v/>
      </c>
      <c r="V764" s="26"/>
      <c r="W764" s="26"/>
      <c r="X764" s="26"/>
      <c r="Y764" s="26"/>
      <c r="Z764" s="24"/>
      <c r="AA764" s="169">
        <f t="shared" si="234"/>
        <v>0</v>
      </c>
      <c r="AB764" s="4">
        <f t="shared" si="235"/>
        <v>0</v>
      </c>
      <c r="AC764" s="170">
        <f t="shared" si="252"/>
        <v>0</v>
      </c>
      <c r="AD764" s="58"/>
      <c r="AE764" s="58"/>
      <c r="AF764" s="58"/>
      <c r="AG764" s="59">
        <f t="shared" si="236"/>
        <v>9.0359999999999996</v>
      </c>
      <c r="AH764" s="59">
        <f t="shared" si="237"/>
        <v>-184.49199999999999</v>
      </c>
      <c r="AJ764" s="4">
        <f>IF(D764="M",IF(AM764&lt;78,BMILMS!$D$5*AM764^3+BMILMS!$E$5*AM764^2+BMILMS!$F$5*AM764+BMILMS!$G$5,IF(AM764&lt;150,BMILMS!$D$6*AM764^3+BMILMS!$E$6*AM764^2+BMILMS!$F$6*AM764+BMILMS!$G$6,BMILMS!$D$7*AM764^3+BMILMS!$E$7*AM764^2+BMILMS!$F$7*AM764+BMILMS!$G$7)),IF(AM764&lt;69,BMILMS!$D$9*AM764^3+BMILMS!$E$9*AM764^2+BMILMS!$F$9*AM764+BMILMS!$G$9,IF(AM764&lt;150,BMILMS!$D$10*AM764^3+BMILMS!$E$10*AM764^2+BMILMS!$F$10*AM764+BMILMS!$G$10,BMILMS!$D$11*AM764^3+BMILMS!$E$11*AM764^2+BMILMS!$F$11*AM764+BMILMS!$G$11)))</f>
        <v>0.79584630099999998</v>
      </c>
      <c r="AK764" s="4">
        <f>IF(D764="M",(IF(AM764&lt;2.5,BMILMS!$D$21*AM764^3+BMILMS!$E$21*AM764^2+BMILMS!$F$21*AM764+BMILMS!$G$21,IF(AM764&lt;9.5,BMILMS!$D$22*AM764^3+BMILMS!$E$22*AM764^2+BMILMS!$F$22*AM764+BMILMS!$G$22,IF(AM764&lt;26.75,BMILMS!$D$23*AM764^3+BMILMS!$E$23*AM764^2+BMILMS!$F$23*AM764+BMILMS!$G$23,IF(AM764&lt;90,BMILMS!$D$24*AM764^3+BMILMS!$E$24*AM764^2+BMILMS!$F$24*AM764+BMILMS!$G$24,BMILMS!$D$25*AM764^3+BMILMS!$E$25*AM764^2+BMILMS!$F$25*AM764+BMILMS!$G$25))))),(IF(AM764&lt;2.5,BMILMS!$D$27*AM764^3+BMILMS!$E$27*AM764^2+BMILMS!$F$27*AM764+BMILMS!$G$27,IF(AM764&lt;9.5,BMILMS!$D$28*AM764^3+BMILMS!$E$28*AM764^2+BMILMS!$F$28*AM764+BMILMS!$G$28,IF(AM764&lt;26.75,BMILMS!$D$29*AM764^3+BMILMS!$E$29*AM764^2+BMILMS!$F$29*AM764+BMILMS!$G$29,IF(AM764&lt;90,BMILMS!$D$30*AM764^3+BMILMS!$E$30*AM764^2+BMILMS!$F$30*AM764+BMILMS!$G$30,IF(AM764&lt;150,BMILMS!$D$31*AM764^3+BMILMS!$E$31*AM764^2+BMILMS!$F$31*AM764+BMILMS!$G$31,BMILMS!$D$32*AM764^3+BMILMS!$E$32*AM764^2+BMILMS!$F$32*AM764+BMILMS!$G$32)))))))</f>
        <v>12.568967990000001</v>
      </c>
      <c r="AL764" s="4">
        <f>IF(D764="M",(IF(AM764&lt;90,BMILMS!$D$14*AM764^3+BMILMS!$E$14*AM764^2+BMILMS!$F$14*AM764+BMILMS!$G$14,BMILMS!$D$15*AM764^3+BMILMS!$E$15*AM764^2+BMILMS!$F$15*AM764+BMILMS!$G$15)),(IF(AM764&lt;90,BMILMS!$D$17*AM764^3+BMILMS!$E$17*AM764^2+BMILMS!$F$17*AM764+BMILMS!$G$17,BMILMS!$D$18*AM764^3+BMILMS!$E$18*AM764^2+BMILMS!$F$18*AM764+BMILMS!$G$18)))</f>
        <v>8.8969350000000003E-2</v>
      </c>
      <c r="AM764" s="4">
        <f t="shared" si="251"/>
        <v>0</v>
      </c>
      <c r="AO764" s="56">
        <f>IF(D764="M",WeightSDS!P$5*$AM764^7+WeightSDS!Q$5*$AM764^6+WeightSDS!R$5*$AM764^5+WeightSDS!S$5*$AM764^4+WeightSDS!T$5*$AM764^3+WeightSDS!U$5*$AM764^2+WeightSDS!V$5*$AM764+WeightSDS!W$5,IF($AM764&lt;186,WeightSDS!P$8*$AM764^7+WeightSDS!Q$8*$AM764^6+WeightSDS!R$8*$AM764^5+WeightSDS!S$8*$AM764^4+WeightSDS!T$8*$AM764^3+WeightSDS!U$8*$AM764^2+WeightSDS!V$8*$AM764+WeightSDS!W$8,WeightSDS!$U$9+WeightSDS!$V$9*($AM764-WeightSDS!$W$9)))</f>
        <v>0.75407122999999998</v>
      </c>
      <c r="AP764" s="4">
        <f>IF(D764="M",IF($AM764&lt;45,WeightSDS!M$23*$AM764^10+WeightSDS!N$23*$AM764^9+WeightSDS!O$23*$AM764^8+WeightSDS!P$23*$AM764^7+WeightSDS!Q$23*$AM764^6+WeightSDS!R$23*$AM764^5+WeightSDS!S$23*$AM764^4+WeightSDS!T$23*$AM764^3+WeightSDS!U$23*$AM764^2+WeightSDS!V$23*$AM764+WeightSDS!W$23,IF($AM764&lt;153,WeightSDS!M$25*$AM764^10+WeightSDS!N$25*$AM764^9+WeightSDS!O$25*$AM764^8+WeightSDS!P$25*$AM764^7+WeightSDS!Q$25*$AM764^6+WeightSDS!R$25*$AM764^5+WeightSDS!S$25*$AM764^4+WeightSDS!T$25*$AM764^3+WeightSDS!U$25*$AM764^2+WeightSDS!V$25*$AM764+WeightSDS!W$25,WeightSDS!M$27+WeightSDS!N$27/(1+EXP(WeightSDS!O$27+WeightSDS!P$27*$AM764)))),IF($AM764&lt;43.8,WeightSDS!M$29*$AM764^10+WeightSDS!N$29*$AM764^9+WeightSDS!O$29*$AM764^8+WeightSDS!P$29*$AM764^7+WeightSDS!Q$29*$AM764^6+WeightSDS!R$29*$AM764^5+WeightSDS!S$29*$AM764^4+WeightSDS!T$29*$AM764^3+WeightSDS!U$29*$AM764^2+WeightSDS!V$29*$AM764+WeightSDS!W$29-0.010431*(1-$AM764/210),IF($AM764&lt;123,WeightSDS!M$30*$AM764^10+WeightSDS!N$30*$AM764^9+WeightSDS!O$30*$AM764^8+WeightSDS!P$30*$AM764^7+WeightSDS!Q$30*$AM764^6+WeightSDS!R$30*$AM764^5+WeightSDS!S$30*$AM764^4+WeightSDS!T$30*$AM764^3+WeightSDS!U$30*$AM764^2+WeightSDS!V$30*$AM764+WeightSDS!W$30-0.010431*(1-1/$AM764),WeightSDS!M$32+WeightSDS!N$32/(1+EXP(WeightSDS!O$32+WeightSDS!P$32*$AM764))-0.010431*(1-$AM764/210))))</f>
        <v>2.9500001032655536</v>
      </c>
      <c r="AQ764" s="4">
        <f>IF(D764="M",IF($AM764&lt;162,WeightSDS!P$12*$AM764^7+WeightSDS!Q$12*$AM764^6+WeightSDS!R$12*$AM764^5+WeightSDS!S$12*$AM764^4+WeightSDS!T$12*$AM764^3+WeightSDS!U$12*$AM764^2+WeightSDS!V$12*$AM764+WeightSDS!W$12,WeightSDS!P$14*$AM764^7+WeightSDS!Q$14*$AM764^6+WeightSDS!R$14*$AM764^5+WeightSDS!S$14*$AM764^4+WeightSDS!T$14*$AM764^3+WeightSDS!U$14*$AM764^2+WeightSDS!V$14*$AM764+WeightSDS!W$14),IF($AM764&lt;156,WeightSDS!O$17*$AM764^8+WeightSDS!P$17*$AM764^7+WeightSDS!Q$17*$AM764^6+WeightSDS!R$17*$AM764^5+WeightSDS!S$17*$AM764^4+WeightSDS!T$17*$AM764^3+WeightSDS!U$17*$AM764^2+WeightSDS!V$17*$AM764+WeightSDS!W$17,IF($AM764&lt;186,WeightSDS!$U$18+(WeightSDS!$V$18-WeightSDS!$U$18)/24*($AM764-186)+WeightSDS!$W$18*(-$AM764+186)^2-0.005,WeightSDS!$U$18+(WeightSDS!$V$18-WeightSDS!$U$18)/24*($AM764-186)-0.005)))</f>
        <v>0.14604529399999999</v>
      </c>
      <c r="AT764" s="4">
        <f t="shared" si="238"/>
        <v>0.56299999999999994</v>
      </c>
      <c r="AU764" s="4">
        <f t="shared" si="239"/>
        <v>69</v>
      </c>
      <c r="AV764" s="4">
        <f t="shared" si="240"/>
        <v>0.51</v>
      </c>
    </row>
    <row r="765" spans="1:48" x14ac:dyDescent="0.15">
      <c r="A765" s="4"/>
      <c r="B765" s="21"/>
      <c r="C765" s="21"/>
      <c r="D765" s="21"/>
      <c r="E765" s="22"/>
      <c r="F765" s="22"/>
      <c r="G765" s="23"/>
      <c r="H765" s="23"/>
      <c r="I765" s="181"/>
      <c r="J765" s="8" t="str">
        <f t="shared" si="232"/>
        <v/>
      </c>
      <c r="K765" s="2" t="str">
        <f t="shared" si="241"/>
        <v/>
      </c>
      <c r="L765" s="2" t="str">
        <f t="shared" si="233"/>
        <v/>
      </c>
      <c r="M765" s="2" t="str">
        <f t="shared" si="242"/>
        <v/>
      </c>
      <c r="N765" s="2" t="str">
        <f t="shared" si="250"/>
        <v/>
      </c>
      <c r="O765" s="2" t="str">
        <f t="shared" si="243"/>
        <v/>
      </c>
      <c r="P765" s="8" t="str">
        <f t="shared" si="244"/>
        <v/>
      </c>
      <c r="Q765" s="8" t="str">
        <f t="shared" si="245"/>
        <v/>
      </c>
      <c r="R765" s="111" t="str">
        <f t="shared" si="246"/>
        <v/>
      </c>
      <c r="S765" s="44" t="str">
        <f t="shared" si="247"/>
        <v/>
      </c>
      <c r="T765" s="37" t="str">
        <f t="shared" si="248"/>
        <v/>
      </c>
      <c r="U765" s="44" t="str">
        <f t="shared" si="249"/>
        <v/>
      </c>
      <c r="V765" s="26"/>
      <c r="W765" s="26"/>
      <c r="X765" s="26"/>
      <c r="Y765" s="26"/>
      <c r="Z765" s="24"/>
      <c r="AA765" s="169">
        <f t="shared" si="234"/>
        <v>0</v>
      </c>
      <c r="AB765" s="4">
        <f t="shared" si="235"/>
        <v>0</v>
      </c>
      <c r="AC765" s="170">
        <f t="shared" si="252"/>
        <v>0</v>
      </c>
      <c r="AD765" s="58"/>
      <c r="AE765" s="58"/>
      <c r="AF765" s="58"/>
      <c r="AG765" s="59">
        <f t="shared" si="236"/>
        <v>9.0359999999999996</v>
      </c>
      <c r="AH765" s="59">
        <f t="shared" si="237"/>
        <v>-184.49199999999999</v>
      </c>
      <c r="AJ765" s="4">
        <f>IF(D765="M",IF(AM765&lt;78,BMILMS!$D$5*AM765^3+BMILMS!$E$5*AM765^2+BMILMS!$F$5*AM765+BMILMS!$G$5,IF(AM765&lt;150,BMILMS!$D$6*AM765^3+BMILMS!$E$6*AM765^2+BMILMS!$F$6*AM765+BMILMS!$G$6,BMILMS!$D$7*AM765^3+BMILMS!$E$7*AM765^2+BMILMS!$F$7*AM765+BMILMS!$G$7)),IF(AM765&lt;69,BMILMS!$D$9*AM765^3+BMILMS!$E$9*AM765^2+BMILMS!$F$9*AM765+BMILMS!$G$9,IF(AM765&lt;150,BMILMS!$D$10*AM765^3+BMILMS!$E$10*AM765^2+BMILMS!$F$10*AM765+BMILMS!$G$10,BMILMS!$D$11*AM765^3+BMILMS!$E$11*AM765^2+BMILMS!$F$11*AM765+BMILMS!$G$11)))</f>
        <v>0.79584630099999998</v>
      </c>
      <c r="AK765" s="4">
        <f>IF(D765="M",(IF(AM765&lt;2.5,BMILMS!$D$21*AM765^3+BMILMS!$E$21*AM765^2+BMILMS!$F$21*AM765+BMILMS!$G$21,IF(AM765&lt;9.5,BMILMS!$D$22*AM765^3+BMILMS!$E$22*AM765^2+BMILMS!$F$22*AM765+BMILMS!$G$22,IF(AM765&lt;26.75,BMILMS!$D$23*AM765^3+BMILMS!$E$23*AM765^2+BMILMS!$F$23*AM765+BMILMS!$G$23,IF(AM765&lt;90,BMILMS!$D$24*AM765^3+BMILMS!$E$24*AM765^2+BMILMS!$F$24*AM765+BMILMS!$G$24,BMILMS!$D$25*AM765^3+BMILMS!$E$25*AM765^2+BMILMS!$F$25*AM765+BMILMS!$G$25))))),(IF(AM765&lt;2.5,BMILMS!$D$27*AM765^3+BMILMS!$E$27*AM765^2+BMILMS!$F$27*AM765+BMILMS!$G$27,IF(AM765&lt;9.5,BMILMS!$D$28*AM765^3+BMILMS!$E$28*AM765^2+BMILMS!$F$28*AM765+BMILMS!$G$28,IF(AM765&lt;26.75,BMILMS!$D$29*AM765^3+BMILMS!$E$29*AM765^2+BMILMS!$F$29*AM765+BMILMS!$G$29,IF(AM765&lt;90,BMILMS!$D$30*AM765^3+BMILMS!$E$30*AM765^2+BMILMS!$F$30*AM765+BMILMS!$G$30,IF(AM765&lt;150,BMILMS!$D$31*AM765^3+BMILMS!$E$31*AM765^2+BMILMS!$F$31*AM765+BMILMS!$G$31,BMILMS!$D$32*AM765^3+BMILMS!$E$32*AM765^2+BMILMS!$F$32*AM765+BMILMS!$G$32)))))))</f>
        <v>12.568967990000001</v>
      </c>
      <c r="AL765" s="4">
        <f>IF(D765="M",(IF(AM765&lt;90,BMILMS!$D$14*AM765^3+BMILMS!$E$14*AM765^2+BMILMS!$F$14*AM765+BMILMS!$G$14,BMILMS!$D$15*AM765^3+BMILMS!$E$15*AM765^2+BMILMS!$F$15*AM765+BMILMS!$G$15)),(IF(AM765&lt;90,BMILMS!$D$17*AM765^3+BMILMS!$E$17*AM765^2+BMILMS!$F$17*AM765+BMILMS!$G$17,BMILMS!$D$18*AM765^3+BMILMS!$E$18*AM765^2+BMILMS!$F$18*AM765+BMILMS!$G$18)))</f>
        <v>8.8969350000000003E-2</v>
      </c>
      <c r="AM765" s="4">
        <f t="shared" si="251"/>
        <v>0</v>
      </c>
      <c r="AO765" s="56">
        <f>IF(D765="M",WeightSDS!P$5*$AM765^7+WeightSDS!Q$5*$AM765^6+WeightSDS!R$5*$AM765^5+WeightSDS!S$5*$AM765^4+WeightSDS!T$5*$AM765^3+WeightSDS!U$5*$AM765^2+WeightSDS!V$5*$AM765+WeightSDS!W$5,IF($AM765&lt;186,WeightSDS!P$8*$AM765^7+WeightSDS!Q$8*$AM765^6+WeightSDS!R$8*$AM765^5+WeightSDS!S$8*$AM765^4+WeightSDS!T$8*$AM765^3+WeightSDS!U$8*$AM765^2+WeightSDS!V$8*$AM765+WeightSDS!W$8,WeightSDS!$U$9+WeightSDS!$V$9*($AM765-WeightSDS!$W$9)))</f>
        <v>0.75407122999999998</v>
      </c>
      <c r="AP765" s="4">
        <f>IF(D765="M",IF($AM765&lt;45,WeightSDS!M$23*$AM765^10+WeightSDS!N$23*$AM765^9+WeightSDS!O$23*$AM765^8+WeightSDS!P$23*$AM765^7+WeightSDS!Q$23*$AM765^6+WeightSDS!R$23*$AM765^5+WeightSDS!S$23*$AM765^4+WeightSDS!T$23*$AM765^3+WeightSDS!U$23*$AM765^2+WeightSDS!V$23*$AM765+WeightSDS!W$23,IF($AM765&lt;153,WeightSDS!M$25*$AM765^10+WeightSDS!N$25*$AM765^9+WeightSDS!O$25*$AM765^8+WeightSDS!P$25*$AM765^7+WeightSDS!Q$25*$AM765^6+WeightSDS!R$25*$AM765^5+WeightSDS!S$25*$AM765^4+WeightSDS!T$25*$AM765^3+WeightSDS!U$25*$AM765^2+WeightSDS!V$25*$AM765+WeightSDS!W$25,WeightSDS!M$27+WeightSDS!N$27/(1+EXP(WeightSDS!O$27+WeightSDS!P$27*$AM765)))),IF($AM765&lt;43.8,WeightSDS!M$29*$AM765^10+WeightSDS!N$29*$AM765^9+WeightSDS!O$29*$AM765^8+WeightSDS!P$29*$AM765^7+WeightSDS!Q$29*$AM765^6+WeightSDS!R$29*$AM765^5+WeightSDS!S$29*$AM765^4+WeightSDS!T$29*$AM765^3+WeightSDS!U$29*$AM765^2+WeightSDS!V$29*$AM765+WeightSDS!W$29-0.010431*(1-$AM765/210),IF($AM765&lt;123,WeightSDS!M$30*$AM765^10+WeightSDS!N$30*$AM765^9+WeightSDS!O$30*$AM765^8+WeightSDS!P$30*$AM765^7+WeightSDS!Q$30*$AM765^6+WeightSDS!R$30*$AM765^5+WeightSDS!S$30*$AM765^4+WeightSDS!T$30*$AM765^3+WeightSDS!U$30*$AM765^2+WeightSDS!V$30*$AM765+WeightSDS!W$30-0.010431*(1-1/$AM765),WeightSDS!M$32+WeightSDS!N$32/(1+EXP(WeightSDS!O$32+WeightSDS!P$32*$AM765))-0.010431*(1-$AM765/210))))</f>
        <v>2.9500001032655536</v>
      </c>
      <c r="AQ765" s="4">
        <f>IF(D765="M",IF($AM765&lt;162,WeightSDS!P$12*$AM765^7+WeightSDS!Q$12*$AM765^6+WeightSDS!R$12*$AM765^5+WeightSDS!S$12*$AM765^4+WeightSDS!T$12*$AM765^3+WeightSDS!U$12*$AM765^2+WeightSDS!V$12*$AM765+WeightSDS!W$12,WeightSDS!P$14*$AM765^7+WeightSDS!Q$14*$AM765^6+WeightSDS!R$14*$AM765^5+WeightSDS!S$14*$AM765^4+WeightSDS!T$14*$AM765^3+WeightSDS!U$14*$AM765^2+WeightSDS!V$14*$AM765+WeightSDS!W$14),IF($AM765&lt;156,WeightSDS!O$17*$AM765^8+WeightSDS!P$17*$AM765^7+WeightSDS!Q$17*$AM765^6+WeightSDS!R$17*$AM765^5+WeightSDS!S$17*$AM765^4+WeightSDS!T$17*$AM765^3+WeightSDS!U$17*$AM765^2+WeightSDS!V$17*$AM765+WeightSDS!W$17,IF($AM765&lt;186,WeightSDS!$U$18+(WeightSDS!$V$18-WeightSDS!$U$18)/24*($AM765-186)+WeightSDS!$W$18*(-$AM765+186)^2-0.005,WeightSDS!$U$18+(WeightSDS!$V$18-WeightSDS!$U$18)/24*($AM765-186)-0.005)))</f>
        <v>0.14604529399999999</v>
      </c>
      <c r="AT765" s="4">
        <f t="shared" si="238"/>
        <v>0.56299999999999994</v>
      </c>
      <c r="AU765" s="4">
        <f t="shared" si="239"/>
        <v>69</v>
      </c>
      <c r="AV765" s="4">
        <f t="shared" si="240"/>
        <v>0.51</v>
      </c>
    </row>
    <row r="766" spans="1:48" x14ac:dyDescent="0.15">
      <c r="A766" s="4"/>
      <c r="B766" s="21"/>
      <c r="C766" s="21"/>
      <c r="D766" s="21"/>
      <c r="E766" s="22"/>
      <c r="F766" s="22"/>
      <c r="G766" s="23"/>
      <c r="H766" s="23"/>
      <c r="I766" s="181"/>
      <c r="J766" s="8" t="str">
        <f t="shared" si="232"/>
        <v/>
      </c>
      <c r="K766" s="2" t="str">
        <f t="shared" si="241"/>
        <v/>
      </c>
      <c r="L766" s="2" t="str">
        <f t="shared" si="233"/>
        <v/>
      </c>
      <c r="M766" s="2" t="str">
        <f t="shared" si="242"/>
        <v/>
      </c>
      <c r="N766" s="2" t="str">
        <f t="shared" si="250"/>
        <v/>
      </c>
      <c r="O766" s="2" t="str">
        <f t="shared" si="243"/>
        <v/>
      </c>
      <c r="P766" s="8" t="str">
        <f t="shared" si="244"/>
        <v/>
      </c>
      <c r="Q766" s="8" t="str">
        <f t="shared" si="245"/>
        <v/>
      </c>
      <c r="R766" s="111" t="str">
        <f t="shared" si="246"/>
        <v/>
      </c>
      <c r="S766" s="44" t="str">
        <f t="shared" si="247"/>
        <v/>
      </c>
      <c r="T766" s="37" t="str">
        <f t="shared" si="248"/>
        <v/>
      </c>
      <c r="U766" s="44" t="str">
        <f t="shared" si="249"/>
        <v/>
      </c>
      <c r="V766" s="26"/>
      <c r="W766" s="26"/>
      <c r="X766" s="26"/>
      <c r="Y766" s="26"/>
      <c r="Z766" s="24"/>
      <c r="AA766" s="169">
        <f t="shared" si="234"/>
        <v>0</v>
      </c>
      <c r="AB766" s="4">
        <f t="shared" si="235"/>
        <v>0</v>
      </c>
      <c r="AC766" s="170">
        <f t="shared" si="252"/>
        <v>0</v>
      </c>
      <c r="AD766" s="58"/>
      <c r="AE766" s="58"/>
      <c r="AF766" s="58"/>
      <c r="AG766" s="59">
        <f t="shared" si="236"/>
        <v>9.0359999999999996</v>
      </c>
      <c r="AH766" s="59">
        <f t="shared" si="237"/>
        <v>-184.49199999999999</v>
      </c>
      <c r="AJ766" s="4">
        <f>IF(D766="M",IF(AM766&lt;78,BMILMS!$D$5*AM766^3+BMILMS!$E$5*AM766^2+BMILMS!$F$5*AM766+BMILMS!$G$5,IF(AM766&lt;150,BMILMS!$D$6*AM766^3+BMILMS!$E$6*AM766^2+BMILMS!$F$6*AM766+BMILMS!$G$6,BMILMS!$D$7*AM766^3+BMILMS!$E$7*AM766^2+BMILMS!$F$7*AM766+BMILMS!$G$7)),IF(AM766&lt;69,BMILMS!$D$9*AM766^3+BMILMS!$E$9*AM766^2+BMILMS!$F$9*AM766+BMILMS!$G$9,IF(AM766&lt;150,BMILMS!$D$10*AM766^3+BMILMS!$E$10*AM766^2+BMILMS!$F$10*AM766+BMILMS!$G$10,BMILMS!$D$11*AM766^3+BMILMS!$E$11*AM766^2+BMILMS!$F$11*AM766+BMILMS!$G$11)))</f>
        <v>0.79584630099999998</v>
      </c>
      <c r="AK766" s="4">
        <f>IF(D766="M",(IF(AM766&lt;2.5,BMILMS!$D$21*AM766^3+BMILMS!$E$21*AM766^2+BMILMS!$F$21*AM766+BMILMS!$G$21,IF(AM766&lt;9.5,BMILMS!$D$22*AM766^3+BMILMS!$E$22*AM766^2+BMILMS!$F$22*AM766+BMILMS!$G$22,IF(AM766&lt;26.75,BMILMS!$D$23*AM766^3+BMILMS!$E$23*AM766^2+BMILMS!$F$23*AM766+BMILMS!$G$23,IF(AM766&lt;90,BMILMS!$D$24*AM766^3+BMILMS!$E$24*AM766^2+BMILMS!$F$24*AM766+BMILMS!$G$24,BMILMS!$D$25*AM766^3+BMILMS!$E$25*AM766^2+BMILMS!$F$25*AM766+BMILMS!$G$25))))),(IF(AM766&lt;2.5,BMILMS!$D$27*AM766^3+BMILMS!$E$27*AM766^2+BMILMS!$F$27*AM766+BMILMS!$G$27,IF(AM766&lt;9.5,BMILMS!$D$28*AM766^3+BMILMS!$E$28*AM766^2+BMILMS!$F$28*AM766+BMILMS!$G$28,IF(AM766&lt;26.75,BMILMS!$D$29*AM766^3+BMILMS!$E$29*AM766^2+BMILMS!$F$29*AM766+BMILMS!$G$29,IF(AM766&lt;90,BMILMS!$D$30*AM766^3+BMILMS!$E$30*AM766^2+BMILMS!$F$30*AM766+BMILMS!$G$30,IF(AM766&lt;150,BMILMS!$D$31*AM766^3+BMILMS!$E$31*AM766^2+BMILMS!$F$31*AM766+BMILMS!$G$31,BMILMS!$D$32*AM766^3+BMILMS!$E$32*AM766^2+BMILMS!$F$32*AM766+BMILMS!$G$32)))))))</f>
        <v>12.568967990000001</v>
      </c>
      <c r="AL766" s="4">
        <f>IF(D766="M",(IF(AM766&lt;90,BMILMS!$D$14*AM766^3+BMILMS!$E$14*AM766^2+BMILMS!$F$14*AM766+BMILMS!$G$14,BMILMS!$D$15*AM766^3+BMILMS!$E$15*AM766^2+BMILMS!$F$15*AM766+BMILMS!$G$15)),(IF(AM766&lt;90,BMILMS!$D$17*AM766^3+BMILMS!$E$17*AM766^2+BMILMS!$F$17*AM766+BMILMS!$G$17,BMILMS!$D$18*AM766^3+BMILMS!$E$18*AM766^2+BMILMS!$F$18*AM766+BMILMS!$G$18)))</f>
        <v>8.8969350000000003E-2</v>
      </c>
      <c r="AM766" s="4">
        <f t="shared" si="251"/>
        <v>0</v>
      </c>
      <c r="AO766" s="56">
        <f>IF(D766="M",WeightSDS!P$5*$AM766^7+WeightSDS!Q$5*$AM766^6+WeightSDS!R$5*$AM766^5+WeightSDS!S$5*$AM766^4+WeightSDS!T$5*$AM766^3+WeightSDS!U$5*$AM766^2+WeightSDS!V$5*$AM766+WeightSDS!W$5,IF($AM766&lt;186,WeightSDS!P$8*$AM766^7+WeightSDS!Q$8*$AM766^6+WeightSDS!R$8*$AM766^5+WeightSDS!S$8*$AM766^4+WeightSDS!T$8*$AM766^3+WeightSDS!U$8*$AM766^2+WeightSDS!V$8*$AM766+WeightSDS!W$8,WeightSDS!$U$9+WeightSDS!$V$9*($AM766-WeightSDS!$W$9)))</f>
        <v>0.75407122999999998</v>
      </c>
      <c r="AP766" s="4">
        <f>IF(D766="M",IF($AM766&lt;45,WeightSDS!M$23*$AM766^10+WeightSDS!N$23*$AM766^9+WeightSDS!O$23*$AM766^8+WeightSDS!P$23*$AM766^7+WeightSDS!Q$23*$AM766^6+WeightSDS!R$23*$AM766^5+WeightSDS!S$23*$AM766^4+WeightSDS!T$23*$AM766^3+WeightSDS!U$23*$AM766^2+WeightSDS!V$23*$AM766+WeightSDS!W$23,IF($AM766&lt;153,WeightSDS!M$25*$AM766^10+WeightSDS!N$25*$AM766^9+WeightSDS!O$25*$AM766^8+WeightSDS!P$25*$AM766^7+WeightSDS!Q$25*$AM766^6+WeightSDS!R$25*$AM766^5+WeightSDS!S$25*$AM766^4+WeightSDS!T$25*$AM766^3+WeightSDS!U$25*$AM766^2+WeightSDS!V$25*$AM766+WeightSDS!W$25,WeightSDS!M$27+WeightSDS!N$27/(1+EXP(WeightSDS!O$27+WeightSDS!P$27*$AM766)))),IF($AM766&lt;43.8,WeightSDS!M$29*$AM766^10+WeightSDS!N$29*$AM766^9+WeightSDS!O$29*$AM766^8+WeightSDS!P$29*$AM766^7+WeightSDS!Q$29*$AM766^6+WeightSDS!R$29*$AM766^5+WeightSDS!S$29*$AM766^4+WeightSDS!T$29*$AM766^3+WeightSDS!U$29*$AM766^2+WeightSDS!V$29*$AM766+WeightSDS!W$29-0.010431*(1-$AM766/210),IF($AM766&lt;123,WeightSDS!M$30*$AM766^10+WeightSDS!N$30*$AM766^9+WeightSDS!O$30*$AM766^8+WeightSDS!P$30*$AM766^7+WeightSDS!Q$30*$AM766^6+WeightSDS!R$30*$AM766^5+WeightSDS!S$30*$AM766^4+WeightSDS!T$30*$AM766^3+WeightSDS!U$30*$AM766^2+WeightSDS!V$30*$AM766+WeightSDS!W$30-0.010431*(1-1/$AM766),WeightSDS!M$32+WeightSDS!N$32/(1+EXP(WeightSDS!O$32+WeightSDS!P$32*$AM766))-0.010431*(1-$AM766/210))))</f>
        <v>2.9500001032655536</v>
      </c>
      <c r="AQ766" s="4">
        <f>IF(D766="M",IF($AM766&lt;162,WeightSDS!P$12*$AM766^7+WeightSDS!Q$12*$AM766^6+WeightSDS!R$12*$AM766^5+WeightSDS!S$12*$AM766^4+WeightSDS!T$12*$AM766^3+WeightSDS!U$12*$AM766^2+WeightSDS!V$12*$AM766+WeightSDS!W$12,WeightSDS!P$14*$AM766^7+WeightSDS!Q$14*$AM766^6+WeightSDS!R$14*$AM766^5+WeightSDS!S$14*$AM766^4+WeightSDS!T$14*$AM766^3+WeightSDS!U$14*$AM766^2+WeightSDS!V$14*$AM766+WeightSDS!W$14),IF($AM766&lt;156,WeightSDS!O$17*$AM766^8+WeightSDS!P$17*$AM766^7+WeightSDS!Q$17*$AM766^6+WeightSDS!R$17*$AM766^5+WeightSDS!S$17*$AM766^4+WeightSDS!T$17*$AM766^3+WeightSDS!U$17*$AM766^2+WeightSDS!V$17*$AM766+WeightSDS!W$17,IF($AM766&lt;186,WeightSDS!$U$18+(WeightSDS!$V$18-WeightSDS!$U$18)/24*($AM766-186)+WeightSDS!$W$18*(-$AM766+186)^2-0.005,WeightSDS!$U$18+(WeightSDS!$V$18-WeightSDS!$U$18)/24*($AM766-186)-0.005)))</f>
        <v>0.14604529399999999</v>
      </c>
      <c r="AT766" s="4">
        <f t="shared" si="238"/>
        <v>0.56299999999999994</v>
      </c>
      <c r="AU766" s="4">
        <f t="shared" si="239"/>
        <v>69</v>
      </c>
      <c r="AV766" s="4">
        <f t="shared" si="240"/>
        <v>0.51</v>
      </c>
    </row>
    <row r="767" spans="1:48" x14ac:dyDescent="0.15">
      <c r="A767" s="4"/>
      <c r="B767" s="21"/>
      <c r="C767" s="21"/>
      <c r="D767" s="21"/>
      <c r="E767" s="22"/>
      <c r="F767" s="22"/>
      <c r="G767" s="23"/>
      <c r="H767" s="23"/>
      <c r="I767" s="181"/>
      <c r="J767" s="8" t="str">
        <f t="shared" si="232"/>
        <v/>
      </c>
      <c r="K767" s="2" t="str">
        <f t="shared" si="241"/>
        <v/>
      </c>
      <c r="L767" s="2" t="str">
        <f t="shared" si="233"/>
        <v/>
      </c>
      <c r="M767" s="2" t="str">
        <f t="shared" si="242"/>
        <v/>
      </c>
      <c r="N767" s="2" t="str">
        <f t="shared" si="250"/>
        <v/>
      </c>
      <c r="O767" s="2" t="str">
        <f t="shared" si="243"/>
        <v/>
      </c>
      <c r="P767" s="8" t="str">
        <f t="shared" si="244"/>
        <v/>
      </c>
      <c r="Q767" s="8" t="str">
        <f t="shared" si="245"/>
        <v/>
      </c>
      <c r="R767" s="111" t="str">
        <f t="shared" si="246"/>
        <v/>
      </c>
      <c r="S767" s="44" t="str">
        <f t="shared" si="247"/>
        <v/>
      </c>
      <c r="T767" s="37" t="str">
        <f t="shared" si="248"/>
        <v/>
      </c>
      <c r="U767" s="44" t="str">
        <f t="shared" si="249"/>
        <v/>
      </c>
      <c r="V767" s="26"/>
      <c r="W767" s="26"/>
      <c r="X767" s="26"/>
      <c r="Y767" s="26"/>
      <c r="Z767" s="24"/>
      <c r="AA767" s="169">
        <f t="shared" si="234"/>
        <v>0</v>
      </c>
      <c r="AB767" s="4">
        <f t="shared" si="235"/>
        <v>0</v>
      </c>
      <c r="AC767" s="170">
        <f t="shared" si="252"/>
        <v>0</v>
      </c>
      <c r="AD767" s="58"/>
      <c r="AE767" s="58"/>
      <c r="AF767" s="58"/>
      <c r="AG767" s="59">
        <f t="shared" si="236"/>
        <v>9.0359999999999996</v>
      </c>
      <c r="AH767" s="59">
        <f t="shared" si="237"/>
        <v>-184.49199999999999</v>
      </c>
      <c r="AJ767" s="4">
        <f>IF(D767="M",IF(AM767&lt;78,BMILMS!$D$5*AM767^3+BMILMS!$E$5*AM767^2+BMILMS!$F$5*AM767+BMILMS!$G$5,IF(AM767&lt;150,BMILMS!$D$6*AM767^3+BMILMS!$E$6*AM767^2+BMILMS!$F$6*AM767+BMILMS!$G$6,BMILMS!$D$7*AM767^3+BMILMS!$E$7*AM767^2+BMILMS!$F$7*AM767+BMILMS!$G$7)),IF(AM767&lt;69,BMILMS!$D$9*AM767^3+BMILMS!$E$9*AM767^2+BMILMS!$F$9*AM767+BMILMS!$G$9,IF(AM767&lt;150,BMILMS!$D$10*AM767^3+BMILMS!$E$10*AM767^2+BMILMS!$F$10*AM767+BMILMS!$G$10,BMILMS!$D$11*AM767^3+BMILMS!$E$11*AM767^2+BMILMS!$F$11*AM767+BMILMS!$G$11)))</f>
        <v>0.79584630099999998</v>
      </c>
      <c r="AK767" s="4">
        <f>IF(D767="M",(IF(AM767&lt;2.5,BMILMS!$D$21*AM767^3+BMILMS!$E$21*AM767^2+BMILMS!$F$21*AM767+BMILMS!$G$21,IF(AM767&lt;9.5,BMILMS!$D$22*AM767^3+BMILMS!$E$22*AM767^2+BMILMS!$F$22*AM767+BMILMS!$G$22,IF(AM767&lt;26.75,BMILMS!$D$23*AM767^3+BMILMS!$E$23*AM767^2+BMILMS!$F$23*AM767+BMILMS!$G$23,IF(AM767&lt;90,BMILMS!$D$24*AM767^3+BMILMS!$E$24*AM767^2+BMILMS!$F$24*AM767+BMILMS!$G$24,BMILMS!$D$25*AM767^3+BMILMS!$E$25*AM767^2+BMILMS!$F$25*AM767+BMILMS!$G$25))))),(IF(AM767&lt;2.5,BMILMS!$D$27*AM767^3+BMILMS!$E$27*AM767^2+BMILMS!$F$27*AM767+BMILMS!$G$27,IF(AM767&lt;9.5,BMILMS!$D$28*AM767^3+BMILMS!$E$28*AM767^2+BMILMS!$F$28*AM767+BMILMS!$G$28,IF(AM767&lt;26.75,BMILMS!$D$29*AM767^3+BMILMS!$E$29*AM767^2+BMILMS!$F$29*AM767+BMILMS!$G$29,IF(AM767&lt;90,BMILMS!$D$30*AM767^3+BMILMS!$E$30*AM767^2+BMILMS!$F$30*AM767+BMILMS!$G$30,IF(AM767&lt;150,BMILMS!$D$31*AM767^3+BMILMS!$E$31*AM767^2+BMILMS!$F$31*AM767+BMILMS!$G$31,BMILMS!$D$32*AM767^3+BMILMS!$E$32*AM767^2+BMILMS!$F$32*AM767+BMILMS!$G$32)))))))</f>
        <v>12.568967990000001</v>
      </c>
      <c r="AL767" s="4">
        <f>IF(D767="M",(IF(AM767&lt;90,BMILMS!$D$14*AM767^3+BMILMS!$E$14*AM767^2+BMILMS!$F$14*AM767+BMILMS!$G$14,BMILMS!$D$15*AM767^3+BMILMS!$E$15*AM767^2+BMILMS!$F$15*AM767+BMILMS!$G$15)),(IF(AM767&lt;90,BMILMS!$D$17*AM767^3+BMILMS!$E$17*AM767^2+BMILMS!$F$17*AM767+BMILMS!$G$17,BMILMS!$D$18*AM767^3+BMILMS!$E$18*AM767^2+BMILMS!$F$18*AM767+BMILMS!$G$18)))</f>
        <v>8.8969350000000003E-2</v>
      </c>
      <c r="AM767" s="4">
        <f t="shared" si="251"/>
        <v>0</v>
      </c>
      <c r="AO767" s="56">
        <f>IF(D767="M",WeightSDS!P$5*$AM767^7+WeightSDS!Q$5*$AM767^6+WeightSDS!R$5*$AM767^5+WeightSDS!S$5*$AM767^4+WeightSDS!T$5*$AM767^3+WeightSDS!U$5*$AM767^2+WeightSDS!V$5*$AM767+WeightSDS!W$5,IF($AM767&lt;186,WeightSDS!P$8*$AM767^7+WeightSDS!Q$8*$AM767^6+WeightSDS!R$8*$AM767^5+WeightSDS!S$8*$AM767^4+WeightSDS!T$8*$AM767^3+WeightSDS!U$8*$AM767^2+WeightSDS!V$8*$AM767+WeightSDS!W$8,WeightSDS!$U$9+WeightSDS!$V$9*($AM767-WeightSDS!$W$9)))</f>
        <v>0.75407122999999998</v>
      </c>
      <c r="AP767" s="4">
        <f>IF(D767="M",IF($AM767&lt;45,WeightSDS!M$23*$AM767^10+WeightSDS!N$23*$AM767^9+WeightSDS!O$23*$AM767^8+WeightSDS!P$23*$AM767^7+WeightSDS!Q$23*$AM767^6+WeightSDS!R$23*$AM767^5+WeightSDS!S$23*$AM767^4+WeightSDS!T$23*$AM767^3+WeightSDS!U$23*$AM767^2+WeightSDS!V$23*$AM767+WeightSDS!W$23,IF($AM767&lt;153,WeightSDS!M$25*$AM767^10+WeightSDS!N$25*$AM767^9+WeightSDS!O$25*$AM767^8+WeightSDS!P$25*$AM767^7+WeightSDS!Q$25*$AM767^6+WeightSDS!R$25*$AM767^5+WeightSDS!S$25*$AM767^4+WeightSDS!T$25*$AM767^3+WeightSDS!U$25*$AM767^2+WeightSDS!V$25*$AM767+WeightSDS!W$25,WeightSDS!M$27+WeightSDS!N$27/(1+EXP(WeightSDS!O$27+WeightSDS!P$27*$AM767)))),IF($AM767&lt;43.8,WeightSDS!M$29*$AM767^10+WeightSDS!N$29*$AM767^9+WeightSDS!O$29*$AM767^8+WeightSDS!P$29*$AM767^7+WeightSDS!Q$29*$AM767^6+WeightSDS!R$29*$AM767^5+WeightSDS!S$29*$AM767^4+WeightSDS!T$29*$AM767^3+WeightSDS!U$29*$AM767^2+WeightSDS!V$29*$AM767+WeightSDS!W$29-0.010431*(1-$AM767/210),IF($AM767&lt;123,WeightSDS!M$30*$AM767^10+WeightSDS!N$30*$AM767^9+WeightSDS!O$30*$AM767^8+WeightSDS!P$30*$AM767^7+WeightSDS!Q$30*$AM767^6+WeightSDS!R$30*$AM767^5+WeightSDS!S$30*$AM767^4+WeightSDS!T$30*$AM767^3+WeightSDS!U$30*$AM767^2+WeightSDS!V$30*$AM767+WeightSDS!W$30-0.010431*(1-1/$AM767),WeightSDS!M$32+WeightSDS!N$32/(1+EXP(WeightSDS!O$32+WeightSDS!P$32*$AM767))-0.010431*(1-$AM767/210))))</f>
        <v>2.9500001032655536</v>
      </c>
      <c r="AQ767" s="4">
        <f>IF(D767="M",IF($AM767&lt;162,WeightSDS!P$12*$AM767^7+WeightSDS!Q$12*$AM767^6+WeightSDS!R$12*$AM767^5+WeightSDS!S$12*$AM767^4+WeightSDS!T$12*$AM767^3+WeightSDS!U$12*$AM767^2+WeightSDS!V$12*$AM767+WeightSDS!W$12,WeightSDS!P$14*$AM767^7+WeightSDS!Q$14*$AM767^6+WeightSDS!R$14*$AM767^5+WeightSDS!S$14*$AM767^4+WeightSDS!T$14*$AM767^3+WeightSDS!U$14*$AM767^2+WeightSDS!V$14*$AM767+WeightSDS!W$14),IF($AM767&lt;156,WeightSDS!O$17*$AM767^8+WeightSDS!P$17*$AM767^7+WeightSDS!Q$17*$AM767^6+WeightSDS!R$17*$AM767^5+WeightSDS!S$17*$AM767^4+WeightSDS!T$17*$AM767^3+WeightSDS!U$17*$AM767^2+WeightSDS!V$17*$AM767+WeightSDS!W$17,IF($AM767&lt;186,WeightSDS!$U$18+(WeightSDS!$V$18-WeightSDS!$U$18)/24*($AM767-186)+WeightSDS!$W$18*(-$AM767+186)^2-0.005,WeightSDS!$U$18+(WeightSDS!$V$18-WeightSDS!$U$18)/24*($AM767-186)-0.005)))</f>
        <v>0.14604529399999999</v>
      </c>
      <c r="AT767" s="4">
        <f t="shared" si="238"/>
        <v>0.56299999999999994</v>
      </c>
      <c r="AU767" s="4">
        <f t="shared" si="239"/>
        <v>69</v>
      </c>
      <c r="AV767" s="4">
        <f t="shared" si="240"/>
        <v>0.51</v>
      </c>
    </row>
    <row r="768" spans="1:48" x14ac:dyDescent="0.15">
      <c r="A768" s="4"/>
      <c r="B768" s="21"/>
      <c r="C768" s="21"/>
      <c r="D768" s="21"/>
      <c r="E768" s="22"/>
      <c r="F768" s="22"/>
      <c r="G768" s="23"/>
      <c r="H768" s="23"/>
      <c r="I768" s="181"/>
      <c r="J768" s="8" t="str">
        <f t="shared" si="232"/>
        <v/>
      </c>
      <c r="K768" s="2" t="str">
        <f t="shared" si="241"/>
        <v/>
      </c>
      <c r="L768" s="2" t="str">
        <f t="shared" si="233"/>
        <v/>
      </c>
      <c r="M768" s="2" t="str">
        <f t="shared" si="242"/>
        <v/>
      </c>
      <c r="N768" s="2" t="str">
        <f t="shared" si="250"/>
        <v/>
      </c>
      <c r="O768" s="2" t="str">
        <f t="shared" si="243"/>
        <v/>
      </c>
      <c r="P768" s="8" t="str">
        <f t="shared" si="244"/>
        <v/>
      </c>
      <c r="Q768" s="8" t="str">
        <f t="shared" si="245"/>
        <v/>
      </c>
      <c r="R768" s="111" t="str">
        <f t="shared" si="246"/>
        <v/>
      </c>
      <c r="S768" s="44" t="str">
        <f t="shared" si="247"/>
        <v/>
      </c>
      <c r="T768" s="37" t="str">
        <f t="shared" si="248"/>
        <v/>
      </c>
      <c r="U768" s="44" t="str">
        <f t="shared" si="249"/>
        <v/>
      </c>
      <c r="V768" s="26"/>
      <c r="W768" s="26"/>
      <c r="X768" s="26"/>
      <c r="Y768" s="26"/>
      <c r="Z768" s="24"/>
      <c r="AA768" s="169">
        <f t="shared" si="234"/>
        <v>0</v>
      </c>
      <c r="AB768" s="4">
        <f t="shared" si="235"/>
        <v>0</v>
      </c>
      <c r="AC768" s="170">
        <f t="shared" si="252"/>
        <v>0</v>
      </c>
      <c r="AD768" s="58"/>
      <c r="AE768" s="58"/>
      <c r="AF768" s="58"/>
      <c r="AG768" s="59">
        <f t="shared" si="236"/>
        <v>9.0359999999999996</v>
      </c>
      <c r="AH768" s="59">
        <f t="shared" si="237"/>
        <v>-184.49199999999999</v>
      </c>
      <c r="AJ768" s="4">
        <f>IF(D768="M",IF(AM768&lt;78,BMILMS!$D$5*AM768^3+BMILMS!$E$5*AM768^2+BMILMS!$F$5*AM768+BMILMS!$G$5,IF(AM768&lt;150,BMILMS!$D$6*AM768^3+BMILMS!$E$6*AM768^2+BMILMS!$F$6*AM768+BMILMS!$G$6,BMILMS!$D$7*AM768^3+BMILMS!$E$7*AM768^2+BMILMS!$F$7*AM768+BMILMS!$G$7)),IF(AM768&lt;69,BMILMS!$D$9*AM768^3+BMILMS!$E$9*AM768^2+BMILMS!$F$9*AM768+BMILMS!$G$9,IF(AM768&lt;150,BMILMS!$D$10*AM768^3+BMILMS!$E$10*AM768^2+BMILMS!$F$10*AM768+BMILMS!$G$10,BMILMS!$D$11*AM768^3+BMILMS!$E$11*AM768^2+BMILMS!$F$11*AM768+BMILMS!$G$11)))</f>
        <v>0.79584630099999998</v>
      </c>
      <c r="AK768" s="4">
        <f>IF(D768="M",(IF(AM768&lt;2.5,BMILMS!$D$21*AM768^3+BMILMS!$E$21*AM768^2+BMILMS!$F$21*AM768+BMILMS!$G$21,IF(AM768&lt;9.5,BMILMS!$D$22*AM768^3+BMILMS!$E$22*AM768^2+BMILMS!$F$22*AM768+BMILMS!$G$22,IF(AM768&lt;26.75,BMILMS!$D$23*AM768^3+BMILMS!$E$23*AM768^2+BMILMS!$F$23*AM768+BMILMS!$G$23,IF(AM768&lt;90,BMILMS!$D$24*AM768^3+BMILMS!$E$24*AM768^2+BMILMS!$F$24*AM768+BMILMS!$G$24,BMILMS!$D$25*AM768^3+BMILMS!$E$25*AM768^2+BMILMS!$F$25*AM768+BMILMS!$G$25))))),(IF(AM768&lt;2.5,BMILMS!$D$27*AM768^3+BMILMS!$E$27*AM768^2+BMILMS!$F$27*AM768+BMILMS!$G$27,IF(AM768&lt;9.5,BMILMS!$D$28*AM768^3+BMILMS!$E$28*AM768^2+BMILMS!$F$28*AM768+BMILMS!$G$28,IF(AM768&lt;26.75,BMILMS!$D$29*AM768^3+BMILMS!$E$29*AM768^2+BMILMS!$F$29*AM768+BMILMS!$G$29,IF(AM768&lt;90,BMILMS!$D$30*AM768^3+BMILMS!$E$30*AM768^2+BMILMS!$F$30*AM768+BMILMS!$G$30,IF(AM768&lt;150,BMILMS!$D$31*AM768^3+BMILMS!$E$31*AM768^2+BMILMS!$F$31*AM768+BMILMS!$G$31,BMILMS!$D$32*AM768^3+BMILMS!$E$32*AM768^2+BMILMS!$F$32*AM768+BMILMS!$G$32)))))))</f>
        <v>12.568967990000001</v>
      </c>
      <c r="AL768" s="4">
        <f>IF(D768="M",(IF(AM768&lt;90,BMILMS!$D$14*AM768^3+BMILMS!$E$14*AM768^2+BMILMS!$F$14*AM768+BMILMS!$G$14,BMILMS!$D$15*AM768^3+BMILMS!$E$15*AM768^2+BMILMS!$F$15*AM768+BMILMS!$G$15)),(IF(AM768&lt;90,BMILMS!$D$17*AM768^3+BMILMS!$E$17*AM768^2+BMILMS!$F$17*AM768+BMILMS!$G$17,BMILMS!$D$18*AM768^3+BMILMS!$E$18*AM768^2+BMILMS!$F$18*AM768+BMILMS!$G$18)))</f>
        <v>8.8969350000000003E-2</v>
      </c>
      <c r="AM768" s="4">
        <f t="shared" si="251"/>
        <v>0</v>
      </c>
      <c r="AO768" s="56">
        <f>IF(D768="M",WeightSDS!P$5*$AM768^7+WeightSDS!Q$5*$AM768^6+WeightSDS!R$5*$AM768^5+WeightSDS!S$5*$AM768^4+WeightSDS!T$5*$AM768^3+WeightSDS!U$5*$AM768^2+WeightSDS!V$5*$AM768+WeightSDS!W$5,IF($AM768&lt;186,WeightSDS!P$8*$AM768^7+WeightSDS!Q$8*$AM768^6+WeightSDS!R$8*$AM768^5+WeightSDS!S$8*$AM768^4+WeightSDS!T$8*$AM768^3+WeightSDS!U$8*$AM768^2+WeightSDS!V$8*$AM768+WeightSDS!W$8,WeightSDS!$U$9+WeightSDS!$V$9*($AM768-WeightSDS!$W$9)))</f>
        <v>0.75407122999999998</v>
      </c>
      <c r="AP768" s="4">
        <f>IF(D768="M",IF($AM768&lt;45,WeightSDS!M$23*$AM768^10+WeightSDS!N$23*$AM768^9+WeightSDS!O$23*$AM768^8+WeightSDS!P$23*$AM768^7+WeightSDS!Q$23*$AM768^6+WeightSDS!R$23*$AM768^5+WeightSDS!S$23*$AM768^4+WeightSDS!T$23*$AM768^3+WeightSDS!U$23*$AM768^2+WeightSDS!V$23*$AM768+WeightSDS!W$23,IF($AM768&lt;153,WeightSDS!M$25*$AM768^10+WeightSDS!N$25*$AM768^9+WeightSDS!O$25*$AM768^8+WeightSDS!P$25*$AM768^7+WeightSDS!Q$25*$AM768^6+WeightSDS!R$25*$AM768^5+WeightSDS!S$25*$AM768^4+WeightSDS!T$25*$AM768^3+WeightSDS!U$25*$AM768^2+WeightSDS!V$25*$AM768+WeightSDS!W$25,WeightSDS!M$27+WeightSDS!N$27/(1+EXP(WeightSDS!O$27+WeightSDS!P$27*$AM768)))),IF($AM768&lt;43.8,WeightSDS!M$29*$AM768^10+WeightSDS!N$29*$AM768^9+WeightSDS!O$29*$AM768^8+WeightSDS!P$29*$AM768^7+WeightSDS!Q$29*$AM768^6+WeightSDS!R$29*$AM768^5+WeightSDS!S$29*$AM768^4+WeightSDS!T$29*$AM768^3+WeightSDS!U$29*$AM768^2+WeightSDS!V$29*$AM768+WeightSDS!W$29-0.010431*(1-$AM768/210),IF($AM768&lt;123,WeightSDS!M$30*$AM768^10+WeightSDS!N$30*$AM768^9+WeightSDS!O$30*$AM768^8+WeightSDS!P$30*$AM768^7+WeightSDS!Q$30*$AM768^6+WeightSDS!R$30*$AM768^5+WeightSDS!S$30*$AM768^4+WeightSDS!T$30*$AM768^3+WeightSDS!U$30*$AM768^2+WeightSDS!V$30*$AM768+WeightSDS!W$30-0.010431*(1-1/$AM768),WeightSDS!M$32+WeightSDS!N$32/(1+EXP(WeightSDS!O$32+WeightSDS!P$32*$AM768))-0.010431*(1-$AM768/210))))</f>
        <v>2.9500001032655536</v>
      </c>
      <c r="AQ768" s="4">
        <f>IF(D768="M",IF($AM768&lt;162,WeightSDS!P$12*$AM768^7+WeightSDS!Q$12*$AM768^6+WeightSDS!R$12*$AM768^5+WeightSDS!S$12*$AM768^4+WeightSDS!T$12*$AM768^3+WeightSDS!U$12*$AM768^2+WeightSDS!V$12*$AM768+WeightSDS!W$12,WeightSDS!P$14*$AM768^7+WeightSDS!Q$14*$AM768^6+WeightSDS!R$14*$AM768^5+WeightSDS!S$14*$AM768^4+WeightSDS!T$14*$AM768^3+WeightSDS!U$14*$AM768^2+WeightSDS!V$14*$AM768+WeightSDS!W$14),IF($AM768&lt;156,WeightSDS!O$17*$AM768^8+WeightSDS!P$17*$AM768^7+WeightSDS!Q$17*$AM768^6+WeightSDS!R$17*$AM768^5+WeightSDS!S$17*$AM768^4+WeightSDS!T$17*$AM768^3+WeightSDS!U$17*$AM768^2+WeightSDS!V$17*$AM768+WeightSDS!W$17,IF($AM768&lt;186,WeightSDS!$U$18+(WeightSDS!$V$18-WeightSDS!$U$18)/24*($AM768-186)+WeightSDS!$W$18*(-$AM768+186)^2-0.005,WeightSDS!$U$18+(WeightSDS!$V$18-WeightSDS!$U$18)/24*($AM768-186)-0.005)))</f>
        <v>0.14604529399999999</v>
      </c>
      <c r="AT768" s="4">
        <f t="shared" si="238"/>
        <v>0.56299999999999994</v>
      </c>
      <c r="AU768" s="4">
        <f t="shared" si="239"/>
        <v>69</v>
      </c>
      <c r="AV768" s="4">
        <f t="shared" si="240"/>
        <v>0.51</v>
      </c>
    </row>
    <row r="769" spans="1:48" x14ac:dyDescent="0.15">
      <c r="A769" s="4"/>
      <c r="B769" s="21"/>
      <c r="C769" s="21"/>
      <c r="D769" s="21"/>
      <c r="E769" s="22"/>
      <c r="F769" s="22"/>
      <c r="G769" s="23"/>
      <c r="H769" s="23"/>
      <c r="I769" s="181"/>
      <c r="J769" s="8" t="str">
        <f t="shared" si="232"/>
        <v/>
      </c>
      <c r="K769" s="2" t="str">
        <f t="shared" si="241"/>
        <v/>
      </c>
      <c r="L769" s="2" t="str">
        <f t="shared" si="233"/>
        <v/>
      </c>
      <c r="M769" s="2" t="str">
        <f t="shared" si="242"/>
        <v/>
      </c>
      <c r="N769" s="2" t="str">
        <f t="shared" si="250"/>
        <v/>
      </c>
      <c r="O769" s="2" t="str">
        <f t="shared" si="243"/>
        <v/>
      </c>
      <c r="P769" s="8" t="str">
        <f t="shared" si="244"/>
        <v/>
      </c>
      <c r="Q769" s="8" t="str">
        <f t="shared" si="245"/>
        <v/>
      </c>
      <c r="R769" s="111" t="str">
        <f t="shared" si="246"/>
        <v/>
      </c>
      <c r="S769" s="44" t="str">
        <f t="shared" si="247"/>
        <v/>
      </c>
      <c r="T769" s="37" t="str">
        <f t="shared" si="248"/>
        <v/>
      </c>
      <c r="U769" s="44" t="str">
        <f t="shared" si="249"/>
        <v/>
      </c>
      <c r="V769" s="26"/>
      <c r="W769" s="26"/>
      <c r="X769" s="26"/>
      <c r="Y769" s="26"/>
      <c r="Z769" s="24"/>
      <c r="AA769" s="169">
        <f t="shared" si="234"/>
        <v>0</v>
      </c>
      <c r="AB769" s="4">
        <f t="shared" si="235"/>
        <v>0</v>
      </c>
      <c r="AC769" s="170">
        <f t="shared" si="252"/>
        <v>0</v>
      </c>
      <c r="AD769" s="58"/>
      <c r="AE769" s="58"/>
      <c r="AF769" s="58"/>
      <c r="AG769" s="59">
        <f t="shared" si="236"/>
        <v>9.0359999999999996</v>
      </c>
      <c r="AH769" s="59">
        <f t="shared" si="237"/>
        <v>-184.49199999999999</v>
      </c>
      <c r="AJ769" s="4">
        <f>IF(D769="M",IF(AM769&lt;78,BMILMS!$D$5*AM769^3+BMILMS!$E$5*AM769^2+BMILMS!$F$5*AM769+BMILMS!$G$5,IF(AM769&lt;150,BMILMS!$D$6*AM769^3+BMILMS!$E$6*AM769^2+BMILMS!$F$6*AM769+BMILMS!$G$6,BMILMS!$D$7*AM769^3+BMILMS!$E$7*AM769^2+BMILMS!$F$7*AM769+BMILMS!$G$7)),IF(AM769&lt;69,BMILMS!$D$9*AM769^3+BMILMS!$E$9*AM769^2+BMILMS!$F$9*AM769+BMILMS!$G$9,IF(AM769&lt;150,BMILMS!$D$10*AM769^3+BMILMS!$E$10*AM769^2+BMILMS!$F$10*AM769+BMILMS!$G$10,BMILMS!$D$11*AM769^3+BMILMS!$E$11*AM769^2+BMILMS!$F$11*AM769+BMILMS!$G$11)))</f>
        <v>0.79584630099999998</v>
      </c>
      <c r="AK769" s="4">
        <f>IF(D769="M",(IF(AM769&lt;2.5,BMILMS!$D$21*AM769^3+BMILMS!$E$21*AM769^2+BMILMS!$F$21*AM769+BMILMS!$G$21,IF(AM769&lt;9.5,BMILMS!$D$22*AM769^3+BMILMS!$E$22*AM769^2+BMILMS!$F$22*AM769+BMILMS!$G$22,IF(AM769&lt;26.75,BMILMS!$D$23*AM769^3+BMILMS!$E$23*AM769^2+BMILMS!$F$23*AM769+BMILMS!$G$23,IF(AM769&lt;90,BMILMS!$D$24*AM769^3+BMILMS!$E$24*AM769^2+BMILMS!$F$24*AM769+BMILMS!$G$24,BMILMS!$D$25*AM769^3+BMILMS!$E$25*AM769^2+BMILMS!$F$25*AM769+BMILMS!$G$25))))),(IF(AM769&lt;2.5,BMILMS!$D$27*AM769^3+BMILMS!$E$27*AM769^2+BMILMS!$F$27*AM769+BMILMS!$G$27,IF(AM769&lt;9.5,BMILMS!$D$28*AM769^3+BMILMS!$E$28*AM769^2+BMILMS!$F$28*AM769+BMILMS!$G$28,IF(AM769&lt;26.75,BMILMS!$D$29*AM769^3+BMILMS!$E$29*AM769^2+BMILMS!$F$29*AM769+BMILMS!$G$29,IF(AM769&lt;90,BMILMS!$D$30*AM769^3+BMILMS!$E$30*AM769^2+BMILMS!$F$30*AM769+BMILMS!$G$30,IF(AM769&lt;150,BMILMS!$D$31*AM769^3+BMILMS!$E$31*AM769^2+BMILMS!$F$31*AM769+BMILMS!$G$31,BMILMS!$D$32*AM769^3+BMILMS!$E$32*AM769^2+BMILMS!$F$32*AM769+BMILMS!$G$32)))))))</f>
        <v>12.568967990000001</v>
      </c>
      <c r="AL769" s="4">
        <f>IF(D769="M",(IF(AM769&lt;90,BMILMS!$D$14*AM769^3+BMILMS!$E$14*AM769^2+BMILMS!$F$14*AM769+BMILMS!$G$14,BMILMS!$D$15*AM769^3+BMILMS!$E$15*AM769^2+BMILMS!$F$15*AM769+BMILMS!$G$15)),(IF(AM769&lt;90,BMILMS!$D$17*AM769^3+BMILMS!$E$17*AM769^2+BMILMS!$F$17*AM769+BMILMS!$G$17,BMILMS!$D$18*AM769^3+BMILMS!$E$18*AM769^2+BMILMS!$F$18*AM769+BMILMS!$G$18)))</f>
        <v>8.8969350000000003E-2</v>
      </c>
      <c r="AM769" s="4">
        <f t="shared" si="251"/>
        <v>0</v>
      </c>
      <c r="AO769" s="56">
        <f>IF(D769="M",WeightSDS!P$5*$AM769^7+WeightSDS!Q$5*$AM769^6+WeightSDS!R$5*$AM769^5+WeightSDS!S$5*$AM769^4+WeightSDS!T$5*$AM769^3+WeightSDS!U$5*$AM769^2+WeightSDS!V$5*$AM769+WeightSDS!W$5,IF($AM769&lt;186,WeightSDS!P$8*$AM769^7+WeightSDS!Q$8*$AM769^6+WeightSDS!R$8*$AM769^5+WeightSDS!S$8*$AM769^4+WeightSDS!T$8*$AM769^3+WeightSDS!U$8*$AM769^2+WeightSDS!V$8*$AM769+WeightSDS!W$8,WeightSDS!$U$9+WeightSDS!$V$9*($AM769-WeightSDS!$W$9)))</f>
        <v>0.75407122999999998</v>
      </c>
      <c r="AP769" s="4">
        <f>IF(D769="M",IF($AM769&lt;45,WeightSDS!M$23*$AM769^10+WeightSDS!N$23*$AM769^9+WeightSDS!O$23*$AM769^8+WeightSDS!P$23*$AM769^7+WeightSDS!Q$23*$AM769^6+WeightSDS!R$23*$AM769^5+WeightSDS!S$23*$AM769^4+WeightSDS!T$23*$AM769^3+WeightSDS!U$23*$AM769^2+WeightSDS!V$23*$AM769+WeightSDS!W$23,IF($AM769&lt;153,WeightSDS!M$25*$AM769^10+WeightSDS!N$25*$AM769^9+WeightSDS!O$25*$AM769^8+WeightSDS!P$25*$AM769^7+WeightSDS!Q$25*$AM769^6+WeightSDS!R$25*$AM769^5+WeightSDS!S$25*$AM769^4+WeightSDS!T$25*$AM769^3+WeightSDS!U$25*$AM769^2+WeightSDS!V$25*$AM769+WeightSDS!W$25,WeightSDS!M$27+WeightSDS!N$27/(1+EXP(WeightSDS!O$27+WeightSDS!P$27*$AM769)))),IF($AM769&lt;43.8,WeightSDS!M$29*$AM769^10+WeightSDS!N$29*$AM769^9+WeightSDS!O$29*$AM769^8+WeightSDS!P$29*$AM769^7+WeightSDS!Q$29*$AM769^6+WeightSDS!R$29*$AM769^5+WeightSDS!S$29*$AM769^4+WeightSDS!T$29*$AM769^3+WeightSDS!U$29*$AM769^2+WeightSDS!V$29*$AM769+WeightSDS!W$29-0.010431*(1-$AM769/210),IF($AM769&lt;123,WeightSDS!M$30*$AM769^10+WeightSDS!N$30*$AM769^9+WeightSDS!O$30*$AM769^8+WeightSDS!P$30*$AM769^7+WeightSDS!Q$30*$AM769^6+WeightSDS!R$30*$AM769^5+WeightSDS!S$30*$AM769^4+WeightSDS!T$30*$AM769^3+WeightSDS!U$30*$AM769^2+WeightSDS!V$30*$AM769+WeightSDS!W$30-0.010431*(1-1/$AM769),WeightSDS!M$32+WeightSDS!N$32/(1+EXP(WeightSDS!O$32+WeightSDS!P$32*$AM769))-0.010431*(1-$AM769/210))))</f>
        <v>2.9500001032655536</v>
      </c>
      <c r="AQ769" s="4">
        <f>IF(D769="M",IF($AM769&lt;162,WeightSDS!P$12*$AM769^7+WeightSDS!Q$12*$AM769^6+WeightSDS!R$12*$AM769^5+WeightSDS!S$12*$AM769^4+WeightSDS!T$12*$AM769^3+WeightSDS!U$12*$AM769^2+WeightSDS!V$12*$AM769+WeightSDS!W$12,WeightSDS!P$14*$AM769^7+WeightSDS!Q$14*$AM769^6+WeightSDS!R$14*$AM769^5+WeightSDS!S$14*$AM769^4+WeightSDS!T$14*$AM769^3+WeightSDS!U$14*$AM769^2+WeightSDS!V$14*$AM769+WeightSDS!W$14),IF($AM769&lt;156,WeightSDS!O$17*$AM769^8+WeightSDS!P$17*$AM769^7+WeightSDS!Q$17*$AM769^6+WeightSDS!R$17*$AM769^5+WeightSDS!S$17*$AM769^4+WeightSDS!T$17*$AM769^3+WeightSDS!U$17*$AM769^2+WeightSDS!V$17*$AM769+WeightSDS!W$17,IF($AM769&lt;186,WeightSDS!$U$18+(WeightSDS!$V$18-WeightSDS!$U$18)/24*($AM769-186)+WeightSDS!$W$18*(-$AM769+186)^2-0.005,WeightSDS!$U$18+(WeightSDS!$V$18-WeightSDS!$U$18)/24*($AM769-186)-0.005)))</f>
        <v>0.14604529399999999</v>
      </c>
      <c r="AT769" s="4">
        <f t="shared" si="238"/>
        <v>0.56299999999999994</v>
      </c>
      <c r="AU769" s="4">
        <f t="shared" si="239"/>
        <v>69</v>
      </c>
      <c r="AV769" s="4">
        <f t="shared" si="240"/>
        <v>0.51</v>
      </c>
    </row>
    <row r="770" spans="1:48" x14ac:dyDescent="0.15">
      <c r="A770" s="4"/>
      <c r="B770" s="21"/>
      <c r="C770" s="21"/>
      <c r="D770" s="21"/>
      <c r="E770" s="22"/>
      <c r="F770" s="22"/>
      <c r="G770" s="23"/>
      <c r="H770" s="23"/>
      <c r="I770" s="181"/>
      <c r="J770" s="8" t="str">
        <f t="shared" si="232"/>
        <v/>
      </c>
      <c r="K770" s="2" t="str">
        <f t="shared" si="241"/>
        <v/>
      </c>
      <c r="L770" s="2" t="str">
        <f t="shared" si="233"/>
        <v/>
      </c>
      <c r="M770" s="2" t="str">
        <f t="shared" si="242"/>
        <v/>
      </c>
      <c r="N770" s="2" t="str">
        <f t="shared" si="250"/>
        <v/>
      </c>
      <c r="O770" s="2" t="str">
        <f t="shared" si="243"/>
        <v/>
      </c>
      <c r="P770" s="8" t="str">
        <f t="shared" si="244"/>
        <v/>
      </c>
      <c r="Q770" s="8" t="str">
        <f t="shared" si="245"/>
        <v/>
      </c>
      <c r="R770" s="111" t="str">
        <f t="shared" si="246"/>
        <v/>
      </c>
      <c r="S770" s="44" t="str">
        <f t="shared" si="247"/>
        <v/>
      </c>
      <c r="T770" s="37" t="str">
        <f t="shared" si="248"/>
        <v/>
      </c>
      <c r="U770" s="44" t="str">
        <f t="shared" si="249"/>
        <v/>
      </c>
      <c r="V770" s="26"/>
      <c r="W770" s="26"/>
      <c r="X770" s="26"/>
      <c r="Y770" s="26"/>
      <c r="Z770" s="24"/>
      <c r="AA770" s="169">
        <f t="shared" si="234"/>
        <v>0</v>
      </c>
      <c r="AB770" s="4">
        <f t="shared" si="235"/>
        <v>0</v>
      </c>
      <c r="AC770" s="170">
        <f t="shared" si="252"/>
        <v>0</v>
      </c>
      <c r="AD770" s="58"/>
      <c r="AE770" s="58"/>
      <c r="AF770" s="58"/>
      <c r="AG770" s="59">
        <f t="shared" si="236"/>
        <v>9.0359999999999996</v>
      </c>
      <c r="AH770" s="59">
        <f t="shared" si="237"/>
        <v>-184.49199999999999</v>
      </c>
      <c r="AJ770" s="4">
        <f>IF(D770="M",IF(AM770&lt;78,BMILMS!$D$5*AM770^3+BMILMS!$E$5*AM770^2+BMILMS!$F$5*AM770+BMILMS!$G$5,IF(AM770&lt;150,BMILMS!$D$6*AM770^3+BMILMS!$E$6*AM770^2+BMILMS!$F$6*AM770+BMILMS!$G$6,BMILMS!$D$7*AM770^3+BMILMS!$E$7*AM770^2+BMILMS!$F$7*AM770+BMILMS!$G$7)),IF(AM770&lt;69,BMILMS!$D$9*AM770^3+BMILMS!$E$9*AM770^2+BMILMS!$F$9*AM770+BMILMS!$G$9,IF(AM770&lt;150,BMILMS!$D$10*AM770^3+BMILMS!$E$10*AM770^2+BMILMS!$F$10*AM770+BMILMS!$G$10,BMILMS!$D$11*AM770^3+BMILMS!$E$11*AM770^2+BMILMS!$F$11*AM770+BMILMS!$G$11)))</f>
        <v>0.79584630099999998</v>
      </c>
      <c r="AK770" s="4">
        <f>IF(D770="M",(IF(AM770&lt;2.5,BMILMS!$D$21*AM770^3+BMILMS!$E$21*AM770^2+BMILMS!$F$21*AM770+BMILMS!$G$21,IF(AM770&lt;9.5,BMILMS!$D$22*AM770^3+BMILMS!$E$22*AM770^2+BMILMS!$F$22*AM770+BMILMS!$G$22,IF(AM770&lt;26.75,BMILMS!$D$23*AM770^3+BMILMS!$E$23*AM770^2+BMILMS!$F$23*AM770+BMILMS!$G$23,IF(AM770&lt;90,BMILMS!$D$24*AM770^3+BMILMS!$E$24*AM770^2+BMILMS!$F$24*AM770+BMILMS!$G$24,BMILMS!$D$25*AM770^3+BMILMS!$E$25*AM770^2+BMILMS!$F$25*AM770+BMILMS!$G$25))))),(IF(AM770&lt;2.5,BMILMS!$D$27*AM770^3+BMILMS!$E$27*AM770^2+BMILMS!$F$27*AM770+BMILMS!$G$27,IF(AM770&lt;9.5,BMILMS!$D$28*AM770^3+BMILMS!$E$28*AM770^2+BMILMS!$F$28*AM770+BMILMS!$G$28,IF(AM770&lt;26.75,BMILMS!$D$29*AM770^3+BMILMS!$E$29*AM770^2+BMILMS!$F$29*AM770+BMILMS!$G$29,IF(AM770&lt;90,BMILMS!$D$30*AM770^3+BMILMS!$E$30*AM770^2+BMILMS!$F$30*AM770+BMILMS!$G$30,IF(AM770&lt;150,BMILMS!$D$31*AM770^3+BMILMS!$E$31*AM770^2+BMILMS!$F$31*AM770+BMILMS!$G$31,BMILMS!$D$32*AM770^3+BMILMS!$E$32*AM770^2+BMILMS!$F$32*AM770+BMILMS!$G$32)))))))</f>
        <v>12.568967990000001</v>
      </c>
      <c r="AL770" s="4">
        <f>IF(D770="M",(IF(AM770&lt;90,BMILMS!$D$14*AM770^3+BMILMS!$E$14*AM770^2+BMILMS!$F$14*AM770+BMILMS!$G$14,BMILMS!$D$15*AM770^3+BMILMS!$E$15*AM770^2+BMILMS!$F$15*AM770+BMILMS!$G$15)),(IF(AM770&lt;90,BMILMS!$D$17*AM770^3+BMILMS!$E$17*AM770^2+BMILMS!$F$17*AM770+BMILMS!$G$17,BMILMS!$D$18*AM770^3+BMILMS!$E$18*AM770^2+BMILMS!$F$18*AM770+BMILMS!$G$18)))</f>
        <v>8.8969350000000003E-2</v>
      </c>
      <c r="AM770" s="4">
        <f t="shared" si="251"/>
        <v>0</v>
      </c>
      <c r="AO770" s="56">
        <f>IF(D770="M",WeightSDS!P$5*$AM770^7+WeightSDS!Q$5*$AM770^6+WeightSDS!R$5*$AM770^5+WeightSDS!S$5*$AM770^4+WeightSDS!T$5*$AM770^3+WeightSDS!U$5*$AM770^2+WeightSDS!V$5*$AM770+WeightSDS!W$5,IF($AM770&lt;186,WeightSDS!P$8*$AM770^7+WeightSDS!Q$8*$AM770^6+WeightSDS!R$8*$AM770^5+WeightSDS!S$8*$AM770^4+WeightSDS!T$8*$AM770^3+WeightSDS!U$8*$AM770^2+WeightSDS!V$8*$AM770+WeightSDS!W$8,WeightSDS!$U$9+WeightSDS!$V$9*($AM770-WeightSDS!$W$9)))</f>
        <v>0.75407122999999998</v>
      </c>
      <c r="AP770" s="4">
        <f>IF(D770="M",IF($AM770&lt;45,WeightSDS!M$23*$AM770^10+WeightSDS!N$23*$AM770^9+WeightSDS!O$23*$AM770^8+WeightSDS!P$23*$AM770^7+WeightSDS!Q$23*$AM770^6+WeightSDS!R$23*$AM770^5+WeightSDS!S$23*$AM770^4+WeightSDS!T$23*$AM770^3+WeightSDS!U$23*$AM770^2+WeightSDS!V$23*$AM770+WeightSDS!W$23,IF($AM770&lt;153,WeightSDS!M$25*$AM770^10+WeightSDS!N$25*$AM770^9+WeightSDS!O$25*$AM770^8+WeightSDS!P$25*$AM770^7+WeightSDS!Q$25*$AM770^6+WeightSDS!R$25*$AM770^5+WeightSDS!S$25*$AM770^4+WeightSDS!T$25*$AM770^3+WeightSDS!U$25*$AM770^2+WeightSDS!V$25*$AM770+WeightSDS!W$25,WeightSDS!M$27+WeightSDS!N$27/(1+EXP(WeightSDS!O$27+WeightSDS!P$27*$AM770)))),IF($AM770&lt;43.8,WeightSDS!M$29*$AM770^10+WeightSDS!N$29*$AM770^9+WeightSDS!O$29*$AM770^8+WeightSDS!P$29*$AM770^7+WeightSDS!Q$29*$AM770^6+WeightSDS!R$29*$AM770^5+WeightSDS!S$29*$AM770^4+WeightSDS!T$29*$AM770^3+WeightSDS!U$29*$AM770^2+WeightSDS!V$29*$AM770+WeightSDS!W$29-0.010431*(1-$AM770/210),IF($AM770&lt;123,WeightSDS!M$30*$AM770^10+WeightSDS!N$30*$AM770^9+WeightSDS!O$30*$AM770^8+WeightSDS!P$30*$AM770^7+WeightSDS!Q$30*$AM770^6+WeightSDS!R$30*$AM770^5+WeightSDS!S$30*$AM770^4+WeightSDS!T$30*$AM770^3+WeightSDS!U$30*$AM770^2+WeightSDS!V$30*$AM770+WeightSDS!W$30-0.010431*(1-1/$AM770),WeightSDS!M$32+WeightSDS!N$32/(1+EXP(WeightSDS!O$32+WeightSDS!P$32*$AM770))-0.010431*(1-$AM770/210))))</f>
        <v>2.9500001032655536</v>
      </c>
      <c r="AQ770" s="4">
        <f>IF(D770="M",IF($AM770&lt;162,WeightSDS!P$12*$AM770^7+WeightSDS!Q$12*$AM770^6+WeightSDS!R$12*$AM770^5+WeightSDS!S$12*$AM770^4+WeightSDS!T$12*$AM770^3+WeightSDS!U$12*$AM770^2+WeightSDS!V$12*$AM770+WeightSDS!W$12,WeightSDS!P$14*$AM770^7+WeightSDS!Q$14*$AM770^6+WeightSDS!R$14*$AM770^5+WeightSDS!S$14*$AM770^4+WeightSDS!T$14*$AM770^3+WeightSDS!U$14*$AM770^2+WeightSDS!V$14*$AM770+WeightSDS!W$14),IF($AM770&lt;156,WeightSDS!O$17*$AM770^8+WeightSDS!P$17*$AM770^7+WeightSDS!Q$17*$AM770^6+WeightSDS!R$17*$AM770^5+WeightSDS!S$17*$AM770^4+WeightSDS!T$17*$AM770^3+WeightSDS!U$17*$AM770^2+WeightSDS!V$17*$AM770+WeightSDS!W$17,IF($AM770&lt;186,WeightSDS!$U$18+(WeightSDS!$V$18-WeightSDS!$U$18)/24*($AM770-186)+WeightSDS!$W$18*(-$AM770+186)^2-0.005,WeightSDS!$U$18+(WeightSDS!$V$18-WeightSDS!$U$18)/24*($AM770-186)-0.005)))</f>
        <v>0.14604529399999999</v>
      </c>
      <c r="AT770" s="4">
        <f t="shared" si="238"/>
        <v>0.56299999999999994</v>
      </c>
      <c r="AU770" s="4">
        <f t="shared" si="239"/>
        <v>69</v>
      </c>
      <c r="AV770" s="4">
        <f t="shared" si="240"/>
        <v>0.51</v>
      </c>
    </row>
    <row r="771" spans="1:48" x14ac:dyDescent="0.15">
      <c r="A771" s="4"/>
      <c r="B771" s="21"/>
      <c r="C771" s="21"/>
      <c r="D771" s="21"/>
      <c r="E771" s="22"/>
      <c r="F771" s="22"/>
      <c r="G771" s="23"/>
      <c r="H771" s="23"/>
      <c r="I771" s="181"/>
      <c r="J771" s="8" t="str">
        <f t="shared" ref="J771:J834" si="253">IF(COUNTA(D771,E771,F771,G771)=4,IF(AA771+AB771/12&gt;17.583,"       *",(G771-(INDEX(IF(D771="F",Hfemalemean,Hmalemean),AB771+1,AA771+1)))/(INDEX(IF(D771="F",Hfemalesd,Hmalesd),AB771+1,AA771+1))),"")</f>
        <v/>
      </c>
      <c r="K771" s="2" t="str">
        <f t="shared" si="241"/>
        <v/>
      </c>
      <c r="L771" s="2" t="str">
        <f t="shared" ref="L771:L834" si="254">IF(COUNTA(D771,E771,F771,G771,H771)&lt;5,"",IF(T771&lt;6,"       *",IF(AA771+AB771/12&gt;=17.583,"       *",(H771-G771*INDEX(IF(D771="F",muratafemale,muratamale),AA771-4,1)-INDEX(IF(D771="F",muratafemale,muratamale),AA771-4,2))/(G771*INDEX(IF(D771="F",muratafemale,muratamale),AA771-4,1)+INDEX(IF(D771="F",muratafemale,muratamale),AA771-4,2))*100)))</f>
        <v/>
      </c>
      <c r="M771" s="2" t="str">
        <f t="shared" si="242"/>
        <v/>
      </c>
      <c r="N771" s="2" t="str">
        <f t="shared" si="250"/>
        <v/>
      </c>
      <c r="O771" s="2" t="str">
        <f t="shared" si="243"/>
        <v/>
      </c>
      <c r="P771" s="8" t="str">
        <f t="shared" si="244"/>
        <v/>
      </c>
      <c r="Q771" s="8" t="str">
        <f t="shared" si="245"/>
        <v/>
      </c>
      <c r="R771" s="111" t="str">
        <f t="shared" si="246"/>
        <v/>
      </c>
      <c r="S771" s="44" t="str">
        <f t="shared" si="247"/>
        <v/>
      </c>
      <c r="T771" s="37" t="str">
        <f t="shared" si="248"/>
        <v/>
      </c>
      <c r="U771" s="44" t="str">
        <f t="shared" si="249"/>
        <v/>
      </c>
      <c r="V771" s="26"/>
      <c r="W771" s="26"/>
      <c r="X771" s="26"/>
      <c r="Y771" s="26"/>
      <c r="Z771" s="24"/>
      <c r="AA771" s="169">
        <f t="shared" ref="AA771:AA834" si="255">DATEDIF(E771,F771,"Y")</f>
        <v>0</v>
      </c>
      <c r="AB771" s="4">
        <f t="shared" ref="AB771:AB834" si="256">DATEDIF(E771,F771,"YM")</f>
        <v>0</v>
      </c>
      <c r="AC771" s="170">
        <f t="shared" si="252"/>
        <v>0</v>
      </c>
      <c r="AD771" s="58"/>
      <c r="AE771" s="58"/>
      <c r="AF771" s="58"/>
      <c r="AG771" s="59">
        <f t="shared" ref="AG771:AG834" si="257">IF(D771="M",2.06*10^-3*G771^2-0.1166*G771+6.5273,2.49*10^-3*G771^2-0.1858*G771+9.036)</f>
        <v>9.0359999999999996</v>
      </c>
      <c r="AH771" s="59">
        <f t="shared" ref="AH771:AH834" si="258">((G771/100)^3*INDEX(itoOI,IF(D771="M",0,3)+IF(G771&lt;140,1,IF(G771&lt;=149,2,3)),1)+(G771/100)^2*INDEX(itoOI,IF(D771="M",0,3)+IF(G771&lt;140,1,IF(G771&lt;=149,2,3)),2)+(G771/100)*INDEX(itoOI,IF(D771="M",0,3)+IF(G771&lt;140,1,IF(G771&lt;=149,2,3)),3)+INDEX(itoOI,IF(D771="M",0,3)+IF(G771&lt;140,1,IF(G771&lt;=149,2,3)),4))</f>
        <v>-184.49199999999999</v>
      </c>
      <c r="AJ771" s="4">
        <f>IF(D771="M",IF(AM771&lt;78,BMILMS!$D$5*AM771^3+BMILMS!$E$5*AM771^2+BMILMS!$F$5*AM771+BMILMS!$G$5,IF(AM771&lt;150,BMILMS!$D$6*AM771^3+BMILMS!$E$6*AM771^2+BMILMS!$F$6*AM771+BMILMS!$G$6,BMILMS!$D$7*AM771^3+BMILMS!$E$7*AM771^2+BMILMS!$F$7*AM771+BMILMS!$G$7)),IF(AM771&lt;69,BMILMS!$D$9*AM771^3+BMILMS!$E$9*AM771^2+BMILMS!$F$9*AM771+BMILMS!$G$9,IF(AM771&lt;150,BMILMS!$D$10*AM771^3+BMILMS!$E$10*AM771^2+BMILMS!$F$10*AM771+BMILMS!$G$10,BMILMS!$D$11*AM771^3+BMILMS!$E$11*AM771^2+BMILMS!$F$11*AM771+BMILMS!$G$11)))</f>
        <v>0.79584630099999998</v>
      </c>
      <c r="AK771" s="4">
        <f>IF(D771="M",(IF(AM771&lt;2.5,BMILMS!$D$21*AM771^3+BMILMS!$E$21*AM771^2+BMILMS!$F$21*AM771+BMILMS!$G$21,IF(AM771&lt;9.5,BMILMS!$D$22*AM771^3+BMILMS!$E$22*AM771^2+BMILMS!$F$22*AM771+BMILMS!$G$22,IF(AM771&lt;26.75,BMILMS!$D$23*AM771^3+BMILMS!$E$23*AM771^2+BMILMS!$F$23*AM771+BMILMS!$G$23,IF(AM771&lt;90,BMILMS!$D$24*AM771^3+BMILMS!$E$24*AM771^2+BMILMS!$F$24*AM771+BMILMS!$G$24,BMILMS!$D$25*AM771^3+BMILMS!$E$25*AM771^2+BMILMS!$F$25*AM771+BMILMS!$G$25))))),(IF(AM771&lt;2.5,BMILMS!$D$27*AM771^3+BMILMS!$E$27*AM771^2+BMILMS!$F$27*AM771+BMILMS!$G$27,IF(AM771&lt;9.5,BMILMS!$D$28*AM771^3+BMILMS!$E$28*AM771^2+BMILMS!$F$28*AM771+BMILMS!$G$28,IF(AM771&lt;26.75,BMILMS!$D$29*AM771^3+BMILMS!$E$29*AM771^2+BMILMS!$F$29*AM771+BMILMS!$G$29,IF(AM771&lt;90,BMILMS!$D$30*AM771^3+BMILMS!$E$30*AM771^2+BMILMS!$F$30*AM771+BMILMS!$G$30,IF(AM771&lt;150,BMILMS!$D$31*AM771^3+BMILMS!$E$31*AM771^2+BMILMS!$F$31*AM771+BMILMS!$G$31,BMILMS!$D$32*AM771^3+BMILMS!$E$32*AM771^2+BMILMS!$F$32*AM771+BMILMS!$G$32)))))))</f>
        <v>12.568967990000001</v>
      </c>
      <c r="AL771" s="4">
        <f>IF(D771="M",(IF(AM771&lt;90,BMILMS!$D$14*AM771^3+BMILMS!$E$14*AM771^2+BMILMS!$F$14*AM771+BMILMS!$G$14,BMILMS!$D$15*AM771^3+BMILMS!$E$15*AM771^2+BMILMS!$F$15*AM771+BMILMS!$G$15)),(IF(AM771&lt;90,BMILMS!$D$17*AM771^3+BMILMS!$E$17*AM771^2+BMILMS!$F$17*AM771+BMILMS!$G$17,BMILMS!$D$18*AM771^3+BMILMS!$E$18*AM771^2+BMILMS!$F$18*AM771+BMILMS!$G$18)))</f>
        <v>8.8969350000000003E-2</v>
      </c>
      <c r="AM771" s="4">
        <f t="shared" si="251"/>
        <v>0</v>
      </c>
      <c r="AO771" s="56">
        <f>IF(D771="M",WeightSDS!P$5*$AM771^7+WeightSDS!Q$5*$AM771^6+WeightSDS!R$5*$AM771^5+WeightSDS!S$5*$AM771^4+WeightSDS!T$5*$AM771^3+WeightSDS!U$5*$AM771^2+WeightSDS!V$5*$AM771+WeightSDS!W$5,IF($AM771&lt;186,WeightSDS!P$8*$AM771^7+WeightSDS!Q$8*$AM771^6+WeightSDS!R$8*$AM771^5+WeightSDS!S$8*$AM771^4+WeightSDS!T$8*$AM771^3+WeightSDS!U$8*$AM771^2+WeightSDS!V$8*$AM771+WeightSDS!W$8,WeightSDS!$U$9+WeightSDS!$V$9*($AM771-WeightSDS!$W$9)))</f>
        <v>0.75407122999999998</v>
      </c>
      <c r="AP771" s="4">
        <f>IF(D771="M",IF($AM771&lt;45,WeightSDS!M$23*$AM771^10+WeightSDS!N$23*$AM771^9+WeightSDS!O$23*$AM771^8+WeightSDS!P$23*$AM771^7+WeightSDS!Q$23*$AM771^6+WeightSDS!R$23*$AM771^5+WeightSDS!S$23*$AM771^4+WeightSDS!T$23*$AM771^3+WeightSDS!U$23*$AM771^2+WeightSDS!V$23*$AM771+WeightSDS!W$23,IF($AM771&lt;153,WeightSDS!M$25*$AM771^10+WeightSDS!N$25*$AM771^9+WeightSDS!O$25*$AM771^8+WeightSDS!P$25*$AM771^7+WeightSDS!Q$25*$AM771^6+WeightSDS!R$25*$AM771^5+WeightSDS!S$25*$AM771^4+WeightSDS!T$25*$AM771^3+WeightSDS!U$25*$AM771^2+WeightSDS!V$25*$AM771+WeightSDS!W$25,WeightSDS!M$27+WeightSDS!N$27/(1+EXP(WeightSDS!O$27+WeightSDS!P$27*$AM771)))),IF($AM771&lt;43.8,WeightSDS!M$29*$AM771^10+WeightSDS!N$29*$AM771^9+WeightSDS!O$29*$AM771^8+WeightSDS!P$29*$AM771^7+WeightSDS!Q$29*$AM771^6+WeightSDS!R$29*$AM771^5+WeightSDS!S$29*$AM771^4+WeightSDS!T$29*$AM771^3+WeightSDS!U$29*$AM771^2+WeightSDS!V$29*$AM771+WeightSDS!W$29-0.010431*(1-$AM771/210),IF($AM771&lt;123,WeightSDS!M$30*$AM771^10+WeightSDS!N$30*$AM771^9+WeightSDS!O$30*$AM771^8+WeightSDS!P$30*$AM771^7+WeightSDS!Q$30*$AM771^6+WeightSDS!R$30*$AM771^5+WeightSDS!S$30*$AM771^4+WeightSDS!T$30*$AM771^3+WeightSDS!U$30*$AM771^2+WeightSDS!V$30*$AM771+WeightSDS!W$30-0.010431*(1-1/$AM771),WeightSDS!M$32+WeightSDS!N$32/(1+EXP(WeightSDS!O$32+WeightSDS!P$32*$AM771))-0.010431*(1-$AM771/210))))</f>
        <v>2.9500001032655536</v>
      </c>
      <c r="AQ771" s="4">
        <f>IF(D771="M",IF($AM771&lt;162,WeightSDS!P$12*$AM771^7+WeightSDS!Q$12*$AM771^6+WeightSDS!R$12*$AM771^5+WeightSDS!S$12*$AM771^4+WeightSDS!T$12*$AM771^3+WeightSDS!U$12*$AM771^2+WeightSDS!V$12*$AM771+WeightSDS!W$12,WeightSDS!P$14*$AM771^7+WeightSDS!Q$14*$AM771^6+WeightSDS!R$14*$AM771^5+WeightSDS!S$14*$AM771^4+WeightSDS!T$14*$AM771^3+WeightSDS!U$14*$AM771^2+WeightSDS!V$14*$AM771+WeightSDS!W$14),IF($AM771&lt;156,WeightSDS!O$17*$AM771^8+WeightSDS!P$17*$AM771^7+WeightSDS!Q$17*$AM771^6+WeightSDS!R$17*$AM771^5+WeightSDS!S$17*$AM771^4+WeightSDS!T$17*$AM771^3+WeightSDS!U$17*$AM771^2+WeightSDS!V$17*$AM771+WeightSDS!W$17,IF($AM771&lt;186,WeightSDS!$U$18+(WeightSDS!$V$18-WeightSDS!$U$18)/24*($AM771-186)+WeightSDS!$W$18*(-$AM771+186)^2-0.005,WeightSDS!$U$18+(WeightSDS!$V$18-WeightSDS!$U$18)/24*($AM771-186)-0.005)))</f>
        <v>0.14604529399999999</v>
      </c>
      <c r="AT771" s="4">
        <f t="shared" ref="AT771:AT834" si="259">INDEX(IF(D771="M",IGFmale, IGFfemale), AA771+1,1)</f>
        <v>0.56299999999999994</v>
      </c>
      <c r="AU771" s="4">
        <f t="shared" ref="AU771:AU834" si="260">INDEX(IF(D771="M",IGFmale, IGFfemale), AA771+1,2)</f>
        <v>69</v>
      </c>
      <c r="AV771" s="4">
        <f t="shared" ref="AV771:AV834" si="261">INDEX(IF(D771="M",IGFmale, IGFfemale), AA771+1,3)</f>
        <v>0.51</v>
      </c>
    </row>
    <row r="772" spans="1:48" x14ac:dyDescent="0.15">
      <c r="A772" s="4"/>
      <c r="B772" s="21"/>
      <c r="C772" s="21"/>
      <c r="D772" s="21"/>
      <c r="E772" s="22"/>
      <c r="F772" s="22"/>
      <c r="G772" s="23"/>
      <c r="H772" s="23"/>
      <c r="I772" s="181"/>
      <c r="J772" s="8" t="str">
        <f t="shared" si="253"/>
        <v/>
      </c>
      <c r="K772" s="2" t="str">
        <f t="shared" ref="K772:K835" si="262">IF(COUNTA(D772,E772,F772,G772,H772)=5,IF(T772&lt;1,"       *",IF(T772&gt;=6,"       *",IF(G772&gt;=120,"       *",IF(G772&lt;70,"       *",(H772-AG772)/AG772*100)))),"")</f>
        <v/>
      </c>
      <c r="L772" s="2" t="str">
        <f t="shared" si="254"/>
        <v/>
      </c>
      <c r="M772" s="2" t="str">
        <f t="shared" ref="M772:M835" si="263">IF(COUNTA(D772,E772,F772,G772,H772)=5,IF(G772&gt;=IF(D772="M",181,174),"*",IF(G772&lt;101,"       *",IF(T772&lt;6,"       *",IF(AA772+AB772/12&gt;=17.583,"*",(H772-AH772)/AH772*100)))),"")</f>
        <v/>
      </c>
      <c r="N772" s="2" t="str">
        <f t="shared" si="250"/>
        <v/>
      </c>
      <c r="O772" s="2" t="str">
        <f t="shared" ref="O772:O835" si="264">IF(COUNTA(D772,E772,F772,G772,H772)=5,IF(AA772+AB772/12&gt;17.583,"   *",NORMSDIST(((N772/AK772)^(AJ772)-1)/AJ772/AL772)*100),"")</f>
        <v/>
      </c>
      <c r="P772" s="8" t="str">
        <f t="shared" ref="P772:P835" si="265">IF(COUNTA(D772,E772,F772,G772,H772)=5,IF(AA772+AB772/12&gt;17.583,"   *",((N772/AK772)^(AJ772)-1)/AJ772/AL772),"")</f>
        <v/>
      </c>
      <c r="Q772" s="8" t="str">
        <f t="shared" ref="Q772:Q835" si="266">IF(COUNTA(D772,E772,F772,H772)=4,IF(AA772+AB772/12&gt;17.583,"   *",((H772/AP772)^(AO772)-1)/AO772/AQ772),"")</f>
        <v/>
      </c>
      <c r="R772" s="111" t="str">
        <f t="shared" ref="R772:R835" si="267">IF(COUNTA(D772,E772,F772,I772)=4,IF(AC772&gt;77,"*",NORMSDIST(((I772/AU772)^(AT772)-1)/AT772/AV772)*100),"")</f>
        <v/>
      </c>
      <c r="S772" s="44" t="str">
        <f t="shared" ref="S772:S835" si="268">IF(COUNTA(D772,E772,F772,I772)=4,IF(AC772&gt;77,"*",((I772/AU772)^(AT772)-1)/AT772/AV772),"")</f>
        <v/>
      </c>
      <c r="T772" s="37" t="str">
        <f t="shared" ref="T772:T835" si="269">IF(COUNTA(E772,F772)=2,AC772,"")</f>
        <v/>
      </c>
      <c r="U772" s="44" t="str">
        <f t="shared" ref="U772:U835" si="270">IF(COUNTA(E772,F772)=2,AA772&amp;"歳"&amp;AB772&amp;"か月","")</f>
        <v/>
      </c>
      <c r="V772" s="26"/>
      <c r="W772" s="26"/>
      <c r="X772" s="26"/>
      <c r="Y772" s="26"/>
      <c r="Z772" s="24"/>
      <c r="AA772" s="169">
        <f t="shared" si="255"/>
        <v>0</v>
      </c>
      <c r="AB772" s="4">
        <f t="shared" si="256"/>
        <v>0</v>
      </c>
      <c r="AC772" s="170">
        <f t="shared" si="252"/>
        <v>0</v>
      </c>
      <c r="AD772" s="58"/>
      <c r="AE772" s="58"/>
      <c r="AF772" s="58"/>
      <c r="AG772" s="59">
        <f t="shared" si="257"/>
        <v>9.0359999999999996</v>
      </c>
      <c r="AH772" s="59">
        <f t="shared" si="258"/>
        <v>-184.49199999999999</v>
      </c>
      <c r="AJ772" s="4">
        <f>IF(D772="M",IF(AM772&lt;78,BMILMS!$D$5*AM772^3+BMILMS!$E$5*AM772^2+BMILMS!$F$5*AM772+BMILMS!$G$5,IF(AM772&lt;150,BMILMS!$D$6*AM772^3+BMILMS!$E$6*AM772^2+BMILMS!$F$6*AM772+BMILMS!$G$6,BMILMS!$D$7*AM772^3+BMILMS!$E$7*AM772^2+BMILMS!$F$7*AM772+BMILMS!$G$7)),IF(AM772&lt;69,BMILMS!$D$9*AM772^3+BMILMS!$E$9*AM772^2+BMILMS!$F$9*AM772+BMILMS!$G$9,IF(AM772&lt;150,BMILMS!$D$10*AM772^3+BMILMS!$E$10*AM772^2+BMILMS!$F$10*AM772+BMILMS!$G$10,BMILMS!$D$11*AM772^3+BMILMS!$E$11*AM772^2+BMILMS!$F$11*AM772+BMILMS!$G$11)))</f>
        <v>0.79584630099999998</v>
      </c>
      <c r="AK772" s="4">
        <f>IF(D772="M",(IF(AM772&lt;2.5,BMILMS!$D$21*AM772^3+BMILMS!$E$21*AM772^2+BMILMS!$F$21*AM772+BMILMS!$G$21,IF(AM772&lt;9.5,BMILMS!$D$22*AM772^3+BMILMS!$E$22*AM772^2+BMILMS!$F$22*AM772+BMILMS!$G$22,IF(AM772&lt;26.75,BMILMS!$D$23*AM772^3+BMILMS!$E$23*AM772^2+BMILMS!$F$23*AM772+BMILMS!$G$23,IF(AM772&lt;90,BMILMS!$D$24*AM772^3+BMILMS!$E$24*AM772^2+BMILMS!$F$24*AM772+BMILMS!$G$24,BMILMS!$D$25*AM772^3+BMILMS!$E$25*AM772^2+BMILMS!$F$25*AM772+BMILMS!$G$25))))),(IF(AM772&lt;2.5,BMILMS!$D$27*AM772^3+BMILMS!$E$27*AM772^2+BMILMS!$F$27*AM772+BMILMS!$G$27,IF(AM772&lt;9.5,BMILMS!$D$28*AM772^3+BMILMS!$E$28*AM772^2+BMILMS!$F$28*AM772+BMILMS!$G$28,IF(AM772&lt;26.75,BMILMS!$D$29*AM772^3+BMILMS!$E$29*AM772^2+BMILMS!$F$29*AM772+BMILMS!$G$29,IF(AM772&lt;90,BMILMS!$D$30*AM772^3+BMILMS!$E$30*AM772^2+BMILMS!$F$30*AM772+BMILMS!$G$30,IF(AM772&lt;150,BMILMS!$D$31*AM772^3+BMILMS!$E$31*AM772^2+BMILMS!$F$31*AM772+BMILMS!$G$31,BMILMS!$D$32*AM772^3+BMILMS!$E$32*AM772^2+BMILMS!$F$32*AM772+BMILMS!$G$32)))))))</f>
        <v>12.568967990000001</v>
      </c>
      <c r="AL772" s="4">
        <f>IF(D772="M",(IF(AM772&lt;90,BMILMS!$D$14*AM772^3+BMILMS!$E$14*AM772^2+BMILMS!$F$14*AM772+BMILMS!$G$14,BMILMS!$D$15*AM772^3+BMILMS!$E$15*AM772^2+BMILMS!$F$15*AM772+BMILMS!$G$15)),(IF(AM772&lt;90,BMILMS!$D$17*AM772^3+BMILMS!$E$17*AM772^2+BMILMS!$F$17*AM772+BMILMS!$G$17,BMILMS!$D$18*AM772^3+BMILMS!$E$18*AM772^2+BMILMS!$F$18*AM772+BMILMS!$G$18)))</f>
        <v>8.8969350000000003E-2</v>
      </c>
      <c r="AM772" s="4">
        <f t="shared" si="251"/>
        <v>0</v>
      </c>
      <c r="AO772" s="56">
        <f>IF(D772="M",WeightSDS!P$5*$AM772^7+WeightSDS!Q$5*$AM772^6+WeightSDS!R$5*$AM772^5+WeightSDS!S$5*$AM772^4+WeightSDS!T$5*$AM772^3+WeightSDS!U$5*$AM772^2+WeightSDS!V$5*$AM772+WeightSDS!W$5,IF($AM772&lt;186,WeightSDS!P$8*$AM772^7+WeightSDS!Q$8*$AM772^6+WeightSDS!R$8*$AM772^5+WeightSDS!S$8*$AM772^4+WeightSDS!T$8*$AM772^3+WeightSDS!U$8*$AM772^2+WeightSDS!V$8*$AM772+WeightSDS!W$8,WeightSDS!$U$9+WeightSDS!$V$9*($AM772-WeightSDS!$W$9)))</f>
        <v>0.75407122999999998</v>
      </c>
      <c r="AP772" s="4">
        <f>IF(D772="M",IF($AM772&lt;45,WeightSDS!M$23*$AM772^10+WeightSDS!N$23*$AM772^9+WeightSDS!O$23*$AM772^8+WeightSDS!P$23*$AM772^7+WeightSDS!Q$23*$AM772^6+WeightSDS!R$23*$AM772^5+WeightSDS!S$23*$AM772^4+WeightSDS!T$23*$AM772^3+WeightSDS!U$23*$AM772^2+WeightSDS!V$23*$AM772+WeightSDS!W$23,IF($AM772&lt;153,WeightSDS!M$25*$AM772^10+WeightSDS!N$25*$AM772^9+WeightSDS!O$25*$AM772^8+WeightSDS!P$25*$AM772^7+WeightSDS!Q$25*$AM772^6+WeightSDS!R$25*$AM772^5+WeightSDS!S$25*$AM772^4+WeightSDS!T$25*$AM772^3+WeightSDS!U$25*$AM772^2+WeightSDS!V$25*$AM772+WeightSDS!W$25,WeightSDS!M$27+WeightSDS!N$27/(1+EXP(WeightSDS!O$27+WeightSDS!P$27*$AM772)))),IF($AM772&lt;43.8,WeightSDS!M$29*$AM772^10+WeightSDS!N$29*$AM772^9+WeightSDS!O$29*$AM772^8+WeightSDS!P$29*$AM772^7+WeightSDS!Q$29*$AM772^6+WeightSDS!R$29*$AM772^5+WeightSDS!S$29*$AM772^4+WeightSDS!T$29*$AM772^3+WeightSDS!U$29*$AM772^2+WeightSDS!V$29*$AM772+WeightSDS!W$29-0.010431*(1-$AM772/210),IF($AM772&lt;123,WeightSDS!M$30*$AM772^10+WeightSDS!N$30*$AM772^9+WeightSDS!O$30*$AM772^8+WeightSDS!P$30*$AM772^7+WeightSDS!Q$30*$AM772^6+WeightSDS!R$30*$AM772^5+WeightSDS!S$30*$AM772^4+WeightSDS!T$30*$AM772^3+WeightSDS!U$30*$AM772^2+WeightSDS!V$30*$AM772+WeightSDS!W$30-0.010431*(1-1/$AM772),WeightSDS!M$32+WeightSDS!N$32/(1+EXP(WeightSDS!O$32+WeightSDS!P$32*$AM772))-0.010431*(1-$AM772/210))))</f>
        <v>2.9500001032655536</v>
      </c>
      <c r="AQ772" s="4">
        <f>IF(D772="M",IF($AM772&lt;162,WeightSDS!P$12*$AM772^7+WeightSDS!Q$12*$AM772^6+WeightSDS!R$12*$AM772^5+WeightSDS!S$12*$AM772^4+WeightSDS!T$12*$AM772^3+WeightSDS!U$12*$AM772^2+WeightSDS!V$12*$AM772+WeightSDS!W$12,WeightSDS!P$14*$AM772^7+WeightSDS!Q$14*$AM772^6+WeightSDS!R$14*$AM772^5+WeightSDS!S$14*$AM772^4+WeightSDS!T$14*$AM772^3+WeightSDS!U$14*$AM772^2+WeightSDS!V$14*$AM772+WeightSDS!W$14),IF($AM772&lt;156,WeightSDS!O$17*$AM772^8+WeightSDS!P$17*$AM772^7+WeightSDS!Q$17*$AM772^6+WeightSDS!R$17*$AM772^5+WeightSDS!S$17*$AM772^4+WeightSDS!T$17*$AM772^3+WeightSDS!U$17*$AM772^2+WeightSDS!V$17*$AM772+WeightSDS!W$17,IF($AM772&lt;186,WeightSDS!$U$18+(WeightSDS!$V$18-WeightSDS!$U$18)/24*($AM772-186)+WeightSDS!$W$18*(-$AM772+186)^2-0.005,WeightSDS!$U$18+(WeightSDS!$V$18-WeightSDS!$U$18)/24*($AM772-186)-0.005)))</f>
        <v>0.14604529399999999</v>
      </c>
      <c r="AT772" s="4">
        <f t="shared" si="259"/>
        <v>0.56299999999999994</v>
      </c>
      <c r="AU772" s="4">
        <f t="shared" si="260"/>
        <v>69</v>
      </c>
      <c r="AV772" s="4">
        <f t="shared" si="261"/>
        <v>0.51</v>
      </c>
    </row>
    <row r="773" spans="1:48" x14ac:dyDescent="0.15">
      <c r="A773" s="4"/>
      <c r="B773" s="21"/>
      <c r="C773" s="21"/>
      <c r="D773" s="21"/>
      <c r="E773" s="22"/>
      <c r="F773" s="22"/>
      <c r="G773" s="23"/>
      <c r="H773" s="23"/>
      <c r="I773" s="181"/>
      <c r="J773" s="8" t="str">
        <f t="shared" si="253"/>
        <v/>
      </c>
      <c r="K773" s="2" t="str">
        <f t="shared" si="262"/>
        <v/>
      </c>
      <c r="L773" s="2" t="str">
        <f t="shared" si="254"/>
        <v/>
      </c>
      <c r="M773" s="2" t="str">
        <f t="shared" si="263"/>
        <v/>
      </c>
      <c r="N773" s="2" t="str">
        <f t="shared" si="250"/>
        <v/>
      </c>
      <c r="O773" s="2" t="str">
        <f t="shared" si="264"/>
        <v/>
      </c>
      <c r="P773" s="8" t="str">
        <f t="shared" si="265"/>
        <v/>
      </c>
      <c r="Q773" s="8" t="str">
        <f t="shared" si="266"/>
        <v/>
      </c>
      <c r="R773" s="111" t="str">
        <f t="shared" si="267"/>
        <v/>
      </c>
      <c r="S773" s="44" t="str">
        <f t="shared" si="268"/>
        <v/>
      </c>
      <c r="T773" s="37" t="str">
        <f t="shared" si="269"/>
        <v/>
      </c>
      <c r="U773" s="44" t="str">
        <f t="shared" si="270"/>
        <v/>
      </c>
      <c r="V773" s="26"/>
      <c r="W773" s="26"/>
      <c r="X773" s="26"/>
      <c r="Y773" s="26"/>
      <c r="Z773" s="24"/>
      <c r="AA773" s="169">
        <f t="shared" si="255"/>
        <v>0</v>
      </c>
      <c r="AB773" s="4">
        <f t="shared" si="256"/>
        <v>0</v>
      </c>
      <c r="AC773" s="170">
        <f t="shared" si="252"/>
        <v>0</v>
      </c>
      <c r="AD773" s="58"/>
      <c r="AE773" s="58"/>
      <c r="AF773" s="58"/>
      <c r="AG773" s="59">
        <f t="shared" si="257"/>
        <v>9.0359999999999996</v>
      </c>
      <c r="AH773" s="59">
        <f t="shared" si="258"/>
        <v>-184.49199999999999</v>
      </c>
      <c r="AJ773" s="4">
        <f>IF(D773="M",IF(AM773&lt;78,BMILMS!$D$5*AM773^3+BMILMS!$E$5*AM773^2+BMILMS!$F$5*AM773+BMILMS!$G$5,IF(AM773&lt;150,BMILMS!$D$6*AM773^3+BMILMS!$E$6*AM773^2+BMILMS!$F$6*AM773+BMILMS!$G$6,BMILMS!$D$7*AM773^3+BMILMS!$E$7*AM773^2+BMILMS!$F$7*AM773+BMILMS!$G$7)),IF(AM773&lt;69,BMILMS!$D$9*AM773^3+BMILMS!$E$9*AM773^2+BMILMS!$F$9*AM773+BMILMS!$G$9,IF(AM773&lt;150,BMILMS!$D$10*AM773^3+BMILMS!$E$10*AM773^2+BMILMS!$F$10*AM773+BMILMS!$G$10,BMILMS!$D$11*AM773^3+BMILMS!$E$11*AM773^2+BMILMS!$F$11*AM773+BMILMS!$G$11)))</f>
        <v>0.79584630099999998</v>
      </c>
      <c r="AK773" s="4">
        <f>IF(D773="M",(IF(AM773&lt;2.5,BMILMS!$D$21*AM773^3+BMILMS!$E$21*AM773^2+BMILMS!$F$21*AM773+BMILMS!$G$21,IF(AM773&lt;9.5,BMILMS!$D$22*AM773^3+BMILMS!$E$22*AM773^2+BMILMS!$F$22*AM773+BMILMS!$G$22,IF(AM773&lt;26.75,BMILMS!$D$23*AM773^3+BMILMS!$E$23*AM773^2+BMILMS!$F$23*AM773+BMILMS!$G$23,IF(AM773&lt;90,BMILMS!$D$24*AM773^3+BMILMS!$E$24*AM773^2+BMILMS!$F$24*AM773+BMILMS!$G$24,BMILMS!$D$25*AM773^3+BMILMS!$E$25*AM773^2+BMILMS!$F$25*AM773+BMILMS!$G$25))))),(IF(AM773&lt;2.5,BMILMS!$D$27*AM773^3+BMILMS!$E$27*AM773^2+BMILMS!$F$27*AM773+BMILMS!$G$27,IF(AM773&lt;9.5,BMILMS!$D$28*AM773^3+BMILMS!$E$28*AM773^2+BMILMS!$F$28*AM773+BMILMS!$G$28,IF(AM773&lt;26.75,BMILMS!$D$29*AM773^3+BMILMS!$E$29*AM773^2+BMILMS!$F$29*AM773+BMILMS!$G$29,IF(AM773&lt;90,BMILMS!$D$30*AM773^3+BMILMS!$E$30*AM773^2+BMILMS!$F$30*AM773+BMILMS!$G$30,IF(AM773&lt;150,BMILMS!$D$31*AM773^3+BMILMS!$E$31*AM773^2+BMILMS!$F$31*AM773+BMILMS!$G$31,BMILMS!$D$32*AM773^3+BMILMS!$E$32*AM773^2+BMILMS!$F$32*AM773+BMILMS!$G$32)))))))</f>
        <v>12.568967990000001</v>
      </c>
      <c r="AL773" s="4">
        <f>IF(D773="M",(IF(AM773&lt;90,BMILMS!$D$14*AM773^3+BMILMS!$E$14*AM773^2+BMILMS!$F$14*AM773+BMILMS!$G$14,BMILMS!$D$15*AM773^3+BMILMS!$E$15*AM773^2+BMILMS!$F$15*AM773+BMILMS!$G$15)),(IF(AM773&lt;90,BMILMS!$D$17*AM773^3+BMILMS!$E$17*AM773^2+BMILMS!$F$17*AM773+BMILMS!$G$17,BMILMS!$D$18*AM773^3+BMILMS!$E$18*AM773^2+BMILMS!$F$18*AM773+BMILMS!$G$18)))</f>
        <v>8.8969350000000003E-2</v>
      </c>
      <c r="AM773" s="4">
        <f t="shared" si="251"/>
        <v>0</v>
      </c>
      <c r="AO773" s="56">
        <f>IF(D773="M",WeightSDS!P$5*$AM773^7+WeightSDS!Q$5*$AM773^6+WeightSDS!R$5*$AM773^5+WeightSDS!S$5*$AM773^4+WeightSDS!T$5*$AM773^3+WeightSDS!U$5*$AM773^2+WeightSDS!V$5*$AM773+WeightSDS!W$5,IF($AM773&lt;186,WeightSDS!P$8*$AM773^7+WeightSDS!Q$8*$AM773^6+WeightSDS!R$8*$AM773^5+WeightSDS!S$8*$AM773^4+WeightSDS!T$8*$AM773^3+WeightSDS!U$8*$AM773^2+WeightSDS!V$8*$AM773+WeightSDS!W$8,WeightSDS!$U$9+WeightSDS!$V$9*($AM773-WeightSDS!$W$9)))</f>
        <v>0.75407122999999998</v>
      </c>
      <c r="AP773" s="4">
        <f>IF(D773="M",IF($AM773&lt;45,WeightSDS!M$23*$AM773^10+WeightSDS!N$23*$AM773^9+WeightSDS!O$23*$AM773^8+WeightSDS!P$23*$AM773^7+WeightSDS!Q$23*$AM773^6+WeightSDS!R$23*$AM773^5+WeightSDS!S$23*$AM773^4+WeightSDS!T$23*$AM773^3+WeightSDS!U$23*$AM773^2+WeightSDS!V$23*$AM773+WeightSDS!W$23,IF($AM773&lt;153,WeightSDS!M$25*$AM773^10+WeightSDS!N$25*$AM773^9+WeightSDS!O$25*$AM773^8+WeightSDS!P$25*$AM773^7+WeightSDS!Q$25*$AM773^6+WeightSDS!R$25*$AM773^5+WeightSDS!S$25*$AM773^4+WeightSDS!T$25*$AM773^3+WeightSDS!U$25*$AM773^2+WeightSDS!V$25*$AM773+WeightSDS!W$25,WeightSDS!M$27+WeightSDS!N$27/(1+EXP(WeightSDS!O$27+WeightSDS!P$27*$AM773)))),IF($AM773&lt;43.8,WeightSDS!M$29*$AM773^10+WeightSDS!N$29*$AM773^9+WeightSDS!O$29*$AM773^8+WeightSDS!P$29*$AM773^7+WeightSDS!Q$29*$AM773^6+WeightSDS!R$29*$AM773^5+WeightSDS!S$29*$AM773^4+WeightSDS!T$29*$AM773^3+WeightSDS!U$29*$AM773^2+WeightSDS!V$29*$AM773+WeightSDS!W$29-0.010431*(1-$AM773/210),IF($AM773&lt;123,WeightSDS!M$30*$AM773^10+WeightSDS!N$30*$AM773^9+WeightSDS!O$30*$AM773^8+WeightSDS!P$30*$AM773^7+WeightSDS!Q$30*$AM773^6+WeightSDS!R$30*$AM773^5+WeightSDS!S$30*$AM773^4+WeightSDS!T$30*$AM773^3+WeightSDS!U$30*$AM773^2+WeightSDS!V$30*$AM773+WeightSDS!W$30-0.010431*(1-1/$AM773),WeightSDS!M$32+WeightSDS!N$32/(1+EXP(WeightSDS!O$32+WeightSDS!P$32*$AM773))-0.010431*(1-$AM773/210))))</f>
        <v>2.9500001032655536</v>
      </c>
      <c r="AQ773" s="4">
        <f>IF(D773="M",IF($AM773&lt;162,WeightSDS!P$12*$AM773^7+WeightSDS!Q$12*$AM773^6+WeightSDS!R$12*$AM773^5+WeightSDS!S$12*$AM773^4+WeightSDS!T$12*$AM773^3+WeightSDS!U$12*$AM773^2+WeightSDS!V$12*$AM773+WeightSDS!W$12,WeightSDS!P$14*$AM773^7+WeightSDS!Q$14*$AM773^6+WeightSDS!R$14*$AM773^5+WeightSDS!S$14*$AM773^4+WeightSDS!T$14*$AM773^3+WeightSDS!U$14*$AM773^2+WeightSDS!V$14*$AM773+WeightSDS!W$14),IF($AM773&lt;156,WeightSDS!O$17*$AM773^8+WeightSDS!P$17*$AM773^7+WeightSDS!Q$17*$AM773^6+WeightSDS!R$17*$AM773^5+WeightSDS!S$17*$AM773^4+WeightSDS!T$17*$AM773^3+WeightSDS!U$17*$AM773^2+WeightSDS!V$17*$AM773+WeightSDS!W$17,IF($AM773&lt;186,WeightSDS!$U$18+(WeightSDS!$V$18-WeightSDS!$U$18)/24*($AM773-186)+WeightSDS!$W$18*(-$AM773+186)^2-0.005,WeightSDS!$U$18+(WeightSDS!$V$18-WeightSDS!$U$18)/24*($AM773-186)-0.005)))</f>
        <v>0.14604529399999999</v>
      </c>
      <c r="AT773" s="4">
        <f t="shared" si="259"/>
        <v>0.56299999999999994</v>
      </c>
      <c r="AU773" s="4">
        <f t="shared" si="260"/>
        <v>69</v>
      </c>
      <c r="AV773" s="4">
        <f t="shared" si="261"/>
        <v>0.51</v>
      </c>
    </row>
    <row r="774" spans="1:48" x14ac:dyDescent="0.15">
      <c r="A774" s="4"/>
      <c r="B774" s="21"/>
      <c r="C774" s="21"/>
      <c r="D774" s="21"/>
      <c r="E774" s="22"/>
      <c r="F774" s="22"/>
      <c r="G774" s="23"/>
      <c r="H774" s="23"/>
      <c r="I774" s="181"/>
      <c r="J774" s="8" t="str">
        <f t="shared" si="253"/>
        <v/>
      </c>
      <c r="K774" s="2" t="str">
        <f t="shared" si="262"/>
        <v/>
      </c>
      <c r="L774" s="2" t="str">
        <f t="shared" si="254"/>
        <v/>
      </c>
      <c r="M774" s="2" t="str">
        <f t="shared" si="263"/>
        <v/>
      </c>
      <c r="N774" s="2" t="str">
        <f t="shared" si="250"/>
        <v/>
      </c>
      <c r="O774" s="2" t="str">
        <f t="shared" si="264"/>
        <v/>
      </c>
      <c r="P774" s="8" t="str">
        <f t="shared" si="265"/>
        <v/>
      </c>
      <c r="Q774" s="8" t="str">
        <f t="shared" si="266"/>
        <v/>
      </c>
      <c r="R774" s="111" t="str">
        <f t="shared" si="267"/>
        <v/>
      </c>
      <c r="S774" s="44" t="str">
        <f t="shared" si="268"/>
        <v/>
      </c>
      <c r="T774" s="37" t="str">
        <f t="shared" si="269"/>
        <v/>
      </c>
      <c r="U774" s="44" t="str">
        <f t="shared" si="270"/>
        <v/>
      </c>
      <c r="V774" s="26"/>
      <c r="W774" s="26"/>
      <c r="X774" s="26"/>
      <c r="Y774" s="26"/>
      <c r="Z774" s="24"/>
      <c r="AA774" s="169">
        <f t="shared" si="255"/>
        <v>0</v>
      </c>
      <c r="AB774" s="4">
        <f t="shared" si="256"/>
        <v>0</v>
      </c>
      <c r="AC774" s="170">
        <f t="shared" si="252"/>
        <v>0</v>
      </c>
      <c r="AD774" s="58"/>
      <c r="AE774" s="58"/>
      <c r="AF774" s="58"/>
      <c r="AG774" s="59">
        <f t="shared" si="257"/>
        <v>9.0359999999999996</v>
      </c>
      <c r="AH774" s="59">
        <f t="shared" si="258"/>
        <v>-184.49199999999999</v>
      </c>
      <c r="AJ774" s="4">
        <f>IF(D774="M",IF(AM774&lt;78,BMILMS!$D$5*AM774^3+BMILMS!$E$5*AM774^2+BMILMS!$F$5*AM774+BMILMS!$G$5,IF(AM774&lt;150,BMILMS!$D$6*AM774^3+BMILMS!$E$6*AM774^2+BMILMS!$F$6*AM774+BMILMS!$G$6,BMILMS!$D$7*AM774^3+BMILMS!$E$7*AM774^2+BMILMS!$F$7*AM774+BMILMS!$G$7)),IF(AM774&lt;69,BMILMS!$D$9*AM774^3+BMILMS!$E$9*AM774^2+BMILMS!$F$9*AM774+BMILMS!$G$9,IF(AM774&lt;150,BMILMS!$D$10*AM774^3+BMILMS!$E$10*AM774^2+BMILMS!$F$10*AM774+BMILMS!$G$10,BMILMS!$D$11*AM774^3+BMILMS!$E$11*AM774^2+BMILMS!$F$11*AM774+BMILMS!$G$11)))</f>
        <v>0.79584630099999998</v>
      </c>
      <c r="AK774" s="4">
        <f>IF(D774="M",(IF(AM774&lt;2.5,BMILMS!$D$21*AM774^3+BMILMS!$E$21*AM774^2+BMILMS!$F$21*AM774+BMILMS!$G$21,IF(AM774&lt;9.5,BMILMS!$D$22*AM774^3+BMILMS!$E$22*AM774^2+BMILMS!$F$22*AM774+BMILMS!$G$22,IF(AM774&lt;26.75,BMILMS!$D$23*AM774^3+BMILMS!$E$23*AM774^2+BMILMS!$F$23*AM774+BMILMS!$G$23,IF(AM774&lt;90,BMILMS!$D$24*AM774^3+BMILMS!$E$24*AM774^2+BMILMS!$F$24*AM774+BMILMS!$G$24,BMILMS!$D$25*AM774^3+BMILMS!$E$25*AM774^2+BMILMS!$F$25*AM774+BMILMS!$G$25))))),(IF(AM774&lt;2.5,BMILMS!$D$27*AM774^3+BMILMS!$E$27*AM774^2+BMILMS!$F$27*AM774+BMILMS!$G$27,IF(AM774&lt;9.5,BMILMS!$D$28*AM774^3+BMILMS!$E$28*AM774^2+BMILMS!$F$28*AM774+BMILMS!$G$28,IF(AM774&lt;26.75,BMILMS!$D$29*AM774^3+BMILMS!$E$29*AM774^2+BMILMS!$F$29*AM774+BMILMS!$G$29,IF(AM774&lt;90,BMILMS!$D$30*AM774^3+BMILMS!$E$30*AM774^2+BMILMS!$F$30*AM774+BMILMS!$G$30,IF(AM774&lt;150,BMILMS!$D$31*AM774^3+BMILMS!$E$31*AM774^2+BMILMS!$F$31*AM774+BMILMS!$G$31,BMILMS!$D$32*AM774^3+BMILMS!$E$32*AM774^2+BMILMS!$F$32*AM774+BMILMS!$G$32)))))))</f>
        <v>12.568967990000001</v>
      </c>
      <c r="AL774" s="4">
        <f>IF(D774="M",(IF(AM774&lt;90,BMILMS!$D$14*AM774^3+BMILMS!$E$14*AM774^2+BMILMS!$F$14*AM774+BMILMS!$G$14,BMILMS!$D$15*AM774^3+BMILMS!$E$15*AM774^2+BMILMS!$F$15*AM774+BMILMS!$G$15)),(IF(AM774&lt;90,BMILMS!$D$17*AM774^3+BMILMS!$E$17*AM774^2+BMILMS!$F$17*AM774+BMILMS!$G$17,BMILMS!$D$18*AM774^3+BMILMS!$E$18*AM774^2+BMILMS!$F$18*AM774+BMILMS!$G$18)))</f>
        <v>8.8969350000000003E-2</v>
      </c>
      <c r="AM774" s="4">
        <f t="shared" si="251"/>
        <v>0</v>
      </c>
      <c r="AO774" s="56">
        <f>IF(D774="M",WeightSDS!P$5*$AM774^7+WeightSDS!Q$5*$AM774^6+WeightSDS!R$5*$AM774^5+WeightSDS!S$5*$AM774^4+WeightSDS!T$5*$AM774^3+WeightSDS!U$5*$AM774^2+WeightSDS!V$5*$AM774+WeightSDS!W$5,IF($AM774&lt;186,WeightSDS!P$8*$AM774^7+WeightSDS!Q$8*$AM774^6+WeightSDS!R$8*$AM774^5+WeightSDS!S$8*$AM774^4+WeightSDS!T$8*$AM774^3+WeightSDS!U$8*$AM774^2+WeightSDS!V$8*$AM774+WeightSDS!W$8,WeightSDS!$U$9+WeightSDS!$V$9*($AM774-WeightSDS!$W$9)))</f>
        <v>0.75407122999999998</v>
      </c>
      <c r="AP774" s="4">
        <f>IF(D774="M",IF($AM774&lt;45,WeightSDS!M$23*$AM774^10+WeightSDS!N$23*$AM774^9+WeightSDS!O$23*$AM774^8+WeightSDS!P$23*$AM774^7+WeightSDS!Q$23*$AM774^6+WeightSDS!R$23*$AM774^5+WeightSDS!S$23*$AM774^4+WeightSDS!T$23*$AM774^3+WeightSDS!U$23*$AM774^2+WeightSDS!V$23*$AM774+WeightSDS!W$23,IF($AM774&lt;153,WeightSDS!M$25*$AM774^10+WeightSDS!N$25*$AM774^9+WeightSDS!O$25*$AM774^8+WeightSDS!P$25*$AM774^7+WeightSDS!Q$25*$AM774^6+WeightSDS!R$25*$AM774^5+WeightSDS!S$25*$AM774^4+WeightSDS!T$25*$AM774^3+WeightSDS!U$25*$AM774^2+WeightSDS!V$25*$AM774+WeightSDS!W$25,WeightSDS!M$27+WeightSDS!N$27/(1+EXP(WeightSDS!O$27+WeightSDS!P$27*$AM774)))),IF($AM774&lt;43.8,WeightSDS!M$29*$AM774^10+WeightSDS!N$29*$AM774^9+WeightSDS!O$29*$AM774^8+WeightSDS!P$29*$AM774^7+WeightSDS!Q$29*$AM774^6+WeightSDS!R$29*$AM774^5+WeightSDS!S$29*$AM774^4+WeightSDS!T$29*$AM774^3+WeightSDS!U$29*$AM774^2+WeightSDS!V$29*$AM774+WeightSDS!W$29-0.010431*(1-$AM774/210),IF($AM774&lt;123,WeightSDS!M$30*$AM774^10+WeightSDS!N$30*$AM774^9+WeightSDS!O$30*$AM774^8+WeightSDS!P$30*$AM774^7+WeightSDS!Q$30*$AM774^6+WeightSDS!R$30*$AM774^5+WeightSDS!S$30*$AM774^4+WeightSDS!T$30*$AM774^3+WeightSDS!U$30*$AM774^2+WeightSDS!V$30*$AM774+WeightSDS!W$30-0.010431*(1-1/$AM774),WeightSDS!M$32+WeightSDS!N$32/(1+EXP(WeightSDS!O$32+WeightSDS!P$32*$AM774))-0.010431*(1-$AM774/210))))</f>
        <v>2.9500001032655536</v>
      </c>
      <c r="AQ774" s="4">
        <f>IF(D774="M",IF($AM774&lt;162,WeightSDS!P$12*$AM774^7+WeightSDS!Q$12*$AM774^6+WeightSDS!R$12*$AM774^5+WeightSDS!S$12*$AM774^4+WeightSDS!T$12*$AM774^3+WeightSDS!U$12*$AM774^2+WeightSDS!V$12*$AM774+WeightSDS!W$12,WeightSDS!P$14*$AM774^7+WeightSDS!Q$14*$AM774^6+WeightSDS!R$14*$AM774^5+WeightSDS!S$14*$AM774^4+WeightSDS!T$14*$AM774^3+WeightSDS!U$14*$AM774^2+WeightSDS!V$14*$AM774+WeightSDS!W$14),IF($AM774&lt;156,WeightSDS!O$17*$AM774^8+WeightSDS!P$17*$AM774^7+WeightSDS!Q$17*$AM774^6+WeightSDS!R$17*$AM774^5+WeightSDS!S$17*$AM774^4+WeightSDS!T$17*$AM774^3+WeightSDS!U$17*$AM774^2+WeightSDS!V$17*$AM774+WeightSDS!W$17,IF($AM774&lt;186,WeightSDS!$U$18+(WeightSDS!$V$18-WeightSDS!$U$18)/24*($AM774-186)+WeightSDS!$W$18*(-$AM774+186)^2-0.005,WeightSDS!$U$18+(WeightSDS!$V$18-WeightSDS!$U$18)/24*($AM774-186)-0.005)))</f>
        <v>0.14604529399999999</v>
      </c>
      <c r="AT774" s="4">
        <f t="shared" si="259"/>
        <v>0.56299999999999994</v>
      </c>
      <c r="AU774" s="4">
        <f t="shared" si="260"/>
        <v>69</v>
      </c>
      <c r="AV774" s="4">
        <f t="shared" si="261"/>
        <v>0.51</v>
      </c>
    </row>
    <row r="775" spans="1:48" x14ac:dyDescent="0.15">
      <c r="A775" s="4"/>
      <c r="B775" s="21"/>
      <c r="C775" s="21"/>
      <c r="D775" s="21"/>
      <c r="E775" s="22"/>
      <c r="F775" s="22"/>
      <c r="G775" s="23"/>
      <c r="H775" s="23"/>
      <c r="I775" s="181"/>
      <c r="J775" s="8" t="str">
        <f t="shared" si="253"/>
        <v/>
      </c>
      <c r="K775" s="2" t="str">
        <f t="shared" si="262"/>
        <v/>
      </c>
      <c r="L775" s="2" t="str">
        <f t="shared" si="254"/>
        <v/>
      </c>
      <c r="M775" s="2" t="str">
        <f t="shared" si="263"/>
        <v/>
      </c>
      <c r="N775" s="2" t="str">
        <f t="shared" si="250"/>
        <v/>
      </c>
      <c r="O775" s="2" t="str">
        <f t="shared" si="264"/>
        <v/>
      </c>
      <c r="P775" s="8" t="str">
        <f t="shared" si="265"/>
        <v/>
      </c>
      <c r="Q775" s="8" t="str">
        <f t="shared" si="266"/>
        <v/>
      </c>
      <c r="R775" s="111" t="str">
        <f t="shared" si="267"/>
        <v/>
      </c>
      <c r="S775" s="44" t="str">
        <f t="shared" si="268"/>
        <v/>
      </c>
      <c r="T775" s="37" t="str">
        <f t="shared" si="269"/>
        <v/>
      </c>
      <c r="U775" s="44" t="str">
        <f t="shared" si="270"/>
        <v/>
      </c>
      <c r="V775" s="26"/>
      <c r="W775" s="26"/>
      <c r="X775" s="26"/>
      <c r="Y775" s="26"/>
      <c r="Z775" s="24"/>
      <c r="AA775" s="169">
        <f t="shared" si="255"/>
        <v>0</v>
      </c>
      <c r="AB775" s="4">
        <f t="shared" si="256"/>
        <v>0</v>
      </c>
      <c r="AC775" s="170">
        <f t="shared" si="252"/>
        <v>0</v>
      </c>
      <c r="AD775" s="58"/>
      <c r="AE775" s="58"/>
      <c r="AF775" s="58"/>
      <c r="AG775" s="59">
        <f t="shared" si="257"/>
        <v>9.0359999999999996</v>
      </c>
      <c r="AH775" s="59">
        <f t="shared" si="258"/>
        <v>-184.49199999999999</v>
      </c>
      <c r="AJ775" s="4">
        <f>IF(D775="M",IF(AM775&lt;78,BMILMS!$D$5*AM775^3+BMILMS!$E$5*AM775^2+BMILMS!$F$5*AM775+BMILMS!$G$5,IF(AM775&lt;150,BMILMS!$D$6*AM775^3+BMILMS!$E$6*AM775^2+BMILMS!$F$6*AM775+BMILMS!$G$6,BMILMS!$D$7*AM775^3+BMILMS!$E$7*AM775^2+BMILMS!$F$7*AM775+BMILMS!$G$7)),IF(AM775&lt;69,BMILMS!$D$9*AM775^3+BMILMS!$E$9*AM775^2+BMILMS!$F$9*AM775+BMILMS!$G$9,IF(AM775&lt;150,BMILMS!$D$10*AM775^3+BMILMS!$E$10*AM775^2+BMILMS!$F$10*AM775+BMILMS!$G$10,BMILMS!$D$11*AM775^3+BMILMS!$E$11*AM775^2+BMILMS!$F$11*AM775+BMILMS!$G$11)))</f>
        <v>0.79584630099999998</v>
      </c>
      <c r="AK775" s="4">
        <f>IF(D775="M",(IF(AM775&lt;2.5,BMILMS!$D$21*AM775^3+BMILMS!$E$21*AM775^2+BMILMS!$F$21*AM775+BMILMS!$G$21,IF(AM775&lt;9.5,BMILMS!$D$22*AM775^3+BMILMS!$E$22*AM775^2+BMILMS!$F$22*AM775+BMILMS!$G$22,IF(AM775&lt;26.75,BMILMS!$D$23*AM775^3+BMILMS!$E$23*AM775^2+BMILMS!$F$23*AM775+BMILMS!$G$23,IF(AM775&lt;90,BMILMS!$D$24*AM775^3+BMILMS!$E$24*AM775^2+BMILMS!$F$24*AM775+BMILMS!$G$24,BMILMS!$D$25*AM775^3+BMILMS!$E$25*AM775^2+BMILMS!$F$25*AM775+BMILMS!$G$25))))),(IF(AM775&lt;2.5,BMILMS!$D$27*AM775^3+BMILMS!$E$27*AM775^2+BMILMS!$F$27*AM775+BMILMS!$G$27,IF(AM775&lt;9.5,BMILMS!$D$28*AM775^3+BMILMS!$E$28*AM775^2+BMILMS!$F$28*AM775+BMILMS!$G$28,IF(AM775&lt;26.75,BMILMS!$D$29*AM775^3+BMILMS!$E$29*AM775^2+BMILMS!$F$29*AM775+BMILMS!$G$29,IF(AM775&lt;90,BMILMS!$D$30*AM775^3+BMILMS!$E$30*AM775^2+BMILMS!$F$30*AM775+BMILMS!$G$30,IF(AM775&lt;150,BMILMS!$D$31*AM775^3+BMILMS!$E$31*AM775^2+BMILMS!$F$31*AM775+BMILMS!$G$31,BMILMS!$D$32*AM775^3+BMILMS!$E$32*AM775^2+BMILMS!$F$32*AM775+BMILMS!$G$32)))))))</f>
        <v>12.568967990000001</v>
      </c>
      <c r="AL775" s="4">
        <f>IF(D775="M",(IF(AM775&lt;90,BMILMS!$D$14*AM775^3+BMILMS!$E$14*AM775^2+BMILMS!$F$14*AM775+BMILMS!$G$14,BMILMS!$D$15*AM775^3+BMILMS!$E$15*AM775^2+BMILMS!$F$15*AM775+BMILMS!$G$15)),(IF(AM775&lt;90,BMILMS!$D$17*AM775^3+BMILMS!$E$17*AM775^2+BMILMS!$F$17*AM775+BMILMS!$G$17,BMILMS!$D$18*AM775^3+BMILMS!$E$18*AM775^2+BMILMS!$F$18*AM775+BMILMS!$G$18)))</f>
        <v>8.8969350000000003E-2</v>
      </c>
      <c r="AM775" s="4">
        <f t="shared" si="251"/>
        <v>0</v>
      </c>
      <c r="AO775" s="56">
        <f>IF(D775="M",WeightSDS!P$5*$AM775^7+WeightSDS!Q$5*$AM775^6+WeightSDS!R$5*$AM775^5+WeightSDS!S$5*$AM775^4+WeightSDS!T$5*$AM775^3+WeightSDS!U$5*$AM775^2+WeightSDS!V$5*$AM775+WeightSDS!W$5,IF($AM775&lt;186,WeightSDS!P$8*$AM775^7+WeightSDS!Q$8*$AM775^6+WeightSDS!R$8*$AM775^5+WeightSDS!S$8*$AM775^4+WeightSDS!T$8*$AM775^3+WeightSDS!U$8*$AM775^2+WeightSDS!V$8*$AM775+WeightSDS!W$8,WeightSDS!$U$9+WeightSDS!$V$9*($AM775-WeightSDS!$W$9)))</f>
        <v>0.75407122999999998</v>
      </c>
      <c r="AP775" s="4">
        <f>IF(D775="M",IF($AM775&lt;45,WeightSDS!M$23*$AM775^10+WeightSDS!N$23*$AM775^9+WeightSDS!O$23*$AM775^8+WeightSDS!P$23*$AM775^7+WeightSDS!Q$23*$AM775^6+WeightSDS!R$23*$AM775^5+WeightSDS!S$23*$AM775^4+WeightSDS!T$23*$AM775^3+WeightSDS!U$23*$AM775^2+WeightSDS!V$23*$AM775+WeightSDS!W$23,IF($AM775&lt;153,WeightSDS!M$25*$AM775^10+WeightSDS!N$25*$AM775^9+WeightSDS!O$25*$AM775^8+WeightSDS!P$25*$AM775^7+WeightSDS!Q$25*$AM775^6+WeightSDS!R$25*$AM775^5+WeightSDS!S$25*$AM775^4+WeightSDS!T$25*$AM775^3+WeightSDS!U$25*$AM775^2+WeightSDS!V$25*$AM775+WeightSDS!W$25,WeightSDS!M$27+WeightSDS!N$27/(1+EXP(WeightSDS!O$27+WeightSDS!P$27*$AM775)))),IF($AM775&lt;43.8,WeightSDS!M$29*$AM775^10+WeightSDS!N$29*$AM775^9+WeightSDS!O$29*$AM775^8+WeightSDS!P$29*$AM775^7+WeightSDS!Q$29*$AM775^6+WeightSDS!R$29*$AM775^5+WeightSDS!S$29*$AM775^4+WeightSDS!T$29*$AM775^3+WeightSDS!U$29*$AM775^2+WeightSDS!V$29*$AM775+WeightSDS!W$29-0.010431*(1-$AM775/210),IF($AM775&lt;123,WeightSDS!M$30*$AM775^10+WeightSDS!N$30*$AM775^9+WeightSDS!O$30*$AM775^8+WeightSDS!P$30*$AM775^7+WeightSDS!Q$30*$AM775^6+WeightSDS!R$30*$AM775^5+WeightSDS!S$30*$AM775^4+WeightSDS!T$30*$AM775^3+WeightSDS!U$30*$AM775^2+WeightSDS!V$30*$AM775+WeightSDS!W$30-0.010431*(1-1/$AM775),WeightSDS!M$32+WeightSDS!N$32/(1+EXP(WeightSDS!O$32+WeightSDS!P$32*$AM775))-0.010431*(1-$AM775/210))))</f>
        <v>2.9500001032655536</v>
      </c>
      <c r="AQ775" s="4">
        <f>IF(D775="M",IF($AM775&lt;162,WeightSDS!P$12*$AM775^7+WeightSDS!Q$12*$AM775^6+WeightSDS!R$12*$AM775^5+WeightSDS!S$12*$AM775^4+WeightSDS!T$12*$AM775^3+WeightSDS!U$12*$AM775^2+WeightSDS!V$12*$AM775+WeightSDS!W$12,WeightSDS!P$14*$AM775^7+WeightSDS!Q$14*$AM775^6+WeightSDS!R$14*$AM775^5+WeightSDS!S$14*$AM775^4+WeightSDS!T$14*$AM775^3+WeightSDS!U$14*$AM775^2+WeightSDS!V$14*$AM775+WeightSDS!W$14),IF($AM775&lt;156,WeightSDS!O$17*$AM775^8+WeightSDS!P$17*$AM775^7+WeightSDS!Q$17*$AM775^6+WeightSDS!R$17*$AM775^5+WeightSDS!S$17*$AM775^4+WeightSDS!T$17*$AM775^3+WeightSDS!U$17*$AM775^2+WeightSDS!V$17*$AM775+WeightSDS!W$17,IF($AM775&lt;186,WeightSDS!$U$18+(WeightSDS!$V$18-WeightSDS!$U$18)/24*($AM775-186)+WeightSDS!$W$18*(-$AM775+186)^2-0.005,WeightSDS!$U$18+(WeightSDS!$V$18-WeightSDS!$U$18)/24*($AM775-186)-0.005)))</f>
        <v>0.14604529399999999</v>
      </c>
      <c r="AT775" s="4">
        <f t="shared" si="259"/>
        <v>0.56299999999999994</v>
      </c>
      <c r="AU775" s="4">
        <f t="shared" si="260"/>
        <v>69</v>
      </c>
      <c r="AV775" s="4">
        <f t="shared" si="261"/>
        <v>0.51</v>
      </c>
    </row>
    <row r="776" spans="1:48" x14ac:dyDescent="0.15">
      <c r="A776" s="4"/>
      <c r="B776" s="21"/>
      <c r="C776" s="21"/>
      <c r="D776" s="21"/>
      <c r="E776" s="22"/>
      <c r="F776" s="22"/>
      <c r="G776" s="23"/>
      <c r="H776" s="23"/>
      <c r="I776" s="181"/>
      <c r="J776" s="8" t="str">
        <f t="shared" si="253"/>
        <v/>
      </c>
      <c r="K776" s="2" t="str">
        <f t="shared" si="262"/>
        <v/>
      </c>
      <c r="L776" s="2" t="str">
        <f t="shared" si="254"/>
        <v/>
      </c>
      <c r="M776" s="2" t="str">
        <f t="shared" si="263"/>
        <v/>
      </c>
      <c r="N776" s="2" t="str">
        <f t="shared" ref="N776:N839" si="271">IF(COUNTA(D776,E776,F776,G776,H776)=5,H776/G776^2*10000,"")</f>
        <v/>
      </c>
      <c r="O776" s="2" t="str">
        <f t="shared" si="264"/>
        <v/>
      </c>
      <c r="P776" s="8" t="str">
        <f t="shared" si="265"/>
        <v/>
      </c>
      <c r="Q776" s="8" t="str">
        <f t="shared" si="266"/>
        <v/>
      </c>
      <c r="R776" s="111" t="str">
        <f t="shared" si="267"/>
        <v/>
      </c>
      <c r="S776" s="44" t="str">
        <f t="shared" si="268"/>
        <v/>
      </c>
      <c r="T776" s="37" t="str">
        <f t="shared" si="269"/>
        <v/>
      </c>
      <c r="U776" s="44" t="str">
        <f t="shared" si="270"/>
        <v/>
      </c>
      <c r="V776" s="26"/>
      <c r="W776" s="26"/>
      <c r="X776" s="26"/>
      <c r="Y776" s="26"/>
      <c r="Z776" s="24"/>
      <c r="AA776" s="169">
        <f t="shared" si="255"/>
        <v>0</v>
      </c>
      <c r="AB776" s="4">
        <f t="shared" si="256"/>
        <v>0</v>
      </c>
      <c r="AC776" s="170">
        <f t="shared" si="252"/>
        <v>0</v>
      </c>
      <c r="AD776" s="58"/>
      <c r="AE776" s="58"/>
      <c r="AF776" s="58"/>
      <c r="AG776" s="59">
        <f t="shared" si="257"/>
        <v>9.0359999999999996</v>
      </c>
      <c r="AH776" s="59">
        <f t="shared" si="258"/>
        <v>-184.49199999999999</v>
      </c>
      <c r="AJ776" s="4">
        <f>IF(D776="M",IF(AM776&lt;78,BMILMS!$D$5*AM776^3+BMILMS!$E$5*AM776^2+BMILMS!$F$5*AM776+BMILMS!$G$5,IF(AM776&lt;150,BMILMS!$D$6*AM776^3+BMILMS!$E$6*AM776^2+BMILMS!$F$6*AM776+BMILMS!$G$6,BMILMS!$D$7*AM776^3+BMILMS!$E$7*AM776^2+BMILMS!$F$7*AM776+BMILMS!$G$7)),IF(AM776&lt;69,BMILMS!$D$9*AM776^3+BMILMS!$E$9*AM776^2+BMILMS!$F$9*AM776+BMILMS!$G$9,IF(AM776&lt;150,BMILMS!$D$10*AM776^3+BMILMS!$E$10*AM776^2+BMILMS!$F$10*AM776+BMILMS!$G$10,BMILMS!$D$11*AM776^3+BMILMS!$E$11*AM776^2+BMILMS!$F$11*AM776+BMILMS!$G$11)))</f>
        <v>0.79584630099999998</v>
      </c>
      <c r="AK776" s="4">
        <f>IF(D776="M",(IF(AM776&lt;2.5,BMILMS!$D$21*AM776^3+BMILMS!$E$21*AM776^2+BMILMS!$F$21*AM776+BMILMS!$G$21,IF(AM776&lt;9.5,BMILMS!$D$22*AM776^3+BMILMS!$E$22*AM776^2+BMILMS!$F$22*AM776+BMILMS!$G$22,IF(AM776&lt;26.75,BMILMS!$D$23*AM776^3+BMILMS!$E$23*AM776^2+BMILMS!$F$23*AM776+BMILMS!$G$23,IF(AM776&lt;90,BMILMS!$D$24*AM776^3+BMILMS!$E$24*AM776^2+BMILMS!$F$24*AM776+BMILMS!$G$24,BMILMS!$D$25*AM776^3+BMILMS!$E$25*AM776^2+BMILMS!$F$25*AM776+BMILMS!$G$25))))),(IF(AM776&lt;2.5,BMILMS!$D$27*AM776^3+BMILMS!$E$27*AM776^2+BMILMS!$F$27*AM776+BMILMS!$G$27,IF(AM776&lt;9.5,BMILMS!$D$28*AM776^3+BMILMS!$E$28*AM776^2+BMILMS!$F$28*AM776+BMILMS!$G$28,IF(AM776&lt;26.75,BMILMS!$D$29*AM776^3+BMILMS!$E$29*AM776^2+BMILMS!$F$29*AM776+BMILMS!$G$29,IF(AM776&lt;90,BMILMS!$D$30*AM776^3+BMILMS!$E$30*AM776^2+BMILMS!$F$30*AM776+BMILMS!$G$30,IF(AM776&lt;150,BMILMS!$D$31*AM776^3+BMILMS!$E$31*AM776^2+BMILMS!$F$31*AM776+BMILMS!$G$31,BMILMS!$D$32*AM776^3+BMILMS!$E$32*AM776^2+BMILMS!$F$32*AM776+BMILMS!$G$32)))))))</f>
        <v>12.568967990000001</v>
      </c>
      <c r="AL776" s="4">
        <f>IF(D776="M",(IF(AM776&lt;90,BMILMS!$D$14*AM776^3+BMILMS!$E$14*AM776^2+BMILMS!$F$14*AM776+BMILMS!$G$14,BMILMS!$D$15*AM776^3+BMILMS!$E$15*AM776^2+BMILMS!$F$15*AM776+BMILMS!$G$15)),(IF(AM776&lt;90,BMILMS!$D$17*AM776^3+BMILMS!$E$17*AM776^2+BMILMS!$F$17*AM776+BMILMS!$G$17,BMILMS!$D$18*AM776^3+BMILMS!$E$18*AM776^2+BMILMS!$F$18*AM776+BMILMS!$G$18)))</f>
        <v>8.8969350000000003E-2</v>
      </c>
      <c r="AM776" s="4">
        <f t="shared" ref="AM776:AM839" si="272">AA776*12+AB776</f>
        <v>0</v>
      </c>
      <c r="AO776" s="56">
        <f>IF(D776="M",WeightSDS!P$5*$AM776^7+WeightSDS!Q$5*$AM776^6+WeightSDS!R$5*$AM776^5+WeightSDS!S$5*$AM776^4+WeightSDS!T$5*$AM776^3+WeightSDS!U$5*$AM776^2+WeightSDS!V$5*$AM776+WeightSDS!W$5,IF($AM776&lt;186,WeightSDS!P$8*$AM776^7+WeightSDS!Q$8*$AM776^6+WeightSDS!R$8*$AM776^5+WeightSDS!S$8*$AM776^4+WeightSDS!T$8*$AM776^3+WeightSDS!U$8*$AM776^2+WeightSDS!V$8*$AM776+WeightSDS!W$8,WeightSDS!$U$9+WeightSDS!$V$9*($AM776-WeightSDS!$W$9)))</f>
        <v>0.75407122999999998</v>
      </c>
      <c r="AP776" s="4">
        <f>IF(D776="M",IF($AM776&lt;45,WeightSDS!M$23*$AM776^10+WeightSDS!N$23*$AM776^9+WeightSDS!O$23*$AM776^8+WeightSDS!P$23*$AM776^7+WeightSDS!Q$23*$AM776^6+WeightSDS!R$23*$AM776^5+WeightSDS!S$23*$AM776^4+WeightSDS!T$23*$AM776^3+WeightSDS!U$23*$AM776^2+WeightSDS!V$23*$AM776+WeightSDS!W$23,IF($AM776&lt;153,WeightSDS!M$25*$AM776^10+WeightSDS!N$25*$AM776^9+WeightSDS!O$25*$AM776^8+WeightSDS!P$25*$AM776^7+WeightSDS!Q$25*$AM776^6+WeightSDS!R$25*$AM776^5+WeightSDS!S$25*$AM776^4+WeightSDS!T$25*$AM776^3+WeightSDS!U$25*$AM776^2+WeightSDS!V$25*$AM776+WeightSDS!W$25,WeightSDS!M$27+WeightSDS!N$27/(1+EXP(WeightSDS!O$27+WeightSDS!P$27*$AM776)))),IF($AM776&lt;43.8,WeightSDS!M$29*$AM776^10+WeightSDS!N$29*$AM776^9+WeightSDS!O$29*$AM776^8+WeightSDS!P$29*$AM776^7+WeightSDS!Q$29*$AM776^6+WeightSDS!R$29*$AM776^5+WeightSDS!S$29*$AM776^4+WeightSDS!T$29*$AM776^3+WeightSDS!U$29*$AM776^2+WeightSDS!V$29*$AM776+WeightSDS!W$29-0.010431*(1-$AM776/210),IF($AM776&lt;123,WeightSDS!M$30*$AM776^10+WeightSDS!N$30*$AM776^9+WeightSDS!O$30*$AM776^8+WeightSDS!P$30*$AM776^7+WeightSDS!Q$30*$AM776^6+WeightSDS!R$30*$AM776^5+WeightSDS!S$30*$AM776^4+WeightSDS!T$30*$AM776^3+WeightSDS!U$30*$AM776^2+WeightSDS!V$30*$AM776+WeightSDS!W$30-0.010431*(1-1/$AM776),WeightSDS!M$32+WeightSDS!N$32/(1+EXP(WeightSDS!O$32+WeightSDS!P$32*$AM776))-0.010431*(1-$AM776/210))))</f>
        <v>2.9500001032655536</v>
      </c>
      <c r="AQ776" s="4">
        <f>IF(D776="M",IF($AM776&lt;162,WeightSDS!P$12*$AM776^7+WeightSDS!Q$12*$AM776^6+WeightSDS!R$12*$AM776^5+WeightSDS!S$12*$AM776^4+WeightSDS!T$12*$AM776^3+WeightSDS!U$12*$AM776^2+WeightSDS!V$12*$AM776+WeightSDS!W$12,WeightSDS!P$14*$AM776^7+WeightSDS!Q$14*$AM776^6+WeightSDS!R$14*$AM776^5+WeightSDS!S$14*$AM776^4+WeightSDS!T$14*$AM776^3+WeightSDS!U$14*$AM776^2+WeightSDS!V$14*$AM776+WeightSDS!W$14),IF($AM776&lt;156,WeightSDS!O$17*$AM776^8+WeightSDS!P$17*$AM776^7+WeightSDS!Q$17*$AM776^6+WeightSDS!R$17*$AM776^5+WeightSDS!S$17*$AM776^4+WeightSDS!T$17*$AM776^3+WeightSDS!U$17*$AM776^2+WeightSDS!V$17*$AM776+WeightSDS!W$17,IF($AM776&lt;186,WeightSDS!$U$18+(WeightSDS!$V$18-WeightSDS!$U$18)/24*($AM776-186)+WeightSDS!$W$18*(-$AM776+186)^2-0.005,WeightSDS!$U$18+(WeightSDS!$V$18-WeightSDS!$U$18)/24*($AM776-186)-0.005)))</f>
        <v>0.14604529399999999</v>
      </c>
      <c r="AT776" s="4">
        <f t="shared" si="259"/>
        <v>0.56299999999999994</v>
      </c>
      <c r="AU776" s="4">
        <f t="shared" si="260"/>
        <v>69</v>
      </c>
      <c r="AV776" s="4">
        <f t="shared" si="261"/>
        <v>0.51</v>
      </c>
    </row>
    <row r="777" spans="1:48" x14ac:dyDescent="0.15">
      <c r="A777" s="4"/>
      <c r="B777" s="21"/>
      <c r="C777" s="21"/>
      <c r="D777" s="21"/>
      <c r="E777" s="22"/>
      <c r="F777" s="22"/>
      <c r="G777" s="23"/>
      <c r="H777" s="23"/>
      <c r="I777" s="181"/>
      <c r="J777" s="8" t="str">
        <f t="shared" si="253"/>
        <v/>
      </c>
      <c r="K777" s="2" t="str">
        <f t="shared" si="262"/>
        <v/>
      </c>
      <c r="L777" s="2" t="str">
        <f t="shared" si="254"/>
        <v/>
      </c>
      <c r="M777" s="2" t="str">
        <f t="shared" si="263"/>
        <v/>
      </c>
      <c r="N777" s="2" t="str">
        <f t="shared" si="271"/>
        <v/>
      </c>
      <c r="O777" s="2" t="str">
        <f t="shared" si="264"/>
        <v/>
      </c>
      <c r="P777" s="8" t="str">
        <f t="shared" si="265"/>
        <v/>
      </c>
      <c r="Q777" s="8" t="str">
        <f t="shared" si="266"/>
        <v/>
      </c>
      <c r="R777" s="111" t="str">
        <f t="shared" si="267"/>
        <v/>
      </c>
      <c r="S777" s="44" t="str">
        <f t="shared" si="268"/>
        <v/>
      </c>
      <c r="T777" s="37" t="str">
        <f t="shared" si="269"/>
        <v/>
      </c>
      <c r="U777" s="44" t="str">
        <f t="shared" si="270"/>
        <v/>
      </c>
      <c r="V777" s="26"/>
      <c r="W777" s="26"/>
      <c r="X777" s="26"/>
      <c r="Y777" s="26"/>
      <c r="Z777" s="24"/>
      <c r="AA777" s="169">
        <f t="shared" si="255"/>
        <v>0</v>
      </c>
      <c r="AB777" s="4">
        <f t="shared" si="256"/>
        <v>0</v>
      </c>
      <c r="AC777" s="170">
        <f t="shared" si="252"/>
        <v>0</v>
      </c>
      <c r="AD777" s="58"/>
      <c r="AE777" s="58"/>
      <c r="AF777" s="58"/>
      <c r="AG777" s="59">
        <f t="shared" si="257"/>
        <v>9.0359999999999996</v>
      </c>
      <c r="AH777" s="59">
        <f t="shared" si="258"/>
        <v>-184.49199999999999</v>
      </c>
      <c r="AJ777" s="4">
        <f>IF(D777="M",IF(AM777&lt;78,BMILMS!$D$5*AM777^3+BMILMS!$E$5*AM777^2+BMILMS!$F$5*AM777+BMILMS!$G$5,IF(AM777&lt;150,BMILMS!$D$6*AM777^3+BMILMS!$E$6*AM777^2+BMILMS!$F$6*AM777+BMILMS!$G$6,BMILMS!$D$7*AM777^3+BMILMS!$E$7*AM777^2+BMILMS!$F$7*AM777+BMILMS!$G$7)),IF(AM777&lt;69,BMILMS!$D$9*AM777^3+BMILMS!$E$9*AM777^2+BMILMS!$F$9*AM777+BMILMS!$G$9,IF(AM777&lt;150,BMILMS!$D$10*AM777^3+BMILMS!$E$10*AM777^2+BMILMS!$F$10*AM777+BMILMS!$G$10,BMILMS!$D$11*AM777^3+BMILMS!$E$11*AM777^2+BMILMS!$F$11*AM777+BMILMS!$G$11)))</f>
        <v>0.79584630099999998</v>
      </c>
      <c r="AK777" s="4">
        <f>IF(D777="M",(IF(AM777&lt;2.5,BMILMS!$D$21*AM777^3+BMILMS!$E$21*AM777^2+BMILMS!$F$21*AM777+BMILMS!$G$21,IF(AM777&lt;9.5,BMILMS!$D$22*AM777^3+BMILMS!$E$22*AM777^2+BMILMS!$F$22*AM777+BMILMS!$G$22,IF(AM777&lt;26.75,BMILMS!$D$23*AM777^3+BMILMS!$E$23*AM777^2+BMILMS!$F$23*AM777+BMILMS!$G$23,IF(AM777&lt;90,BMILMS!$D$24*AM777^3+BMILMS!$E$24*AM777^2+BMILMS!$F$24*AM777+BMILMS!$G$24,BMILMS!$D$25*AM777^3+BMILMS!$E$25*AM777^2+BMILMS!$F$25*AM777+BMILMS!$G$25))))),(IF(AM777&lt;2.5,BMILMS!$D$27*AM777^3+BMILMS!$E$27*AM777^2+BMILMS!$F$27*AM777+BMILMS!$G$27,IF(AM777&lt;9.5,BMILMS!$D$28*AM777^3+BMILMS!$E$28*AM777^2+BMILMS!$F$28*AM777+BMILMS!$G$28,IF(AM777&lt;26.75,BMILMS!$D$29*AM777^3+BMILMS!$E$29*AM777^2+BMILMS!$F$29*AM777+BMILMS!$G$29,IF(AM777&lt;90,BMILMS!$D$30*AM777^3+BMILMS!$E$30*AM777^2+BMILMS!$F$30*AM777+BMILMS!$G$30,IF(AM777&lt;150,BMILMS!$D$31*AM777^3+BMILMS!$E$31*AM777^2+BMILMS!$F$31*AM777+BMILMS!$G$31,BMILMS!$D$32*AM777^3+BMILMS!$E$32*AM777^2+BMILMS!$F$32*AM777+BMILMS!$G$32)))))))</f>
        <v>12.568967990000001</v>
      </c>
      <c r="AL777" s="4">
        <f>IF(D777="M",(IF(AM777&lt;90,BMILMS!$D$14*AM777^3+BMILMS!$E$14*AM777^2+BMILMS!$F$14*AM777+BMILMS!$G$14,BMILMS!$D$15*AM777^3+BMILMS!$E$15*AM777^2+BMILMS!$F$15*AM777+BMILMS!$G$15)),(IF(AM777&lt;90,BMILMS!$D$17*AM777^3+BMILMS!$E$17*AM777^2+BMILMS!$F$17*AM777+BMILMS!$G$17,BMILMS!$D$18*AM777^3+BMILMS!$E$18*AM777^2+BMILMS!$F$18*AM777+BMILMS!$G$18)))</f>
        <v>8.8969350000000003E-2</v>
      </c>
      <c r="AM777" s="4">
        <f t="shared" si="272"/>
        <v>0</v>
      </c>
      <c r="AO777" s="56">
        <f>IF(D777="M",WeightSDS!P$5*$AM777^7+WeightSDS!Q$5*$AM777^6+WeightSDS!R$5*$AM777^5+WeightSDS!S$5*$AM777^4+WeightSDS!T$5*$AM777^3+WeightSDS!U$5*$AM777^2+WeightSDS!V$5*$AM777+WeightSDS!W$5,IF($AM777&lt;186,WeightSDS!P$8*$AM777^7+WeightSDS!Q$8*$AM777^6+WeightSDS!R$8*$AM777^5+WeightSDS!S$8*$AM777^4+WeightSDS!T$8*$AM777^3+WeightSDS!U$8*$AM777^2+WeightSDS!V$8*$AM777+WeightSDS!W$8,WeightSDS!$U$9+WeightSDS!$V$9*($AM777-WeightSDS!$W$9)))</f>
        <v>0.75407122999999998</v>
      </c>
      <c r="AP777" s="4">
        <f>IF(D777="M",IF($AM777&lt;45,WeightSDS!M$23*$AM777^10+WeightSDS!N$23*$AM777^9+WeightSDS!O$23*$AM777^8+WeightSDS!P$23*$AM777^7+WeightSDS!Q$23*$AM777^6+WeightSDS!R$23*$AM777^5+WeightSDS!S$23*$AM777^4+WeightSDS!T$23*$AM777^3+WeightSDS!U$23*$AM777^2+WeightSDS!V$23*$AM777+WeightSDS!W$23,IF($AM777&lt;153,WeightSDS!M$25*$AM777^10+WeightSDS!N$25*$AM777^9+WeightSDS!O$25*$AM777^8+WeightSDS!P$25*$AM777^7+WeightSDS!Q$25*$AM777^6+WeightSDS!R$25*$AM777^5+WeightSDS!S$25*$AM777^4+WeightSDS!T$25*$AM777^3+WeightSDS!U$25*$AM777^2+WeightSDS!V$25*$AM777+WeightSDS!W$25,WeightSDS!M$27+WeightSDS!N$27/(1+EXP(WeightSDS!O$27+WeightSDS!P$27*$AM777)))),IF($AM777&lt;43.8,WeightSDS!M$29*$AM777^10+WeightSDS!N$29*$AM777^9+WeightSDS!O$29*$AM777^8+WeightSDS!P$29*$AM777^7+WeightSDS!Q$29*$AM777^6+WeightSDS!R$29*$AM777^5+WeightSDS!S$29*$AM777^4+WeightSDS!T$29*$AM777^3+WeightSDS!U$29*$AM777^2+WeightSDS!V$29*$AM777+WeightSDS!W$29-0.010431*(1-$AM777/210),IF($AM777&lt;123,WeightSDS!M$30*$AM777^10+WeightSDS!N$30*$AM777^9+WeightSDS!O$30*$AM777^8+WeightSDS!P$30*$AM777^7+WeightSDS!Q$30*$AM777^6+WeightSDS!R$30*$AM777^5+WeightSDS!S$30*$AM777^4+WeightSDS!T$30*$AM777^3+WeightSDS!U$30*$AM777^2+WeightSDS!V$30*$AM777+WeightSDS!W$30-0.010431*(1-1/$AM777),WeightSDS!M$32+WeightSDS!N$32/(1+EXP(WeightSDS!O$32+WeightSDS!P$32*$AM777))-0.010431*(1-$AM777/210))))</f>
        <v>2.9500001032655536</v>
      </c>
      <c r="AQ777" s="4">
        <f>IF(D777="M",IF($AM777&lt;162,WeightSDS!P$12*$AM777^7+WeightSDS!Q$12*$AM777^6+WeightSDS!R$12*$AM777^5+WeightSDS!S$12*$AM777^4+WeightSDS!T$12*$AM777^3+WeightSDS!U$12*$AM777^2+WeightSDS!V$12*$AM777+WeightSDS!W$12,WeightSDS!P$14*$AM777^7+WeightSDS!Q$14*$AM777^6+WeightSDS!R$14*$AM777^5+WeightSDS!S$14*$AM777^4+WeightSDS!T$14*$AM777^3+WeightSDS!U$14*$AM777^2+WeightSDS!V$14*$AM777+WeightSDS!W$14),IF($AM777&lt;156,WeightSDS!O$17*$AM777^8+WeightSDS!P$17*$AM777^7+WeightSDS!Q$17*$AM777^6+WeightSDS!R$17*$AM777^5+WeightSDS!S$17*$AM777^4+WeightSDS!T$17*$AM777^3+WeightSDS!U$17*$AM777^2+WeightSDS!V$17*$AM777+WeightSDS!W$17,IF($AM777&lt;186,WeightSDS!$U$18+(WeightSDS!$V$18-WeightSDS!$U$18)/24*($AM777-186)+WeightSDS!$W$18*(-$AM777+186)^2-0.005,WeightSDS!$U$18+(WeightSDS!$V$18-WeightSDS!$U$18)/24*($AM777-186)-0.005)))</f>
        <v>0.14604529399999999</v>
      </c>
      <c r="AT777" s="4">
        <f t="shared" si="259"/>
        <v>0.56299999999999994</v>
      </c>
      <c r="AU777" s="4">
        <f t="shared" si="260"/>
        <v>69</v>
      </c>
      <c r="AV777" s="4">
        <f t="shared" si="261"/>
        <v>0.51</v>
      </c>
    </row>
    <row r="778" spans="1:48" x14ac:dyDescent="0.15">
      <c r="A778" s="4"/>
      <c r="B778" s="21"/>
      <c r="C778" s="21"/>
      <c r="D778" s="21"/>
      <c r="E778" s="22"/>
      <c r="F778" s="22"/>
      <c r="G778" s="23"/>
      <c r="H778" s="23"/>
      <c r="I778" s="181"/>
      <c r="J778" s="8" t="str">
        <f t="shared" si="253"/>
        <v/>
      </c>
      <c r="K778" s="2" t="str">
        <f t="shared" si="262"/>
        <v/>
      </c>
      <c r="L778" s="2" t="str">
        <f t="shared" si="254"/>
        <v/>
      </c>
      <c r="M778" s="2" t="str">
        <f t="shared" si="263"/>
        <v/>
      </c>
      <c r="N778" s="2" t="str">
        <f t="shared" si="271"/>
        <v/>
      </c>
      <c r="O778" s="2" t="str">
        <f t="shared" si="264"/>
        <v/>
      </c>
      <c r="P778" s="8" t="str">
        <f t="shared" si="265"/>
        <v/>
      </c>
      <c r="Q778" s="8" t="str">
        <f t="shared" si="266"/>
        <v/>
      </c>
      <c r="R778" s="111" t="str">
        <f t="shared" si="267"/>
        <v/>
      </c>
      <c r="S778" s="44" t="str">
        <f t="shared" si="268"/>
        <v/>
      </c>
      <c r="T778" s="37" t="str">
        <f t="shared" si="269"/>
        <v/>
      </c>
      <c r="U778" s="44" t="str">
        <f t="shared" si="270"/>
        <v/>
      </c>
      <c r="V778" s="26"/>
      <c r="W778" s="26"/>
      <c r="X778" s="26"/>
      <c r="Y778" s="26"/>
      <c r="Z778" s="24"/>
      <c r="AA778" s="169">
        <f t="shared" si="255"/>
        <v>0</v>
      </c>
      <c r="AB778" s="4">
        <f t="shared" si="256"/>
        <v>0</v>
      </c>
      <c r="AC778" s="170">
        <f t="shared" si="252"/>
        <v>0</v>
      </c>
      <c r="AD778" s="58"/>
      <c r="AE778" s="58"/>
      <c r="AF778" s="58"/>
      <c r="AG778" s="59">
        <f t="shared" si="257"/>
        <v>9.0359999999999996</v>
      </c>
      <c r="AH778" s="59">
        <f t="shared" si="258"/>
        <v>-184.49199999999999</v>
      </c>
      <c r="AJ778" s="4">
        <f>IF(D778="M",IF(AM778&lt;78,BMILMS!$D$5*AM778^3+BMILMS!$E$5*AM778^2+BMILMS!$F$5*AM778+BMILMS!$G$5,IF(AM778&lt;150,BMILMS!$D$6*AM778^3+BMILMS!$E$6*AM778^2+BMILMS!$F$6*AM778+BMILMS!$G$6,BMILMS!$D$7*AM778^3+BMILMS!$E$7*AM778^2+BMILMS!$F$7*AM778+BMILMS!$G$7)),IF(AM778&lt;69,BMILMS!$D$9*AM778^3+BMILMS!$E$9*AM778^2+BMILMS!$F$9*AM778+BMILMS!$G$9,IF(AM778&lt;150,BMILMS!$D$10*AM778^3+BMILMS!$E$10*AM778^2+BMILMS!$F$10*AM778+BMILMS!$G$10,BMILMS!$D$11*AM778^3+BMILMS!$E$11*AM778^2+BMILMS!$F$11*AM778+BMILMS!$G$11)))</f>
        <v>0.79584630099999998</v>
      </c>
      <c r="AK778" s="4">
        <f>IF(D778="M",(IF(AM778&lt;2.5,BMILMS!$D$21*AM778^3+BMILMS!$E$21*AM778^2+BMILMS!$F$21*AM778+BMILMS!$G$21,IF(AM778&lt;9.5,BMILMS!$D$22*AM778^3+BMILMS!$E$22*AM778^2+BMILMS!$F$22*AM778+BMILMS!$G$22,IF(AM778&lt;26.75,BMILMS!$D$23*AM778^3+BMILMS!$E$23*AM778^2+BMILMS!$F$23*AM778+BMILMS!$G$23,IF(AM778&lt;90,BMILMS!$D$24*AM778^3+BMILMS!$E$24*AM778^2+BMILMS!$F$24*AM778+BMILMS!$G$24,BMILMS!$D$25*AM778^3+BMILMS!$E$25*AM778^2+BMILMS!$F$25*AM778+BMILMS!$G$25))))),(IF(AM778&lt;2.5,BMILMS!$D$27*AM778^3+BMILMS!$E$27*AM778^2+BMILMS!$F$27*AM778+BMILMS!$G$27,IF(AM778&lt;9.5,BMILMS!$D$28*AM778^3+BMILMS!$E$28*AM778^2+BMILMS!$F$28*AM778+BMILMS!$G$28,IF(AM778&lt;26.75,BMILMS!$D$29*AM778^3+BMILMS!$E$29*AM778^2+BMILMS!$F$29*AM778+BMILMS!$G$29,IF(AM778&lt;90,BMILMS!$D$30*AM778^3+BMILMS!$E$30*AM778^2+BMILMS!$F$30*AM778+BMILMS!$G$30,IF(AM778&lt;150,BMILMS!$D$31*AM778^3+BMILMS!$E$31*AM778^2+BMILMS!$F$31*AM778+BMILMS!$G$31,BMILMS!$D$32*AM778^3+BMILMS!$E$32*AM778^2+BMILMS!$F$32*AM778+BMILMS!$G$32)))))))</f>
        <v>12.568967990000001</v>
      </c>
      <c r="AL778" s="4">
        <f>IF(D778="M",(IF(AM778&lt;90,BMILMS!$D$14*AM778^3+BMILMS!$E$14*AM778^2+BMILMS!$F$14*AM778+BMILMS!$G$14,BMILMS!$D$15*AM778^3+BMILMS!$E$15*AM778^2+BMILMS!$F$15*AM778+BMILMS!$G$15)),(IF(AM778&lt;90,BMILMS!$D$17*AM778^3+BMILMS!$E$17*AM778^2+BMILMS!$F$17*AM778+BMILMS!$G$17,BMILMS!$D$18*AM778^3+BMILMS!$E$18*AM778^2+BMILMS!$F$18*AM778+BMILMS!$G$18)))</f>
        <v>8.8969350000000003E-2</v>
      </c>
      <c r="AM778" s="4">
        <f t="shared" si="272"/>
        <v>0</v>
      </c>
      <c r="AO778" s="56">
        <f>IF(D778="M",WeightSDS!P$5*$AM778^7+WeightSDS!Q$5*$AM778^6+WeightSDS!R$5*$AM778^5+WeightSDS!S$5*$AM778^4+WeightSDS!T$5*$AM778^3+WeightSDS!U$5*$AM778^2+WeightSDS!V$5*$AM778+WeightSDS!W$5,IF($AM778&lt;186,WeightSDS!P$8*$AM778^7+WeightSDS!Q$8*$AM778^6+WeightSDS!R$8*$AM778^5+WeightSDS!S$8*$AM778^4+WeightSDS!T$8*$AM778^3+WeightSDS!U$8*$AM778^2+WeightSDS!V$8*$AM778+WeightSDS!W$8,WeightSDS!$U$9+WeightSDS!$V$9*($AM778-WeightSDS!$W$9)))</f>
        <v>0.75407122999999998</v>
      </c>
      <c r="AP778" s="4">
        <f>IF(D778="M",IF($AM778&lt;45,WeightSDS!M$23*$AM778^10+WeightSDS!N$23*$AM778^9+WeightSDS!O$23*$AM778^8+WeightSDS!P$23*$AM778^7+WeightSDS!Q$23*$AM778^6+WeightSDS!R$23*$AM778^5+WeightSDS!S$23*$AM778^4+WeightSDS!T$23*$AM778^3+WeightSDS!U$23*$AM778^2+WeightSDS!V$23*$AM778+WeightSDS!W$23,IF($AM778&lt;153,WeightSDS!M$25*$AM778^10+WeightSDS!N$25*$AM778^9+WeightSDS!O$25*$AM778^8+WeightSDS!P$25*$AM778^7+WeightSDS!Q$25*$AM778^6+WeightSDS!R$25*$AM778^5+WeightSDS!S$25*$AM778^4+WeightSDS!T$25*$AM778^3+WeightSDS!U$25*$AM778^2+WeightSDS!V$25*$AM778+WeightSDS!W$25,WeightSDS!M$27+WeightSDS!N$27/(1+EXP(WeightSDS!O$27+WeightSDS!P$27*$AM778)))),IF($AM778&lt;43.8,WeightSDS!M$29*$AM778^10+WeightSDS!N$29*$AM778^9+WeightSDS!O$29*$AM778^8+WeightSDS!P$29*$AM778^7+WeightSDS!Q$29*$AM778^6+WeightSDS!R$29*$AM778^5+WeightSDS!S$29*$AM778^4+WeightSDS!T$29*$AM778^3+WeightSDS!U$29*$AM778^2+WeightSDS!V$29*$AM778+WeightSDS!W$29-0.010431*(1-$AM778/210),IF($AM778&lt;123,WeightSDS!M$30*$AM778^10+WeightSDS!N$30*$AM778^9+WeightSDS!O$30*$AM778^8+WeightSDS!P$30*$AM778^7+WeightSDS!Q$30*$AM778^6+WeightSDS!R$30*$AM778^5+WeightSDS!S$30*$AM778^4+WeightSDS!T$30*$AM778^3+WeightSDS!U$30*$AM778^2+WeightSDS!V$30*$AM778+WeightSDS!W$30-0.010431*(1-1/$AM778),WeightSDS!M$32+WeightSDS!N$32/(1+EXP(WeightSDS!O$32+WeightSDS!P$32*$AM778))-0.010431*(1-$AM778/210))))</f>
        <v>2.9500001032655536</v>
      </c>
      <c r="AQ778" s="4">
        <f>IF(D778="M",IF($AM778&lt;162,WeightSDS!P$12*$AM778^7+WeightSDS!Q$12*$AM778^6+WeightSDS!R$12*$AM778^5+WeightSDS!S$12*$AM778^4+WeightSDS!T$12*$AM778^3+WeightSDS!U$12*$AM778^2+WeightSDS!V$12*$AM778+WeightSDS!W$12,WeightSDS!P$14*$AM778^7+WeightSDS!Q$14*$AM778^6+WeightSDS!R$14*$AM778^5+WeightSDS!S$14*$AM778^4+WeightSDS!T$14*$AM778^3+WeightSDS!U$14*$AM778^2+WeightSDS!V$14*$AM778+WeightSDS!W$14),IF($AM778&lt;156,WeightSDS!O$17*$AM778^8+WeightSDS!P$17*$AM778^7+WeightSDS!Q$17*$AM778^6+WeightSDS!R$17*$AM778^5+WeightSDS!S$17*$AM778^4+WeightSDS!T$17*$AM778^3+WeightSDS!U$17*$AM778^2+WeightSDS!V$17*$AM778+WeightSDS!W$17,IF($AM778&lt;186,WeightSDS!$U$18+(WeightSDS!$V$18-WeightSDS!$U$18)/24*($AM778-186)+WeightSDS!$W$18*(-$AM778+186)^2-0.005,WeightSDS!$U$18+(WeightSDS!$V$18-WeightSDS!$U$18)/24*($AM778-186)-0.005)))</f>
        <v>0.14604529399999999</v>
      </c>
      <c r="AT778" s="4">
        <f t="shared" si="259"/>
        <v>0.56299999999999994</v>
      </c>
      <c r="AU778" s="4">
        <f t="shared" si="260"/>
        <v>69</v>
      </c>
      <c r="AV778" s="4">
        <f t="shared" si="261"/>
        <v>0.51</v>
      </c>
    </row>
    <row r="779" spans="1:48" x14ac:dyDescent="0.15">
      <c r="A779" s="4"/>
      <c r="B779" s="21"/>
      <c r="C779" s="21"/>
      <c r="D779" s="21"/>
      <c r="E779" s="22"/>
      <c r="F779" s="22"/>
      <c r="G779" s="23"/>
      <c r="H779" s="23"/>
      <c r="I779" s="181"/>
      <c r="J779" s="8" t="str">
        <f t="shared" si="253"/>
        <v/>
      </c>
      <c r="K779" s="2" t="str">
        <f t="shared" si="262"/>
        <v/>
      </c>
      <c r="L779" s="2" t="str">
        <f t="shared" si="254"/>
        <v/>
      </c>
      <c r="M779" s="2" t="str">
        <f t="shared" si="263"/>
        <v/>
      </c>
      <c r="N779" s="2" t="str">
        <f t="shared" si="271"/>
        <v/>
      </c>
      <c r="O779" s="2" t="str">
        <f t="shared" si="264"/>
        <v/>
      </c>
      <c r="P779" s="8" t="str">
        <f t="shared" si="265"/>
        <v/>
      </c>
      <c r="Q779" s="8" t="str">
        <f t="shared" si="266"/>
        <v/>
      </c>
      <c r="R779" s="111" t="str">
        <f t="shared" si="267"/>
        <v/>
      </c>
      <c r="S779" s="44" t="str">
        <f t="shared" si="268"/>
        <v/>
      </c>
      <c r="T779" s="37" t="str">
        <f t="shared" si="269"/>
        <v/>
      </c>
      <c r="U779" s="44" t="str">
        <f t="shared" si="270"/>
        <v/>
      </c>
      <c r="V779" s="26"/>
      <c r="W779" s="26"/>
      <c r="X779" s="26"/>
      <c r="Y779" s="26"/>
      <c r="Z779" s="24"/>
      <c r="AA779" s="169">
        <f t="shared" si="255"/>
        <v>0</v>
      </c>
      <c r="AB779" s="4">
        <f t="shared" si="256"/>
        <v>0</v>
      </c>
      <c r="AC779" s="170">
        <f t="shared" si="252"/>
        <v>0</v>
      </c>
      <c r="AD779" s="58"/>
      <c r="AE779" s="58"/>
      <c r="AF779" s="58"/>
      <c r="AG779" s="59">
        <f t="shared" si="257"/>
        <v>9.0359999999999996</v>
      </c>
      <c r="AH779" s="59">
        <f t="shared" si="258"/>
        <v>-184.49199999999999</v>
      </c>
      <c r="AJ779" s="4">
        <f>IF(D779="M",IF(AM779&lt;78,BMILMS!$D$5*AM779^3+BMILMS!$E$5*AM779^2+BMILMS!$F$5*AM779+BMILMS!$G$5,IF(AM779&lt;150,BMILMS!$D$6*AM779^3+BMILMS!$E$6*AM779^2+BMILMS!$F$6*AM779+BMILMS!$G$6,BMILMS!$D$7*AM779^3+BMILMS!$E$7*AM779^2+BMILMS!$F$7*AM779+BMILMS!$G$7)),IF(AM779&lt;69,BMILMS!$D$9*AM779^3+BMILMS!$E$9*AM779^2+BMILMS!$F$9*AM779+BMILMS!$G$9,IF(AM779&lt;150,BMILMS!$D$10*AM779^3+BMILMS!$E$10*AM779^2+BMILMS!$F$10*AM779+BMILMS!$G$10,BMILMS!$D$11*AM779^3+BMILMS!$E$11*AM779^2+BMILMS!$F$11*AM779+BMILMS!$G$11)))</f>
        <v>0.79584630099999998</v>
      </c>
      <c r="AK779" s="4">
        <f>IF(D779="M",(IF(AM779&lt;2.5,BMILMS!$D$21*AM779^3+BMILMS!$E$21*AM779^2+BMILMS!$F$21*AM779+BMILMS!$G$21,IF(AM779&lt;9.5,BMILMS!$D$22*AM779^3+BMILMS!$E$22*AM779^2+BMILMS!$F$22*AM779+BMILMS!$G$22,IF(AM779&lt;26.75,BMILMS!$D$23*AM779^3+BMILMS!$E$23*AM779^2+BMILMS!$F$23*AM779+BMILMS!$G$23,IF(AM779&lt;90,BMILMS!$D$24*AM779^3+BMILMS!$E$24*AM779^2+BMILMS!$F$24*AM779+BMILMS!$G$24,BMILMS!$D$25*AM779^3+BMILMS!$E$25*AM779^2+BMILMS!$F$25*AM779+BMILMS!$G$25))))),(IF(AM779&lt;2.5,BMILMS!$D$27*AM779^3+BMILMS!$E$27*AM779^2+BMILMS!$F$27*AM779+BMILMS!$G$27,IF(AM779&lt;9.5,BMILMS!$D$28*AM779^3+BMILMS!$E$28*AM779^2+BMILMS!$F$28*AM779+BMILMS!$G$28,IF(AM779&lt;26.75,BMILMS!$D$29*AM779^3+BMILMS!$E$29*AM779^2+BMILMS!$F$29*AM779+BMILMS!$G$29,IF(AM779&lt;90,BMILMS!$D$30*AM779^3+BMILMS!$E$30*AM779^2+BMILMS!$F$30*AM779+BMILMS!$G$30,IF(AM779&lt;150,BMILMS!$D$31*AM779^3+BMILMS!$E$31*AM779^2+BMILMS!$F$31*AM779+BMILMS!$G$31,BMILMS!$D$32*AM779^3+BMILMS!$E$32*AM779^2+BMILMS!$F$32*AM779+BMILMS!$G$32)))))))</f>
        <v>12.568967990000001</v>
      </c>
      <c r="AL779" s="4">
        <f>IF(D779="M",(IF(AM779&lt;90,BMILMS!$D$14*AM779^3+BMILMS!$E$14*AM779^2+BMILMS!$F$14*AM779+BMILMS!$G$14,BMILMS!$D$15*AM779^3+BMILMS!$E$15*AM779^2+BMILMS!$F$15*AM779+BMILMS!$G$15)),(IF(AM779&lt;90,BMILMS!$D$17*AM779^3+BMILMS!$E$17*AM779^2+BMILMS!$F$17*AM779+BMILMS!$G$17,BMILMS!$D$18*AM779^3+BMILMS!$E$18*AM779^2+BMILMS!$F$18*AM779+BMILMS!$G$18)))</f>
        <v>8.8969350000000003E-2</v>
      </c>
      <c r="AM779" s="4">
        <f t="shared" si="272"/>
        <v>0</v>
      </c>
      <c r="AO779" s="56">
        <f>IF(D779="M",WeightSDS!P$5*$AM779^7+WeightSDS!Q$5*$AM779^6+WeightSDS!R$5*$AM779^5+WeightSDS!S$5*$AM779^4+WeightSDS!T$5*$AM779^3+WeightSDS!U$5*$AM779^2+WeightSDS!V$5*$AM779+WeightSDS!W$5,IF($AM779&lt;186,WeightSDS!P$8*$AM779^7+WeightSDS!Q$8*$AM779^6+WeightSDS!R$8*$AM779^5+WeightSDS!S$8*$AM779^4+WeightSDS!T$8*$AM779^3+WeightSDS!U$8*$AM779^2+WeightSDS!V$8*$AM779+WeightSDS!W$8,WeightSDS!$U$9+WeightSDS!$V$9*($AM779-WeightSDS!$W$9)))</f>
        <v>0.75407122999999998</v>
      </c>
      <c r="AP779" s="4">
        <f>IF(D779="M",IF($AM779&lt;45,WeightSDS!M$23*$AM779^10+WeightSDS!N$23*$AM779^9+WeightSDS!O$23*$AM779^8+WeightSDS!P$23*$AM779^7+WeightSDS!Q$23*$AM779^6+WeightSDS!R$23*$AM779^5+WeightSDS!S$23*$AM779^4+WeightSDS!T$23*$AM779^3+WeightSDS!U$23*$AM779^2+WeightSDS!V$23*$AM779+WeightSDS!W$23,IF($AM779&lt;153,WeightSDS!M$25*$AM779^10+WeightSDS!N$25*$AM779^9+WeightSDS!O$25*$AM779^8+WeightSDS!P$25*$AM779^7+WeightSDS!Q$25*$AM779^6+WeightSDS!R$25*$AM779^5+WeightSDS!S$25*$AM779^4+WeightSDS!T$25*$AM779^3+WeightSDS!U$25*$AM779^2+WeightSDS!V$25*$AM779+WeightSDS!W$25,WeightSDS!M$27+WeightSDS!N$27/(1+EXP(WeightSDS!O$27+WeightSDS!P$27*$AM779)))),IF($AM779&lt;43.8,WeightSDS!M$29*$AM779^10+WeightSDS!N$29*$AM779^9+WeightSDS!O$29*$AM779^8+WeightSDS!P$29*$AM779^7+WeightSDS!Q$29*$AM779^6+WeightSDS!R$29*$AM779^5+WeightSDS!S$29*$AM779^4+WeightSDS!T$29*$AM779^3+WeightSDS!U$29*$AM779^2+WeightSDS!V$29*$AM779+WeightSDS!W$29-0.010431*(1-$AM779/210),IF($AM779&lt;123,WeightSDS!M$30*$AM779^10+WeightSDS!N$30*$AM779^9+WeightSDS!O$30*$AM779^8+WeightSDS!P$30*$AM779^7+WeightSDS!Q$30*$AM779^6+WeightSDS!R$30*$AM779^5+WeightSDS!S$30*$AM779^4+WeightSDS!T$30*$AM779^3+WeightSDS!U$30*$AM779^2+WeightSDS!V$30*$AM779+WeightSDS!W$30-0.010431*(1-1/$AM779),WeightSDS!M$32+WeightSDS!N$32/(1+EXP(WeightSDS!O$32+WeightSDS!P$32*$AM779))-0.010431*(1-$AM779/210))))</f>
        <v>2.9500001032655536</v>
      </c>
      <c r="AQ779" s="4">
        <f>IF(D779="M",IF($AM779&lt;162,WeightSDS!P$12*$AM779^7+WeightSDS!Q$12*$AM779^6+WeightSDS!R$12*$AM779^5+WeightSDS!S$12*$AM779^4+WeightSDS!T$12*$AM779^3+WeightSDS!U$12*$AM779^2+WeightSDS!V$12*$AM779+WeightSDS!W$12,WeightSDS!P$14*$AM779^7+WeightSDS!Q$14*$AM779^6+WeightSDS!R$14*$AM779^5+WeightSDS!S$14*$AM779^4+WeightSDS!T$14*$AM779^3+WeightSDS!U$14*$AM779^2+WeightSDS!V$14*$AM779+WeightSDS!W$14),IF($AM779&lt;156,WeightSDS!O$17*$AM779^8+WeightSDS!P$17*$AM779^7+WeightSDS!Q$17*$AM779^6+WeightSDS!R$17*$AM779^5+WeightSDS!S$17*$AM779^4+WeightSDS!T$17*$AM779^3+WeightSDS!U$17*$AM779^2+WeightSDS!V$17*$AM779+WeightSDS!W$17,IF($AM779&lt;186,WeightSDS!$U$18+(WeightSDS!$V$18-WeightSDS!$U$18)/24*($AM779-186)+WeightSDS!$W$18*(-$AM779+186)^2-0.005,WeightSDS!$U$18+(WeightSDS!$V$18-WeightSDS!$U$18)/24*($AM779-186)-0.005)))</f>
        <v>0.14604529399999999</v>
      </c>
      <c r="AT779" s="4">
        <f t="shared" si="259"/>
        <v>0.56299999999999994</v>
      </c>
      <c r="AU779" s="4">
        <f t="shared" si="260"/>
        <v>69</v>
      </c>
      <c r="AV779" s="4">
        <f t="shared" si="261"/>
        <v>0.51</v>
      </c>
    </row>
    <row r="780" spans="1:48" x14ac:dyDescent="0.15">
      <c r="A780" s="4"/>
      <c r="B780" s="21"/>
      <c r="C780" s="21"/>
      <c r="D780" s="21"/>
      <c r="E780" s="22"/>
      <c r="F780" s="22"/>
      <c r="G780" s="23"/>
      <c r="H780" s="23"/>
      <c r="I780" s="181"/>
      <c r="J780" s="8" t="str">
        <f t="shared" si="253"/>
        <v/>
      </c>
      <c r="K780" s="2" t="str">
        <f t="shared" si="262"/>
        <v/>
      </c>
      <c r="L780" s="2" t="str">
        <f t="shared" si="254"/>
        <v/>
      </c>
      <c r="M780" s="2" t="str">
        <f t="shared" si="263"/>
        <v/>
      </c>
      <c r="N780" s="2" t="str">
        <f t="shared" si="271"/>
        <v/>
      </c>
      <c r="O780" s="2" t="str">
        <f t="shared" si="264"/>
        <v/>
      </c>
      <c r="P780" s="8" t="str">
        <f t="shared" si="265"/>
        <v/>
      </c>
      <c r="Q780" s="8" t="str">
        <f t="shared" si="266"/>
        <v/>
      </c>
      <c r="R780" s="111" t="str">
        <f t="shared" si="267"/>
        <v/>
      </c>
      <c r="S780" s="44" t="str">
        <f t="shared" si="268"/>
        <v/>
      </c>
      <c r="T780" s="37" t="str">
        <f t="shared" si="269"/>
        <v/>
      </c>
      <c r="U780" s="44" t="str">
        <f t="shared" si="270"/>
        <v/>
      </c>
      <c r="V780" s="26"/>
      <c r="W780" s="26"/>
      <c r="X780" s="26"/>
      <c r="Y780" s="26"/>
      <c r="Z780" s="24"/>
      <c r="AA780" s="169">
        <f t="shared" si="255"/>
        <v>0</v>
      </c>
      <c r="AB780" s="4">
        <f t="shared" si="256"/>
        <v>0</v>
      </c>
      <c r="AC780" s="170">
        <f t="shared" si="252"/>
        <v>0</v>
      </c>
      <c r="AD780" s="58"/>
      <c r="AE780" s="58"/>
      <c r="AF780" s="58"/>
      <c r="AG780" s="59">
        <f t="shared" si="257"/>
        <v>9.0359999999999996</v>
      </c>
      <c r="AH780" s="59">
        <f t="shared" si="258"/>
        <v>-184.49199999999999</v>
      </c>
      <c r="AJ780" s="4">
        <f>IF(D780="M",IF(AM780&lt;78,BMILMS!$D$5*AM780^3+BMILMS!$E$5*AM780^2+BMILMS!$F$5*AM780+BMILMS!$G$5,IF(AM780&lt;150,BMILMS!$D$6*AM780^3+BMILMS!$E$6*AM780^2+BMILMS!$F$6*AM780+BMILMS!$G$6,BMILMS!$D$7*AM780^3+BMILMS!$E$7*AM780^2+BMILMS!$F$7*AM780+BMILMS!$G$7)),IF(AM780&lt;69,BMILMS!$D$9*AM780^3+BMILMS!$E$9*AM780^2+BMILMS!$F$9*AM780+BMILMS!$G$9,IF(AM780&lt;150,BMILMS!$D$10*AM780^3+BMILMS!$E$10*AM780^2+BMILMS!$F$10*AM780+BMILMS!$G$10,BMILMS!$D$11*AM780^3+BMILMS!$E$11*AM780^2+BMILMS!$F$11*AM780+BMILMS!$G$11)))</f>
        <v>0.79584630099999998</v>
      </c>
      <c r="AK780" s="4">
        <f>IF(D780="M",(IF(AM780&lt;2.5,BMILMS!$D$21*AM780^3+BMILMS!$E$21*AM780^2+BMILMS!$F$21*AM780+BMILMS!$G$21,IF(AM780&lt;9.5,BMILMS!$D$22*AM780^3+BMILMS!$E$22*AM780^2+BMILMS!$F$22*AM780+BMILMS!$G$22,IF(AM780&lt;26.75,BMILMS!$D$23*AM780^3+BMILMS!$E$23*AM780^2+BMILMS!$F$23*AM780+BMILMS!$G$23,IF(AM780&lt;90,BMILMS!$D$24*AM780^3+BMILMS!$E$24*AM780^2+BMILMS!$F$24*AM780+BMILMS!$G$24,BMILMS!$D$25*AM780^3+BMILMS!$E$25*AM780^2+BMILMS!$F$25*AM780+BMILMS!$G$25))))),(IF(AM780&lt;2.5,BMILMS!$D$27*AM780^3+BMILMS!$E$27*AM780^2+BMILMS!$F$27*AM780+BMILMS!$G$27,IF(AM780&lt;9.5,BMILMS!$D$28*AM780^3+BMILMS!$E$28*AM780^2+BMILMS!$F$28*AM780+BMILMS!$G$28,IF(AM780&lt;26.75,BMILMS!$D$29*AM780^3+BMILMS!$E$29*AM780^2+BMILMS!$F$29*AM780+BMILMS!$G$29,IF(AM780&lt;90,BMILMS!$D$30*AM780^3+BMILMS!$E$30*AM780^2+BMILMS!$F$30*AM780+BMILMS!$G$30,IF(AM780&lt;150,BMILMS!$D$31*AM780^3+BMILMS!$E$31*AM780^2+BMILMS!$F$31*AM780+BMILMS!$G$31,BMILMS!$D$32*AM780^3+BMILMS!$E$32*AM780^2+BMILMS!$F$32*AM780+BMILMS!$G$32)))))))</f>
        <v>12.568967990000001</v>
      </c>
      <c r="AL780" s="4">
        <f>IF(D780="M",(IF(AM780&lt;90,BMILMS!$D$14*AM780^3+BMILMS!$E$14*AM780^2+BMILMS!$F$14*AM780+BMILMS!$G$14,BMILMS!$D$15*AM780^3+BMILMS!$E$15*AM780^2+BMILMS!$F$15*AM780+BMILMS!$G$15)),(IF(AM780&lt;90,BMILMS!$D$17*AM780^3+BMILMS!$E$17*AM780^2+BMILMS!$F$17*AM780+BMILMS!$G$17,BMILMS!$D$18*AM780^3+BMILMS!$E$18*AM780^2+BMILMS!$F$18*AM780+BMILMS!$G$18)))</f>
        <v>8.8969350000000003E-2</v>
      </c>
      <c r="AM780" s="4">
        <f t="shared" si="272"/>
        <v>0</v>
      </c>
      <c r="AO780" s="56">
        <f>IF(D780="M",WeightSDS!P$5*$AM780^7+WeightSDS!Q$5*$AM780^6+WeightSDS!R$5*$AM780^5+WeightSDS!S$5*$AM780^4+WeightSDS!T$5*$AM780^3+WeightSDS!U$5*$AM780^2+WeightSDS!V$5*$AM780+WeightSDS!W$5,IF($AM780&lt;186,WeightSDS!P$8*$AM780^7+WeightSDS!Q$8*$AM780^6+WeightSDS!R$8*$AM780^5+WeightSDS!S$8*$AM780^4+WeightSDS!T$8*$AM780^3+WeightSDS!U$8*$AM780^2+WeightSDS!V$8*$AM780+WeightSDS!W$8,WeightSDS!$U$9+WeightSDS!$V$9*($AM780-WeightSDS!$W$9)))</f>
        <v>0.75407122999999998</v>
      </c>
      <c r="AP780" s="4">
        <f>IF(D780="M",IF($AM780&lt;45,WeightSDS!M$23*$AM780^10+WeightSDS!N$23*$AM780^9+WeightSDS!O$23*$AM780^8+WeightSDS!P$23*$AM780^7+WeightSDS!Q$23*$AM780^6+WeightSDS!R$23*$AM780^5+WeightSDS!S$23*$AM780^4+WeightSDS!T$23*$AM780^3+WeightSDS!U$23*$AM780^2+WeightSDS!V$23*$AM780+WeightSDS!W$23,IF($AM780&lt;153,WeightSDS!M$25*$AM780^10+WeightSDS!N$25*$AM780^9+WeightSDS!O$25*$AM780^8+WeightSDS!P$25*$AM780^7+WeightSDS!Q$25*$AM780^6+WeightSDS!R$25*$AM780^5+WeightSDS!S$25*$AM780^4+WeightSDS!T$25*$AM780^3+WeightSDS!U$25*$AM780^2+WeightSDS!V$25*$AM780+WeightSDS!W$25,WeightSDS!M$27+WeightSDS!N$27/(1+EXP(WeightSDS!O$27+WeightSDS!P$27*$AM780)))),IF($AM780&lt;43.8,WeightSDS!M$29*$AM780^10+WeightSDS!N$29*$AM780^9+WeightSDS!O$29*$AM780^8+WeightSDS!P$29*$AM780^7+WeightSDS!Q$29*$AM780^6+WeightSDS!R$29*$AM780^5+WeightSDS!S$29*$AM780^4+WeightSDS!T$29*$AM780^3+WeightSDS!U$29*$AM780^2+WeightSDS!V$29*$AM780+WeightSDS!W$29-0.010431*(1-$AM780/210),IF($AM780&lt;123,WeightSDS!M$30*$AM780^10+WeightSDS!N$30*$AM780^9+WeightSDS!O$30*$AM780^8+WeightSDS!P$30*$AM780^7+WeightSDS!Q$30*$AM780^6+WeightSDS!R$30*$AM780^5+WeightSDS!S$30*$AM780^4+WeightSDS!T$30*$AM780^3+WeightSDS!U$30*$AM780^2+WeightSDS!V$30*$AM780+WeightSDS!W$30-0.010431*(1-1/$AM780),WeightSDS!M$32+WeightSDS!N$32/(1+EXP(WeightSDS!O$32+WeightSDS!P$32*$AM780))-0.010431*(1-$AM780/210))))</f>
        <v>2.9500001032655536</v>
      </c>
      <c r="AQ780" s="4">
        <f>IF(D780="M",IF($AM780&lt;162,WeightSDS!P$12*$AM780^7+WeightSDS!Q$12*$AM780^6+WeightSDS!R$12*$AM780^5+WeightSDS!S$12*$AM780^4+WeightSDS!T$12*$AM780^3+WeightSDS!U$12*$AM780^2+WeightSDS!V$12*$AM780+WeightSDS!W$12,WeightSDS!P$14*$AM780^7+WeightSDS!Q$14*$AM780^6+WeightSDS!R$14*$AM780^5+WeightSDS!S$14*$AM780^4+WeightSDS!T$14*$AM780^3+WeightSDS!U$14*$AM780^2+WeightSDS!V$14*$AM780+WeightSDS!W$14),IF($AM780&lt;156,WeightSDS!O$17*$AM780^8+WeightSDS!P$17*$AM780^7+WeightSDS!Q$17*$AM780^6+WeightSDS!R$17*$AM780^5+WeightSDS!S$17*$AM780^4+WeightSDS!T$17*$AM780^3+WeightSDS!U$17*$AM780^2+WeightSDS!V$17*$AM780+WeightSDS!W$17,IF($AM780&lt;186,WeightSDS!$U$18+(WeightSDS!$V$18-WeightSDS!$U$18)/24*($AM780-186)+WeightSDS!$W$18*(-$AM780+186)^2-0.005,WeightSDS!$U$18+(WeightSDS!$V$18-WeightSDS!$U$18)/24*($AM780-186)-0.005)))</f>
        <v>0.14604529399999999</v>
      </c>
      <c r="AT780" s="4">
        <f t="shared" si="259"/>
        <v>0.56299999999999994</v>
      </c>
      <c r="AU780" s="4">
        <f t="shared" si="260"/>
        <v>69</v>
      </c>
      <c r="AV780" s="4">
        <f t="shared" si="261"/>
        <v>0.51</v>
      </c>
    </row>
    <row r="781" spans="1:48" x14ac:dyDescent="0.15">
      <c r="A781" s="4"/>
      <c r="B781" s="21"/>
      <c r="C781" s="21"/>
      <c r="D781" s="21"/>
      <c r="E781" s="22"/>
      <c r="F781" s="22"/>
      <c r="G781" s="23"/>
      <c r="H781" s="23"/>
      <c r="I781" s="181"/>
      <c r="J781" s="8" t="str">
        <f t="shared" si="253"/>
        <v/>
      </c>
      <c r="K781" s="2" t="str">
        <f t="shared" si="262"/>
        <v/>
      </c>
      <c r="L781" s="2" t="str">
        <f t="shared" si="254"/>
        <v/>
      </c>
      <c r="M781" s="2" t="str">
        <f t="shared" si="263"/>
        <v/>
      </c>
      <c r="N781" s="2" t="str">
        <f t="shared" si="271"/>
        <v/>
      </c>
      <c r="O781" s="2" t="str">
        <f t="shared" si="264"/>
        <v/>
      </c>
      <c r="P781" s="8" t="str">
        <f t="shared" si="265"/>
        <v/>
      </c>
      <c r="Q781" s="8" t="str">
        <f t="shared" si="266"/>
        <v/>
      </c>
      <c r="R781" s="111" t="str">
        <f t="shared" si="267"/>
        <v/>
      </c>
      <c r="S781" s="44" t="str">
        <f t="shared" si="268"/>
        <v/>
      </c>
      <c r="T781" s="37" t="str">
        <f t="shared" si="269"/>
        <v/>
      </c>
      <c r="U781" s="44" t="str">
        <f t="shared" si="270"/>
        <v/>
      </c>
      <c r="V781" s="26"/>
      <c r="W781" s="26"/>
      <c r="X781" s="26"/>
      <c r="Y781" s="26"/>
      <c r="Z781" s="24"/>
      <c r="AA781" s="169">
        <f t="shared" si="255"/>
        <v>0</v>
      </c>
      <c r="AB781" s="4">
        <f t="shared" si="256"/>
        <v>0</v>
      </c>
      <c r="AC781" s="170">
        <f t="shared" si="252"/>
        <v>0</v>
      </c>
      <c r="AD781" s="58"/>
      <c r="AE781" s="58"/>
      <c r="AF781" s="58"/>
      <c r="AG781" s="59">
        <f t="shared" si="257"/>
        <v>9.0359999999999996</v>
      </c>
      <c r="AH781" s="59">
        <f t="shared" si="258"/>
        <v>-184.49199999999999</v>
      </c>
      <c r="AJ781" s="4">
        <f>IF(D781="M",IF(AM781&lt;78,BMILMS!$D$5*AM781^3+BMILMS!$E$5*AM781^2+BMILMS!$F$5*AM781+BMILMS!$G$5,IF(AM781&lt;150,BMILMS!$D$6*AM781^3+BMILMS!$E$6*AM781^2+BMILMS!$F$6*AM781+BMILMS!$G$6,BMILMS!$D$7*AM781^3+BMILMS!$E$7*AM781^2+BMILMS!$F$7*AM781+BMILMS!$G$7)),IF(AM781&lt;69,BMILMS!$D$9*AM781^3+BMILMS!$E$9*AM781^2+BMILMS!$F$9*AM781+BMILMS!$G$9,IF(AM781&lt;150,BMILMS!$D$10*AM781^3+BMILMS!$E$10*AM781^2+BMILMS!$F$10*AM781+BMILMS!$G$10,BMILMS!$D$11*AM781^3+BMILMS!$E$11*AM781^2+BMILMS!$F$11*AM781+BMILMS!$G$11)))</f>
        <v>0.79584630099999998</v>
      </c>
      <c r="AK781" s="4">
        <f>IF(D781="M",(IF(AM781&lt;2.5,BMILMS!$D$21*AM781^3+BMILMS!$E$21*AM781^2+BMILMS!$F$21*AM781+BMILMS!$G$21,IF(AM781&lt;9.5,BMILMS!$D$22*AM781^3+BMILMS!$E$22*AM781^2+BMILMS!$F$22*AM781+BMILMS!$G$22,IF(AM781&lt;26.75,BMILMS!$D$23*AM781^3+BMILMS!$E$23*AM781^2+BMILMS!$F$23*AM781+BMILMS!$G$23,IF(AM781&lt;90,BMILMS!$D$24*AM781^3+BMILMS!$E$24*AM781^2+BMILMS!$F$24*AM781+BMILMS!$G$24,BMILMS!$D$25*AM781^3+BMILMS!$E$25*AM781^2+BMILMS!$F$25*AM781+BMILMS!$G$25))))),(IF(AM781&lt;2.5,BMILMS!$D$27*AM781^3+BMILMS!$E$27*AM781^2+BMILMS!$F$27*AM781+BMILMS!$G$27,IF(AM781&lt;9.5,BMILMS!$D$28*AM781^3+BMILMS!$E$28*AM781^2+BMILMS!$F$28*AM781+BMILMS!$G$28,IF(AM781&lt;26.75,BMILMS!$D$29*AM781^3+BMILMS!$E$29*AM781^2+BMILMS!$F$29*AM781+BMILMS!$G$29,IF(AM781&lt;90,BMILMS!$D$30*AM781^3+BMILMS!$E$30*AM781^2+BMILMS!$F$30*AM781+BMILMS!$G$30,IF(AM781&lt;150,BMILMS!$D$31*AM781^3+BMILMS!$E$31*AM781^2+BMILMS!$F$31*AM781+BMILMS!$G$31,BMILMS!$D$32*AM781^3+BMILMS!$E$32*AM781^2+BMILMS!$F$32*AM781+BMILMS!$G$32)))))))</f>
        <v>12.568967990000001</v>
      </c>
      <c r="AL781" s="4">
        <f>IF(D781="M",(IF(AM781&lt;90,BMILMS!$D$14*AM781^3+BMILMS!$E$14*AM781^2+BMILMS!$F$14*AM781+BMILMS!$G$14,BMILMS!$D$15*AM781^3+BMILMS!$E$15*AM781^2+BMILMS!$F$15*AM781+BMILMS!$G$15)),(IF(AM781&lt;90,BMILMS!$D$17*AM781^3+BMILMS!$E$17*AM781^2+BMILMS!$F$17*AM781+BMILMS!$G$17,BMILMS!$D$18*AM781^3+BMILMS!$E$18*AM781^2+BMILMS!$F$18*AM781+BMILMS!$G$18)))</f>
        <v>8.8969350000000003E-2</v>
      </c>
      <c r="AM781" s="4">
        <f t="shared" si="272"/>
        <v>0</v>
      </c>
      <c r="AO781" s="56">
        <f>IF(D781="M",WeightSDS!P$5*$AM781^7+WeightSDS!Q$5*$AM781^6+WeightSDS!R$5*$AM781^5+WeightSDS!S$5*$AM781^4+WeightSDS!T$5*$AM781^3+WeightSDS!U$5*$AM781^2+WeightSDS!V$5*$AM781+WeightSDS!W$5,IF($AM781&lt;186,WeightSDS!P$8*$AM781^7+WeightSDS!Q$8*$AM781^6+WeightSDS!R$8*$AM781^5+WeightSDS!S$8*$AM781^4+WeightSDS!T$8*$AM781^3+WeightSDS!U$8*$AM781^2+WeightSDS!V$8*$AM781+WeightSDS!W$8,WeightSDS!$U$9+WeightSDS!$V$9*($AM781-WeightSDS!$W$9)))</f>
        <v>0.75407122999999998</v>
      </c>
      <c r="AP781" s="4">
        <f>IF(D781="M",IF($AM781&lt;45,WeightSDS!M$23*$AM781^10+WeightSDS!N$23*$AM781^9+WeightSDS!O$23*$AM781^8+WeightSDS!P$23*$AM781^7+WeightSDS!Q$23*$AM781^6+WeightSDS!R$23*$AM781^5+WeightSDS!S$23*$AM781^4+WeightSDS!T$23*$AM781^3+WeightSDS!U$23*$AM781^2+WeightSDS!V$23*$AM781+WeightSDS!W$23,IF($AM781&lt;153,WeightSDS!M$25*$AM781^10+WeightSDS!N$25*$AM781^9+WeightSDS!O$25*$AM781^8+WeightSDS!P$25*$AM781^7+WeightSDS!Q$25*$AM781^6+WeightSDS!R$25*$AM781^5+WeightSDS!S$25*$AM781^4+WeightSDS!T$25*$AM781^3+WeightSDS!U$25*$AM781^2+WeightSDS!V$25*$AM781+WeightSDS!W$25,WeightSDS!M$27+WeightSDS!N$27/(1+EXP(WeightSDS!O$27+WeightSDS!P$27*$AM781)))),IF($AM781&lt;43.8,WeightSDS!M$29*$AM781^10+WeightSDS!N$29*$AM781^9+WeightSDS!O$29*$AM781^8+WeightSDS!P$29*$AM781^7+WeightSDS!Q$29*$AM781^6+WeightSDS!R$29*$AM781^5+WeightSDS!S$29*$AM781^4+WeightSDS!T$29*$AM781^3+WeightSDS!U$29*$AM781^2+WeightSDS!V$29*$AM781+WeightSDS!W$29-0.010431*(1-$AM781/210),IF($AM781&lt;123,WeightSDS!M$30*$AM781^10+WeightSDS!N$30*$AM781^9+WeightSDS!O$30*$AM781^8+WeightSDS!P$30*$AM781^7+WeightSDS!Q$30*$AM781^6+WeightSDS!R$30*$AM781^5+WeightSDS!S$30*$AM781^4+WeightSDS!T$30*$AM781^3+WeightSDS!U$30*$AM781^2+WeightSDS!V$30*$AM781+WeightSDS!W$30-0.010431*(1-1/$AM781),WeightSDS!M$32+WeightSDS!N$32/(1+EXP(WeightSDS!O$32+WeightSDS!P$32*$AM781))-0.010431*(1-$AM781/210))))</f>
        <v>2.9500001032655536</v>
      </c>
      <c r="AQ781" s="4">
        <f>IF(D781="M",IF($AM781&lt;162,WeightSDS!P$12*$AM781^7+WeightSDS!Q$12*$AM781^6+WeightSDS!R$12*$AM781^5+WeightSDS!S$12*$AM781^4+WeightSDS!T$12*$AM781^3+WeightSDS!U$12*$AM781^2+WeightSDS!V$12*$AM781+WeightSDS!W$12,WeightSDS!P$14*$AM781^7+WeightSDS!Q$14*$AM781^6+WeightSDS!R$14*$AM781^5+WeightSDS!S$14*$AM781^4+WeightSDS!T$14*$AM781^3+WeightSDS!U$14*$AM781^2+WeightSDS!V$14*$AM781+WeightSDS!W$14),IF($AM781&lt;156,WeightSDS!O$17*$AM781^8+WeightSDS!P$17*$AM781^7+WeightSDS!Q$17*$AM781^6+WeightSDS!R$17*$AM781^5+WeightSDS!S$17*$AM781^4+WeightSDS!T$17*$AM781^3+WeightSDS!U$17*$AM781^2+WeightSDS!V$17*$AM781+WeightSDS!W$17,IF($AM781&lt;186,WeightSDS!$U$18+(WeightSDS!$V$18-WeightSDS!$U$18)/24*($AM781-186)+WeightSDS!$W$18*(-$AM781+186)^2-0.005,WeightSDS!$U$18+(WeightSDS!$V$18-WeightSDS!$U$18)/24*($AM781-186)-0.005)))</f>
        <v>0.14604529399999999</v>
      </c>
      <c r="AT781" s="4">
        <f t="shared" si="259"/>
        <v>0.56299999999999994</v>
      </c>
      <c r="AU781" s="4">
        <f t="shared" si="260"/>
        <v>69</v>
      </c>
      <c r="AV781" s="4">
        <f t="shared" si="261"/>
        <v>0.51</v>
      </c>
    </row>
    <row r="782" spans="1:48" x14ac:dyDescent="0.15">
      <c r="A782" s="4"/>
      <c r="B782" s="21"/>
      <c r="C782" s="21"/>
      <c r="D782" s="21"/>
      <c r="E782" s="22"/>
      <c r="F782" s="22"/>
      <c r="G782" s="23"/>
      <c r="H782" s="23"/>
      <c r="I782" s="181"/>
      <c r="J782" s="8" t="str">
        <f t="shared" si="253"/>
        <v/>
      </c>
      <c r="K782" s="2" t="str">
        <f t="shared" si="262"/>
        <v/>
      </c>
      <c r="L782" s="2" t="str">
        <f t="shared" si="254"/>
        <v/>
      </c>
      <c r="M782" s="2" t="str">
        <f t="shared" si="263"/>
        <v/>
      </c>
      <c r="N782" s="2" t="str">
        <f t="shared" si="271"/>
        <v/>
      </c>
      <c r="O782" s="2" t="str">
        <f t="shared" si="264"/>
        <v/>
      </c>
      <c r="P782" s="8" t="str">
        <f t="shared" si="265"/>
        <v/>
      </c>
      <c r="Q782" s="8" t="str">
        <f t="shared" si="266"/>
        <v/>
      </c>
      <c r="R782" s="111" t="str">
        <f t="shared" si="267"/>
        <v/>
      </c>
      <c r="S782" s="44" t="str">
        <f t="shared" si="268"/>
        <v/>
      </c>
      <c r="T782" s="37" t="str">
        <f t="shared" si="269"/>
        <v/>
      </c>
      <c r="U782" s="44" t="str">
        <f t="shared" si="270"/>
        <v/>
      </c>
      <c r="V782" s="26"/>
      <c r="W782" s="26"/>
      <c r="X782" s="26"/>
      <c r="Y782" s="26"/>
      <c r="Z782" s="24"/>
      <c r="AA782" s="169">
        <f t="shared" si="255"/>
        <v>0</v>
      </c>
      <c r="AB782" s="4">
        <f t="shared" si="256"/>
        <v>0</v>
      </c>
      <c r="AC782" s="170">
        <f t="shared" si="252"/>
        <v>0</v>
      </c>
      <c r="AD782" s="58"/>
      <c r="AE782" s="58"/>
      <c r="AF782" s="58"/>
      <c r="AG782" s="59">
        <f t="shared" si="257"/>
        <v>9.0359999999999996</v>
      </c>
      <c r="AH782" s="59">
        <f t="shared" si="258"/>
        <v>-184.49199999999999</v>
      </c>
      <c r="AJ782" s="4">
        <f>IF(D782="M",IF(AM782&lt;78,BMILMS!$D$5*AM782^3+BMILMS!$E$5*AM782^2+BMILMS!$F$5*AM782+BMILMS!$G$5,IF(AM782&lt;150,BMILMS!$D$6*AM782^3+BMILMS!$E$6*AM782^2+BMILMS!$F$6*AM782+BMILMS!$G$6,BMILMS!$D$7*AM782^3+BMILMS!$E$7*AM782^2+BMILMS!$F$7*AM782+BMILMS!$G$7)),IF(AM782&lt;69,BMILMS!$D$9*AM782^3+BMILMS!$E$9*AM782^2+BMILMS!$F$9*AM782+BMILMS!$G$9,IF(AM782&lt;150,BMILMS!$D$10*AM782^3+BMILMS!$E$10*AM782^2+BMILMS!$F$10*AM782+BMILMS!$G$10,BMILMS!$D$11*AM782^3+BMILMS!$E$11*AM782^2+BMILMS!$F$11*AM782+BMILMS!$G$11)))</f>
        <v>0.79584630099999998</v>
      </c>
      <c r="AK782" s="4">
        <f>IF(D782="M",(IF(AM782&lt;2.5,BMILMS!$D$21*AM782^3+BMILMS!$E$21*AM782^2+BMILMS!$F$21*AM782+BMILMS!$G$21,IF(AM782&lt;9.5,BMILMS!$D$22*AM782^3+BMILMS!$E$22*AM782^2+BMILMS!$F$22*AM782+BMILMS!$G$22,IF(AM782&lt;26.75,BMILMS!$D$23*AM782^3+BMILMS!$E$23*AM782^2+BMILMS!$F$23*AM782+BMILMS!$G$23,IF(AM782&lt;90,BMILMS!$D$24*AM782^3+BMILMS!$E$24*AM782^2+BMILMS!$F$24*AM782+BMILMS!$G$24,BMILMS!$D$25*AM782^3+BMILMS!$E$25*AM782^2+BMILMS!$F$25*AM782+BMILMS!$G$25))))),(IF(AM782&lt;2.5,BMILMS!$D$27*AM782^3+BMILMS!$E$27*AM782^2+BMILMS!$F$27*AM782+BMILMS!$G$27,IF(AM782&lt;9.5,BMILMS!$D$28*AM782^3+BMILMS!$E$28*AM782^2+BMILMS!$F$28*AM782+BMILMS!$G$28,IF(AM782&lt;26.75,BMILMS!$D$29*AM782^3+BMILMS!$E$29*AM782^2+BMILMS!$F$29*AM782+BMILMS!$G$29,IF(AM782&lt;90,BMILMS!$D$30*AM782^3+BMILMS!$E$30*AM782^2+BMILMS!$F$30*AM782+BMILMS!$G$30,IF(AM782&lt;150,BMILMS!$D$31*AM782^3+BMILMS!$E$31*AM782^2+BMILMS!$F$31*AM782+BMILMS!$G$31,BMILMS!$D$32*AM782^3+BMILMS!$E$32*AM782^2+BMILMS!$F$32*AM782+BMILMS!$G$32)))))))</f>
        <v>12.568967990000001</v>
      </c>
      <c r="AL782" s="4">
        <f>IF(D782="M",(IF(AM782&lt;90,BMILMS!$D$14*AM782^3+BMILMS!$E$14*AM782^2+BMILMS!$F$14*AM782+BMILMS!$G$14,BMILMS!$D$15*AM782^3+BMILMS!$E$15*AM782^2+BMILMS!$F$15*AM782+BMILMS!$G$15)),(IF(AM782&lt;90,BMILMS!$D$17*AM782^3+BMILMS!$E$17*AM782^2+BMILMS!$F$17*AM782+BMILMS!$G$17,BMILMS!$D$18*AM782^3+BMILMS!$E$18*AM782^2+BMILMS!$F$18*AM782+BMILMS!$G$18)))</f>
        <v>8.8969350000000003E-2</v>
      </c>
      <c r="AM782" s="4">
        <f t="shared" si="272"/>
        <v>0</v>
      </c>
      <c r="AO782" s="56">
        <f>IF(D782="M",WeightSDS!P$5*$AM782^7+WeightSDS!Q$5*$AM782^6+WeightSDS!R$5*$AM782^5+WeightSDS!S$5*$AM782^4+WeightSDS!T$5*$AM782^3+WeightSDS!U$5*$AM782^2+WeightSDS!V$5*$AM782+WeightSDS!W$5,IF($AM782&lt;186,WeightSDS!P$8*$AM782^7+WeightSDS!Q$8*$AM782^6+WeightSDS!R$8*$AM782^5+WeightSDS!S$8*$AM782^4+WeightSDS!T$8*$AM782^3+WeightSDS!U$8*$AM782^2+WeightSDS!V$8*$AM782+WeightSDS!W$8,WeightSDS!$U$9+WeightSDS!$V$9*($AM782-WeightSDS!$W$9)))</f>
        <v>0.75407122999999998</v>
      </c>
      <c r="AP782" s="4">
        <f>IF(D782="M",IF($AM782&lt;45,WeightSDS!M$23*$AM782^10+WeightSDS!N$23*$AM782^9+WeightSDS!O$23*$AM782^8+WeightSDS!P$23*$AM782^7+WeightSDS!Q$23*$AM782^6+WeightSDS!R$23*$AM782^5+WeightSDS!S$23*$AM782^4+WeightSDS!T$23*$AM782^3+WeightSDS!U$23*$AM782^2+WeightSDS!V$23*$AM782+WeightSDS!W$23,IF($AM782&lt;153,WeightSDS!M$25*$AM782^10+WeightSDS!N$25*$AM782^9+WeightSDS!O$25*$AM782^8+WeightSDS!P$25*$AM782^7+WeightSDS!Q$25*$AM782^6+WeightSDS!R$25*$AM782^5+WeightSDS!S$25*$AM782^4+WeightSDS!T$25*$AM782^3+WeightSDS!U$25*$AM782^2+WeightSDS!V$25*$AM782+WeightSDS!W$25,WeightSDS!M$27+WeightSDS!N$27/(1+EXP(WeightSDS!O$27+WeightSDS!P$27*$AM782)))),IF($AM782&lt;43.8,WeightSDS!M$29*$AM782^10+WeightSDS!N$29*$AM782^9+WeightSDS!O$29*$AM782^8+WeightSDS!P$29*$AM782^7+WeightSDS!Q$29*$AM782^6+WeightSDS!R$29*$AM782^5+WeightSDS!S$29*$AM782^4+WeightSDS!T$29*$AM782^3+WeightSDS!U$29*$AM782^2+WeightSDS!V$29*$AM782+WeightSDS!W$29-0.010431*(1-$AM782/210),IF($AM782&lt;123,WeightSDS!M$30*$AM782^10+WeightSDS!N$30*$AM782^9+WeightSDS!O$30*$AM782^8+WeightSDS!P$30*$AM782^7+WeightSDS!Q$30*$AM782^6+WeightSDS!R$30*$AM782^5+WeightSDS!S$30*$AM782^4+WeightSDS!T$30*$AM782^3+WeightSDS!U$30*$AM782^2+WeightSDS!V$30*$AM782+WeightSDS!W$30-0.010431*(1-1/$AM782),WeightSDS!M$32+WeightSDS!N$32/(1+EXP(WeightSDS!O$32+WeightSDS!P$32*$AM782))-0.010431*(1-$AM782/210))))</f>
        <v>2.9500001032655536</v>
      </c>
      <c r="AQ782" s="4">
        <f>IF(D782="M",IF($AM782&lt;162,WeightSDS!P$12*$AM782^7+WeightSDS!Q$12*$AM782^6+WeightSDS!R$12*$AM782^5+WeightSDS!S$12*$AM782^4+WeightSDS!T$12*$AM782^3+WeightSDS!U$12*$AM782^2+WeightSDS!V$12*$AM782+WeightSDS!W$12,WeightSDS!P$14*$AM782^7+WeightSDS!Q$14*$AM782^6+WeightSDS!R$14*$AM782^5+WeightSDS!S$14*$AM782^4+WeightSDS!T$14*$AM782^3+WeightSDS!U$14*$AM782^2+WeightSDS!V$14*$AM782+WeightSDS!W$14),IF($AM782&lt;156,WeightSDS!O$17*$AM782^8+WeightSDS!P$17*$AM782^7+WeightSDS!Q$17*$AM782^6+WeightSDS!R$17*$AM782^5+WeightSDS!S$17*$AM782^4+WeightSDS!T$17*$AM782^3+WeightSDS!U$17*$AM782^2+WeightSDS!V$17*$AM782+WeightSDS!W$17,IF($AM782&lt;186,WeightSDS!$U$18+(WeightSDS!$V$18-WeightSDS!$U$18)/24*($AM782-186)+WeightSDS!$W$18*(-$AM782+186)^2-0.005,WeightSDS!$U$18+(WeightSDS!$V$18-WeightSDS!$U$18)/24*($AM782-186)-0.005)))</f>
        <v>0.14604529399999999</v>
      </c>
      <c r="AT782" s="4">
        <f t="shared" si="259"/>
        <v>0.56299999999999994</v>
      </c>
      <c r="AU782" s="4">
        <f t="shared" si="260"/>
        <v>69</v>
      </c>
      <c r="AV782" s="4">
        <f t="shared" si="261"/>
        <v>0.51</v>
      </c>
    </row>
    <row r="783" spans="1:48" x14ac:dyDescent="0.15">
      <c r="A783" s="4"/>
      <c r="B783" s="21"/>
      <c r="C783" s="21"/>
      <c r="D783" s="21"/>
      <c r="E783" s="22"/>
      <c r="F783" s="22"/>
      <c r="G783" s="23"/>
      <c r="H783" s="23"/>
      <c r="I783" s="181"/>
      <c r="J783" s="8" t="str">
        <f t="shared" si="253"/>
        <v/>
      </c>
      <c r="K783" s="2" t="str">
        <f t="shared" si="262"/>
        <v/>
      </c>
      <c r="L783" s="2" t="str">
        <f t="shared" si="254"/>
        <v/>
      </c>
      <c r="M783" s="2" t="str">
        <f t="shared" si="263"/>
        <v/>
      </c>
      <c r="N783" s="2" t="str">
        <f t="shared" si="271"/>
        <v/>
      </c>
      <c r="O783" s="2" t="str">
        <f t="shared" si="264"/>
        <v/>
      </c>
      <c r="P783" s="8" t="str">
        <f t="shared" si="265"/>
        <v/>
      </c>
      <c r="Q783" s="8" t="str">
        <f t="shared" si="266"/>
        <v/>
      </c>
      <c r="R783" s="111" t="str">
        <f t="shared" si="267"/>
        <v/>
      </c>
      <c r="S783" s="44" t="str">
        <f t="shared" si="268"/>
        <v/>
      </c>
      <c r="T783" s="37" t="str">
        <f t="shared" si="269"/>
        <v/>
      </c>
      <c r="U783" s="44" t="str">
        <f t="shared" si="270"/>
        <v/>
      </c>
      <c r="V783" s="26"/>
      <c r="W783" s="26"/>
      <c r="X783" s="26"/>
      <c r="Y783" s="26"/>
      <c r="Z783" s="24"/>
      <c r="AA783" s="169">
        <f t="shared" si="255"/>
        <v>0</v>
      </c>
      <c r="AB783" s="4">
        <f t="shared" si="256"/>
        <v>0</v>
      </c>
      <c r="AC783" s="170">
        <f t="shared" si="252"/>
        <v>0</v>
      </c>
      <c r="AD783" s="58"/>
      <c r="AE783" s="58"/>
      <c r="AF783" s="58"/>
      <c r="AG783" s="59">
        <f t="shared" si="257"/>
        <v>9.0359999999999996</v>
      </c>
      <c r="AH783" s="59">
        <f t="shared" si="258"/>
        <v>-184.49199999999999</v>
      </c>
      <c r="AJ783" s="4">
        <f>IF(D783="M",IF(AM783&lt;78,BMILMS!$D$5*AM783^3+BMILMS!$E$5*AM783^2+BMILMS!$F$5*AM783+BMILMS!$G$5,IF(AM783&lt;150,BMILMS!$D$6*AM783^3+BMILMS!$E$6*AM783^2+BMILMS!$F$6*AM783+BMILMS!$G$6,BMILMS!$D$7*AM783^3+BMILMS!$E$7*AM783^2+BMILMS!$F$7*AM783+BMILMS!$G$7)),IF(AM783&lt;69,BMILMS!$D$9*AM783^3+BMILMS!$E$9*AM783^2+BMILMS!$F$9*AM783+BMILMS!$G$9,IF(AM783&lt;150,BMILMS!$D$10*AM783^3+BMILMS!$E$10*AM783^2+BMILMS!$F$10*AM783+BMILMS!$G$10,BMILMS!$D$11*AM783^3+BMILMS!$E$11*AM783^2+BMILMS!$F$11*AM783+BMILMS!$G$11)))</f>
        <v>0.79584630099999998</v>
      </c>
      <c r="AK783" s="4">
        <f>IF(D783="M",(IF(AM783&lt;2.5,BMILMS!$D$21*AM783^3+BMILMS!$E$21*AM783^2+BMILMS!$F$21*AM783+BMILMS!$G$21,IF(AM783&lt;9.5,BMILMS!$D$22*AM783^3+BMILMS!$E$22*AM783^2+BMILMS!$F$22*AM783+BMILMS!$G$22,IF(AM783&lt;26.75,BMILMS!$D$23*AM783^3+BMILMS!$E$23*AM783^2+BMILMS!$F$23*AM783+BMILMS!$G$23,IF(AM783&lt;90,BMILMS!$D$24*AM783^3+BMILMS!$E$24*AM783^2+BMILMS!$F$24*AM783+BMILMS!$G$24,BMILMS!$D$25*AM783^3+BMILMS!$E$25*AM783^2+BMILMS!$F$25*AM783+BMILMS!$G$25))))),(IF(AM783&lt;2.5,BMILMS!$D$27*AM783^3+BMILMS!$E$27*AM783^2+BMILMS!$F$27*AM783+BMILMS!$G$27,IF(AM783&lt;9.5,BMILMS!$D$28*AM783^3+BMILMS!$E$28*AM783^2+BMILMS!$F$28*AM783+BMILMS!$G$28,IF(AM783&lt;26.75,BMILMS!$D$29*AM783^3+BMILMS!$E$29*AM783^2+BMILMS!$F$29*AM783+BMILMS!$G$29,IF(AM783&lt;90,BMILMS!$D$30*AM783^3+BMILMS!$E$30*AM783^2+BMILMS!$F$30*AM783+BMILMS!$G$30,IF(AM783&lt;150,BMILMS!$D$31*AM783^3+BMILMS!$E$31*AM783^2+BMILMS!$F$31*AM783+BMILMS!$G$31,BMILMS!$D$32*AM783^3+BMILMS!$E$32*AM783^2+BMILMS!$F$32*AM783+BMILMS!$G$32)))))))</f>
        <v>12.568967990000001</v>
      </c>
      <c r="AL783" s="4">
        <f>IF(D783="M",(IF(AM783&lt;90,BMILMS!$D$14*AM783^3+BMILMS!$E$14*AM783^2+BMILMS!$F$14*AM783+BMILMS!$G$14,BMILMS!$D$15*AM783^3+BMILMS!$E$15*AM783^2+BMILMS!$F$15*AM783+BMILMS!$G$15)),(IF(AM783&lt;90,BMILMS!$D$17*AM783^3+BMILMS!$E$17*AM783^2+BMILMS!$F$17*AM783+BMILMS!$G$17,BMILMS!$D$18*AM783^3+BMILMS!$E$18*AM783^2+BMILMS!$F$18*AM783+BMILMS!$G$18)))</f>
        <v>8.8969350000000003E-2</v>
      </c>
      <c r="AM783" s="4">
        <f t="shared" si="272"/>
        <v>0</v>
      </c>
      <c r="AO783" s="56">
        <f>IF(D783="M",WeightSDS!P$5*$AM783^7+WeightSDS!Q$5*$AM783^6+WeightSDS!R$5*$AM783^5+WeightSDS!S$5*$AM783^4+WeightSDS!T$5*$AM783^3+WeightSDS!U$5*$AM783^2+WeightSDS!V$5*$AM783+WeightSDS!W$5,IF($AM783&lt;186,WeightSDS!P$8*$AM783^7+WeightSDS!Q$8*$AM783^6+WeightSDS!R$8*$AM783^5+WeightSDS!S$8*$AM783^4+WeightSDS!T$8*$AM783^3+WeightSDS!U$8*$AM783^2+WeightSDS!V$8*$AM783+WeightSDS!W$8,WeightSDS!$U$9+WeightSDS!$V$9*($AM783-WeightSDS!$W$9)))</f>
        <v>0.75407122999999998</v>
      </c>
      <c r="AP783" s="4">
        <f>IF(D783="M",IF($AM783&lt;45,WeightSDS!M$23*$AM783^10+WeightSDS!N$23*$AM783^9+WeightSDS!O$23*$AM783^8+WeightSDS!P$23*$AM783^7+WeightSDS!Q$23*$AM783^6+WeightSDS!R$23*$AM783^5+WeightSDS!S$23*$AM783^4+WeightSDS!T$23*$AM783^3+WeightSDS!U$23*$AM783^2+WeightSDS!V$23*$AM783+WeightSDS!W$23,IF($AM783&lt;153,WeightSDS!M$25*$AM783^10+WeightSDS!N$25*$AM783^9+WeightSDS!O$25*$AM783^8+WeightSDS!P$25*$AM783^7+WeightSDS!Q$25*$AM783^6+WeightSDS!R$25*$AM783^5+WeightSDS!S$25*$AM783^4+WeightSDS!T$25*$AM783^3+WeightSDS!U$25*$AM783^2+WeightSDS!V$25*$AM783+WeightSDS!W$25,WeightSDS!M$27+WeightSDS!N$27/(1+EXP(WeightSDS!O$27+WeightSDS!P$27*$AM783)))),IF($AM783&lt;43.8,WeightSDS!M$29*$AM783^10+WeightSDS!N$29*$AM783^9+WeightSDS!O$29*$AM783^8+WeightSDS!P$29*$AM783^7+WeightSDS!Q$29*$AM783^6+WeightSDS!R$29*$AM783^5+WeightSDS!S$29*$AM783^4+WeightSDS!T$29*$AM783^3+WeightSDS!U$29*$AM783^2+WeightSDS!V$29*$AM783+WeightSDS!W$29-0.010431*(1-$AM783/210),IF($AM783&lt;123,WeightSDS!M$30*$AM783^10+WeightSDS!N$30*$AM783^9+WeightSDS!O$30*$AM783^8+WeightSDS!P$30*$AM783^7+WeightSDS!Q$30*$AM783^6+WeightSDS!R$30*$AM783^5+WeightSDS!S$30*$AM783^4+WeightSDS!T$30*$AM783^3+WeightSDS!U$30*$AM783^2+WeightSDS!V$30*$AM783+WeightSDS!W$30-0.010431*(1-1/$AM783),WeightSDS!M$32+WeightSDS!N$32/(1+EXP(WeightSDS!O$32+WeightSDS!P$32*$AM783))-0.010431*(1-$AM783/210))))</f>
        <v>2.9500001032655536</v>
      </c>
      <c r="AQ783" s="4">
        <f>IF(D783="M",IF($AM783&lt;162,WeightSDS!P$12*$AM783^7+WeightSDS!Q$12*$AM783^6+WeightSDS!R$12*$AM783^5+WeightSDS!S$12*$AM783^4+WeightSDS!T$12*$AM783^3+WeightSDS!U$12*$AM783^2+WeightSDS!V$12*$AM783+WeightSDS!W$12,WeightSDS!P$14*$AM783^7+WeightSDS!Q$14*$AM783^6+WeightSDS!R$14*$AM783^5+WeightSDS!S$14*$AM783^4+WeightSDS!T$14*$AM783^3+WeightSDS!U$14*$AM783^2+WeightSDS!V$14*$AM783+WeightSDS!W$14),IF($AM783&lt;156,WeightSDS!O$17*$AM783^8+WeightSDS!P$17*$AM783^7+WeightSDS!Q$17*$AM783^6+WeightSDS!R$17*$AM783^5+WeightSDS!S$17*$AM783^4+WeightSDS!T$17*$AM783^3+WeightSDS!U$17*$AM783^2+WeightSDS!V$17*$AM783+WeightSDS!W$17,IF($AM783&lt;186,WeightSDS!$U$18+(WeightSDS!$V$18-WeightSDS!$U$18)/24*($AM783-186)+WeightSDS!$W$18*(-$AM783+186)^2-0.005,WeightSDS!$U$18+(WeightSDS!$V$18-WeightSDS!$U$18)/24*($AM783-186)-0.005)))</f>
        <v>0.14604529399999999</v>
      </c>
      <c r="AT783" s="4">
        <f t="shared" si="259"/>
        <v>0.56299999999999994</v>
      </c>
      <c r="AU783" s="4">
        <f t="shared" si="260"/>
        <v>69</v>
      </c>
      <c r="AV783" s="4">
        <f t="shared" si="261"/>
        <v>0.51</v>
      </c>
    </row>
    <row r="784" spans="1:48" x14ac:dyDescent="0.15">
      <c r="A784" s="4"/>
      <c r="B784" s="21"/>
      <c r="C784" s="21"/>
      <c r="D784" s="21"/>
      <c r="E784" s="22"/>
      <c r="F784" s="22"/>
      <c r="G784" s="23"/>
      <c r="H784" s="23"/>
      <c r="I784" s="181"/>
      <c r="J784" s="8" t="str">
        <f t="shared" si="253"/>
        <v/>
      </c>
      <c r="K784" s="2" t="str">
        <f t="shared" si="262"/>
        <v/>
      </c>
      <c r="L784" s="2" t="str">
        <f t="shared" si="254"/>
        <v/>
      </c>
      <c r="M784" s="2" t="str">
        <f t="shared" si="263"/>
        <v/>
      </c>
      <c r="N784" s="2" t="str">
        <f t="shared" si="271"/>
        <v/>
      </c>
      <c r="O784" s="2" t="str">
        <f t="shared" si="264"/>
        <v/>
      </c>
      <c r="P784" s="8" t="str">
        <f t="shared" si="265"/>
        <v/>
      </c>
      <c r="Q784" s="8" t="str">
        <f t="shared" si="266"/>
        <v/>
      </c>
      <c r="R784" s="111" t="str">
        <f t="shared" si="267"/>
        <v/>
      </c>
      <c r="S784" s="44" t="str">
        <f t="shared" si="268"/>
        <v/>
      </c>
      <c r="T784" s="37" t="str">
        <f t="shared" si="269"/>
        <v/>
      </c>
      <c r="U784" s="44" t="str">
        <f t="shared" si="270"/>
        <v/>
      </c>
      <c r="V784" s="26"/>
      <c r="W784" s="26"/>
      <c r="X784" s="26"/>
      <c r="Y784" s="26"/>
      <c r="Z784" s="24"/>
      <c r="AA784" s="169">
        <f t="shared" si="255"/>
        <v>0</v>
      </c>
      <c r="AB784" s="4">
        <f t="shared" si="256"/>
        <v>0</v>
      </c>
      <c r="AC784" s="170">
        <f t="shared" si="252"/>
        <v>0</v>
      </c>
      <c r="AD784" s="58"/>
      <c r="AE784" s="58"/>
      <c r="AF784" s="58"/>
      <c r="AG784" s="59">
        <f t="shared" si="257"/>
        <v>9.0359999999999996</v>
      </c>
      <c r="AH784" s="59">
        <f t="shared" si="258"/>
        <v>-184.49199999999999</v>
      </c>
      <c r="AJ784" s="4">
        <f>IF(D784="M",IF(AM784&lt;78,BMILMS!$D$5*AM784^3+BMILMS!$E$5*AM784^2+BMILMS!$F$5*AM784+BMILMS!$G$5,IF(AM784&lt;150,BMILMS!$D$6*AM784^3+BMILMS!$E$6*AM784^2+BMILMS!$F$6*AM784+BMILMS!$G$6,BMILMS!$D$7*AM784^3+BMILMS!$E$7*AM784^2+BMILMS!$F$7*AM784+BMILMS!$G$7)),IF(AM784&lt;69,BMILMS!$D$9*AM784^3+BMILMS!$E$9*AM784^2+BMILMS!$F$9*AM784+BMILMS!$G$9,IF(AM784&lt;150,BMILMS!$D$10*AM784^3+BMILMS!$E$10*AM784^2+BMILMS!$F$10*AM784+BMILMS!$G$10,BMILMS!$D$11*AM784^3+BMILMS!$E$11*AM784^2+BMILMS!$F$11*AM784+BMILMS!$G$11)))</f>
        <v>0.79584630099999998</v>
      </c>
      <c r="AK784" s="4">
        <f>IF(D784="M",(IF(AM784&lt;2.5,BMILMS!$D$21*AM784^3+BMILMS!$E$21*AM784^2+BMILMS!$F$21*AM784+BMILMS!$G$21,IF(AM784&lt;9.5,BMILMS!$D$22*AM784^3+BMILMS!$E$22*AM784^2+BMILMS!$F$22*AM784+BMILMS!$G$22,IF(AM784&lt;26.75,BMILMS!$D$23*AM784^3+BMILMS!$E$23*AM784^2+BMILMS!$F$23*AM784+BMILMS!$G$23,IF(AM784&lt;90,BMILMS!$D$24*AM784^3+BMILMS!$E$24*AM784^2+BMILMS!$F$24*AM784+BMILMS!$G$24,BMILMS!$D$25*AM784^3+BMILMS!$E$25*AM784^2+BMILMS!$F$25*AM784+BMILMS!$G$25))))),(IF(AM784&lt;2.5,BMILMS!$D$27*AM784^3+BMILMS!$E$27*AM784^2+BMILMS!$F$27*AM784+BMILMS!$G$27,IF(AM784&lt;9.5,BMILMS!$D$28*AM784^3+BMILMS!$E$28*AM784^2+BMILMS!$F$28*AM784+BMILMS!$G$28,IF(AM784&lt;26.75,BMILMS!$D$29*AM784^3+BMILMS!$E$29*AM784^2+BMILMS!$F$29*AM784+BMILMS!$G$29,IF(AM784&lt;90,BMILMS!$D$30*AM784^3+BMILMS!$E$30*AM784^2+BMILMS!$F$30*AM784+BMILMS!$G$30,IF(AM784&lt;150,BMILMS!$D$31*AM784^3+BMILMS!$E$31*AM784^2+BMILMS!$F$31*AM784+BMILMS!$G$31,BMILMS!$D$32*AM784^3+BMILMS!$E$32*AM784^2+BMILMS!$F$32*AM784+BMILMS!$G$32)))))))</f>
        <v>12.568967990000001</v>
      </c>
      <c r="AL784" s="4">
        <f>IF(D784="M",(IF(AM784&lt;90,BMILMS!$D$14*AM784^3+BMILMS!$E$14*AM784^2+BMILMS!$F$14*AM784+BMILMS!$G$14,BMILMS!$D$15*AM784^3+BMILMS!$E$15*AM784^2+BMILMS!$F$15*AM784+BMILMS!$G$15)),(IF(AM784&lt;90,BMILMS!$D$17*AM784^3+BMILMS!$E$17*AM784^2+BMILMS!$F$17*AM784+BMILMS!$G$17,BMILMS!$D$18*AM784^3+BMILMS!$E$18*AM784^2+BMILMS!$F$18*AM784+BMILMS!$G$18)))</f>
        <v>8.8969350000000003E-2</v>
      </c>
      <c r="AM784" s="4">
        <f t="shared" si="272"/>
        <v>0</v>
      </c>
      <c r="AO784" s="56">
        <f>IF(D784="M",WeightSDS!P$5*$AM784^7+WeightSDS!Q$5*$AM784^6+WeightSDS!R$5*$AM784^5+WeightSDS!S$5*$AM784^4+WeightSDS!T$5*$AM784^3+WeightSDS!U$5*$AM784^2+WeightSDS!V$5*$AM784+WeightSDS!W$5,IF($AM784&lt;186,WeightSDS!P$8*$AM784^7+WeightSDS!Q$8*$AM784^6+WeightSDS!R$8*$AM784^5+WeightSDS!S$8*$AM784^4+WeightSDS!T$8*$AM784^3+WeightSDS!U$8*$AM784^2+WeightSDS!V$8*$AM784+WeightSDS!W$8,WeightSDS!$U$9+WeightSDS!$V$9*($AM784-WeightSDS!$W$9)))</f>
        <v>0.75407122999999998</v>
      </c>
      <c r="AP784" s="4">
        <f>IF(D784="M",IF($AM784&lt;45,WeightSDS!M$23*$AM784^10+WeightSDS!N$23*$AM784^9+WeightSDS!O$23*$AM784^8+WeightSDS!P$23*$AM784^7+WeightSDS!Q$23*$AM784^6+WeightSDS!R$23*$AM784^5+WeightSDS!S$23*$AM784^4+WeightSDS!T$23*$AM784^3+WeightSDS!U$23*$AM784^2+WeightSDS!V$23*$AM784+WeightSDS!W$23,IF($AM784&lt;153,WeightSDS!M$25*$AM784^10+WeightSDS!N$25*$AM784^9+WeightSDS!O$25*$AM784^8+WeightSDS!P$25*$AM784^7+WeightSDS!Q$25*$AM784^6+WeightSDS!R$25*$AM784^5+WeightSDS!S$25*$AM784^4+WeightSDS!T$25*$AM784^3+WeightSDS!U$25*$AM784^2+WeightSDS!V$25*$AM784+WeightSDS!W$25,WeightSDS!M$27+WeightSDS!N$27/(1+EXP(WeightSDS!O$27+WeightSDS!P$27*$AM784)))),IF($AM784&lt;43.8,WeightSDS!M$29*$AM784^10+WeightSDS!N$29*$AM784^9+WeightSDS!O$29*$AM784^8+WeightSDS!P$29*$AM784^7+WeightSDS!Q$29*$AM784^6+WeightSDS!R$29*$AM784^5+WeightSDS!S$29*$AM784^4+WeightSDS!T$29*$AM784^3+WeightSDS!U$29*$AM784^2+WeightSDS!V$29*$AM784+WeightSDS!W$29-0.010431*(1-$AM784/210),IF($AM784&lt;123,WeightSDS!M$30*$AM784^10+WeightSDS!N$30*$AM784^9+WeightSDS!O$30*$AM784^8+WeightSDS!P$30*$AM784^7+WeightSDS!Q$30*$AM784^6+WeightSDS!R$30*$AM784^5+WeightSDS!S$30*$AM784^4+WeightSDS!T$30*$AM784^3+WeightSDS!U$30*$AM784^2+WeightSDS!V$30*$AM784+WeightSDS!W$30-0.010431*(1-1/$AM784),WeightSDS!M$32+WeightSDS!N$32/(1+EXP(WeightSDS!O$32+WeightSDS!P$32*$AM784))-0.010431*(1-$AM784/210))))</f>
        <v>2.9500001032655536</v>
      </c>
      <c r="AQ784" s="4">
        <f>IF(D784="M",IF($AM784&lt;162,WeightSDS!P$12*$AM784^7+WeightSDS!Q$12*$AM784^6+WeightSDS!R$12*$AM784^5+WeightSDS!S$12*$AM784^4+WeightSDS!T$12*$AM784^3+WeightSDS!U$12*$AM784^2+WeightSDS!V$12*$AM784+WeightSDS!W$12,WeightSDS!P$14*$AM784^7+WeightSDS!Q$14*$AM784^6+WeightSDS!R$14*$AM784^5+WeightSDS!S$14*$AM784^4+WeightSDS!T$14*$AM784^3+WeightSDS!U$14*$AM784^2+WeightSDS!V$14*$AM784+WeightSDS!W$14),IF($AM784&lt;156,WeightSDS!O$17*$AM784^8+WeightSDS!P$17*$AM784^7+WeightSDS!Q$17*$AM784^6+WeightSDS!R$17*$AM784^5+WeightSDS!S$17*$AM784^4+WeightSDS!T$17*$AM784^3+WeightSDS!U$17*$AM784^2+WeightSDS!V$17*$AM784+WeightSDS!W$17,IF($AM784&lt;186,WeightSDS!$U$18+(WeightSDS!$V$18-WeightSDS!$U$18)/24*($AM784-186)+WeightSDS!$W$18*(-$AM784+186)^2-0.005,WeightSDS!$U$18+(WeightSDS!$V$18-WeightSDS!$U$18)/24*($AM784-186)-0.005)))</f>
        <v>0.14604529399999999</v>
      </c>
      <c r="AT784" s="4">
        <f t="shared" si="259"/>
        <v>0.56299999999999994</v>
      </c>
      <c r="AU784" s="4">
        <f t="shared" si="260"/>
        <v>69</v>
      </c>
      <c r="AV784" s="4">
        <f t="shared" si="261"/>
        <v>0.51</v>
      </c>
    </row>
    <row r="785" spans="1:48" x14ac:dyDescent="0.15">
      <c r="A785" s="4"/>
      <c r="B785" s="21"/>
      <c r="C785" s="21"/>
      <c r="D785" s="21"/>
      <c r="E785" s="22"/>
      <c r="F785" s="22"/>
      <c r="G785" s="23"/>
      <c r="H785" s="23"/>
      <c r="I785" s="181"/>
      <c r="J785" s="8" t="str">
        <f t="shared" si="253"/>
        <v/>
      </c>
      <c r="K785" s="2" t="str">
        <f t="shared" si="262"/>
        <v/>
      </c>
      <c r="L785" s="2" t="str">
        <f t="shared" si="254"/>
        <v/>
      </c>
      <c r="M785" s="2" t="str">
        <f t="shared" si="263"/>
        <v/>
      </c>
      <c r="N785" s="2" t="str">
        <f t="shared" si="271"/>
        <v/>
      </c>
      <c r="O785" s="2" t="str">
        <f t="shared" si="264"/>
        <v/>
      </c>
      <c r="P785" s="8" t="str">
        <f t="shared" si="265"/>
        <v/>
      </c>
      <c r="Q785" s="8" t="str">
        <f t="shared" si="266"/>
        <v/>
      </c>
      <c r="R785" s="111" t="str">
        <f t="shared" si="267"/>
        <v/>
      </c>
      <c r="S785" s="44" t="str">
        <f t="shared" si="268"/>
        <v/>
      </c>
      <c r="T785" s="37" t="str">
        <f t="shared" si="269"/>
        <v/>
      </c>
      <c r="U785" s="44" t="str">
        <f t="shared" si="270"/>
        <v/>
      </c>
      <c r="V785" s="26"/>
      <c r="W785" s="26"/>
      <c r="X785" s="26"/>
      <c r="Y785" s="26"/>
      <c r="Z785" s="24"/>
      <c r="AA785" s="169">
        <f t="shared" si="255"/>
        <v>0</v>
      </c>
      <c r="AB785" s="4">
        <f t="shared" si="256"/>
        <v>0</v>
      </c>
      <c r="AC785" s="170">
        <f t="shared" si="252"/>
        <v>0</v>
      </c>
      <c r="AD785" s="58"/>
      <c r="AE785" s="58"/>
      <c r="AF785" s="58"/>
      <c r="AG785" s="59">
        <f t="shared" si="257"/>
        <v>9.0359999999999996</v>
      </c>
      <c r="AH785" s="59">
        <f t="shared" si="258"/>
        <v>-184.49199999999999</v>
      </c>
      <c r="AJ785" s="4">
        <f>IF(D785="M",IF(AM785&lt;78,BMILMS!$D$5*AM785^3+BMILMS!$E$5*AM785^2+BMILMS!$F$5*AM785+BMILMS!$G$5,IF(AM785&lt;150,BMILMS!$D$6*AM785^3+BMILMS!$E$6*AM785^2+BMILMS!$F$6*AM785+BMILMS!$G$6,BMILMS!$D$7*AM785^3+BMILMS!$E$7*AM785^2+BMILMS!$F$7*AM785+BMILMS!$G$7)),IF(AM785&lt;69,BMILMS!$D$9*AM785^3+BMILMS!$E$9*AM785^2+BMILMS!$F$9*AM785+BMILMS!$G$9,IF(AM785&lt;150,BMILMS!$D$10*AM785^3+BMILMS!$E$10*AM785^2+BMILMS!$F$10*AM785+BMILMS!$G$10,BMILMS!$D$11*AM785^3+BMILMS!$E$11*AM785^2+BMILMS!$F$11*AM785+BMILMS!$G$11)))</f>
        <v>0.79584630099999998</v>
      </c>
      <c r="AK785" s="4">
        <f>IF(D785="M",(IF(AM785&lt;2.5,BMILMS!$D$21*AM785^3+BMILMS!$E$21*AM785^2+BMILMS!$F$21*AM785+BMILMS!$G$21,IF(AM785&lt;9.5,BMILMS!$D$22*AM785^3+BMILMS!$E$22*AM785^2+BMILMS!$F$22*AM785+BMILMS!$G$22,IF(AM785&lt;26.75,BMILMS!$D$23*AM785^3+BMILMS!$E$23*AM785^2+BMILMS!$F$23*AM785+BMILMS!$G$23,IF(AM785&lt;90,BMILMS!$D$24*AM785^3+BMILMS!$E$24*AM785^2+BMILMS!$F$24*AM785+BMILMS!$G$24,BMILMS!$D$25*AM785^3+BMILMS!$E$25*AM785^2+BMILMS!$F$25*AM785+BMILMS!$G$25))))),(IF(AM785&lt;2.5,BMILMS!$D$27*AM785^3+BMILMS!$E$27*AM785^2+BMILMS!$F$27*AM785+BMILMS!$G$27,IF(AM785&lt;9.5,BMILMS!$D$28*AM785^3+BMILMS!$E$28*AM785^2+BMILMS!$F$28*AM785+BMILMS!$G$28,IF(AM785&lt;26.75,BMILMS!$D$29*AM785^3+BMILMS!$E$29*AM785^2+BMILMS!$F$29*AM785+BMILMS!$G$29,IF(AM785&lt;90,BMILMS!$D$30*AM785^3+BMILMS!$E$30*AM785^2+BMILMS!$F$30*AM785+BMILMS!$G$30,IF(AM785&lt;150,BMILMS!$D$31*AM785^3+BMILMS!$E$31*AM785^2+BMILMS!$F$31*AM785+BMILMS!$G$31,BMILMS!$D$32*AM785^3+BMILMS!$E$32*AM785^2+BMILMS!$F$32*AM785+BMILMS!$G$32)))))))</f>
        <v>12.568967990000001</v>
      </c>
      <c r="AL785" s="4">
        <f>IF(D785="M",(IF(AM785&lt;90,BMILMS!$D$14*AM785^3+BMILMS!$E$14*AM785^2+BMILMS!$F$14*AM785+BMILMS!$G$14,BMILMS!$D$15*AM785^3+BMILMS!$E$15*AM785^2+BMILMS!$F$15*AM785+BMILMS!$G$15)),(IF(AM785&lt;90,BMILMS!$D$17*AM785^3+BMILMS!$E$17*AM785^2+BMILMS!$F$17*AM785+BMILMS!$G$17,BMILMS!$D$18*AM785^3+BMILMS!$E$18*AM785^2+BMILMS!$F$18*AM785+BMILMS!$G$18)))</f>
        <v>8.8969350000000003E-2</v>
      </c>
      <c r="AM785" s="4">
        <f t="shared" si="272"/>
        <v>0</v>
      </c>
      <c r="AO785" s="56">
        <f>IF(D785="M",WeightSDS!P$5*$AM785^7+WeightSDS!Q$5*$AM785^6+WeightSDS!R$5*$AM785^5+WeightSDS!S$5*$AM785^4+WeightSDS!T$5*$AM785^3+WeightSDS!U$5*$AM785^2+WeightSDS!V$5*$AM785+WeightSDS!W$5,IF($AM785&lt;186,WeightSDS!P$8*$AM785^7+WeightSDS!Q$8*$AM785^6+WeightSDS!R$8*$AM785^5+WeightSDS!S$8*$AM785^4+WeightSDS!T$8*$AM785^3+WeightSDS!U$8*$AM785^2+WeightSDS!V$8*$AM785+WeightSDS!W$8,WeightSDS!$U$9+WeightSDS!$V$9*($AM785-WeightSDS!$W$9)))</f>
        <v>0.75407122999999998</v>
      </c>
      <c r="AP785" s="4">
        <f>IF(D785="M",IF($AM785&lt;45,WeightSDS!M$23*$AM785^10+WeightSDS!N$23*$AM785^9+WeightSDS!O$23*$AM785^8+WeightSDS!P$23*$AM785^7+WeightSDS!Q$23*$AM785^6+WeightSDS!R$23*$AM785^5+WeightSDS!S$23*$AM785^4+WeightSDS!T$23*$AM785^3+WeightSDS!U$23*$AM785^2+WeightSDS!V$23*$AM785+WeightSDS!W$23,IF($AM785&lt;153,WeightSDS!M$25*$AM785^10+WeightSDS!N$25*$AM785^9+WeightSDS!O$25*$AM785^8+WeightSDS!P$25*$AM785^7+WeightSDS!Q$25*$AM785^6+WeightSDS!R$25*$AM785^5+WeightSDS!S$25*$AM785^4+WeightSDS!T$25*$AM785^3+WeightSDS!U$25*$AM785^2+WeightSDS!V$25*$AM785+WeightSDS!W$25,WeightSDS!M$27+WeightSDS!N$27/(1+EXP(WeightSDS!O$27+WeightSDS!P$27*$AM785)))),IF($AM785&lt;43.8,WeightSDS!M$29*$AM785^10+WeightSDS!N$29*$AM785^9+WeightSDS!O$29*$AM785^8+WeightSDS!P$29*$AM785^7+WeightSDS!Q$29*$AM785^6+WeightSDS!R$29*$AM785^5+WeightSDS!S$29*$AM785^4+WeightSDS!T$29*$AM785^3+WeightSDS!U$29*$AM785^2+WeightSDS!V$29*$AM785+WeightSDS!W$29-0.010431*(1-$AM785/210),IF($AM785&lt;123,WeightSDS!M$30*$AM785^10+WeightSDS!N$30*$AM785^9+WeightSDS!O$30*$AM785^8+WeightSDS!P$30*$AM785^7+WeightSDS!Q$30*$AM785^6+WeightSDS!R$30*$AM785^5+WeightSDS!S$30*$AM785^4+WeightSDS!T$30*$AM785^3+WeightSDS!U$30*$AM785^2+WeightSDS!V$30*$AM785+WeightSDS!W$30-0.010431*(1-1/$AM785),WeightSDS!M$32+WeightSDS!N$32/(1+EXP(WeightSDS!O$32+WeightSDS!P$32*$AM785))-0.010431*(1-$AM785/210))))</f>
        <v>2.9500001032655536</v>
      </c>
      <c r="AQ785" s="4">
        <f>IF(D785="M",IF($AM785&lt;162,WeightSDS!P$12*$AM785^7+WeightSDS!Q$12*$AM785^6+WeightSDS!R$12*$AM785^5+WeightSDS!S$12*$AM785^4+WeightSDS!T$12*$AM785^3+WeightSDS!U$12*$AM785^2+WeightSDS!V$12*$AM785+WeightSDS!W$12,WeightSDS!P$14*$AM785^7+WeightSDS!Q$14*$AM785^6+WeightSDS!R$14*$AM785^5+WeightSDS!S$14*$AM785^4+WeightSDS!T$14*$AM785^3+WeightSDS!U$14*$AM785^2+WeightSDS!V$14*$AM785+WeightSDS!W$14),IF($AM785&lt;156,WeightSDS!O$17*$AM785^8+WeightSDS!P$17*$AM785^7+WeightSDS!Q$17*$AM785^6+WeightSDS!R$17*$AM785^5+WeightSDS!S$17*$AM785^4+WeightSDS!T$17*$AM785^3+WeightSDS!U$17*$AM785^2+WeightSDS!V$17*$AM785+WeightSDS!W$17,IF($AM785&lt;186,WeightSDS!$U$18+(WeightSDS!$V$18-WeightSDS!$U$18)/24*($AM785-186)+WeightSDS!$W$18*(-$AM785+186)^2-0.005,WeightSDS!$U$18+(WeightSDS!$V$18-WeightSDS!$U$18)/24*($AM785-186)-0.005)))</f>
        <v>0.14604529399999999</v>
      </c>
      <c r="AT785" s="4">
        <f t="shared" si="259"/>
        <v>0.56299999999999994</v>
      </c>
      <c r="AU785" s="4">
        <f t="shared" si="260"/>
        <v>69</v>
      </c>
      <c r="AV785" s="4">
        <f t="shared" si="261"/>
        <v>0.51</v>
      </c>
    </row>
    <row r="786" spans="1:48" x14ac:dyDescent="0.15">
      <c r="A786" s="4"/>
      <c r="B786" s="21"/>
      <c r="C786" s="21"/>
      <c r="D786" s="21"/>
      <c r="E786" s="22"/>
      <c r="F786" s="22"/>
      <c r="G786" s="23"/>
      <c r="H786" s="23"/>
      <c r="I786" s="181"/>
      <c r="J786" s="8" t="str">
        <f t="shared" si="253"/>
        <v/>
      </c>
      <c r="K786" s="2" t="str">
        <f t="shared" si="262"/>
        <v/>
      </c>
      <c r="L786" s="2" t="str">
        <f t="shared" si="254"/>
        <v/>
      </c>
      <c r="M786" s="2" t="str">
        <f t="shared" si="263"/>
        <v/>
      </c>
      <c r="N786" s="2" t="str">
        <f t="shared" si="271"/>
        <v/>
      </c>
      <c r="O786" s="2" t="str">
        <f t="shared" si="264"/>
        <v/>
      </c>
      <c r="P786" s="8" t="str">
        <f t="shared" si="265"/>
        <v/>
      </c>
      <c r="Q786" s="8" t="str">
        <f t="shared" si="266"/>
        <v/>
      </c>
      <c r="R786" s="111" t="str">
        <f t="shared" si="267"/>
        <v/>
      </c>
      <c r="S786" s="44" t="str">
        <f t="shared" si="268"/>
        <v/>
      </c>
      <c r="T786" s="37" t="str">
        <f t="shared" si="269"/>
        <v/>
      </c>
      <c r="U786" s="44" t="str">
        <f t="shared" si="270"/>
        <v/>
      </c>
      <c r="V786" s="26"/>
      <c r="W786" s="26"/>
      <c r="X786" s="26"/>
      <c r="Y786" s="26"/>
      <c r="Z786" s="24"/>
      <c r="AA786" s="169">
        <f t="shared" si="255"/>
        <v>0</v>
      </c>
      <c r="AB786" s="4">
        <f t="shared" si="256"/>
        <v>0</v>
      </c>
      <c r="AC786" s="170">
        <f t="shared" si="252"/>
        <v>0</v>
      </c>
      <c r="AD786" s="58"/>
      <c r="AE786" s="58"/>
      <c r="AF786" s="58"/>
      <c r="AG786" s="59">
        <f t="shared" si="257"/>
        <v>9.0359999999999996</v>
      </c>
      <c r="AH786" s="59">
        <f t="shared" si="258"/>
        <v>-184.49199999999999</v>
      </c>
      <c r="AJ786" s="4">
        <f>IF(D786="M",IF(AM786&lt;78,BMILMS!$D$5*AM786^3+BMILMS!$E$5*AM786^2+BMILMS!$F$5*AM786+BMILMS!$G$5,IF(AM786&lt;150,BMILMS!$D$6*AM786^3+BMILMS!$E$6*AM786^2+BMILMS!$F$6*AM786+BMILMS!$G$6,BMILMS!$D$7*AM786^3+BMILMS!$E$7*AM786^2+BMILMS!$F$7*AM786+BMILMS!$G$7)),IF(AM786&lt;69,BMILMS!$D$9*AM786^3+BMILMS!$E$9*AM786^2+BMILMS!$F$9*AM786+BMILMS!$G$9,IF(AM786&lt;150,BMILMS!$D$10*AM786^3+BMILMS!$E$10*AM786^2+BMILMS!$F$10*AM786+BMILMS!$G$10,BMILMS!$D$11*AM786^3+BMILMS!$E$11*AM786^2+BMILMS!$F$11*AM786+BMILMS!$G$11)))</f>
        <v>0.79584630099999998</v>
      </c>
      <c r="AK786" s="4">
        <f>IF(D786="M",(IF(AM786&lt;2.5,BMILMS!$D$21*AM786^3+BMILMS!$E$21*AM786^2+BMILMS!$F$21*AM786+BMILMS!$G$21,IF(AM786&lt;9.5,BMILMS!$D$22*AM786^3+BMILMS!$E$22*AM786^2+BMILMS!$F$22*AM786+BMILMS!$G$22,IF(AM786&lt;26.75,BMILMS!$D$23*AM786^3+BMILMS!$E$23*AM786^2+BMILMS!$F$23*AM786+BMILMS!$G$23,IF(AM786&lt;90,BMILMS!$D$24*AM786^3+BMILMS!$E$24*AM786^2+BMILMS!$F$24*AM786+BMILMS!$G$24,BMILMS!$D$25*AM786^3+BMILMS!$E$25*AM786^2+BMILMS!$F$25*AM786+BMILMS!$G$25))))),(IF(AM786&lt;2.5,BMILMS!$D$27*AM786^3+BMILMS!$E$27*AM786^2+BMILMS!$F$27*AM786+BMILMS!$G$27,IF(AM786&lt;9.5,BMILMS!$D$28*AM786^3+BMILMS!$E$28*AM786^2+BMILMS!$F$28*AM786+BMILMS!$G$28,IF(AM786&lt;26.75,BMILMS!$D$29*AM786^3+BMILMS!$E$29*AM786^2+BMILMS!$F$29*AM786+BMILMS!$G$29,IF(AM786&lt;90,BMILMS!$D$30*AM786^3+BMILMS!$E$30*AM786^2+BMILMS!$F$30*AM786+BMILMS!$G$30,IF(AM786&lt;150,BMILMS!$D$31*AM786^3+BMILMS!$E$31*AM786^2+BMILMS!$F$31*AM786+BMILMS!$G$31,BMILMS!$D$32*AM786^3+BMILMS!$E$32*AM786^2+BMILMS!$F$32*AM786+BMILMS!$G$32)))))))</f>
        <v>12.568967990000001</v>
      </c>
      <c r="AL786" s="4">
        <f>IF(D786="M",(IF(AM786&lt;90,BMILMS!$D$14*AM786^3+BMILMS!$E$14*AM786^2+BMILMS!$F$14*AM786+BMILMS!$G$14,BMILMS!$D$15*AM786^3+BMILMS!$E$15*AM786^2+BMILMS!$F$15*AM786+BMILMS!$G$15)),(IF(AM786&lt;90,BMILMS!$D$17*AM786^3+BMILMS!$E$17*AM786^2+BMILMS!$F$17*AM786+BMILMS!$G$17,BMILMS!$D$18*AM786^3+BMILMS!$E$18*AM786^2+BMILMS!$F$18*AM786+BMILMS!$G$18)))</f>
        <v>8.8969350000000003E-2</v>
      </c>
      <c r="AM786" s="4">
        <f t="shared" si="272"/>
        <v>0</v>
      </c>
      <c r="AO786" s="56">
        <f>IF(D786="M",WeightSDS!P$5*$AM786^7+WeightSDS!Q$5*$AM786^6+WeightSDS!R$5*$AM786^5+WeightSDS!S$5*$AM786^4+WeightSDS!T$5*$AM786^3+WeightSDS!U$5*$AM786^2+WeightSDS!V$5*$AM786+WeightSDS!W$5,IF($AM786&lt;186,WeightSDS!P$8*$AM786^7+WeightSDS!Q$8*$AM786^6+WeightSDS!R$8*$AM786^5+WeightSDS!S$8*$AM786^4+WeightSDS!T$8*$AM786^3+WeightSDS!U$8*$AM786^2+WeightSDS!V$8*$AM786+WeightSDS!W$8,WeightSDS!$U$9+WeightSDS!$V$9*($AM786-WeightSDS!$W$9)))</f>
        <v>0.75407122999999998</v>
      </c>
      <c r="AP786" s="4">
        <f>IF(D786="M",IF($AM786&lt;45,WeightSDS!M$23*$AM786^10+WeightSDS!N$23*$AM786^9+WeightSDS!O$23*$AM786^8+WeightSDS!P$23*$AM786^7+WeightSDS!Q$23*$AM786^6+WeightSDS!R$23*$AM786^5+WeightSDS!S$23*$AM786^4+WeightSDS!T$23*$AM786^3+WeightSDS!U$23*$AM786^2+WeightSDS!V$23*$AM786+WeightSDS!W$23,IF($AM786&lt;153,WeightSDS!M$25*$AM786^10+WeightSDS!N$25*$AM786^9+WeightSDS!O$25*$AM786^8+WeightSDS!P$25*$AM786^7+WeightSDS!Q$25*$AM786^6+WeightSDS!R$25*$AM786^5+WeightSDS!S$25*$AM786^4+WeightSDS!T$25*$AM786^3+WeightSDS!U$25*$AM786^2+WeightSDS!V$25*$AM786+WeightSDS!W$25,WeightSDS!M$27+WeightSDS!N$27/(1+EXP(WeightSDS!O$27+WeightSDS!P$27*$AM786)))),IF($AM786&lt;43.8,WeightSDS!M$29*$AM786^10+WeightSDS!N$29*$AM786^9+WeightSDS!O$29*$AM786^8+WeightSDS!P$29*$AM786^7+WeightSDS!Q$29*$AM786^6+WeightSDS!R$29*$AM786^5+WeightSDS!S$29*$AM786^4+WeightSDS!T$29*$AM786^3+WeightSDS!U$29*$AM786^2+WeightSDS!V$29*$AM786+WeightSDS!W$29-0.010431*(1-$AM786/210),IF($AM786&lt;123,WeightSDS!M$30*$AM786^10+WeightSDS!N$30*$AM786^9+WeightSDS!O$30*$AM786^8+WeightSDS!P$30*$AM786^7+WeightSDS!Q$30*$AM786^6+WeightSDS!R$30*$AM786^5+WeightSDS!S$30*$AM786^4+WeightSDS!T$30*$AM786^3+WeightSDS!U$30*$AM786^2+WeightSDS!V$30*$AM786+WeightSDS!W$30-0.010431*(1-1/$AM786),WeightSDS!M$32+WeightSDS!N$32/(1+EXP(WeightSDS!O$32+WeightSDS!P$32*$AM786))-0.010431*(1-$AM786/210))))</f>
        <v>2.9500001032655536</v>
      </c>
      <c r="AQ786" s="4">
        <f>IF(D786="M",IF($AM786&lt;162,WeightSDS!P$12*$AM786^7+WeightSDS!Q$12*$AM786^6+WeightSDS!R$12*$AM786^5+WeightSDS!S$12*$AM786^4+WeightSDS!T$12*$AM786^3+WeightSDS!U$12*$AM786^2+WeightSDS!V$12*$AM786+WeightSDS!W$12,WeightSDS!P$14*$AM786^7+WeightSDS!Q$14*$AM786^6+WeightSDS!R$14*$AM786^5+WeightSDS!S$14*$AM786^4+WeightSDS!T$14*$AM786^3+WeightSDS!U$14*$AM786^2+WeightSDS!V$14*$AM786+WeightSDS!W$14),IF($AM786&lt;156,WeightSDS!O$17*$AM786^8+WeightSDS!P$17*$AM786^7+WeightSDS!Q$17*$AM786^6+WeightSDS!R$17*$AM786^5+WeightSDS!S$17*$AM786^4+WeightSDS!T$17*$AM786^3+WeightSDS!U$17*$AM786^2+WeightSDS!V$17*$AM786+WeightSDS!W$17,IF($AM786&lt;186,WeightSDS!$U$18+(WeightSDS!$V$18-WeightSDS!$U$18)/24*($AM786-186)+WeightSDS!$W$18*(-$AM786+186)^2-0.005,WeightSDS!$U$18+(WeightSDS!$V$18-WeightSDS!$U$18)/24*($AM786-186)-0.005)))</f>
        <v>0.14604529399999999</v>
      </c>
      <c r="AT786" s="4">
        <f t="shared" si="259"/>
        <v>0.56299999999999994</v>
      </c>
      <c r="AU786" s="4">
        <f t="shared" si="260"/>
        <v>69</v>
      </c>
      <c r="AV786" s="4">
        <f t="shared" si="261"/>
        <v>0.51</v>
      </c>
    </row>
    <row r="787" spans="1:48" x14ac:dyDescent="0.15">
      <c r="A787" s="4"/>
      <c r="B787" s="21"/>
      <c r="C787" s="21"/>
      <c r="D787" s="21"/>
      <c r="E787" s="22"/>
      <c r="F787" s="22"/>
      <c r="G787" s="23"/>
      <c r="H787" s="23"/>
      <c r="I787" s="181"/>
      <c r="J787" s="8" t="str">
        <f t="shared" si="253"/>
        <v/>
      </c>
      <c r="K787" s="2" t="str">
        <f t="shared" si="262"/>
        <v/>
      </c>
      <c r="L787" s="2" t="str">
        <f t="shared" si="254"/>
        <v/>
      </c>
      <c r="M787" s="2" t="str">
        <f t="shared" si="263"/>
        <v/>
      </c>
      <c r="N787" s="2" t="str">
        <f t="shared" si="271"/>
        <v/>
      </c>
      <c r="O787" s="2" t="str">
        <f t="shared" si="264"/>
        <v/>
      </c>
      <c r="P787" s="8" t="str">
        <f t="shared" si="265"/>
        <v/>
      </c>
      <c r="Q787" s="8" t="str">
        <f t="shared" si="266"/>
        <v/>
      </c>
      <c r="R787" s="111" t="str">
        <f t="shared" si="267"/>
        <v/>
      </c>
      <c r="S787" s="44" t="str">
        <f t="shared" si="268"/>
        <v/>
      </c>
      <c r="T787" s="37" t="str">
        <f t="shared" si="269"/>
        <v/>
      </c>
      <c r="U787" s="44" t="str">
        <f t="shared" si="270"/>
        <v/>
      </c>
      <c r="V787" s="26"/>
      <c r="W787" s="26"/>
      <c r="X787" s="26"/>
      <c r="Y787" s="26"/>
      <c r="Z787" s="24"/>
      <c r="AA787" s="169">
        <f t="shared" si="255"/>
        <v>0</v>
      </c>
      <c r="AB787" s="4">
        <f t="shared" si="256"/>
        <v>0</v>
      </c>
      <c r="AC787" s="170">
        <f t="shared" si="252"/>
        <v>0</v>
      </c>
      <c r="AD787" s="58"/>
      <c r="AE787" s="58"/>
      <c r="AF787" s="58"/>
      <c r="AG787" s="59">
        <f t="shared" si="257"/>
        <v>9.0359999999999996</v>
      </c>
      <c r="AH787" s="59">
        <f t="shared" si="258"/>
        <v>-184.49199999999999</v>
      </c>
      <c r="AJ787" s="4">
        <f>IF(D787="M",IF(AM787&lt;78,BMILMS!$D$5*AM787^3+BMILMS!$E$5*AM787^2+BMILMS!$F$5*AM787+BMILMS!$G$5,IF(AM787&lt;150,BMILMS!$D$6*AM787^3+BMILMS!$E$6*AM787^2+BMILMS!$F$6*AM787+BMILMS!$G$6,BMILMS!$D$7*AM787^3+BMILMS!$E$7*AM787^2+BMILMS!$F$7*AM787+BMILMS!$G$7)),IF(AM787&lt;69,BMILMS!$D$9*AM787^3+BMILMS!$E$9*AM787^2+BMILMS!$F$9*AM787+BMILMS!$G$9,IF(AM787&lt;150,BMILMS!$D$10*AM787^3+BMILMS!$E$10*AM787^2+BMILMS!$F$10*AM787+BMILMS!$G$10,BMILMS!$D$11*AM787^3+BMILMS!$E$11*AM787^2+BMILMS!$F$11*AM787+BMILMS!$G$11)))</f>
        <v>0.79584630099999998</v>
      </c>
      <c r="AK787" s="4">
        <f>IF(D787="M",(IF(AM787&lt;2.5,BMILMS!$D$21*AM787^3+BMILMS!$E$21*AM787^2+BMILMS!$F$21*AM787+BMILMS!$G$21,IF(AM787&lt;9.5,BMILMS!$D$22*AM787^3+BMILMS!$E$22*AM787^2+BMILMS!$F$22*AM787+BMILMS!$G$22,IF(AM787&lt;26.75,BMILMS!$D$23*AM787^3+BMILMS!$E$23*AM787^2+BMILMS!$F$23*AM787+BMILMS!$G$23,IF(AM787&lt;90,BMILMS!$D$24*AM787^3+BMILMS!$E$24*AM787^2+BMILMS!$F$24*AM787+BMILMS!$G$24,BMILMS!$D$25*AM787^3+BMILMS!$E$25*AM787^2+BMILMS!$F$25*AM787+BMILMS!$G$25))))),(IF(AM787&lt;2.5,BMILMS!$D$27*AM787^3+BMILMS!$E$27*AM787^2+BMILMS!$F$27*AM787+BMILMS!$G$27,IF(AM787&lt;9.5,BMILMS!$D$28*AM787^3+BMILMS!$E$28*AM787^2+BMILMS!$F$28*AM787+BMILMS!$G$28,IF(AM787&lt;26.75,BMILMS!$D$29*AM787^3+BMILMS!$E$29*AM787^2+BMILMS!$F$29*AM787+BMILMS!$G$29,IF(AM787&lt;90,BMILMS!$D$30*AM787^3+BMILMS!$E$30*AM787^2+BMILMS!$F$30*AM787+BMILMS!$G$30,IF(AM787&lt;150,BMILMS!$D$31*AM787^3+BMILMS!$E$31*AM787^2+BMILMS!$F$31*AM787+BMILMS!$G$31,BMILMS!$D$32*AM787^3+BMILMS!$E$32*AM787^2+BMILMS!$F$32*AM787+BMILMS!$G$32)))))))</f>
        <v>12.568967990000001</v>
      </c>
      <c r="AL787" s="4">
        <f>IF(D787="M",(IF(AM787&lt;90,BMILMS!$D$14*AM787^3+BMILMS!$E$14*AM787^2+BMILMS!$F$14*AM787+BMILMS!$G$14,BMILMS!$D$15*AM787^3+BMILMS!$E$15*AM787^2+BMILMS!$F$15*AM787+BMILMS!$G$15)),(IF(AM787&lt;90,BMILMS!$D$17*AM787^3+BMILMS!$E$17*AM787^2+BMILMS!$F$17*AM787+BMILMS!$G$17,BMILMS!$D$18*AM787^3+BMILMS!$E$18*AM787^2+BMILMS!$F$18*AM787+BMILMS!$G$18)))</f>
        <v>8.8969350000000003E-2</v>
      </c>
      <c r="AM787" s="4">
        <f t="shared" si="272"/>
        <v>0</v>
      </c>
      <c r="AO787" s="56">
        <f>IF(D787="M",WeightSDS!P$5*$AM787^7+WeightSDS!Q$5*$AM787^6+WeightSDS!R$5*$AM787^5+WeightSDS!S$5*$AM787^4+WeightSDS!T$5*$AM787^3+WeightSDS!U$5*$AM787^2+WeightSDS!V$5*$AM787+WeightSDS!W$5,IF($AM787&lt;186,WeightSDS!P$8*$AM787^7+WeightSDS!Q$8*$AM787^6+WeightSDS!R$8*$AM787^5+WeightSDS!S$8*$AM787^4+WeightSDS!T$8*$AM787^3+WeightSDS!U$8*$AM787^2+WeightSDS!V$8*$AM787+WeightSDS!W$8,WeightSDS!$U$9+WeightSDS!$V$9*($AM787-WeightSDS!$W$9)))</f>
        <v>0.75407122999999998</v>
      </c>
      <c r="AP787" s="4">
        <f>IF(D787="M",IF($AM787&lt;45,WeightSDS!M$23*$AM787^10+WeightSDS!N$23*$AM787^9+WeightSDS!O$23*$AM787^8+WeightSDS!P$23*$AM787^7+WeightSDS!Q$23*$AM787^6+WeightSDS!R$23*$AM787^5+WeightSDS!S$23*$AM787^4+WeightSDS!T$23*$AM787^3+WeightSDS!U$23*$AM787^2+WeightSDS!V$23*$AM787+WeightSDS!W$23,IF($AM787&lt;153,WeightSDS!M$25*$AM787^10+WeightSDS!N$25*$AM787^9+WeightSDS!O$25*$AM787^8+WeightSDS!P$25*$AM787^7+WeightSDS!Q$25*$AM787^6+WeightSDS!R$25*$AM787^5+WeightSDS!S$25*$AM787^4+WeightSDS!T$25*$AM787^3+WeightSDS!U$25*$AM787^2+WeightSDS!V$25*$AM787+WeightSDS!W$25,WeightSDS!M$27+WeightSDS!N$27/(1+EXP(WeightSDS!O$27+WeightSDS!P$27*$AM787)))),IF($AM787&lt;43.8,WeightSDS!M$29*$AM787^10+WeightSDS!N$29*$AM787^9+WeightSDS!O$29*$AM787^8+WeightSDS!P$29*$AM787^7+WeightSDS!Q$29*$AM787^6+WeightSDS!R$29*$AM787^5+WeightSDS!S$29*$AM787^4+WeightSDS!T$29*$AM787^3+WeightSDS!U$29*$AM787^2+WeightSDS!V$29*$AM787+WeightSDS!W$29-0.010431*(1-$AM787/210),IF($AM787&lt;123,WeightSDS!M$30*$AM787^10+WeightSDS!N$30*$AM787^9+WeightSDS!O$30*$AM787^8+WeightSDS!P$30*$AM787^7+WeightSDS!Q$30*$AM787^6+WeightSDS!R$30*$AM787^5+WeightSDS!S$30*$AM787^4+WeightSDS!T$30*$AM787^3+WeightSDS!U$30*$AM787^2+WeightSDS!V$30*$AM787+WeightSDS!W$30-0.010431*(1-1/$AM787),WeightSDS!M$32+WeightSDS!N$32/(1+EXP(WeightSDS!O$32+WeightSDS!P$32*$AM787))-0.010431*(1-$AM787/210))))</f>
        <v>2.9500001032655536</v>
      </c>
      <c r="AQ787" s="4">
        <f>IF(D787="M",IF($AM787&lt;162,WeightSDS!P$12*$AM787^7+WeightSDS!Q$12*$AM787^6+WeightSDS!R$12*$AM787^5+WeightSDS!S$12*$AM787^4+WeightSDS!T$12*$AM787^3+WeightSDS!U$12*$AM787^2+WeightSDS!V$12*$AM787+WeightSDS!W$12,WeightSDS!P$14*$AM787^7+WeightSDS!Q$14*$AM787^6+WeightSDS!R$14*$AM787^5+WeightSDS!S$14*$AM787^4+WeightSDS!T$14*$AM787^3+WeightSDS!U$14*$AM787^2+WeightSDS!V$14*$AM787+WeightSDS!W$14),IF($AM787&lt;156,WeightSDS!O$17*$AM787^8+WeightSDS!P$17*$AM787^7+WeightSDS!Q$17*$AM787^6+WeightSDS!R$17*$AM787^5+WeightSDS!S$17*$AM787^4+WeightSDS!T$17*$AM787^3+WeightSDS!U$17*$AM787^2+WeightSDS!V$17*$AM787+WeightSDS!W$17,IF($AM787&lt;186,WeightSDS!$U$18+(WeightSDS!$V$18-WeightSDS!$U$18)/24*($AM787-186)+WeightSDS!$W$18*(-$AM787+186)^2-0.005,WeightSDS!$U$18+(WeightSDS!$V$18-WeightSDS!$U$18)/24*($AM787-186)-0.005)))</f>
        <v>0.14604529399999999</v>
      </c>
      <c r="AT787" s="4">
        <f t="shared" si="259"/>
        <v>0.56299999999999994</v>
      </c>
      <c r="AU787" s="4">
        <f t="shared" si="260"/>
        <v>69</v>
      </c>
      <c r="AV787" s="4">
        <f t="shared" si="261"/>
        <v>0.51</v>
      </c>
    </row>
    <row r="788" spans="1:48" x14ac:dyDescent="0.15">
      <c r="A788" s="4"/>
      <c r="B788" s="21"/>
      <c r="C788" s="21"/>
      <c r="D788" s="21"/>
      <c r="E788" s="22"/>
      <c r="F788" s="22"/>
      <c r="G788" s="23"/>
      <c r="H788" s="23"/>
      <c r="I788" s="181"/>
      <c r="J788" s="8" t="str">
        <f t="shared" si="253"/>
        <v/>
      </c>
      <c r="K788" s="2" t="str">
        <f t="shared" si="262"/>
        <v/>
      </c>
      <c r="L788" s="2" t="str">
        <f t="shared" si="254"/>
        <v/>
      </c>
      <c r="M788" s="2" t="str">
        <f t="shared" si="263"/>
        <v/>
      </c>
      <c r="N788" s="2" t="str">
        <f t="shared" si="271"/>
        <v/>
      </c>
      <c r="O788" s="2" t="str">
        <f t="shared" si="264"/>
        <v/>
      </c>
      <c r="P788" s="8" t="str">
        <f t="shared" si="265"/>
        <v/>
      </c>
      <c r="Q788" s="8" t="str">
        <f t="shared" si="266"/>
        <v/>
      </c>
      <c r="R788" s="111" t="str">
        <f t="shared" si="267"/>
        <v/>
      </c>
      <c r="S788" s="44" t="str">
        <f t="shared" si="268"/>
        <v/>
      </c>
      <c r="T788" s="37" t="str">
        <f t="shared" si="269"/>
        <v/>
      </c>
      <c r="U788" s="44" t="str">
        <f t="shared" si="270"/>
        <v/>
      </c>
      <c r="V788" s="26"/>
      <c r="W788" s="26"/>
      <c r="X788" s="26"/>
      <c r="Y788" s="26"/>
      <c r="Z788" s="24"/>
      <c r="AA788" s="169">
        <f t="shared" si="255"/>
        <v>0</v>
      </c>
      <c r="AB788" s="4">
        <f t="shared" si="256"/>
        <v>0</v>
      </c>
      <c r="AC788" s="170">
        <f t="shared" si="252"/>
        <v>0</v>
      </c>
      <c r="AD788" s="58"/>
      <c r="AE788" s="58"/>
      <c r="AF788" s="58"/>
      <c r="AG788" s="59">
        <f t="shared" si="257"/>
        <v>9.0359999999999996</v>
      </c>
      <c r="AH788" s="59">
        <f t="shared" si="258"/>
        <v>-184.49199999999999</v>
      </c>
      <c r="AJ788" s="4">
        <f>IF(D788="M",IF(AM788&lt;78,BMILMS!$D$5*AM788^3+BMILMS!$E$5*AM788^2+BMILMS!$F$5*AM788+BMILMS!$G$5,IF(AM788&lt;150,BMILMS!$D$6*AM788^3+BMILMS!$E$6*AM788^2+BMILMS!$F$6*AM788+BMILMS!$G$6,BMILMS!$D$7*AM788^3+BMILMS!$E$7*AM788^2+BMILMS!$F$7*AM788+BMILMS!$G$7)),IF(AM788&lt;69,BMILMS!$D$9*AM788^3+BMILMS!$E$9*AM788^2+BMILMS!$F$9*AM788+BMILMS!$G$9,IF(AM788&lt;150,BMILMS!$D$10*AM788^3+BMILMS!$E$10*AM788^2+BMILMS!$F$10*AM788+BMILMS!$G$10,BMILMS!$D$11*AM788^3+BMILMS!$E$11*AM788^2+BMILMS!$F$11*AM788+BMILMS!$G$11)))</f>
        <v>0.79584630099999998</v>
      </c>
      <c r="AK788" s="4">
        <f>IF(D788="M",(IF(AM788&lt;2.5,BMILMS!$D$21*AM788^3+BMILMS!$E$21*AM788^2+BMILMS!$F$21*AM788+BMILMS!$G$21,IF(AM788&lt;9.5,BMILMS!$D$22*AM788^3+BMILMS!$E$22*AM788^2+BMILMS!$F$22*AM788+BMILMS!$G$22,IF(AM788&lt;26.75,BMILMS!$D$23*AM788^3+BMILMS!$E$23*AM788^2+BMILMS!$F$23*AM788+BMILMS!$G$23,IF(AM788&lt;90,BMILMS!$D$24*AM788^3+BMILMS!$E$24*AM788^2+BMILMS!$F$24*AM788+BMILMS!$G$24,BMILMS!$D$25*AM788^3+BMILMS!$E$25*AM788^2+BMILMS!$F$25*AM788+BMILMS!$G$25))))),(IF(AM788&lt;2.5,BMILMS!$D$27*AM788^3+BMILMS!$E$27*AM788^2+BMILMS!$F$27*AM788+BMILMS!$G$27,IF(AM788&lt;9.5,BMILMS!$D$28*AM788^3+BMILMS!$E$28*AM788^2+BMILMS!$F$28*AM788+BMILMS!$G$28,IF(AM788&lt;26.75,BMILMS!$D$29*AM788^3+BMILMS!$E$29*AM788^2+BMILMS!$F$29*AM788+BMILMS!$G$29,IF(AM788&lt;90,BMILMS!$D$30*AM788^3+BMILMS!$E$30*AM788^2+BMILMS!$F$30*AM788+BMILMS!$G$30,IF(AM788&lt;150,BMILMS!$D$31*AM788^3+BMILMS!$E$31*AM788^2+BMILMS!$F$31*AM788+BMILMS!$G$31,BMILMS!$D$32*AM788^3+BMILMS!$E$32*AM788^2+BMILMS!$F$32*AM788+BMILMS!$G$32)))))))</f>
        <v>12.568967990000001</v>
      </c>
      <c r="AL788" s="4">
        <f>IF(D788="M",(IF(AM788&lt;90,BMILMS!$D$14*AM788^3+BMILMS!$E$14*AM788^2+BMILMS!$F$14*AM788+BMILMS!$G$14,BMILMS!$D$15*AM788^3+BMILMS!$E$15*AM788^2+BMILMS!$F$15*AM788+BMILMS!$G$15)),(IF(AM788&lt;90,BMILMS!$D$17*AM788^3+BMILMS!$E$17*AM788^2+BMILMS!$F$17*AM788+BMILMS!$G$17,BMILMS!$D$18*AM788^3+BMILMS!$E$18*AM788^2+BMILMS!$F$18*AM788+BMILMS!$G$18)))</f>
        <v>8.8969350000000003E-2</v>
      </c>
      <c r="AM788" s="4">
        <f t="shared" si="272"/>
        <v>0</v>
      </c>
      <c r="AO788" s="56">
        <f>IF(D788="M",WeightSDS!P$5*$AM788^7+WeightSDS!Q$5*$AM788^6+WeightSDS!R$5*$AM788^5+WeightSDS!S$5*$AM788^4+WeightSDS!T$5*$AM788^3+WeightSDS!U$5*$AM788^2+WeightSDS!V$5*$AM788+WeightSDS!W$5,IF($AM788&lt;186,WeightSDS!P$8*$AM788^7+WeightSDS!Q$8*$AM788^6+WeightSDS!R$8*$AM788^5+WeightSDS!S$8*$AM788^4+WeightSDS!T$8*$AM788^3+WeightSDS!U$8*$AM788^2+WeightSDS!V$8*$AM788+WeightSDS!W$8,WeightSDS!$U$9+WeightSDS!$V$9*($AM788-WeightSDS!$W$9)))</f>
        <v>0.75407122999999998</v>
      </c>
      <c r="AP788" s="4">
        <f>IF(D788="M",IF($AM788&lt;45,WeightSDS!M$23*$AM788^10+WeightSDS!N$23*$AM788^9+WeightSDS!O$23*$AM788^8+WeightSDS!P$23*$AM788^7+WeightSDS!Q$23*$AM788^6+WeightSDS!R$23*$AM788^5+WeightSDS!S$23*$AM788^4+WeightSDS!T$23*$AM788^3+WeightSDS!U$23*$AM788^2+WeightSDS!V$23*$AM788+WeightSDS!W$23,IF($AM788&lt;153,WeightSDS!M$25*$AM788^10+WeightSDS!N$25*$AM788^9+WeightSDS!O$25*$AM788^8+WeightSDS!P$25*$AM788^7+WeightSDS!Q$25*$AM788^6+WeightSDS!R$25*$AM788^5+WeightSDS!S$25*$AM788^4+WeightSDS!T$25*$AM788^3+WeightSDS!U$25*$AM788^2+WeightSDS!V$25*$AM788+WeightSDS!W$25,WeightSDS!M$27+WeightSDS!N$27/(1+EXP(WeightSDS!O$27+WeightSDS!P$27*$AM788)))),IF($AM788&lt;43.8,WeightSDS!M$29*$AM788^10+WeightSDS!N$29*$AM788^9+WeightSDS!O$29*$AM788^8+WeightSDS!P$29*$AM788^7+WeightSDS!Q$29*$AM788^6+WeightSDS!R$29*$AM788^5+WeightSDS!S$29*$AM788^4+WeightSDS!T$29*$AM788^3+WeightSDS!U$29*$AM788^2+WeightSDS!V$29*$AM788+WeightSDS!W$29-0.010431*(1-$AM788/210),IF($AM788&lt;123,WeightSDS!M$30*$AM788^10+WeightSDS!N$30*$AM788^9+WeightSDS!O$30*$AM788^8+WeightSDS!P$30*$AM788^7+WeightSDS!Q$30*$AM788^6+WeightSDS!R$30*$AM788^5+WeightSDS!S$30*$AM788^4+WeightSDS!T$30*$AM788^3+WeightSDS!U$30*$AM788^2+WeightSDS!V$30*$AM788+WeightSDS!W$30-0.010431*(1-1/$AM788),WeightSDS!M$32+WeightSDS!N$32/(1+EXP(WeightSDS!O$32+WeightSDS!P$32*$AM788))-0.010431*(1-$AM788/210))))</f>
        <v>2.9500001032655536</v>
      </c>
      <c r="AQ788" s="4">
        <f>IF(D788="M",IF($AM788&lt;162,WeightSDS!P$12*$AM788^7+WeightSDS!Q$12*$AM788^6+WeightSDS!R$12*$AM788^5+WeightSDS!S$12*$AM788^4+WeightSDS!T$12*$AM788^3+WeightSDS!U$12*$AM788^2+WeightSDS!V$12*$AM788+WeightSDS!W$12,WeightSDS!P$14*$AM788^7+WeightSDS!Q$14*$AM788^6+WeightSDS!R$14*$AM788^5+WeightSDS!S$14*$AM788^4+WeightSDS!T$14*$AM788^3+WeightSDS!U$14*$AM788^2+WeightSDS!V$14*$AM788+WeightSDS!W$14),IF($AM788&lt;156,WeightSDS!O$17*$AM788^8+WeightSDS!P$17*$AM788^7+WeightSDS!Q$17*$AM788^6+WeightSDS!R$17*$AM788^5+WeightSDS!S$17*$AM788^4+WeightSDS!T$17*$AM788^3+WeightSDS!U$17*$AM788^2+WeightSDS!V$17*$AM788+WeightSDS!W$17,IF($AM788&lt;186,WeightSDS!$U$18+(WeightSDS!$V$18-WeightSDS!$U$18)/24*($AM788-186)+WeightSDS!$W$18*(-$AM788+186)^2-0.005,WeightSDS!$U$18+(WeightSDS!$V$18-WeightSDS!$U$18)/24*($AM788-186)-0.005)))</f>
        <v>0.14604529399999999</v>
      </c>
      <c r="AT788" s="4">
        <f t="shared" si="259"/>
        <v>0.56299999999999994</v>
      </c>
      <c r="AU788" s="4">
        <f t="shared" si="260"/>
        <v>69</v>
      </c>
      <c r="AV788" s="4">
        <f t="shared" si="261"/>
        <v>0.51</v>
      </c>
    </row>
    <row r="789" spans="1:48" x14ac:dyDescent="0.15">
      <c r="A789" s="4"/>
      <c r="B789" s="21"/>
      <c r="C789" s="21"/>
      <c r="D789" s="21"/>
      <c r="E789" s="22"/>
      <c r="F789" s="22"/>
      <c r="G789" s="23"/>
      <c r="H789" s="23"/>
      <c r="I789" s="181"/>
      <c r="J789" s="8" t="str">
        <f t="shared" si="253"/>
        <v/>
      </c>
      <c r="K789" s="2" t="str">
        <f t="shared" si="262"/>
        <v/>
      </c>
      <c r="L789" s="2" t="str">
        <f t="shared" si="254"/>
        <v/>
      </c>
      <c r="M789" s="2" t="str">
        <f t="shared" si="263"/>
        <v/>
      </c>
      <c r="N789" s="2" t="str">
        <f t="shared" si="271"/>
        <v/>
      </c>
      <c r="O789" s="2" t="str">
        <f t="shared" si="264"/>
        <v/>
      </c>
      <c r="P789" s="8" t="str">
        <f t="shared" si="265"/>
        <v/>
      </c>
      <c r="Q789" s="8" t="str">
        <f t="shared" si="266"/>
        <v/>
      </c>
      <c r="R789" s="111" t="str">
        <f t="shared" si="267"/>
        <v/>
      </c>
      <c r="S789" s="44" t="str">
        <f t="shared" si="268"/>
        <v/>
      </c>
      <c r="T789" s="37" t="str">
        <f t="shared" si="269"/>
        <v/>
      </c>
      <c r="U789" s="44" t="str">
        <f t="shared" si="270"/>
        <v/>
      </c>
      <c r="V789" s="26"/>
      <c r="W789" s="26"/>
      <c r="X789" s="26"/>
      <c r="Y789" s="26"/>
      <c r="Z789" s="24"/>
      <c r="AA789" s="169">
        <f t="shared" si="255"/>
        <v>0</v>
      </c>
      <c r="AB789" s="4">
        <f t="shared" si="256"/>
        <v>0</v>
      </c>
      <c r="AC789" s="170">
        <f t="shared" si="252"/>
        <v>0</v>
      </c>
      <c r="AD789" s="58"/>
      <c r="AE789" s="58"/>
      <c r="AF789" s="58"/>
      <c r="AG789" s="59">
        <f t="shared" si="257"/>
        <v>9.0359999999999996</v>
      </c>
      <c r="AH789" s="59">
        <f t="shared" si="258"/>
        <v>-184.49199999999999</v>
      </c>
      <c r="AJ789" s="4">
        <f>IF(D789="M",IF(AM789&lt;78,BMILMS!$D$5*AM789^3+BMILMS!$E$5*AM789^2+BMILMS!$F$5*AM789+BMILMS!$G$5,IF(AM789&lt;150,BMILMS!$D$6*AM789^3+BMILMS!$E$6*AM789^2+BMILMS!$F$6*AM789+BMILMS!$G$6,BMILMS!$D$7*AM789^3+BMILMS!$E$7*AM789^2+BMILMS!$F$7*AM789+BMILMS!$G$7)),IF(AM789&lt;69,BMILMS!$D$9*AM789^3+BMILMS!$E$9*AM789^2+BMILMS!$F$9*AM789+BMILMS!$G$9,IF(AM789&lt;150,BMILMS!$D$10*AM789^3+BMILMS!$E$10*AM789^2+BMILMS!$F$10*AM789+BMILMS!$G$10,BMILMS!$D$11*AM789^3+BMILMS!$E$11*AM789^2+BMILMS!$F$11*AM789+BMILMS!$G$11)))</f>
        <v>0.79584630099999998</v>
      </c>
      <c r="AK789" s="4">
        <f>IF(D789="M",(IF(AM789&lt;2.5,BMILMS!$D$21*AM789^3+BMILMS!$E$21*AM789^2+BMILMS!$F$21*AM789+BMILMS!$G$21,IF(AM789&lt;9.5,BMILMS!$D$22*AM789^3+BMILMS!$E$22*AM789^2+BMILMS!$F$22*AM789+BMILMS!$G$22,IF(AM789&lt;26.75,BMILMS!$D$23*AM789^3+BMILMS!$E$23*AM789^2+BMILMS!$F$23*AM789+BMILMS!$G$23,IF(AM789&lt;90,BMILMS!$D$24*AM789^3+BMILMS!$E$24*AM789^2+BMILMS!$F$24*AM789+BMILMS!$G$24,BMILMS!$D$25*AM789^3+BMILMS!$E$25*AM789^2+BMILMS!$F$25*AM789+BMILMS!$G$25))))),(IF(AM789&lt;2.5,BMILMS!$D$27*AM789^3+BMILMS!$E$27*AM789^2+BMILMS!$F$27*AM789+BMILMS!$G$27,IF(AM789&lt;9.5,BMILMS!$D$28*AM789^3+BMILMS!$E$28*AM789^2+BMILMS!$F$28*AM789+BMILMS!$G$28,IF(AM789&lt;26.75,BMILMS!$D$29*AM789^3+BMILMS!$E$29*AM789^2+BMILMS!$F$29*AM789+BMILMS!$G$29,IF(AM789&lt;90,BMILMS!$D$30*AM789^3+BMILMS!$E$30*AM789^2+BMILMS!$F$30*AM789+BMILMS!$G$30,IF(AM789&lt;150,BMILMS!$D$31*AM789^3+BMILMS!$E$31*AM789^2+BMILMS!$F$31*AM789+BMILMS!$G$31,BMILMS!$D$32*AM789^3+BMILMS!$E$32*AM789^2+BMILMS!$F$32*AM789+BMILMS!$G$32)))))))</f>
        <v>12.568967990000001</v>
      </c>
      <c r="AL789" s="4">
        <f>IF(D789="M",(IF(AM789&lt;90,BMILMS!$D$14*AM789^3+BMILMS!$E$14*AM789^2+BMILMS!$F$14*AM789+BMILMS!$G$14,BMILMS!$D$15*AM789^3+BMILMS!$E$15*AM789^2+BMILMS!$F$15*AM789+BMILMS!$G$15)),(IF(AM789&lt;90,BMILMS!$D$17*AM789^3+BMILMS!$E$17*AM789^2+BMILMS!$F$17*AM789+BMILMS!$G$17,BMILMS!$D$18*AM789^3+BMILMS!$E$18*AM789^2+BMILMS!$F$18*AM789+BMILMS!$G$18)))</f>
        <v>8.8969350000000003E-2</v>
      </c>
      <c r="AM789" s="4">
        <f t="shared" si="272"/>
        <v>0</v>
      </c>
      <c r="AO789" s="56">
        <f>IF(D789="M",WeightSDS!P$5*$AM789^7+WeightSDS!Q$5*$AM789^6+WeightSDS!R$5*$AM789^5+WeightSDS!S$5*$AM789^4+WeightSDS!T$5*$AM789^3+WeightSDS!U$5*$AM789^2+WeightSDS!V$5*$AM789+WeightSDS!W$5,IF($AM789&lt;186,WeightSDS!P$8*$AM789^7+WeightSDS!Q$8*$AM789^6+WeightSDS!R$8*$AM789^5+WeightSDS!S$8*$AM789^4+WeightSDS!T$8*$AM789^3+WeightSDS!U$8*$AM789^2+WeightSDS!V$8*$AM789+WeightSDS!W$8,WeightSDS!$U$9+WeightSDS!$V$9*($AM789-WeightSDS!$W$9)))</f>
        <v>0.75407122999999998</v>
      </c>
      <c r="AP789" s="4">
        <f>IF(D789="M",IF($AM789&lt;45,WeightSDS!M$23*$AM789^10+WeightSDS!N$23*$AM789^9+WeightSDS!O$23*$AM789^8+WeightSDS!P$23*$AM789^7+WeightSDS!Q$23*$AM789^6+WeightSDS!R$23*$AM789^5+WeightSDS!S$23*$AM789^4+WeightSDS!T$23*$AM789^3+WeightSDS!U$23*$AM789^2+WeightSDS!V$23*$AM789+WeightSDS!W$23,IF($AM789&lt;153,WeightSDS!M$25*$AM789^10+WeightSDS!N$25*$AM789^9+WeightSDS!O$25*$AM789^8+WeightSDS!P$25*$AM789^7+WeightSDS!Q$25*$AM789^6+WeightSDS!R$25*$AM789^5+WeightSDS!S$25*$AM789^4+WeightSDS!T$25*$AM789^3+WeightSDS!U$25*$AM789^2+WeightSDS!V$25*$AM789+WeightSDS!W$25,WeightSDS!M$27+WeightSDS!N$27/(1+EXP(WeightSDS!O$27+WeightSDS!P$27*$AM789)))),IF($AM789&lt;43.8,WeightSDS!M$29*$AM789^10+WeightSDS!N$29*$AM789^9+WeightSDS!O$29*$AM789^8+WeightSDS!P$29*$AM789^7+WeightSDS!Q$29*$AM789^6+WeightSDS!R$29*$AM789^5+WeightSDS!S$29*$AM789^4+WeightSDS!T$29*$AM789^3+WeightSDS!U$29*$AM789^2+WeightSDS!V$29*$AM789+WeightSDS!W$29-0.010431*(1-$AM789/210),IF($AM789&lt;123,WeightSDS!M$30*$AM789^10+WeightSDS!N$30*$AM789^9+WeightSDS!O$30*$AM789^8+WeightSDS!P$30*$AM789^7+WeightSDS!Q$30*$AM789^6+WeightSDS!R$30*$AM789^5+WeightSDS!S$30*$AM789^4+WeightSDS!T$30*$AM789^3+WeightSDS!U$30*$AM789^2+WeightSDS!V$30*$AM789+WeightSDS!W$30-0.010431*(1-1/$AM789),WeightSDS!M$32+WeightSDS!N$32/(1+EXP(WeightSDS!O$32+WeightSDS!P$32*$AM789))-0.010431*(1-$AM789/210))))</f>
        <v>2.9500001032655536</v>
      </c>
      <c r="AQ789" s="4">
        <f>IF(D789="M",IF($AM789&lt;162,WeightSDS!P$12*$AM789^7+WeightSDS!Q$12*$AM789^6+WeightSDS!R$12*$AM789^5+WeightSDS!S$12*$AM789^4+WeightSDS!T$12*$AM789^3+WeightSDS!U$12*$AM789^2+WeightSDS!V$12*$AM789+WeightSDS!W$12,WeightSDS!P$14*$AM789^7+WeightSDS!Q$14*$AM789^6+WeightSDS!R$14*$AM789^5+WeightSDS!S$14*$AM789^4+WeightSDS!T$14*$AM789^3+WeightSDS!U$14*$AM789^2+WeightSDS!V$14*$AM789+WeightSDS!W$14),IF($AM789&lt;156,WeightSDS!O$17*$AM789^8+WeightSDS!P$17*$AM789^7+WeightSDS!Q$17*$AM789^6+WeightSDS!R$17*$AM789^5+WeightSDS!S$17*$AM789^4+WeightSDS!T$17*$AM789^3+WeightSDS!U$17*$AM789^2+WeightSDS!V$17*$AM789+WeightSDS!W$17,IF($AM789&lt;186,WeightSDS!$U$18+(WeightSDS!$V$18-WeightSDS!$U$18)/24*($AM789-186)+WeightSDS!$W$18*(-$AM789+186)^2-0.005,WeightSDS!$U$18+(WeightSDS!$V$18-WeightSDS!$U$18)/24*($AM789-186)-0.005)))</f>
        <v>0.14604529399999999</v>
      </c>
      <c r="AT789" s="4">
        <f t="shared" si="259"/>
        <v>0.56299999999999994</v>
      </c>
      <c r="AU789" s="4">
        <f t="shared" si="260"/>
        <v>69</v>
      </c>
      <c r="AV789" s="4">
        <f t="shared" si="261"/>
        <v>0.51</v>
      </c>
    </row>
    <row r="790" spans="1:48" x14ac:dyDescent="0.15">
      <c r="A790" s="4"/>
      <c r="B790" s="21"/>
      <c r="C790" s="21"/>
      <c r="D790" s="21"/>
      <c r="E790" s="22"/>
      <c r="F790" s="22"/>
      <c r="G790" s="23"/>
      <c r="H790" s="23"/>
      <c r="I790" s="181"/>
      <c r="J790" s="8" t="str">
        <f t="shared" si="253"/>
        <v/>
      </c>
      <c r="K790" s="2" t="str">
        <f t="shared" si="262"/>
        <v/>
      </c>
      <c r="L790" s="2" t="str">
        <f t="shared" si="254"/>
        <v/>
      </c>
      <c r="M790" s="2" t="str">
        <f t="shared" si="263"/>
        <v/>
      </c>
      <c r="N790" s="2" t="str">
        <f t="shared" si="271"/>
        <v/>
      </c>
      <c r="O790" s="2" t="str">
        <f t="shared" si="264"/>
        <v/>
      </c>
      <c r="P790" s="8" t="str">
        <f t="shared" si="265"/>
        <v/>
      </c>
      <c r="Q790" s="8" t="str">
        <f t="shared" si="266"/>
        <v/>
      </c>
      <c r="R790" s="111" t="str">
        <f t="shared" si="267"/>
        <v/>
      </c>
      <c r="S790" s="44" t="str">
        <f t="shared" si="268"/>
        <v/>
      </c>
      <c r="T790" s="37" t="str">
        <f t="shared" si="269"/>
        <v/>
      </c>
      <c r="U790" s="44" t="str">
        <f t="shared" si="270"/>
        <v/>
      </c>
      <c r="V790" s="26"/>
      <c r="W790" s="26"/>
      <c r="X790" s="26"/>
      <c r="Y790" s="26"/>
      <c r="Z790" s="24"/>
      <c r="AA790" s="169">
        <f t="shared" si="255"/>
        <v>0</v>
      </c>
      <c r="AB790" s="4">
        <f t="shared" si="256"/>
        <v>0</v>
      </c>
      <c r="AC790" s="170">
        <f t="shared" si="252"/>
        <v>0</v>
      </c>
      <c r="AD790" s="58"/>
      <c r="AE790" s="58"/>
      <c r="AF790" s="58"/>
      <c r="AG790" s="59">
        <f t="shared" si="257"/>
        <v>9.0359999999999996</v>
      </c>
      <c r="AH790" s="59">
        <f t="shared" si="258"/>
        <v>-184.49199999999999</v>
      </c>
      <c r="AJ790" s="4">
        <f>IF(D790="M",IF(AM790&lt;78,BMILMS!$D$5*AM790^3+BMILMS!$E$5*AM790^2+BMILMS!$F$5*AM790+BMILMS!$G$5,IF(AM790&lt;150,BMILMS!$D$6*AM790^3+BMILMS!$E$6*AM790^2+BMILMS!$F$6*AM790+BMILMS!$G$6,BMILMS!$D$7*AM790^3+BMILMS!$E$7*AM790^2+BMILMS!$F$7*AM790+BMILMS!$G$7)),IF(AM790&lt;69,BMILMS!$D$9*AM790^3+BMILMS!$E$9*AM790^2+BMILMS!$F$9*AM790+BMILMS!$G$9,IF(AM790&lt;150,BMILMS!$D$10*AM790^3+BMILMS!$E$10*AM790^2+BMILMS!$F$10*AM790+BMILMS!$G$10,BMILMS!$D$11*AM790^3+BMILMS!$E$11*AM790^2+BMILMS!$F$11*AM790+BMILMS!$G$11)))</f>
        <v>0.79584630099999998</v>
      </c>
      <c r="AK790" s="4">
        <f>IF(D790="M",(IF(AM790&lt;2.5,BMILMS!$D$21*AM790^3+BMILMS!$E$21*AM790^2+BMILMS!$F$21*AM790+BMILMS!$G$21,IF(AM790&lt;9.5,BMILMS!$D$22*AM790^3+BMILMS!$E$22*AM790^2+BMILMS!$F$22*AM790+BMILMS!$G$22,IF(AM790&lt;26.75,BMILMS!$D$23*AM790^3+BMILMS!$E$23*AM790^2+BMILMS!$F$23*AM790+BMILMS!$G$23,IF(AM790&lt;90,BMILMS!$D$24*AM790^3+BMILMS!$E$24*AM790^2+BMILMS!$F$24*AM790+BMILMS!$G$24,BMILMS!$D$25*AM790^3+BMILMS!$E$25*AM790^2+BMILMS!$F$25*AM790+BMILMS!$G$25))))),(IF(AM790&lt;2.5,BMILMS!$D$27*AM790^3+BMILMS!$E$27*AM790^2+BMILMS!$F$27*AM790+BMILMS!$G$27,IF(AM790&lt;9.5,BMILMS!$D$28*AM790^3+BMILMS!$E$28*AM790^2+BMILMS!$F$28*AM790+BMILMS!$G$28,IF(AM790&lt;26.75,BMILMS!$D$29*AM790^3+BMILMS!$E$29*AM790^2+BMILMS!$F$29*AM790+BMILMS!$G$29,IF(AM790&lt;90,BMILMS!$D$30*AM790^3+BMILMS!$E$30*AM790^2+BMILMS!$F$30*AM790+BMILMS!$G$30,IF(AM790&lt;150,BMILMS!$D$31*AM790^3+BMILMS!$E$31*AM790^2+BMILMS!$F$31*AM790+BMILMS!$G$31,BMILMS!$D$32*AM790^3+BMILMS!$E$32*AM790^2+BMILMS!$F$32*AM790+BMILMS!$G$32)))))))</f>
        <v>12.568967990000001</v>
      </c>
      <c r="AL790" s="4">
        <f>IF(D790="M",(IF(AM790&lt;90,BMILMS!$D$14*AM790^3+BMILMS!$E$14*AM790^2+BMILMS!$F$14*AM790+BMILMS!$G$14,BMILMS!$D$15*AM790^3+BMILMS!$E$15*AM790^2+BMILMS!$F$15*AM790+BMILMS!$G$15)),(IF(AM790&lt;90,BMILMS!$D$17*AM790^3+BMILMS!$E$17*AM790^2+BMILMS!$F$17*AM790+BMILMS!$G$17,BMILMS!$D$18*AM790^3+BMILMS!$E$18*AM790^2+BMILMS!$F$18*AM790+BMILMS!$G$18)))</f>
        <v>8.8969350000000003E-2</v>
      </c>
      <c r="AM790" s="4">
        <f t="shared" si="272"/>
        <v>0</v>
      </c>
      <c r="AO790" s="56">
        <f>IF(D790="M",WeightSDS!P$5*$AM790^7+WeightSDS!Q$5*$AM790^6+WeightSDS!R$5*$AM790^5+WeightSDS!S$5*$AM790^4+WeightSDS!T$5*$AM790^3+WeightSDS!U$5*$AM790^2+WeightSDS!V$5*$AM790+WeightSDS!W$5,IF($AM790&lt;186,WeightSDS!P$8*$AM790^7+WeightSDS!Q$8*$AM790^6+WeightSDS!R$8*$AM790^5+WeightSDS!S$8*$AM790^4+WeightSDS!T$8*$AM790^3+WeightSDS!U$8*$AM790^2+WeightSDS!V$8*$AM790+WeightSDS!W$8,WeightSDS!$U$9+WeightSDS!$V$9*($AM790-WeightSDS!$W$9)))</f>
        <v>0.75407122999999998</v>
      </c>
      <c r="AP790" s="4">
        <f>IF(D790="M",IF($AM790&lt;45,WeightSDS!M$23*$AM790^10+WeightSDS!N$23*$AM790^9+WeightSDS!O$23*$AM790^8+WeightSDS!P$23*$AM790^7+WeightSDS!Q$23*$AM790^6+WeightSDS!R$23*$AM790^5+WeightSDS!S$23*$AM790^4+WeightSDS!T$23*$AM790^3+WeightSDS!U$23*$AM790^2+WeightSDS!V$23*$AM790+WeightSDS!W$23,IF($AM790&lt;153,WeightSDS!M$25*$AM790^10+WeightSDS!N$25*$AM790^9+WeightSDS!O$25*$AM790^8+WeightSDS!P$25*$AM790^7+WeightSDS!Q$25*$AM790^6+WeightSDS!R$25*$AM790^5+WeightSDS!S$25*$AM790^4+WeightSDS!T$25*$AM790^3+WeightSDS!U$25*$AM790^2+WeightSDS!V$25*$AM790+WeightSDS!W$25,WeightSDS!M$27+WeightSDS!N$27/(1+EXP(WeightSDS!O$27+WeightSDS!P$27*$AM790)))),IF($AM790&lt;43.8,WeightSDS!M$29*$AM790^10+WeightSDS!N$29*$AM790^9+WeightSDS!O$29*$AM790^8+WeightSDS!P$29*$AM790^7+WeightSDS!Q$29*$AM790^6+WeightSDS!R$29*$AM790^5+WeightSDS!S$29*$AM790^4+WeightSDS!T$29*$AM790^3+WeightSDS!U$29*$AM790^2+WeightSDS!V$29*$AM790+WeightSDS!W$29-0.010431*(1-$AM790/210),IF($AM790&lt;123,WeightSDS!M$30*$AM790^10+WeightSDS!N$30*$AM790^9+WeightSDS!O$30*$AM790^8+WeightSDS!P$30*$AM790^7+WeightSDS!Q$30*$AM790^6+WeightSDS!R$30*$AM790^5+WeightSDS!S$30*$AM790^4+WeightSDS!T$30*$AM790^3+WeightSDS!U$30*$AM790^2+WeightSDS!V$30*$AM790+WeightSDS!W$30-0.010431*(1-1/$AM790),WeightSDS!M$32+WeightSDS!N$32/(1+EXP(WeightSDS!O$32+WeightSDS!P$32*$AM790))-0.010431*(1-$AM790/210))))</f>
        <v>2.9500001032655536</v>
      </c>
      <c r="AQ790" s="4">
        <f>IF(D790="M",IF($AM790&lt;162,WeightSDS!P$12*$AM790^7+WeightSDS!Q$12*$AM790^6+WeightSDS!R$12*$AM790^5+WeightSDS!S$12*$AM790^4+WeightSDS!T$12*$AM790^3+WeightSDS!U$12*$AM790^2+WeightSDS!V$12*$AM790+WeightSDS!W$12,WeightSDS!P$14*$AM790^7+WeightSDS!Q$14*$AM790^6+WeightSDS!R$14*$AM790^5+WeightSDS!S$14*$AM790^4+WeightSDS!T$14*$AM790^3+WeightSDS!U$14*$AM790^2+WeightSDS!V$14*$AM790+WeightSDS!W$14),IF($AM790&lt;156,WeightSDS!O$17*$AM790^8+WeightSDS!P$17*$AM790^7+WeightSDS!Q$17*$AM790^6+WeightSDS!R$17*$AM790^5+WeightSDS!S$17*$AM790^4+WeightSDS!T$17*$AM790^3+WeightSDS!U$17*$AM790^2+WeightSDS!V$17*$AM790+WeightSDS!W$17,IF($AM790&lt;186,WeightSDS!$U$18+(WeightSDS!$V$18-WeightSDS!$U$18)/24*($AM790-186)+WeightSDS!$W$18*(-$AM790+186)^2-0.005,WeightSDS!$U$18+(WeightSDS!$V$18-WeightSDS!$U$18)/24*($AM790-186)-0.005)))</f>
        <v>0.14604529399999999</v>
      </c>
      <c r="AT790" s="4">
        <f t="shared" si="259"/>
        <v>0.56299999999999994</v>
      </c>
      <c r="AU790" s="4">
        <f t="shared" si="260"/>
        <v>69</v>
      </c>
      <c r="AV790" s="4">
        <f t="shared" si="261"/>
        <v>0.51</v>
      </c>
    </row>
    <row r="791" spans="1:48" x14ac:dyDescent="0.15">
      <c r="A791" s="4"/>
      <c r="B791" s="21"/>
      <c r="C791" s="21"/>
      <c r="D791" s="21"/>
      <c r="E791" s="22"/>
      <c r="F791" s="22"/>
      <c r="G791" s="23"/>
      <c r="H791" s="23"/>
      <c r="I791" s="181"/>
      <c r="J791" s="8" t="str">
        <f t="shared" si="253"/>
        <v/>
      </c>
      <c r="K791" s="2" t="str">
        <f t="shared" si="262"/>
        <v/>
      </c>
      <c r="L791" s="2" t="str">
        <f t="shared" si="254"/>
        <v/>
      </c>
      <c r="M791" s="2" t="str">
        <f t="shared" si="263"/>
        <v/>
      </c>
      <c r="N791" s="2" t="str">
        <f t="shared" si="271"/>
        <v/>
      </c>
      <c r="O791" s="2" t="str">
        <f t="shared" si="264"/>
        <v/>
      </c>
      <c r="P791" s="8" t="str">
        <f t="shared" si="265"/>
        <v/>
      </c>
      <c r="Q791" s="8" t="str">
        <f t="shared" si="266"/>
        <v/>
      </c>
      <c r="R791" s="111" t="str">
        <f t="shared" si="267"/>
        <v/>
      </c>
      <c r="S791" s="44" t="str">
        <f t="shared" si="268"/>
        <v/>
      </c>
      <c r="T791" s="37" t="str">
        <f t="shared" si="269"/>
        <v/>
      </c>
      <c r="U791" s="44" t="str">
        <f t="shared" si="270"/>
        <v/>
      </c>
      <c r="V791" s="26"/>
      <c r="W791" s="26"/>
      <c r="X791" s="26"/>
      <c r="Y791" s="26"/>
      <c r="Z791" s="24"/>
      <c r="AA791" s="169">
        <f t="shared" si="255"/>
        <v>0</v>
      </c>
      <c r="AB791" s="4">
        <f t="shared" si="256"/>
        <v>0</v>
      </c>
      <c r="AC791" s="170">
        <f t="shared" si="252"/>
        <v>0</v>
      </c>
      <c r="AD791" s="58"/>
      <c r="AE791" s="58"/>
      <c r="AF791" s="58"/>
      <c r="AG791" s="59">
        <f t="shared" si="257"/>
        <v>9.0359999999999996</v>
      </c>
      <c r="AH791" s="59">
        <f t="shared" si="258"/>
        <v>-184.49199999999999</v>
      </c>
      <c r="AJ791" s="4">
        <f>IF(D791="M",IF(AM791&lt;78,BMILMS!$D$5*AM791^3+BMILMS!$E$5*AM791^2+BMILMS!$F$5*AM791+BMILMS!$G$5,IF(AM791&lt;150,BMILMS!$D$6*AM791^3+BMILMS!$E$6*AM791^2+BMILMS!$F$6*AM791+BMILMS!$G$6,BMILMS!$D$7*AM791^3+BMILMS!$E$7*AM791^2+BMILMS!$F$7*AM791+BMILMS!$G$7)),IF(AM791&lt;69,BMILMS!$D$9*AM791^3+BMILMS!$E$9*AM791^2+BMILMS!$F$9*AM791+BMILMS!$G$9,IF(AM791&lt;150,BMILMS!$D$10*AM791^3+BMILMS!$E$10*AM791^2+BMILMS!$F$10*AM791+BMILMS!$G$10,BMILMS!$D$11*AM791^3+BMILMS!$E$11*AM791^2+BMILMS!$F$11*AM791+BMILMS!$G$11)))</f>
        <v>0.79584630099999998</v>
      </c>
      <c r="AK791" s="4">
        <f>IF(D791="M",(IF(AM791&lt;2.5,BMILMS!$D$21*AM791^3+BMILMS!$E$21*AM791^2+BMILMS!$F$21*AM791+BMILMS!$G$21,IF(AM791&lt;9.5,BMILMS!$D$22*AM791^3+BMILMS!$E$22*AM791^2+BMILMS!$F$22*AM791+BMILMS!$G$22,IF(AM791&lt;26.75,BMILMS!$D$23*AM791^3+BMILMS!$E$23*AM791^2+BMILMS!$F$23*AM791+BMILMS!$G$23,IF(AM791&lt;90,BMILMS!$D$24*AM791^3+BMILMS!$E$24*AM791^2+BMILMS!$F$24*AM791+BMILMS!$G$24,BMILMS!$D$25*AM791^3+BMILMS!$E$25*AM791^2+BMILMS!$F$25*AM791+BMILMS!$G$25))))),(IF(AM791&lt;2.5,BMILMS!$D$27*AM791^3+BMILMS!$E$27*AM791^2+BMILMS!$F$27*AM791+BMILMS!$G$27,IF(AM791&lt;9.5,BMILMS!$D$28*AM791^3+BMILMS!$E$28*AM791^2+BMILMS!$F$28*AM791+BMILMS!$G$28,IF(AM791&lt;26.75,BMILMS!$D$29*AM791^3+BMILMS!$E$29*AM791^2+BMILMS!$F$29*AM791+BMILMS!$G$29,IF(AM791&lt;90,BMILMS!$D$30*AM791^3+BMILMS!$E$30*AM791^2+BMILMS!$F$30*AM791+BMILMS!$G$30,IF(AM791&lt;150,BMILMS!$D$31*AM791^3+BMILMS!$E$31*AM791^2+BMILMS!$F$31*AM791+BMILMS!$G$31,BMILMS!$D$32*AM791^3+BMILMS!$E$32*AM791^2+BMILMS!$F$32*AM791+BMILMS!$G$32)))))))</f>
        <v>12.568967990000001</v>
      </c>
      <c r="AL791" s="4">
        <f>IF(D791="M",(IF(AM791&lt;90,BMILMS!$D$14*AM791^3+BMILMS!$E$14*AM791^2+BMILMS!$F$14*AM791+BMILMS!$G$14,BMILMS!$D$15*AM791^3+BMILMS!$E$15*AM791^2+BMILMS!$F$15*AM791+BMILMS!$G$15)),(IF(AM791&lt;90,BMILMS!$D$17*AM791^3+BMILMS!$E$17*AM791^2+BMILMS!$F$17*AM791+BMILMS!$G$17,BMILMS!$D$18*AM791^3+BMILMS!$E$18*AM791^2+BMILMS!$F$18*AM791+BMILMS!$G$18)))</f>
        <v>8.8969350000000003E-2</v>
      </c>
      <c r="AM791" s="4">
        <f t="shared" si="272"/>
        <v>0</v>
      </c>
      <c r="AO791" s="56">
        <f>IF(D791="M",WeightSDS!P$5*$AM791^7+WeightSDS!Q$5*$AM791^6+WeightSDS!R$5*$AM791^5+WeightSDS!S$5*$AM791^4+WeightSDS!T$5*$AM791^3+WeightSDS!U$5*$AM791^2+WeightSDS!V$5*$AM791+WeightSDS!W$5,IF($AM791&lt;186,WeightSDS!P$8*$AM791^7+WeightSDS!Q$8*$AM791^6+WeightSDS!R$8*$AM791^5+WeightSDS!S$8*$AM791^4+WeightSDS!T$8*$AM791^3+WeightSDS!U$8*$AM791^2+WeightSDS!V$8*$AM791+WeightSDS!W$8,WeightSDS!$U$9+WeightSDS!$V$9*($AM791-WeightSDS!$W$9)))</f>
        <v>0.75407122999999998</v>
      </c>
      <c r="AP791" s="4">
        <f>IF(D791="M",IF($AM791&lt;45,WeightSDS!M$23*$AM791^10+WeightSDS!N$23*$AM791^9+WeightSDS!O$23*$AM791^8+WeightSDS!P$23*$AM791^7+WeightSDS!Q$23*$AM791^6+WeightSDS!R$23*$AM791^5+WeightSDS!S$23*$AM791^4+WeightSDS!T$23*$AM791^3+WeightSDS!U$23*$AM791^2+WeightSDS!V$23*$AM791+WeightSDS!W$23,IF($AM791&lt;153,WeightSDS!M$25*$AM791^10+WeightSDS!N$25*$AM791^9+WeightSDS!O$25*$AM791^8+WeightSDS!P$25*$AM791^7+WeightSDS!Q$25*$AM791^6+WeightSDS!R$25*$AM791^5+WeightSDS!S$25*$AM791^4+WeightSDS!T$25*$AM791^3+WeightSDS!U$25*$AM791^2+WeightSDS!V$25*$AM791+WeightSDS!W$25,WeightSDS!M$27+WeightSDS!N$27/(1+EXP(WeightSDS!O$27+WeightSDS!P$27*$AM791)))),IF($AM791&lt;43.8,WeightSDS!M$29*$AM791^10+WeightSDS!N$29*$AM791^9+WeightSDS!O$29*$AM791^8+WeightSDS!P$29*$AM791^7+WeightSDS!Q$29*$AM791^6+WeightSDS!R$29*$AM791^5+WeightSDS!S$29*$AM791^4+WeightSDS!T$29*$AM791^3+WeightSDS!U$29*$AM791^2+WeightSDS!V$29*$AM791+WeightSDS!W$29-0.010431*(1-$AM791/210),IF($AM791&lt;123,WeightSDS!M$30*$AM791^10+WeightSDS!N$30*$AM791^9+WeightSDS!O$30*$AM791^8+WeightSDS!P$30*$AM791^7+WeightSDS!Q$30*$AM791^6+WeightSDS!R$30*$AM791^5+WeightSDS!S$30*$AM791^4+WeightSDS!T$30*$AM791^3+WeightSDS!U$30*$AM791^2+WeightSDS!V$30*$AM791+WeightSDS!W$30-0.010431*(1-1/$AM791),WeightSDS!M$32+WeightSDS!N$32/(1+EXP(WeightSDS!O$32+WeightSDS!P$32*$AM791))-0.010431*(1-$AM791/210))))</f>
        <v>2.9500001032655536</v>
      </c>
      <c r="AQ791" s="4">
        <f>IF(D791="M",IF($AM791&lt;162,WeightSDS!P$12*$AM791^7+WeightSDS!Q$12*$AM791^6+WeightSDS!R$12*$AM791^5+WeightSDS!S$12*$AM791^4+WeightSDS!T$12*$AM791^3+WeightSDS!U$12*$AM791^2+WeightSDS!V$12*$AM791+WeightSDS!W$12,WeightSDS!P$14*$AM791^7+WeightSDS!Q$14*$AM791^6+WeightSDS!R$14*$AM791^5+WeightSDS!S$14*$AM791^4+WeightSDS!T$14*$AM791^3+WeightSDS!U$14*$AM791^2+WeightSDS!V$14*$AM791+WeightSDS!W$14),IF($AM791&lt;156,WeightSDS!O$17*$AM791^8+WeightSDS!P$17*$AM791^7+WeightSDS!Q$17*$AM791^6+WeightSDS!R$17*$AM791^5+WeightSDS!S$17*$AM791^4+WeightSDS!T$17*$AM791^3+WeightSDS!U$17*$AM791^2+WeightSDS!V$17*$AM791+WeightSDS!W$17,IF($AM791&lt;186,WeightSDS!$U$18+(WeightSDS!$V$18-WeightSDS!$U$18)/24*($AM791-186)+WeightSDS!$W$18*(-$AM791+186)^2-0.005,WeightSDS!$U$18+(WeightSDS!$V$18-WeightSDS!$U$18)/24*($AM791-186)-0.005)))</f>
        <v>0.14604529399999999</v>
      </c>
      <c r="AT791" s="4">
        <f t="shared" si="259"/>
        <v>0.56299999999999994</v>
      </c>
      <c r="AU791" s="4">
        <f t="shared" si="260"/>
        <v>69</v>
      </c>
      <c r="AV791" s="4">
        <f t="shared" si="261"/>
        <v>0.51</v>
      </c>
    </row>
    <row r="792" spans="1:48" x14ac:dyDescent="0.15">
      <c r="A792" s="4"/>
      <c r="B792" s="21"/>
      <c r="C792" s="21"/>
      <c r="D792" s="21"/>
      <c r="E792" s="22"/>
      <c r="F792" s="22"/>
      <c r="G792" s="23"/>
      <c r="H792" s="23"/>
      <c r="I792" s="181"/>
      <c r="J792" s="8" t="str">
        <f t="shared" si="253"/>
        <v/>
      </c>
      <c r="K792" s="2" t="str">
        <f t="shared" si="262"/>
        <v/>
      </c>
      <c r="L792" s="2" t="str">
        <f t="shared" si="254"/>
        <v/>
      </c>
      <c r="M792" s="2" t="str">
        <f t="shared" si="263"/>
        <v/>
      </c>
      <c r="N792" s="2" t="str">
        <f t="shared" si="271"/>
        <v/>
      </c>
      <c r="O792" s="2" t="str">
        <f t="shared" si="264"/>
        <v/>
      </c>
      <c r="P792" s="8" t="str">
        <f t="shared" si="265"/>
        <v/>
      </c>
      <c r="Q792" s="8" t="str">
        <f t="shared" si="266"/>
        <v/>
      </c>
      <c r="R792" s="111" t="str">
        <f t="shared" si="267"/>
        <v/>
      </c>
      <c r="S792" s="44" t="str">
        <f t="shared" si="268"/>
        <v/>
      </c>
      <c r="T792" s="37" t="str">
        <f t="shared" si="269"/>
        <v/>
      </c>
      <c r="U792" s="44" t="str">
        <f t="shared" si="270"/>
        <v/>
      </c>
      <c r="V792" s="26"/>
      <c r="W792" s="26"/>
      <c r="X792" s="26"/>
      <c r="Y792" s="26"/>
      <c r="Z792" s="24"/>
      <c r="AA792" s="169">
        <f t="shared" si="255"/>
        <v>0</v>
      </c>
      <c r="AB792" s="4">
        <f t="shared" si="256"/>
        <v>0</v>
      </c>
      <c r="AC792" s="170">
        <f t="shared" si="252"/>
        <v>0</v>
      </c>
      <c r="AD792" s="58"/>
      <c r="AE792" s="58"/>
      <c r="AF792" s="58"/>
      <c r="AG792" s="59">
        <f t="shared" si="257"/>
        <v>9.0359999999999996</v>
      </c>
      <c r="AH792" s="59">
        <f t="shared" si="258"/>
        <v>-184.49199999999999</v>
      </c>
      <c r="AJ792" s="4">
        <f>IF(D792="M",IF(AM792&lt;78,BMILMS!$D$5*AM792^3+BMILMS!$E$5*AM792^2+BMILMS!$F$5*AM792+BMILMS!$G$5,IF(AM792&lt;150,BMILMS!$D$6*AM792^3+BMILMS!$E$6*AM792^2+BMILMS!$F$6*AM792+BMILMS!$G$6,BMILMS!$D$7*AM792^3+BMILMS!$E$7*AM792^2+BMILMS!$F$7*AM792+BMILMS!$G$7)),IF(AM792&lt;69,BMILMS!$D$9*AM792^3+BMILMS!$E$9*AM792^2+BMILMS!$F$9*AM792+BMILMS!$G$9,IF(AM792&lt;150,BMILMS!$D$10*AM792^3+BMILMS!$E$10*AM792^2+BMILMS!$F$10*AM792+BMILMS!$G$10,BMILMS!$D$11*AM792^3+BMILMS!$E$11*AM792^2+BMILMS!$F$11*AM792+BMILMS!$G$11)))</f>
        <v>0.79584630099999998</v>
      </c>
      <c r="AK792" s="4">
        <f>IF(D792="M",(IF(AM792&lt;2.5,BMILMS!$D$21*AM792^3+BMILMS!$E$21*AM792^2+BMILMS!$F$21*AM792+BMILMS!$G$21,IF(AM792&lt;9.5,BMILMS!$D$22*AM792^3+BMILMS!$E$22*AM792^2+BMILMS!$F$22*AM792+BMILMS!$G$22,IF(AM792&lt;26.75,BMILMS!$D$23*AM792^3+BMILMS!$E$23*AM792^2+BMILMS!$F$23*AM792+BMILMS!$G$23,IF(AM792&lt;90,BMILMS!$D$24*AM792^3+BMILMS!$E$24*AM792^2+BMILMS!$F$24*AM792+BMILMS!$G$24,BMILMS!$D$25*AM792^3+BMILMS!$E$25*AM792^2+BMILMS!$F$25*AM792+BMILMS!$G$25))))),(IF(AM792&lt;2.5,BMILMS!$D$27*AM792^3+BMILMS!$E$27*AM792^2+BMILMS!$F$27*AM792+BMILMS!$G$27,IF(AM792&lt;9.5,BMILMS!$D$28*AM792^3+BMILMS!$E$28*AM792^2+BMILMS!$F$28*AM792+BMILMS!$G$28,IF(AM792&lt;26.75,BMILMS!$D$29*AM792^3+BMILMS!$E$29*AM792^2+BMILMS!$F$29*AM792+BMILMS!$G$29,IF(AM792&lt;90,BMILMS!$D$30*AM792^3+BMILMS!$E$30*AM792^2+BMILMS!$F$30*AM792+BMILMS!$G$30,IF(AM792&lt;150,BMILMS!$D$31*AM792^3+BMILMS!$E$31*AM792^2+BMILMS!$F$31*AM792+BMILMS!$G$31,BMILMS!$D$32*AM792^3+BMILMS!$E$32*AM792^2+BMILMS!$F$32*AM792+BMILMS!$G$32)))))))</f>
        <v>12.568967990000001</v>
      </c>
      <c r="AL792" s="4">
        <f>IF(D792="M",(IF(AM792&lt;90,BMILMS!$D$14*AM792^3+BMILMS!$E$14*AM792^2+BMILMS!$F$14*AM792+BMILMS!$G$14,BMILMS!$D$15*AM792^3+BMILMS!$E$15*AM792^2+BMILMS!$F$15*AM792+BMILMS!$G$15)),(IF(AM792&lt;90,BMILMS!$D$17*AM792^3+BMILMS!$E$17*AM792^2+BMILMS!$F$17*AM792+BMILMS!$G$17,BMILMS!$D$18*AM792^3+BMILMS!$E$18*AM792^2+BMILMS!$F$18*AM792+BMILMS!$G$18)))</f>
        <v>8.8969350000000003E-2</v>
      </c>
      <c r="AM792" s="4">
        <f t="shared" si="272"/>
        <v>0</v>
      </c>
      <c r="AO792" s="56">
        <f>IF(D792="M",WeightSDS!P$5*$AM792^7+WeightSDS!Q$5*$AM792^6+WeightSDS!R$5*$AM792^5+WeightSDS!S$5*$AM792^4+WeightSDS!T$5*$AM792^3+WeightSDS!U$5*$AM792^2+WeightSDS!V$5*$AM792+WeightSDS!W$5,IF($AM792&lt;186,WeightSDS!P$8*$AM792^7+WeightSDS!Q$8*$AM792^6+WeightSDS!R$8*$AM792^5+WeightSDS!S$8*$AM792^4+WeightSDS!T$8*$AM792^3+WeightSDS!U$8*$AM792^2+WeightSDS!V$8*$AM792+WeightSDS!W$8,WeightSDS!$U$9+WeightSDS!$V$9*($AM792-WeightSDS!$W$9)))</f>
        <v>0.75407122999999998</v>
      </c>
      <c r="AP792" s="4">
        <f>IF(D792="M",IF($AM792&lt;45,WeightSDS!M$23*$AM792^10+WeightSDS!N$23*$AM792^9+WeightSDS!O$23*$AM792^8+WeightSDS!P$23*$AM792^7+WeightSDS!Q$23*$AM792^6+WeightSDS!R$23*$AM792^5+WeightSDS!S$23*$AM792^4+WeightSDS!T$23*$AM792^3+WeightSDS!U$23*$AM792^2+WeightSDS!V$23*$AM792+WeightSDS!W$23,IF($AM792&lt;153,WeightSDS!M$25*$AM792^10+WeightSDS!N$25*$AM792^9+WeightSDS!O$25*$AM792^8+WeightSDS!P$25*$AM792^7+WeightSDS!Q$25*$AM792^6+WeightSDS!R$25*$AM792^5+WeightSDS!S$25*$AM792^4+WeightSDS!T$25*$AM792^3+WeightSDS!U$25*$AM792^2+WeightSDS!V$25*$AM792+WeightSDS!W$25,WeightSDS!M$27+WeightSDS!N$27/(1+EXP(WeightSDS!O$27+WeightSDS!P$27*$AM792)))),IF($AM792&lt;43.8,WeightSDS!M$29*$AM792^10+WeightSDS!N$29*$AM792^9+WeightSDS!O$29*$AM792^8+WeightSDS!P$29*$AM792^7+WeightSDS!Q$29*$AM792^6+WeightSDS!R$29*$AM792^5+WeightSDS!S$29*$AM792^4+WeightSDS!T$29*$AM792^3+WeightSDS!U$29*$AM792^2+WeightSDS!V$29*$AM792+WeightSDS!W$29-0.010431*(1-$AM792/210),IF($AM792&lt;123,WeightSDS!M$30*$AM792^10+WeightSDS!N$30*$AM792^9+WeightSDS!O$30*$AM792^8+WeightSDS!P$30*$AM792^7+WeightSDS!Q$30*$AM792^6+WeightSDS!R$30*$AM792^5+WeightSDS!S$30*$AM792^4+WeightSDS!T$30*$AM792^3+WeightSDS!U$30*$AM792^2+WeightSDS!V$30*$AM792+WeightSDS!W$30-0.010431*(1-1/$AM792),WeightSDS!M$32+WeightSDS!N$32/(1+EXP(WeightSDS!O$32+WeightSDS!P$32*$AM792))-0.010431*(1-$AM792/210))))</f>
        <v>2.9500001032655536</v>
      </c>
      <c r="AQ792" s="4">
        <f>IF(D792="M",IF($AM792&lt;162,WeightSDS!P$12*$AM792^7+WeightSDS!Q$12*$AM792^6+WeightSDS!R$12*$AM792^5+WeightSDS!S$12*$AM792^4+WeightSDS!T$12*$AM792^3+WeightSDS!U$12*$AM792^2+WeightSDS!V$12*$AM792+WeightSDS!W$12,WeightSDS!P$14*$AM792^7+WeightSDS!Q$14*$AM792^6+WeightSDS!R$14*$AM792^5+WeightSDS!S$14*$AM792^4+WeightSDS!T$14*$AM792^3+WeightSDS!U$14*$AM792^2+WeightSDS!V$14*$AM792+WeightSDS!W$14),IF($AM792&lt;156,WeightSDS!O$17*$AM792^8+WeightSDS!P$17*$AM792^7+WeightSDS!Q$17*$AM792^6+WeightSDS!R$17*$AM792^5+WeightSDS!S$17*$AM792^4+WeightSDS!T$17*$AM792^3+WeightSDS!U$17*$AM792^2+WeightSDS!V$17*$AM792+WeightSDS!W$17,IF($AM792&lt;186,WeightSDS!$U$18+(WeightSDS!$V$18-WeightSDS!$U$18)/24*($AM792-186)+WeightSDS!$W$18*(-$AM792+186)^2-0.005,WeightSDS!$U$18+(WeightSDS!$V$18-WeightSDS!$U$18)/24*($AM792-186)-0.005)))</f>
        <v>0.14604529399999999</v>
      </c>
      <c r="AT792" s="4">
        <f t="shared" si="259"/>
        <v>0.56299999999999994</v>
      </c>
      <c r="AU792" s="4">
        <f t="shared" si="260"/>
        <v>69</v>
      </c>
      <c r="AV792" s="4">
        <f t="shared" si="261"/>
        <v>0.51</v>
      </c>
    </row>
    <row r="793" spans="1:48" x14ac:dyDescent="0.15">
      <c r="A793" s="4"/>
      <c r="B793" s="21"/>
      <c r="C793" s="21"/>
      <c r="D793" s="21"/>
      <c r="E793" s="22"/>
      <c r="F793" s="22"/>
      <c r="G793" s="23"/>
      <c r="H793" s="23"/>
      <c r="I793" s="181"/>
      <c r="J793" s="8" t="str">
        <f t="shared" si="253"/>
        <v/>
      </c>
      <c r="K793" s="2" t="str">
        <f t="shared" si="262"/>
        <v/>
      </c>
      <c r="L793" s="2" t="str">
        <f t="shared" si="254"/>
        <v/>
      </c>
      <c r="M793" s="2" t="str">
        <f t="shared" si="263"/>
        <v/>
      </c>
      <c r="N793" s="2" t="str">
        <f t="shared" si="271"/>
        <v/>
      </c>
      <c r="O793" s="2" t="str">
        <f t="shared" si="264"/>
        <v/>
      </c>
      <c r="P793" s="8" t="str">
        <f t="shared" si="265"/>
        <v/>
      </c>
      <c r="Q793" s="8" t="str">
        <f t="shared" si="266"/>
        <v/>
      </c>
      <c r="R793" s="111" t="str">
        <f t="shared" si="267"/>
        <v/>
      </c>
      <c r="S793" s="44" t="str">
        <f t="shared" si="268"/>
        <v/>
      </c>
      <c r="T793" s="37" t="str">
        <f t="shared" si="269"/>
        <v/>
      </c>
      <c r="U793" s="44" t="str">
        <f t="shared" si="270"/>
        <v/>
      </c>
      <c r="V793" s="26"/>
      <c r="W793" s="26"/>
      <c r="X793" s="26"/>
      <c r="Y793" s="26"/>
      <c r="Z793" s="24"/>
      <c r="AA793" s="169">
        <f t="shared" si="255"/>
        <v>0</v>
      </c>
      <c r="AB793" s="4">
        <f t="shared" si="256"/>
        <v>0</v>
      </c>
      <c r="AC793" s="170">
        <f t="shared" si="252"/>
        <v>0</v>
      </c>
      <c r="AD793" s="58"/>
      <c r="AE793" s="58"/>
      <c r="AF793" s="58"/>
      <c r="AG793" s="59">
        <f t="shared" si="257"/>
        <v>9.0359999999999996</v>
      </c>
      <c r="AH793" s="59">
        <f t="shared" si="258"/>
        <v>-184.49199999999999</v>
      </c>
      <c r="AJ793" s="4">
        <f>IF(D793="M",IF(AM793&lt;78,BMILMS!$D$5*AM793^3+BMILMS!$E$5*AM793^2+BMILMS!$F$5*AM793+BMILMS!$G$5,IF(AM793&lt;150,BMILMS!$D$6*AM793^3+BMILMS!$E$6*AM793^2+BMILMS!$F$6*AM793+BMILMS!$G$6,BMILMS!$D$7*AM793^3+BMILMS!$E$7*AM793^2+BMILMS!$F$7*AM793+BMILMS!$G$7)),IF(AM793&lt;69,BMILMS!$D$9*AM793^3+BMILMS!$E$9*AM793^2+BMILMS!$F$9*AM793+BMILMS!$G$9,IF(AM793&lt;150,BMILMS!$D$10*AM793^3+BMILMS!$E$10*AM793^2+BMILMS!$F$10*AM793+BMILMS!$G$10,BMILMS!$D$11*AM793^3+BMILMS!$E$11*AM793^2+BMILMS!$F$11*AM793+BMILMS!$G$11)))</f>
        <v>0.79584630099999998</v>
      </c>
      <c r="AK793" s="4">
        <f>IF(D793="M",(IF(AM793&lt;2.5,BMILMS!$D$21*AM793^3+BMILMS!$E$21*AM793^2+BMILMS!$F$21*AM793+BMILMS!$G$21,IF(AM793&lt;9.5,BMILMS!$D$22*AM793^3+BMILMS!$E$22*AM793^2+BMILMS!$F$22*AM793+BMILMS!$G$22,IF(AM793&lt;26.75,BMILMS!$D$23*AM793^3+BMILMS!$E$23*AM793^2+BMILMS!$F$23*AM793+BMILMS!$G$23,IF(AM793&lt;90,BMILMS!$D$24*AM793^3+BMILMS!$E$24*AM793^2+BMILMS!$F$24*AM793+BMILMS!$G$24,BMILMS!$D$25*AM793^3+BMILMS!$E$25*AM793^2+BMILMS!$F$25*AM793+BMILMS!$G$25))))),(IF(AM793&lt;2.5,BMILMS!$D$27*AM793^3+BMILMS!$E$27*AM793^2+BMILMS!$F$27*AM793+BMILMS!$G$27,IF(AM793&lt;9.5,BMILMS!$D$28*AM793^3+BMILMS!$E$28*AM793^2+BMILMS!$F$28*AM793+BMILMS!$G$28,IF(AM793&lt;26.75,BMILMS!$D$29*AM793^3+BMILMS!$E$29*AM793^2+BMILMS!$F$29*AM793+BMILMS!$G$29,IF(AM793&lt;90,BMILMS!$D$30*AM793^3+BMILMS!$E$30*AM793^2+BMILMS!$F$30*AM793+BMILMS!$G$30,IF(AM793&lt;150,BMILMS!$D$31*AM793^3+BMILMS!$E$31*AM793^2+BMILMS!$F$31*AM793+BMILMS!$G$31,BMILMS!$D$32*AM793^3+BMILMS!$E$32*AM793^2+BMILMS!$F$32*AM793+BMILMS!$G$32)))))))</f>
        <v>12.568967990000001</v>
      </c>
      <c r="AL793" s="4">
        <f>IF(D793="M",(IF(AM793&lt;90,BMILMS!$D$14*AM793^3+BMILMS!$E$14*AM793^2+BMILMS!$F$14*AM793+BMILMS!$G$14,BMILMS!$D$15*AM793^3+BMILMS!$E$15*AM793^2+BMILMS!$F$15*AM793+BMILMS!$G$15)),(IF(AM793&lt;90,BMILMS!$D$17*AM793^3+BMILMS!$E$17*AM793^2+BMILMS!$F$17*AM793+BMILMS!$G$17,BMILMS!$D$18*AM793^3+BMILMS!$E$18*AM793^2+BMILMS!$F$18*AM793+BMILMS!$G$18)))</f>
        <v>8.8969350000000003E-2</v>
      </c>
      <c r="AM793" s="4">
        <f t="shared" si="272"/>
        <v>0</v>
      </c>
      <c r="AO793" s="56">
        <f>IF(D793="M",WeightSDS!P$5*$AM793^7+WeightSDS!Q$5*$AM793^6+WeightSDS!R$5*$AM793^5+WeightSDS!S$5*$AM793^4+WeightSDS!T$5*$AM793^3+WeightSDS!U$5*$AM793^2+WeightSDS!V$5*$AM793+WeightSDS!W$5,IF($AM793&lt;186,WeightSDS!P$8*$AM793^7+WeightSDS!Q$8*$AM793^6+WeightSDS!R$8*$AM793^5+WeightSDS!S$8*$AM793^4+WeightSDS!T$8*$AM793^3+WeightSDS!U$8*$AM793^2+WeightSDS!V$8*$AM793+WeightSDS!W$8,WeightSDS!$U$9+WeightSDS!$V$9*($AM793-WeightSDS!$W$9)))</f>
        <v>0.75407122999999998</v>
      </c>
      <c r="AP793" s="4">
        <f>IF(D793="M",IF($AM793&lt;45,WeightSDS!M$23*$AM793^10+WeightSDS!N$23*$AM793^9+WeightSDS!O$23*$AM793^8+WeightSDS!P$23*$AM793^7+WeightSDS!Q$23*$AM793^6+WeightSDS!R$23*$AM793^5+WeightSDS!S$23*$AM793^4+WeightSDS!T$23*$AM793^3+WeightSDS!U$23*$AM793^2+WeightSDS!V$23*$AM793+WeightSDS!W$23,IF($AM793&lt;153,WeightSDS!M$25*$AM793^10+WeightSDS!N$25*$AM793^9+WeightSDS!O$25*$AM793^8+WeightSDS!P$25*$AM793^7+WeightSDS!Q$25*$AM793^6+WeightSDS!R$25*$AM793^5+WeightSDS!S$25*$AM793^4+WeightSDS!T$25*$AM793^3+WeightSDS!U$25*$AM793^2+WeightSDS!V$25*$AM793+WeightSDS!W$25,WeightSDS!M$27+WeightSDS!N$27/(1+EXP(WeightSDS!O$27+WeightSDS!P$27*$AM793)))),IF($AM793&lt;43.8,WeightSDS!M$29*$AM793^10+WeightSDS!N$29*$AM793^9+WeightSDS!O$29*$AM793^8+WeightSDS!P$29*$AM793^7+WeightSDS!Q$29*$AM793^6+WeightSDS!R$29*$AM793^5+WeightSDS!S$29*$AM793^4+WeightSDS!T$29*$AM793^3+WeightSDS!U$29*$AM793^2+WeightSDS!V$29*$AM793+WeightSDS!W$29-0.010431*(1-$AM793/210),IF($AM793&lt;123,WeightSDS!M$30*$AM793^10+WeightSDS!N$30*$AM793^9+WeightSDS!O$30*$AM793^8+WeightSDS!P$30*$AM793^7+WeightSDS!Q$30*$AM793^6+WeightSDS!R$30*$AM793^5+WeightSDS!S$30*$AM793^4+WeightSDS!T$30*$AM793^3+WeightSDS!U$30*$AM793^2+WeightSDS!V$30*$AM793+WeightSDS!W$30-0.010431*(1-1/$AM793),WeightSDS!M$32+WeightSDS!N$32/(1+EXP(WeightSDS!O$32+WeightSDS!P$32*$AM793))-0.010431*(1-$AM793/210))))</f>
        <v>2.9500001032655536</v>
      </c>
      <c r="AQ793" s="4">
        <f>IF(D793="M",IF($AM793&lt;162,WeightSDS!P$12*$AM793^7+WeightSDS!Q$12*$AM793^6+WeightSDS!R$12*$AM793^5+WeightSDS!S$12*$AM793^4+WeightSDS!T$12*$AM793^3+WeightSDS!U$12*$AM793^2+WeightSDS!V$12*$AM793+WeightSDS!W$12,WeightSDS!P$14*$AM793^7+WeightSDS!Q$14*$AM793^6+WeightSDS!R$14*$AM793^5+WeightSDS!S$14*$AM793^4+WeightSDS!T$14*$AM793^3+WeightSDS!U$14*$AM793^2+WeightSDS!V$14*$AM793+WeightSDS!W$14),IF($AM793&lt;156,WeightSDS!O$17*$AM793^8+WeightSDS!P$17*$AM793^7+WeightSDS!Q$17*$AM793^6+WeightSDS!R$17*$AM793^5+WeightSDS!S$17*$AM793^4+WeightSDS!T$17*$AM793^3+WeightSDS!U$17*$AM793^2+WeightSDS!V$17*$AM793+WeightSDS!W$17,IF($AM793&lt;186,WeightSDS!$U$18+(WeightSDS!$V$18-WeightSDS!$U$18)/24*($AM793-186)+WeightSDS!$W$18*(-$AM793+186)^2-0.005,WeightSDS!$U$18+(WeightSDS!$V$18-WeightSDS!$U$18)/24*($AM793-186)-0.005)))</f>
        <v>0.14604529399999999</v>
      </c>
      <c r="AT793" s="4">
        <f t="shared" si="259"/>
        <v>0.56299999999999994</v>
      </c>
      <c r="AU793" s="4">
        <f t="shared" si="260"/>
        <v>69</v>
      </c>
      <c r="AV793" s="4">
        <f t="shared" si="261"/>
        <v>0.51</v>
      </c>
    </row>
    <row r="794" spans="1:48" x14ac:dyDescent="0.15">
      <c r="A794" s="4"/>
      <c r="B794" s="21"/>
      <c r="C794" s="21"/>
      <c r="D794" s="21"/>
      <c r="E794" s="22"/>
      <c r="F794" s="22"/>
      <c r="G794" s="23"/>
      <c r="H794" s="23"/>
      <c r="I794" s="181"/>
      <c r="J794" s="8" t="str">
        <f t="shared" si="253"/>
        <v/>
      </c>
      <c r="K794" s="2" t="str">
        <f t="shared" si="262"/>
        <v/>
      </c>
      <c r="L794" s="2" t="str">
        <f t="shared" si="254"/>
        <v/>
      </c>
      <c r="M794" s="2" t="str">
        <f t="shared" si="263"/>
        <v/>
      </c>
      <c r="N794" s="2" t="str">
        <f t="shared" si="271"/>
        <v/>
      </c>
      <c r="O794" s="2" t="str">
        <f t="shared" si="264"/>
        <v/>
      </c>
      <c r="P794" s="8" t="str">
        <f t="shared" si="265"/>
        <v/>
      </c>
      <c r="Q794" s="8" t="str">
        <f t="shared" si="266"/>
        <v/>
      </c>
      <c r="R794" s="111" t="str">
        <f t="shared" si="267"/>
        <v/>
      </c>
      <c r="S794" s="44" t="str">
        <f t="shared" si="268"/>
        <v/>
      </c>
      <c r="T794" s="37" t="str">
        <f t="shared" si="269"/>
        <v/>
      </c>
      <c r="U794" s="44" t="str">
        <f t="shared" si="270"/>
        <v/>
      </c>
      <c r="V794" s="26"/>
      <c r="W794" s="26"/>
      <c r="X794" s="26"/>
      <c r="Y794" s="26"/>
      <c r="Z794" s="24"/>
      <c r="AA794" s="169">
        <f t="shared" si="255"/>
        <v>0</v>
      </c>
      <c r="AB794" s="4">
        <f t="shared" si="256"/>
        <v>0</v>
      </c>
      <c r="AC794" s="170">
        <f t="shared" si="252"/>
        <v>0</v>
      </c>
      <c r="AD794" s="58"/>
      <c r="AE794" s="58"/>
      <c r="AF794" s="58"/>
      <c r="AG794" s="59">
        <f t="shared" si="257"/>
        <v>9.0359999999999996</v>
      </c>
      <c r="AH794" s="59">
        <f t="shared" si="258"/>
        <v>-184.49199999999999</v>
      </c>
      <c r="AJ794" s="4">
        <f>IF(D794="M",IF(AM794&lt;78,BMILMS!$D$5*AM794^3+BMILMS!$E$5*AM794^2+BMILMS!$F$5*AM794+BMILMS!$G$5,IF(AM794&lt;150,BMILMS!$D$6*AM794^3+BMILMS!$E$6*AM794^2+BMILMS!$F$6*AM794+BMILMS!$G$6,BMILMS!$D$7*AM794^3+BMILMS!$E$7*AM794^2+BMILMS!$F$7*AM794+BMILMS!$G$7)),IF(AM794&lt;69,BMILMS!$D$9*AM794^3+BMILMS!$E$9*AM794^2+BMILMS!$F$9*AM794+BMILMS!$G$9,IF(AM794&lt;150,BMILMS!$D$10*AM794^3+BMILMS!$E$10*AM794^2+BMILMS!$F$10*AM794+BMILMS!$G$10,BMILMS!$D$11*AM794^3+BMILMS!$E$11*AM794^2+BMILMS!$F$11*AM794+BMILMS!$G$11)))</f>
        <v>0.79584630099999998</v>
      </c>
      <c r="AK794" s="4">
        <f>IF(D794="M",(IF(AM794&lt;2.5,BMILMS!$D$21*AM794^3+BMILMS!$E$21*AM794^2+BMILMS!$F$21*AM794+BMILMS!$G$21,IF(AM794&lt;9.5,BMILMS!$D$22*AM794^3+BMILMS!$E$22*AM794^2+BMILMS!$F$22*AM794+BMILMS!$G$22,IF(AM794&lt;26.75,BMILMS!$D$23*AM794^3+BMILMS!$E$23*AM794^2+BMILMS!$F$23*AM794+BMILMS!$G$23,IF(AM794&lt;90,BMILMS!$D$24*AM794^3+BMILMS!$E$24*AM794^2+BMILMS!$F$24*AM794+BMILMS!$G$24,BMILMS!$D$25*AM794^3+BMILMS!$E$25*AM794^2+BMILMS!$F$25*AM794+BMILMS!$G$25))))),(IF(AM794&lt;2.5,BMILMS!$D$27*AM794^3+BMILMS!$E$27*AM794^2+BMILMS!$F$27*AM794+BMILMS!$G$27,IF(AM794&lt;9.5,BMILMS!$D$28*AM794^3+BMILMS!$E$28*AM794^2+BMILMS!$F$28*AM794+BMILMS!$G$28,IF(AM794&lt;26.75,BMILMS!$D$29*AM794^3+BMILMS!$E$29*AM794^2+BMILMS!$F$29*AM794+BMILMS!$G$29,IF(AM794&lt;90,BMILMS!$D$30*AM794^3+BMILMS!$E$30*AM794^2+BMILMS!$F$30*AM794+BMILMS!$G$30,IF(AM794&lt;150,BMILMS!$D$31*AM794^3+BMILMS!$E$31*AM794^2+BMILMS!$F$31*AM794+BMILMS!$G$31,BMILMS!$D$32*AM794^3+BMILMS!$E$32*AM794^2+BMILMS!$F$32*AM794+BMILMS!$G$32)))))))</f>
        <v>12.568967990000001</v>
      </c>
      <c r="AL794" s="4">
        <f>IF(D794="M",(IF(AM794&lt;90,BMILMS!$D$14*AM794^3+BMILMS!$E$14*AM794^2+BMILMS!$F$14*AM794+BMILMS!$G$14,BMILMS!$D$15*AM794^3+BMILMS!$E$15*AM794^2+BMILMS!$F$15*AM794+BMILMS!$G$15)),(IF(AM794&lt;90,BMILMS!$D$17*AM794^3+BMILMS!$E$17*AM794^2+BMILMS!$F$17*AM794+BMILMS!$G$17,BMILMS!$D$18*AM794^3+BMILMS!$E$18*AM794^2+BMILMS!$F$18*AM794+BMILMS!$G$18)))</f>
        <v>8.8969350000000003E-2</v>
      </c>
      <c r="AM794" s="4">
        <f t="shared" si="272"/>
        <v>0</v>
      </c>
      <c r="AO794" s="56">
        <f>IF(D794="M",WeightSDS!P$5*$AM794^7+WeightSDS!Q$5*$AM794^6+WeightSDS!R$5*$AM794^5+WeightSDS!S$5*$AM794^4+WeightSDS!T$5*$AM794^3+WeightSDS!U$5*$AM794^2+WeightSDS!V$5*$AM794+WeightSDS!W$5,IF($AM794&lt;186,WeightSDS!P$8*$AM794^7+WeightSDS!Q$8*$AM794^6+WeightSDS!R$8*$AM794^5+WeightSDS!S$8*$AM794^4+WeightSDS!T$8*$AM794^3+WeightSDS!U$8*$AM794^2+WeightSDS!V$8*$AM794+WeightSDS!W$8,WeightSDS!$U$9+WeightSDS!$V$9*($AM794-WeightSDS!$W$9)))</f>
        <v>0.75407122999999998</v>
      </c>
      <c r="AP794" s="4">
        <f>IF(D794="M",IF($AM794&lt;45,WeightSDS!M$23*$AM794^10+WeightSDS!N$23*$AM794^9+WeightSDS!O$23*$AM794^8+WeightSDS!P$23*$AM794^7+WeightSDS!Q$23*$AM794^6+WeightSDS!R$23*$AM794^5+WeightSDS!S$23*$AM794^4+WeightSDS!T$23*$AM794^3+WeightSDS!U$23*$AM794^2+WeightSDS!V$23*$AM794+WeightSDS!W$23,IF($AM794&lt;153,WeightSDS!M$25*$AM794^10+WeightSDS!N$25*$AM794^9+WeightSDS!O$25*$AM794^8+WeightSDS!P$25*$AM794^7+WeightSDS!Q$25*$AM794^6+WeightSDS!R$25*$AM794^5+WeightSDS!S$25*$AM794^4+WeightSDS!T$25*$AM794^3+WeightSDS!U$25*$AM794^2+WeightSDS!V$25*$AM794+WeightSDS!W$25,WeightSDS!M$27+WeightSDS!N$27/(1+EXP(WeightSDS!O$27+WeightSDS!P$27*$AM794)))),IF($AM794&lt;43.8,WeightSDS!M$29*$AM794^10+WeightSDS!N$29*$AM794^9+WeightSDS!O$29*$AM794^8+WeightSDS!P$29*$AM794^7+WeightSDS!Q$29*$AM794^6+WeightSDS!R$29*$AM794^5+WeightSDS!S$29*$AM794^4+WeightSDS!T$29*$AM794^3+WeightSDS!U$29*$AM794^2+WeightSDS!V$29*$AM794+WeightSDS!W$29-0.010431*(1-$AM794/210),IF($AM794&lt;123,WeightSDS!M$30*$AM794^10+WeightSDS!N$30*$AM794^9+WeightSDS!O$30*$AM794^8+WeightSDS!P$30*$AM794^7+WeightSDS!Q$30*$AM794^6+WeightSDS!R$30*$AM794^5+WeightSDS!S$30*$AM794^4+WeightSDS!T$30*$AM794^3+WeightSDS!U$30*$AM794^2+WeightSDS!V$30*$AM794+WeightSDS!W$30-0.010431*(1-1/$AM794),WeightSDS!M$32+WeightSDS!N$32/(1+EXP(WeightSDS!O$32+WeightSDS!P$32*$AM794))-0.010431*(1-$AM794/210))))</f>
        <v>2.9500001032655536</v>
      </c>
      <c r="AQ794" s="4">
        <f>IF(D794="M",IF($AM794&lt;162,WeightSDS!P$12*$AM794^7+WeightSDS!Q$12*$AM794^6+WeightSDS!R$12*$AM794^5+WeightSDS!S$12*$AM794^4+WeightSDS!T$12*$AM794^3+WeightSDS!U$12*$AM794^2+WeightSDS!V$12*$AM794+WeightSDS!W$12,WeightSDS!P$14*$AM794^7+WeightSDS!Q$14*$AM794^6+WeightSDS!R$14*$AM794^5+WeightSDS!S$14*$AM794^4+WeightSDS!T$14*$AM794^3+WeightSDS!U$14*$AM794^2+WeightSDS!V$14*$AM794+WeightSDS!W$14),IF($AM794&lt;156,WeightSDS!O$17*$AM794^8+WeightSDS!P$17*$AM794^7+WeightSDS!Q$17*$AM794^6+WeightSDS!R$17*$AM794^5+WeightSDS!S$17*$AM794^4+WeightSDS!T$17*$AM794^3+WeightSDS!U$17*$AM794^2+WeightSDS!V$17*$AM794+WeightSDS!W$17,IF($AM794&lt;186,WeightSDS!$U$18+(WeightSDS!$V$18-WeightSDS!$U$18)/24*($AM794-186)+WeightSDS!$W$18*(-$AM794+186)^2-0.005,WeightSDS!$U$18+(WeightSDS!$V$18-WeightSDS!$U$18)/24*($AM794-186)-0.005)))</f>
        <v>0.14604529399999999</v>
      </c>
      <c r="AT794" s="4">
        <f t="shared" si="259"/>
        <v>0.56299999999999994</v>
      </c>
      <c r="AU794" s="4">
        <f t="shared" si="260"/>
        <v>69</v>
      </c>
      <c r="AV794" s="4">
        <f t="shared" si="261"/>
        <v>0.51</v>
      </c>
    </row>
    <row r="795" spans="1:48" x14ac:dyDescent="0.15">
      <c r="A795" s="4"/>
      <c r="B795" s="21"/>
      <c r="C795" s="21"/>
      <c r="D795" s="21"/>
      <c r="E795" s="22"/>
      <c r="F795" s="22"/>
      <c r="G795" s="23"/>
      <c r="H795" s="23"/>
      <c r="I795" s="181"/>
      <c r="J795" s="8" t="str">
        <f t="shared" si="253"/>
        <v/>
      </c>
      <c r="K795" s="2" t="str">
        <f t="shared" si="262"/>
        <v/>
      </c>
      <c r="L795" s="2" t="str">
        <f t="shared" si="254"/>
        <v/>
      </c>
      <c r="M795" s="2" t="str">
        <f t="shared" si="263"/>
        <v/>
      </c>
      <c r="N795" s="2" t="str">
        <f t="shared" si="271"/>
        <v/>
      </c>
      <c r="O795" s="2" t="str">
        <f t="shared" si="264"/>
        <v/>
      </c>
      <c r="P795" s="8" t="str">
        <f t="shared" si="265"/>
        <v/>
      </c>
      <c r="Q795" s="8" t="str">
        <f t="shared" si="266"/>
        <v/>
      </c>
      <c r="R795" s="111" t="str">
        <f t="shared" si="267"/>
        <v/>
      </c>
      <c r="S795" s="44" t="str">
        <f t="shared" si="268"/>
        <v/>
      </c>
      <c r="T795" s="37" t="str">
        <f t="shared" si="269"/>
        <v/>
      </c>
      <c r="U795" s="44" t="str">
        <f t="shared" si="270"/>
        <v/>
      </c>
      <c r="V795" s="26"/>
      <c r="W795" s="26"/>
      <c r="X795" s="26"/>
      <c r="Y795" s="26"/>
      <c r="Z795" s="24"/>
      <c r="AA795" s="169">
        <f t="shared" si="255"/>
        <v>0</v>
      </c>
      <c r="AB795" s="4">
        <f t="shared" si="256"/>
        <v>0</v>
      </c>
      <c r="AC795" s="170">
        <f t="shared" si="252"/>
        <v>0</v>
      </c>
      <c r="AD795" s="58"/>
      <c r="AE795" s="58"/>
      <c r="AF795" s="58"/>
      <c r="AG795" s="59">
        <f t="shared" si="257"/>
        <v>9.0359999999999996</v>
      </c>
      <c r="AH795" s="59">
        <f t="shared" si="258"/>
        <v>-184.49199999999999</v>
      </c>
      <c r="AJ795" s="4">
        <f>IF(D795="M",IF(AM795&lt;78,BMILMS!$D$5*AM795^3+BMILMS!$E$5*AM795^2+BMILMS!$F$5*AM795+BMILMS!$G$5,IF(AM795&lt;150,BMILMS!$D$6*AM795^3+BMILMS!$E$6*AM795^2+BMILMS!$F$6*AM795+BMILMS!$G$6,BMILMS!$D$7*AM795^3+BMILMS!$E$7*AM795^2+BMILMS!$F$7*AM795+BMILMS!$G$7)),IF(AM795&lt;69,BMILMS!$D$9*AM795^3+BMILMS!$E$9*AM795^2+BMILMS!$F$9*AM795+BMILMS!$G$9,IF(AM795&lt;150,BMILMS!$D$10*AM795^3+BMILMS!$E$10*AM795^2+BMILMS!$F$10*AM795+BMILMS!$G$10,BMILMS!$D$11*AM795^3+BMILMS!$E$11*AM795^2+BMILMS!$F$11*AM795+BMILMS!$G$11)))</f>
        <v>0.79584630099999998</v>
      </c>
      <c r="AK795" s="4">
        <f>IF(D795="M",(IF(AM795&lt;2.5,BMILMS!$D$21*AM795^3+BMILMS!$E$21*AM795^2+BMILMS!$F$21*AM795+BMILMS!$G$21,IF(AM795&lt;9.5,BMILMS!$D$22*AM795^3+BMILMS!$E$22*AM795^2+BMILMS!$F$22*AM795+BMILMS!$G$22,IF(AM795&lt;26.75,BMILMS!$D$23*AM795^3+BMILMS!$E$23*AM795^2+BMILMS!$F$23*AM795+BMILMS!$G$23,IF(AM795&lt;90,BMILMS!$D$24*AM795^3+BMILMS!$E$24*AM795^2+BMILMS!$F$24*AM795+BMILMS!$G$24,BMILMS!$D$25*AM795^3+BMILMS!$E$25*AM795^2+BMILMS!$F$25*AM795+BMILMS!$G$25))))),(IF(AM795&lt;2.5,BMILMS!$D$27*AM795^3+BMILMS!$E$27*AM795^2+BMILMS!$F$27*AM795+BMILMS!$G$27,IF(AM795&lt;9.5,BMILMS!$D$28*AM795^3+BMILMS!$E$28*AM795^2+BMILMS!$F$28*AM795+BMILMS!$G$28,IF(AM795&lt;26.75,BMILMS!$D$29*AM795^3+BMILMS!$E$29*AM795^2+BMILMS!$F$29*AM795+BMILMS!$G$29,IF(AM795&lt;90,BMILMS!$D$30*AM795^3+BMILMS!$E$30*AM795^2+BMILMS!$F$30*AM795+BMILMS!$G$30,IF(AM795&lt;150,BMILMS!$D$31*AM795^3+BMILMS!$E$31*AM795^2+BMILMS!$F$31*AM795+BMILMS!$G$31,BMILMS!$D$32*AM795^3+BMILMS!$E$32*AM795^2+BMILMS!$F$32*AM795+BMILMS!$G$32)))))))</f>
        <v>12.568967990000001</v>
      </c>
      <c r="AL795" s="4">
        <f>IF(D795="M",(IF(AM795&lt;90,BMILMS!$D$14*AM795^3+BMILMS!$E$14*AM795^2+BMILMS!$F$14*AM795+BMILMS!$G$14,BMILMS!$D$15*AM795^3+BMILMS!$E$15*AM795^2+BMILMS!$F$15*AM795+BMILMS!$G$15)),(IF(AM795&lt;90,BMILMS!$D$17*AM795^3+BMILMS!$E$17*AM795^2+BMILMS!$F$17*AM795+BMILMS!$G$17,BMILMS!$D$18*AM795^3+BMILMS!$E$18*AM795^2+BMILMS!$F$18*AM795+BMILMS!$G$18)))</f>
        <v>8.8969350000000003E-2</v>
      </c>
      <c r="AM795" s="4">
        <f t="shared" si="272"/>
        <v>0</v>
      </c>
      <c r="AO795" s="56">
        <f>IF(D795="M",WeightSDS!P$5*$AM795^7+WeightSDS!Q$5*$AM795^6+WeightSDS!R$5*$AM795^5+WeightSDS!S$5*$AM795^4+WeightSDS!T$5*$AM795^3+WeightSDS!U$5*$AM795^2+WeightSDS!V$5*$AM795+WeightSDS!W$5,IF($AM795&lt;186,WeightSDS!P$8*$AM795^7+WeightSDS!Q$8*$AM795^6+WeightSDS!R$8*$AM795^5+WeightSDS!S$8*$AM795^4+WeightSDS!T$8*$AM795^3+WeightSDS!U$8*$AM795^2+WeightSDS!V$8*$AM795+WeightSDS!W$8,WeightSDS!$U$9+WeightSDS!$V$9*($AM795-WeightSDS!$W$9)))</f>
        <v>0.75407122999999998</v>
      </c>
      <c r="AP795" s="4">
        <f>IF(D795="M",IF($AM795&lt;45,WeightSDS!M$23*$AM795^10+WeightSDS!N$23*$AM795^9+WeightSDS!O$23*$AM795^8+WeightSDS!P$23*$AM795^7+WeightSDS!Q$23*$AM795^6+WeightSDS!R$23*$AM795^5+WeightSDS!S$23*$AM795^4+WeightSDS!T$23*$AM795^3+WeightSDS!U$23*$AM795^2+WeightSDS!V$23*$AM795+WeightSDS!W$23,IF($AM795&lt;153,WeightSDS!M$25*$AM795^10+WeightSDS!N$25*$AM795^9+WeightSDS!O$25*$AM795^8+WeightSDS!P$25*$AM795^7+WeightSDS!Q$25*$AM795^6+WeightSDS!R$25*$AM795^5+WeightSDS!S$25*$AM795^4+WeightSDS!T$25*$AM795^3+WeightSDS!U$25*$AM795^2+WeightSDS!V$25*$AM795+WeightSDS!W$25,WeightSDS!M$27+WeightSDS!N$27/(1+EXP(WeightSDS!O$27+WeightSDS!P$27*$AM795)))),IF($AM795&lt;43.8,WeightSDS!M$29*$AM795^10+WeightSDS!N$29*$AM795^9+WeightSDS!O$29*$AM795^8+WeightSDS!P$29*$AM795^7+WeightSDS!Q$29*$AM795^6+WeightSDS!R$29*$AM795^5+WeightSDS!S$29*$AM795^4+WeightSDS!T$29*$AM795^3+WeightSDS!U$29*$AM795^2+WeightSDS!V$29*$AM795+WeightSDS!W$29-0.010431*(1-$AM795/210),IF($AM795&lt;123,WeightSDS!M$30*$AM795^10+WeightSDS!N$30*$AM795^9+WeightSDS!O$30*$AM795^8+WeightSDS!P$30*$AM795^7+WeightSDS!Q$30*$AM795^6+WeightSDS!R$30*$AM795^5+WeightSDS!S$30*$AM795^4+WeightSDS!T$30*$AM795^3+WeightSDS!U$30*$AM795^2+WeightSDS!V$30*$AM795+WeightSDS!W$30-0.010431*(1-1/$AM795),WeightSDS!M$32+WeightSDS!N$32/(1+EXP(WeightSDS!O$32+WeightSDS!P$32*$AM795))-0.010431*(1-$AM795/210))))</f>
        <v>2.9500001032655536</v>
      </c>
      <c r="AQ795" s="4">
        <f>IF(D795="M",IF($AM795&lt;162,WeightSDS!P$12*$AM795^7+WeightSDS!Q$12*$AM795^6+WeightSDS!R$12*$AM795^5+WeightSDS!S$12*$AM795^4+WeightSDS!T$12*$AM795^3+WeightSDS!U$12*$AM795^2+WeightSDS!V$12*$AM795+WeightSDS!W$12,WeightSDS!P$14*$AM795^7+WeightSDS!Q$14*$AM795^6+WeightSDS!R$14*$AM795^5+WeightSDS!S$14*$AM795^4+WeightSDS!T$14*$AM795^3+WeightSDS!U$14*$AM795^2+WeightSDS!V$14*$AM795+WeightSDS!W$14),IF($AM795&lt;156,WeightSDS!O$17*$AM795^8+WeightSDS!P$17*$AM795^7+WeightSDS!Q$17*$AM795^6+WeightSDS!R$17*$AM795^5+WeightSDS!S$17*$AM795^4+WeightSDS!T$17*$AM795^3+WeightSDS!U$17*$AM795^2+WeightSDS!V$17*$AM795+WeightSDS!W$17,IF($AM795&lt;186,WeightSDS!$U$18+(WeightSDS!$V$18-WeightSDS!$U$18)/24*($AM795-186)+WeightSDS!$W$18*(-$AM795+186)^2-0.005,WeightSDS!$U$18+(WeightSDS!$V$18-WeightSDS!$U$18)/24*($AM795-186)-0.005)))</f>
        <v>0.14604529399999999</v>
      </c>
      <c r="AT795" s="4">
        <f t="shared" si="259"/>
        <v>0.56299999999999994</v>
      </c>
      <c r="AU795" s="4">
        <f t="shared" si="260"/>
        <v>69</v>
      </c>
      <c r="AV795" s="4">
        <f t="shared" si="261"/>
        <v>0.51</v>
      </c>
    </row>
    <row r="796" spans="1:48" x14ac:dyDescent="0.15">
      <c r="A796" s="4"/>
      <c r="B796" s="21"/>
      <c r="C796" s="21"/>
      <c r="D796" s="21"/>
      <c r="E796" s="22"/>
      <c r="F796" s="22"/>
      <c r="G796" s="23"/>
      <c r="H796" s="23"/>
      <c r="I796" s="181"/>
      <c r="J796" s="8" t="str">
        <f t="shared" si="253"/>
        <v/>
      </c>
      <c r="K796" s="2" t="str">
        <f t="shared" si="262"/>
        <v/>
      </c>
      <c r="L796" s="2" t="str">
        <f t="shared" si="254"/>
        <v/>
      </c>
      <c r="M796" s="2" t="str">
        <f t="shared" si="263"/>
        <v/>
      </c>
      <c r="N796" s="2" t="str">
        <f t="shared" si="271"/>
        <v/>
      </c>
      <c r="O796" s="2" t="str">
        <f t="shared" si="264"/>
        <v/>
      </c>
      <c r="P796" s="8" t="str">
        <f t="shared" si="265"/>
        <v/>
      </c>
      <c r="Q796" s="8" t="str">
        <f t="shared" si="266"/>
        <v/>
      </c>
      <c r="R796" s="111" t="str">
        <f t="shared" si="267"/>
        <v/>
      </c>
      <c r="S796" s="44" t="str">
        <f t="shared" si="268"/>
        <v/>
      </c>
      <c r="T796" s="37" t="str">
        <f t="shared" si="269"/>
        <v/>
      </c>
      <c r="U796" s="44" t="str">
        <f t="shared" si="270"/>
        <v/>
      </c>
      <c r="V796" s="26"/>
      <c r="W796" s="26"/>
      <c r="X796" s="26"/>
      <c r="Y796" s="26"/>
      <c r="Z796" s="24"/>
      <c r="AA796" s="169">
        <f t="shared" si="255"/>
        <v>0</v>
      </c>
      <c r="AB796" s="4">
        <f t="shared" si="256"/>
        <v>0</v>
      </c>
      <c r="AC796" s="170">
        <f t="shared" si="252"/>
        <v>0</v>
      </c>
      <c r="AD796" s="58"/>
      <c r="AE796" s="58"/>
      <c r="AF796" s="58"/>
      <c r="AG796" s="59">
        <f t="shared" si="257"/>
        <v>9.0359999999999996</v>
      </c>
      <c r="AH796" s="59">
        <f t="shared" si="258"/>
        <v>-184.49199999999999</v>
      </c>
      <c r="AJ796" s="4">
        <f>IF(D796="M",IF(AM796&lt;78,BMILMS!$D$5*AM796^3+BMILMS!$E$5*AM796^2+BMILMS!$F$5*AM796+BMILMS!$G$5,IF(AM796&lt;150,BMILMS!$D$6*AM796^3+BMILMS!$E$6*AM796^2+BMILMS!$F$6*AM796+BMILMS!$G$6,BMILMS!$D$7*AM796^3+BMILMS!$E$7*AM796^2+BMILMS!$F$7*AM796+BMILMS!$G$7)),IF(AM796&lt;69,BMILMS!$D$9*AM796^3+BMILMS!$E$9*AM796^2+BMILMS!$F$9*AM796+BMILMS!$G$9,IF(AM796&lt;150,BMILMS!$D$10*AM796^3+BMILMS!$E$10*AM796^2+BMILMS!$F$10*AM796+BMILMS!$G$10,BMILMS!$D$11*AM796^3+BMILMS!$E$11*AM796^2+BMILMS!$F$11*AM796+BMILMS!$G$11)))</f>
        <v>0.79584630099999998</v>
      </c>
      <c r="AK796" s="4">
        <f>IF(D796="M",(IF(AM796&lt;2.5,BMILMS!$D$21*AM796^3+BMILMS!$E$21*AM796^2+BMILMS!$F$21*AM796+BMILMS!$G$21,IF(AM796&lt;9.5,BMILMS!$D$22*AM796^3+BMILMS!$E$22*AM796^2+BMILMS!$F$22*AM796+BMILMS!$G$22,IF(AM796&lt;26.75,BMILMS!$D$23*AM796^3+BMILMS!$E$23*AM796^2+BMILMS!$F$23*AM796+BMILMS!$G$23,IF(AM796&lt;90,BMILMS!$D$24*AM796^3+BMILMS!$E$24*AM796^2+BMILMS!$F$24*AM796+BMILMS!$G$24,BMILMS!$D$25*AM796^3+BMILMS!$E$25*AM796^2+BMILMS!$F$25*AM796+BMILMS!$G$25))))),(IF(AM796&lt;2.5,BMILMS!$D$27*AM796^3+BMILMS!$E$27*AM796^2+BMILMS!$F$27*AM796+BMILMS!$G$27,IF(AM796&lt;9.5,BMILMS!$D$28*AM796^3+BMILMS!$E$28*AM796^2+BMILMS!$F$28*AM796+BMILMS!$G$28,IF(AM796&lt;26.75,BMILMS!$D$29*AM796^3+BMILMS!$E$29*AM796^2+BMILMS!$F$29*AM796+BMILMS!$G$29,IF(AM796&lt;90,BMILMS!$D$30*AM796^3+BMILMS!$E$30*AM796^2+BMILMS!$F$30*AM796+BMILMS!$G$30,IF(AM796&lt;150,BMILMS!$D$31*AM796^3+BMILMS!$E$31*AM796^2+BMILMS!$F$31*AM796+BMILMS!$G$31,BMILMS!$D$32*AM796^3+BMILMS!$E$32*AM796^2+BMILMS!$F$32*AM796+BMILMS!$G$32)))))))</f>
        <v>12.568967990000001</v>
      </c>
      <c r="AL796" s="4">
        <f>IF(D796="M",(IF(AM796&lt;90,BMILMS!$D$14*AM796^3+BMILMS!$E$14*AM796^2+BMILMS!$F$14*AM796+BMILMS!$G$14,BMILMS!$D$15*AM796^3+BMILMS!$E$15*AM796^2+BMILMS!$F$15*AM796+BMILMS!$G$15)),(IF(AM796&lt;90,BMILMS!$D$17*AM796^3+BMILMS!$E$17*AM796^2+BMILMS!$F$17*AM796+BMILMS!$G$17,BMILMS!$D$18*AM796^3+BMILMS!$E$18*AM796^2+BMILMS!$F$18*AM796+BMILMS!$G$18)))</f>
        <v>8.8969350000000003E-2</v>
      </c>
      <c r="AM796" s="4">
        <f t="shared" si="272"/>
        <v>0</v>
      </c>
      <c r="AO796" s="56">
        <f>IF(D796="M",WeightSDS!P$5*$AM796^7+WeightSDS!Q$5*$AM796^6+WeightSDS!R$5*$AM796^5+WeightSDS!S$5*$AM796^4+WeightSDS!T$5*$AM796^3+WeightSDS!U$5*$AM796^2+WeightSDS!V$5*$AM796+WeightSDS!W$5,IF($AM796&lt;186,WeightSDS!P$8*$AM796^7+WeightSDS!Q$8*$AM796^6+WeightSDS!R$8*$AM796^5+WeightSDS!S$8*$AM796^4+WeightSDS!T$8*$AM796^3+WeightSDS!U$8*$AM796^2+WeightSDS!V$8*$AM796+WeightSDS!W$8,WeightSDS!$U$9+WeightSDS!$V$9*($AM796-WeightSDS!$W$9)))</f>
        <v>0.75407122999999998</v>
      </c>
      <c r="AP796" s="4">
        <f>IF(D796="M",IF($AM796&lt;45,WeightSDS!M$23*$AM796^10+WeightSDS!N$23*$AM796^9+WeightSDS!O$23*$AM796^8+WeightSDS!P$23*$AM796^7+WeightSDS!Q$23*$AM796^6+WeightSDS!R$23*$AM796^5+WeightSDS!S$23*$AM796^4+WeightSDS!T$23*$AM796^3+WeightSDS!U$23*$AM796^2+WeightSDS!V$23*$AM796+WeightSDS!W$23,IF($AM796&lt;153,WeightSDS!M$25*$AM796^10+WeightSDS!N$25*$AM796^9+WeightSDS!O$25*$AM796^8+WeightSDS!P$25*$AM796^7+WeightSDS!Q$25*$AM796^6+WeightSDS!R$25*$AM796^5+WeightSDS!S$25*$AM796^4+WeightSDS!T$25*$AM796^3+WeightSDS!U$25*$AM796^2+WeightSDS!V$25*$AM796+WeightSDS!W$25,WeightSDS!M$27+WeightSDS!N$27/(1+EXP(WeightSDS!O$27+WeightSDS!P$27*$AM796)))),IF($AM796&lt;43.8,WeightSDS!M$29*$AM796^10+WeightSDS!N$29*$AM796^9+WeightSDS!O$29*$AM796^8+WeightSDS!P$29*$AM796^7+WeightSDS!Q$29*$AM796^6+WeightSDS!R$29*$AM796^5+WeightSDS!S$29*$AM796^4+WeightSDS!T$29*$AM796^3+WeightSDS!U$29*$AM796^2+WeightSDS!V$29*$AM796+WeightSDS!W$29-0.010431*(1-$AM796/210),IF($AM796&lt;123,WeightSDS!M$30*$AM796^10+WeightSDS!N$30*$AM796^9+WeightSDS!O$30*$AM796^8+WeightSDS!P$30*$AM796^7+WeightSDS!Q$30*$AM796^6+WeightSDS!R$30*$AM796^5+WeightSDS!S$30*$AM796^4+WeightSDS!T$30*$AM796^3+WeightSDS!U$30*$AM796^2+WeightSDS!V$30*$AM796+WeightSDS!W$30-0.010431*(1-1/$AM796),WeightSDS!M$32+WeightSDS!N$32/(1+EXP(WeightSDS!O$32+WeightSDS!P$32*$AM796))-0.010431*(1-$AM796/210))))</f>
        <v>2.9500001032655536</v>
      </c>
      <c r="AQ796" s="4">
        <f>IF(D796="M",IF($AM796&lt;162,WeightSDS!P$12*$AM796^7+WeightSDS!Q$12*$AM796^6+WeightSDS!R$12*$AM796^5+WeightSDS!S$12*$AM796^4+WeightSDS!T$12*$AM796^3+WeightSDS!U$12*$AM796^2+WeightSDS!V$12*$AM796+WeightSDS!W$12,WeightSDS!P$14*$AM796^7+WeightSDS!Q$14*$AM796^6+WeightSDS!R$14*$AM796^5+WeightSDS!S$14*$AM796^4+WeightSDS!T$14*$AM796^3+WeightSDS!U$14*$AM796^2+WeightSDS!V$14*$AM796+WeightSDS!W$14),IF($AM796&lt;156,WeightSDS!O$17*$AM796^8+WeightSDS!P$17*$AM796^7+WeightSDS!Q$17*$AM796^6+WeightSDS!R$17*$AM796^5+WeightSDS!S$17*$AM796^4+WeightSDS!T$17*$AM796^3+WeightSDS!U$17*$AM796^2+WeightSDS!V$17*$AM796+WeightSDS!W$17,IF($AM796&lt;186,WeightSDS!$U$18+(WeightSDS!$V$18-WeightSDS!$U$18)/24*($AM796-186)+WeightSDS!$W$18*(-$AM796+186)^2-0.005,WeightSDS!$U$18+(WeightSDS!$V$18-WeightSDS!$U$18)/24*($AM796-186)-0.005)))</f>
        <v>0.14604529399999999</v>
      </c>
      <c r="AT796" s="4">
        <f t="shared" si="259"/>
        <v>0.56299999999999994</v>
      </c>
      <c r="AU796" s="4">
        <f t="shared" si="260"/>
        <v>69</v>
      </c>
      <c r="AV796" s="4">
        <f t="shared" si="261"/>
        <v>0.51</v>
      </c>
    </row>
    <row r="797" spans="1:48" x14ac:dyDescent="0.15">
      <c r="A797" s="4"/>
      <c r="B797" s="21"/>
      <c r="C797" s="21"/>
      <c r="D797" s="21"/>
      <c r="E797" s="22"/>
      <c r="F797" s="22"/>
      <c r="G797" s="23"/>
      <c r="H797" s="23"/>
      <c r="I797" s="181"/>
      <c r="J797" s="8" t="str">
        <f t="shared" si="253"/>
        <v/>
      </c>
      <c r="K797" s="2" t="str">
        <f t="shared" si="262"/>
        <v/>
      </c>
      <c r="L797" s="2" t="str">
        <f t="shared" si="254"/>
        <v/>
      </c>
      <c r="M797" s="2" t="str">
        <f t="shared" si="263"/>
        <v/>
      </c>
      <c r="N797" s="2" t="str">
        <f t="shared" si="271"/>
        <v/>
      </c>
      <c r="O797" s="2" t="str">
        <f t="shared" si="264"/>
        <v/>
      </c>
      <c r="P797" s="8" t="str">
        <f t="shared" si="265"/>
        <v/>
      </c>
      <c r="Q797" s="8" t="str">
        <f t="shared" si="266"/>
        <v/>
      </c>
      <c r="R797" s="111" t="str">
        <f t="shared" si="267"/>
        <v/>
      </c>
      <c r="S797" s="44" t="str">
        <f t="shared" si="268"/>
        <v/>
      </c>
      <c r="T797" s="37" t="str">
        <f t="shared" si="269"/>
        <v/>
      </c>
      <c r="U797" s="44" t="str">
        <f t="shared" si="270"/>
        <v/>
      </c>
      <c r="V797" s="26"/>
      <c r="W797" s="26"/>
      <c r="X797" s="26"/>
      <c r="Y797" s="26"/>
      <c r="Z797" s="24"/>
      <c r="AA797" s="169">
        <f t="shared" si="255"/>
        <v>0</v>
      </c>
      <c r="AB797" s="4">
        <f t="shared" si="256"/>
        <v>0</v>
      </c>
      <c r="AC797" s="170">
        <f t="shared" si="252"/>
        <v>0</v>
      </c>
      <c r="AD797" s="58"/>
      <c r="AE797" s="58"/>
      <c r="AF797" s="58"/>
      <c r="AG797" s="59">
        <f t="shared" si="257"/>
        <v>9.0359999999999996</v>
      </c>
      <c r="AH797" s="59">
        <f t="shared" si="258"/>
        <v>-184.49199999999999</v>
      </c>
      <c r="AJ797" s="4">
        <f>IF(D797="M",IF(AM797&lt;78,BMILMS!$D$5*AM797^3+BMILMS!$E$5*AM797^2+BMILMS!$F$5*AM797+BMILMS!$G$5,IF(AM797&lt;150,BMILMS!$D$6*AM797^3+BMILMS!$E$6*AM797^2+BMILMS!$F$6*AM797+BMILMS!$G$6,BMILMS!$D$7*AM797^3+BMILMS!$E$7*AM797^2+BMILMS!$F$7*AM797+BMILMS!$G$7)),IF(AM797&lt;69,BMILMS!$D$9*AM797^3+BMILMS!$E$9*AM797^2+BMILMS!$F$9*AM797+BMILMS!$G$9,IF(AM797&lt;150,BMILMS!$D$10*AM797^3+BMILMS!$E$10*AM797^2+BMILMS!$F$10*AM797+BMILMS!$G$10,BMILMS!$D$11*AM797^3+BMILMS!$E$11*AM797^2+BMILMS!$F$11*AM797+BMILMS!$G$11)))</f>
        <v>0.79584630099999998</v>
      </c>
      <c r="AK797" s="4">
        <f>IF(D797="M",(IF(AM797&lt;2.5,BMILMS!$D$21*AM797^3+BMILMS!$E$21*AM797^2+BMILMS!$F$21*AM797+BMILMS!$G$21,IF(AM797&lt;9.5,BMILMS!$D$22*AM797^3+BMILMS!$E$22*AM797^2+BMILMS!$F$22*AM797+BMILMS!$G$22,IF(AM797&lt;26.75,BMILMS!$D$23*AM797^3+BMILMS!$E$23*AM797^2+BMILMS!$F$23*AM797+BMILMS!$G$23,IF(AM797&lt;90,BMILMS!$D$24*AM797^3+BMILMS!$E$24*AM797^2+BMILMS!$F$24*AM797+BMILMS!$G$24,BMILMS!$D$25*AM797^3+BMILMS!$E$25*AM797^2+BMILMS!$F$25*AM797+BMILMS!$G$25))))),(IF(AM797&lt;2.5,BMILMS!$D$27*AM797^3+BMILMS!$E$27*AM797^2+BMILMS!$F$27*AM797+BMILMS!$G$27,IF(AM797&lt;9.5,BMILMS!$D$28*AM797^3+BMILMS!$E$28*AM797^2+BMILMS!$F$28*AM797+BMILMS!$G$28,IF(AM797&lt;26.75,BMILMS!$D$29*AM797^3+BMILMS!$E$29*AM797^2+BMILMS!$F$29*AM797+BMILMS!$G$29,IF(AM797&lt;90,BMILMS!$D$30*AM797^3+BMILMS!$E$30*AM797^2+BMILMS!$F$30*AM797+BMILMS!$G$30,IF(AM797&lt;150,BMILMS!$D$31*AM797^3+BMILMS!$E$31*AM797^2+BMILMS!$F$31*AM797+BMILMS!$G$31,BMILMS!$D$32*AM797^3+BMILMS!$E$32*AM797^2+BMILMS!$F$32*AM797+BMILMS!$G$32)))))))</f>
        <v>12.568967990000001</v>
      </c>
      <c r="AL797" s="4">
        <f>IF(D797="M",(IF(AM797&lt;90,BMILMS!$D$14*AM797^3+BMILMS!$E$14*AM797^2+BMILMS!$F$14*AM797+BMILMS!$G$14,BMILMS!$D$15*AM797^3+BMILMS!$E$15*AM797^2+BMILMS!$F$15*AM797+BMILMS!$G$15)),(IF(AM797&lt;90,BMILMS!$D$17*AM797^3+BMILMS!$E$17*AM797^2+BMILMS!$F$17*AM797+BMILMS!$G$17,BMILMS!$D$18*AM797^3+BMILMS!$E$18*AM797^2+BMILMS!$F$18*AM797+BMILMS!$G$18)))</f>
        <v>8.8969350000000003E-2</v>
      </c>
      <c r="AM797" s="4">
        <f t="shared" si="272"/>
        <v>0</v>
      </c>
      <c r="AO797" s="56">
        <f>IF(D797="M",WeightSDS!P$5*$AM797^7+WeightSDS!Q$5*$AM797^6+WeightSDS!R$5*$AM797^5+WeightSDS!S$5*$AM797^4+WeightSDS!T$5*$AM797^3+WeightSDS!U$5*$AM797^2+WeightSDS!V$5*$AM797+WeightSDS!W$5,IF($AM797&lt;186,WeightSDS!P$8*$AM797^7+WeightSDS!Q$8*$AM797^6+WeightSDS!R$8*$AM797^5+WeightSDS!S$8*$AM797^4+WeightSDS!T$8*$AM797^3+WeightSDS!U$8*$AM797^2+WeightSDS!V$8*$AM797+WeightSDS!W$8,WeightSDS!$U$9+WeightSDS!$V$9*($AM797-WeightSDS!$W$9)))</f>
        <v>0.75407122999999998</v>
      </c>
      <c r="AP797" s="4">
        <f>IF(D797="M",IF($AM797&lt;45,WeightSDS!M$23*$AM797^10+WeightSDS!N$23*$AM797^9+WeightSDS!O$23*$AM797^8+WeightSDS!P$23*$AM797^7+WeightSDS!Q$23*$AM797^6+WeightSDS!R$23*$AM797^5+WeightSDS!S$23*$AM797^4+WeightSDS!T$23*$AM797^3+WeightSDS!U$23*$AM797^2+WeightSDS!V$23*$AM797+WeightSDS!W$23,IF($AM797&lt;153,WeightSDS!M$25*$AM797^10+WeightSDS!N$25*$AM797^9+WeightSDS!O$25*$AM797^8+WeightSDS!P$25*$AM797^7+WeightSDS!Q$25*$AM797^6+WeightSDS!R$25*$AM797^5+WeightSDS!S$25*$AM797^4+WeightSDS!T$25*$AM797^3+WeightSDS!U$25*$AM797^2+WeightSDS!V$25*$AM797+WeightSDS!W$25,WeightSDS!M$27+WeightSDS!N$27/(1+EXP(WeightSDS!O$27+WeightSDS!P$27*$AM797)))),IF($AM797&lt;43.8,WeightSDS!M$29*$AM797^10+WeightSDS!N$29*$AM797^9+WeightSDS!O$29*$AM797^8+WeightSDS!P$29*$AM797^7+WeightSDS!Q$29*$AM797^6+WeightSDS!R$29*$AM797^5+WeightSDS!S$29*$AM797^4+WeightSDS!T$29*$AM797^3+WeightSDS!U$29*$AM797^2+WeightSDS!V$29*$AM797+WeightSDS!W$29-0.010431*(1-$AM797/210),IF($AM797&lt;123,WeightSDS!M$30*$AM797^10+WeightSDS!N$30*$AM797^9+WeightSDS!O$30*$AM797^8+WeightSDS!P$30*$AM797^7+WeightSDS!Q$30*$AM797^6+WeightSDS!R$30*$AM797^5+WeightSDS!S$30*$AM797^4+WeightSDS!T$30*$AM797^3+WeightSDS!U$30*$AM797^2+WeightSDS!V$30*$AM797+WeightSDS!W$30-0.010431*(1-1/$AM797),WeightSDS!M$32+WeightSDS!N$32/(1+EXP(WeightSDS!O$32+WeightSDS!P$32*$AM797))-0.010431*(1-$AM797/210))))</f>
        <v>2.9500001032655536</v>
      </c>
      <c r="AQ797" s="4">
        <f>IF(D797="M",IF($AM797&lt;162,WeightSDS!P$12*$AM797^7+WeightSDS!Q$12*$AM797^6+WeightSDS!R$12*$AM797^5+WeightSDS!S$12*$AM797^4+WeightSDS!T$12*$AM797^3+WeightSDS!U$12*$AM797^2+WeightSDS!V$12*$AM797+WeightSDS!W$12,WeightSDS!P$14*$AM797^7+WeightSDS!Q$14*$AM797^6+WeightSDS!R$14*$AM797^5+WeightSDS!S$14*$AM797^4+WeightSDS!T$14*$AM797^3+WeightSDS!U$14*$AM797^2+WeightSDS!V$14*$AM797+WeightSDS!W$14),IF($AM797&lt;156,WeightSDS!O$17*$AM797^8+WeightSDS!P$17*$AM797^7+WeightSDS!Q$17*$AM797^6+WeightSDS!R$17*$AM797^5+WeightSDS!S$17*$AM797^4+WeightSDS!T$17*$AM797^3+WeightSDS!U$17*$AM797^2+WeightSDS!V$17*$AM797+WeightSDS!W$17,IF($AM797&lt;186,WeightSDS!$U$18+(WeightSDS!$V$18-WeightSDS!$U$18)/24*($AM797-186)+WeightSDS!$W$18*(-$AM797+186)^2-0.005,WeightSDS!$U$18+(WeightSDS!$V$18-WeightSDS!$U$18)/24*($AM797-186)-0.005)))</f>
        <v>0.14604529399999999</v>
      </c>
      <c r="AT797" s="4">
        <f t="shared" si="259"/>
        <v>0.56299999999999994</v>
      </c>
      <c r="AU797" s="4">
        <f t="shared" si="260"/>
        <v>69</v>
      </c>
      <c r="AV797" s="4">
        <f t="shared" si="261"/>
        <v>0.51</v>
      </c>
    </row>
    <row r="798" spans="1:48" x14ac:dyDescent="0.15">
      <c r="A798" s="4"/>
      <c r="B798" s="21"/>
      <c r="C798" s="21"/>
      <c r="D798" s="21"/>
      <c r="E798" s="22"/>
      <c r="F798" s="22"/>
      <c r="G798" s="23"/>
      <c r="H798" s="23"/>
      <c r="I798" s="181"/>
      <c r="J798" s="8" t="str">
        <f t="shared" si="253"/>
        <v/>
      </c>
      <c r="K798" s="2" t="str">
        <f t="shared" si="262"/>
        <v/>
      </c>
      <c r="L798" s="2" t="str">
        <f t="shared" si="254"/>
        <v/>
      </c>
      <c r="M798" s="2" t="str">
        <f t="shared" si="263"/>
        <v/>
      </c>
      <c r="N798" s="2" t="str">
        <f t="shared" si="271"/>
        <v/>
      </c>
      <c r="O798" s="2" t="str">
        <f t="shared" si="264"/>
        <v/>
      </c>
      <c r="P798" s="8" t="str">
        <f t="shared" si="265"/>
        <v/>
      </c>
      <c r="Q798" s="8" t="str">
        <f t="shared" si="266"/>
        <v/>
      </c>
      <c r="R798" s="111" t="str">
        <f t="shared" si="267"/>
        <v/>
      </c>
      <c r="S798" s="44" t="str">
        <f t="shared" si="268"/>
        <v/>
      </c>
      <c r="T798" s="37" t="str">
        <f t="shared" si="269"/>
        <v/>
      </c>
      <c r="U798" s="44" t="str">
        <f t="shared" si="270"/>
        <v/>
      </c>
      <c r="V798" s="26"/>
      <c r="W798" s="26"/>
      <c r="X798" s="26"/>
      <c r="Y798" s="26"/>
      <c r="Z798" s="24"/>
      <c r="AA798" s="169">
        <f t="shared" si="255"/>
        <v>0</v>
      </c>
      <c r="AB798" s="4">
        <f t="shared" si="256"/>
        <v>0</v>
      </c>
      <c r="AC798" s="170">
        <f t="shared" ref="AC798:AC861" si="273">DATEDIF(E798,F798,"Y")+(F798-(DATE(YEAR(E798)+DATEDIF(E798,F798,"Y"),MONTH(E798),DAY(E798))))/(365+IF(MOD(YEAR((DATE(YEAR(F798)-1,MONTH(E798),DAY(E798)))),4)=0,IF((DATE(YEAR(F798)-1,MONTH(E798),DAY(E798)))&gt;DATE(YEAR((DATE(YEAR(F798)-1,MONTH(E798),DAY(E798)))),2,29),0,1),0)+IF(MOD(YEAR(F798),4)=0,IF(F798&gt;DATE(YEAR(F798),2,29),1,0),0))</f>
        <v>0</v>
      </c>
      <c r="AD798" s="58"/>
      <c r="AE798" s="58"/>
      <c r="AF798" s="58"/>
      <c r="AG798" s="59">
        <f t="shared" si="257"/>
        <v>9.0359999999999996</v>
      </c>
      <c r="AH798" s="59">
        <f t="shared" si="258"/>
        <v>-184.49199999999999</v>
      </c>
      <c r="AJ798" s="4">
        <f>IF(D798="M",IF(AM798&lt;78,BMILMS!$D$5*AM798^3+BMILMS!$E$5*AM798^2+BMILMS!$F$5*AM798+BMILMS!$G$5,IF(AM798&lt;150,BMILMS!$D$6*AM798^3+BMILMS!$E$6*AM798^2+BMILMS!$F$6*AM798+BMILMS!$G$6,BMILMS!$D$7*AM798^3+BMILMS!$E$7*AM798^2+BMILMS!$F$7*AM798+BMILMS!$G$7)),IF(AM798&lt;69,BMILMS!$D$9*AM798^3+BMILMS!$E$9*AM798^2+BMILMS!$F$9*AM798+BMILMS!$G$9,IF(AM798&lt;150,BMILMS!$D$10*AM798^3+BMILMS!$E$10*AM798^2+BMILMS!$F$10*AM798+BMILMS!$G$10,BMILMS!$D$11*AM798^3+BMILMS!$E$11*AM798^2+BMILMS!$F$11*AM798+BMILMS!$G$11)))</f>
        <v>0.79584630099999998</v>
      </c>
      <c r="AK798" s="4">
        <f>IF(D798="M",(IF(AM798&lt;2.5,BMILMS!$D$21*AM798^3+BMILMS!$E$21*AM798^2+BMILMS!$F$21*AM798+BMILMS!$G$21,IF(AM798&lt;9.5,BMILMS!$D$22*AM798^3+BMILMS!$E$22*AM798^2+BMILMS!$F$22*AM798+BMILMS!$G$22,IF(AM798&lt;26.75,BMILMS!$D$23*AM798^3+BMILMS!$E$23*AM798^2+BMILMS!$F$23*AM798+BMILMS!$G$23,IF(AM798&lt;90,BMILMS!$D$24*AM798^3+BMILMS!$E$24*AM798^2+BMILMS!$F$24*AM798+BMILMS!$G$24,BMILMS!$D$25*AM798^3+BMILMS!$E$25*AM798^2+BMILMS!$F$25*AM798+BMILMS!$G$25))))),(IF(AM798&lt;2.5,BMILMS!$D$27*AM798^3+BMILMS!$E$27*AM798^2+BMILMS!$F$27*AM798+BMILMS!$G$27,IF(AM798&lt;9.5,BMILMS!$D$28*AM798^3+BMILMS!$E$28*AM798^2+BMILMS!$F$28*AM798+BMILMS!$G$28,IF(AM798&lt;26.75,BMILMS!$D$29*AM798^3+BMILMS!$E$29*AM798^2+BMILMS!$F$29*AM798+BMILMS!$G$29,IF(AM798&lt;90,BMILMS!$D$30*AM798^3+BMILMS!$E$30*AM798^2+BMILMS!$F$30*AM798+BMILMS!$G$30,IF(AM798&lt;150,BMILMS!$D$31*AM798^3+BMILMS!$E$31*AM798^2+BMILMS!$F$31*AM798+BMILMS!$G$31,BMILMS!$D$32*AM798^3+BMILMS!$E$32*AM798^2+BMILMS!$F$32*AM798+BMILMS!$G$32)))))))</f>
        <v>12.568967990000001</v>
      </c>
      <c r="AL798" s="4">
        <f>IF(D798="M",(IF(AM798&lt;90,BMILMS!$D$14*AM798^3+BMILMS!$E$14*AM798^2+BMILMS!$F$14*AM798+BMILMS!$G$14,BMILMS!$D$15*AM798^3+BMILMS!$E$15*AM798^2+BMILMS!$F$15*AM798+BMILMS!$G$15)),(IF(AM798&lt;90,BMILMS!$D$17*AM798^3+BMILMS!$E$17*AM798^2+BMILMS!$F$17*AM798+BMILMS!$G$17,BMILMS!$D$18*AM798^3+BMILMS!$E$18*AM798^2+BMILMS!$F$18*AM798+BMILMS!$G$18)))</f>
        <v>8.8969350000000003E-2</v>
      </c>
      <c r="AM798" s="4">
        <f t="shared" si="272"/>
        <v>0</v>
      </c>
      <c r="AO798" s="56">
        <f>IF(D798="M",WeightSDS!P$5*$AM798^7+WeightSDS!Q$5*$AM798^6+WeightSDS!R$5*$AM798^5+WeightSDS!S$5*$AM798^4+WeightSDS!T$5*$AM798^3+WeightSDS!U$5*$AM798^2+WeightSDS!V$5*$AM798+WeightSDS!W$5,IF($AM798&lt;186,WeightSDS!P$8*$AM798^7+WeightSDS!Q$8*$AM798^6+WeightSDS!R$8*$AM798^5+WeightSDS!S$8*$AM798^4+WeightSDS!T$8*$AM798^3+WeightSDS!U$8*$AM798^2+WeightSDS!V$8*$AM798+WeightSDS!W$8,WeightSDS!$U$9+WeightSDS!$V$9*($AM798-WeightSDS!$W$9)))</f>
        <v>0.75407122999999998</v>
      </c>
      <c r="AP798" s="4">
        <f>IF(D798="M",IF($AM798&lt;45,WeightSDS!M$23*$AM798^10+WeightSDS!N$23*$AM798^9+WeightSDS!O$23*$AM798^8+WeightSDS!P$23*$AM798^7+WeightSDS!Q$23*$AM798^6+WeightSDS!R$23*$AM798^5+WeightSDS!S$23*$AM798^4+WeightSDS!T$23*$AM798^3+WeightSDS!U$23*$AM798^2+WeightSDS!V$23*$AM798+WeightSDS!W$23,IF($AM798&lt;153,WeightSDS!M$25*$AM798^10+WeightSDS!N$25*$AM798^9+WeightSDS!O$25*$AM798^8+WeightSDS!P$25*$AM798^7+WeightSDS!Q$25*$AM798^6+WeightSDS!R$25*$AM798^5+WeightSDS!S$25*$AM798^4+WeightSDS!T$25*$AM798^3+WeightSDS!U$25*$AM798^2+WeightSDS!V$25*$AM798+WeightSDS!W$25,WeightSDS!M$27+WeightSDS!N$27/(1+EXP(WeightSDS!O$27+WeightSDS!P$27*$AM798)))),IF($AM798&lt;43.8,WeightSDS!M$29*$AM798^10+WeightSDS!N$29*$AM798^9+WeightSDS!O$29*$AM798^8+WeightSDS!P$29*$AM798^7+WeightSDS!Q$29*$AM798^6+WeightSDS!R$29*$AM798^5+WeightSDS!S$29*$AM798^4+WeightSDS!T$29*$AM798^3+WeightSDS!U$29*$AM798^2+WeightSDS!V$29*$AM798+WeightSDS!W$29-0.010431*(1-$AM798/210),IF($AM798&lt;123,WeightSDS!M$30*$AM798^10+WeightSDS!N$30*$AM798^9+WeightSDS!O$30*$AM798^8+WeightSDS!P$30*$AM798^7+WeightSDS!Q$30*$AM798^6+WeightSDS!R$30*$AM798^5+WeightSDS!S$30*$AM798^4+WeightSDS!T$30*$AM798^3+WeightSDS!U$30*$AM798^2+WeightSDS!V$30*$AM798+WeightSDS!W$30-0.010431*(1-1/$AM798),WeightSDS!M$32+WeightSDS!N$32/(1+EXP(WeightSDS!O$32+WeightSDS!P$32*$AM798))-0.010431*(1-$AM798/210))))</f>
        <v>2.9500001032655536</v>
      </c>
      <c r="AQ798" s="4">
        <f>IF(D798="M",IF($AM798&lt;162,WeightSDS!P$12*$AM798^7+WeightSDS!Q$12*$AM798^6+WeightSDS!R$12*$AM798^5+WeightSDS!S$12*$AM798^4+WeightSDS!T$12*$AM798^3+WeightSDS!U$12*$AM798^2+WeightSDS!V$12*$AM798+WeightSDS!W$12,WeightSDS!P$14*$AM798^7+WeightSDS!Q$14*$AM798^6+WeightSDS!R$14*$AM798^5+WeightSDS!S$14*$AM798^4+WeightSDS!T$14*$AM798^3+WeightSDS!U$14*$AM798^2+WeightSDS!V$14*$AM798+WeightSDS!W$14),IF($AM798&lt;156,WeightSDS!O$17*$AM798^8+WeightSDS!P$17*$AM798^7+WeightSDS!Q$17*$AM798^6+WeightSDS!R$17*$AM798^5+WeightSDS!S$17*$AM798^4+WeightSDS!T$17*$AM798^3+WeightSDS!U$17*$AM798^2+WeightSDS!V$17*$AM798+WeightSDS!W$17,IF($AM798&lt;186,WeightSDS!$U$18+(WeightSDS!$V$18-WeightSDS!$U$18)/24*($AM798-186)+WeightSDS!$W$18*(-$AM798+186)^2-0.005,WeightSDS!$U$18+(WeightSDS!$V$18-WeightSDS!$U$18)/24*($AM798-186)-0.005)))</f>
        <v>0.14604529399999999</v>
      </c>
      <c r="AT798" s="4">
        <f t="shared" si="259"/>
        <v>0.56299999999999994</v>
      </c>
      <c r="AU798" s="4">
        <f t="shared" si="260"/>
        <v>69</v>
      </c>
      <c r="AV798" s="4">
        <f t="shared" si="261"/>
        <v>0.51</v>
      </c>
    </row>
    <row r="799" spans="1:48" x14ac:dyDescent="0.15">
      <c r="A799" s="4"/>
      <c r="B799" s="21"/>
      <c r="C799" s="21"/>
      <c r="D799" s="21"/>
      <c r="E799" s="22"/>
      <c r="F799" s="22"/>
      <c r="G799" s="23"/>
      <c r="H799" s="23"/>
      <c r="I799" s="181"/>
      <c r="J799" s="8" t="str">
        <f t="shared" si="253"/>
        <v/>
      </c>
      <c r="K799" s="2" t="str">
        <f t="shared" si="262"/>
        <v/>
      </c>
      <c r="L799" s="2" t="str">
        <f t="shared" si="254"/>
        <v/>
      </c>
      <c r="M799" s="2" t="str">
        <f t="shared" si="263"/>
        <v/>
      </c>
      <c r="N799" s="2" t="str">
        <f t="shared" si="271"/>
        <v/>
      </c>
      <c r="O799" s="2" t="str">
        <f t="shared" si="264"/>
        <v/>
      </c>
      <c r="P799" s="8" t="str">
        <f t="shared" si="265"/>
        <v/>
      </c>
      <c r="Q799" s="8" t="str">
        <f t="shared" si="266"/>
        <v/>
      </c>
      <c r="R799" s="111" t="str">
        <f t="shared" si="267"/>
        <v/>
      </c>
      <c r="S799" s="44" t="str">
        <f t="shared" si="268"/>
        <v/>
      </c>
      <c r="T799" s="37" t="str">
        <f t="shared" si="269"/>
        <v/>
      </c>
      <c r="U799" s="44" t="str">
        <f t="shared" si="270"/>
        <v/>
      </c>
      <c r="V799" s="26"/>
      <c r="W799" s="26"/>
      <c r="X799" s="26"/>
      <c r="Y799" s="26"/>
      <c r="Z799" s="24"/>
      <c r="AA799" s="169">
        <f t="shared" si="255"/>
        <v>0</v>
      </c>
      <c r="AB799" s="4">
        <f t="shared" si="256"/>
        <v>0</v>
      </c>
      <c r="AC799" s="170">
        <f t="shared" si="273"/>
        <v>0</v>
      </c>
      <c r="AD799" s="58"/>
      <c r="AE799" s="58"/>
      <c r="AF799" s="58"/>
      <c r="AG799" s="59">
        <f t="shared" si="257"/>
        <v>9.0359999999999996</v>
      </c>
      <c r="AH799" s="59">
        <f t="shared" si="258"/>
        <v>-184.49199999999999</v>
      </c>
      <c r="AJ799" s="4">
        <f>IF(D799="M",IF(AM799&lt;78,BMILMS!$D$5*AM799^3+BMILMS!$E$5*AM799^2+BMILMS!$F$5*AM799+BMILMS!$G$5,IF(AM799&lt;150,BMILMS!$D$6*AM799^3+BMILMS!$E$6*AM799^2+BMILMS!$F$6*AM799+BMILMS!$G$6,BMILMS!$D$7*AM799^3+BMILMS!$E$7*AM799^2+BMILMS!$F$7*AM799+BMILMS!$G$7)),IF(AM799&lt;69,BMILMS!$D$9*AM799^3+BMILMS!$E$9*AM799^2+BMILMS!$F$9*AM799+BMILMS!$G$9,IF(AM799&lt;150,BMILMS!$D$10*AM799^3+BMILMS!$E$10*AM799^2+BMILMS!$F$10*AM799+BMILMS!$G$10,BMILMS!$D$11*AM799^3+BMILMS!$E$11*AM799^2+BMILMS!$F$11*AM799+BMILMS!$G$11)))</f>
        <v>0.79584630099999998</v>
      </c>
      <c r="AK799" s="4">
        <f>IF(D799="M",(IF(AM799&lt;2.5,BMILMS!$D$21*AM799^3+BMILMS!$E$21*AM799^2+BMILMS!$F$21*AM799+BMILMS!$G$21,IF(AM799&lt;9.5,BMILMS!$D$22*AM799^3+BMILMS!$E$22*AM799^2+BMILMS!$F$22*AM799+BMILMS!$G$22,IF(AM799&lt;26.75,BMILMS!$D$23*AM799^3+BMILMS!$E$23*AM799^2+BMILMS!$F$23*AM799+BMILMS!$G$23,IF(AM799&lt;90,BMILMS!$D$24*AM799^3+BMILMS!$E$24*AM799^2+BMILMS!$F$24*AM799+BMILMS!$G$24,BMILMS!$D$25*AM799^3+BMILMS!$E$25*AM799^2+BMILMS!$F$25*AM799+BMILMS!$G$25))))),(IF(AM799&lt;2.5,BMILMS!$D$27*AM799^3+BMILMS!$E$27*AM799^2+BMILMS!$F$27*AM799+BMILMS!$G$27,IF(AM799&lt;9.5,BMILMS!$D$28*AM799^3+BMILMS!$E$28*AM799^2+BMILMS!$F$28*AM799+BMILMS!$G$28,IF(AM799&lt;26.75,BMILMS!$D$29*AM799^3+BMILMS!$E$29*AM799^2+BMILMS!$F$29*AM799+BMILMS!$G$29,IF(AM799&lt;90,BMILMS!$D$30*AM799^3+BMILMS!$E$30*AM799^2+BMILMS!$F$30*AM799+BMILMS!$G$30,IF(AM799&lt;150,BMILMS!$D$31*AM799^3+BMILMS!$E$31*AM799^2+BMILMS!$F$31*AM799+BMILMS!$G$31,BMILMS!$D$32*AM799^3+BMILMS!$E$32*AM799^2+BMILMS!$F$32*AM799+BMILMS!$G$32)))))))</f>
        <v>12.568967990000001</v>
      </c>
      <c r="AL799" s="4">
        <f>IF(D799="M",(IF(AM799&lt;90,BMILMS!$D$14*AM799^3+BMILMS!$E$14*AM799^2+BMILMS!$F$14*AM799+BMILMS!$G$14,BMILMS!$D$15*AM799^3+BMILMS!$E$15*AM799^2+BMILMS!$F$15*AM799+BMILMS!$G$15)),(IF(AM799&lt;90,BMILMS!$D$17*AM799^3+BMILMS!$E$17*AM799^2+BMILMS!$F$17*AM799+BMILMS!$G$17,BMILMS!$D$18*AM799^3+BMILMS!$E$18*AM799^2+BMILMS!$F$18*AM799+BMILMS!$G$18)))</f>
        <v>8.8969350000000003E-2</v>
      </c>
      <c r="AM799" s="4">
        <f t="shared" si="272"/>
        <v>0</v>
      </c>
      <c r="AO799" s="56">
        <f>IF(D799="M",WeightSDS!P$5*$AM799^7+WeightSDS!Q$5*$AM799^6+WeightSDS!R$5*$AM799^5+WeightSDS!S$5*$AM799^4+WeightSDS!T$5*$AM799^3+WeightSDS!U$5*$AM799^2+WeightSDS!V$5*$AM799+WeightSDS!W$5,IF($AM799&lt;186,WeightSDS!P$8*$AM799^7+WeightSDS!Q$8*$AM799^6+WeightSDS!R$8*$AM799^5+WeightSDS!S$8*$AM799^4+WeightSDS!T$8*$AM799^3+WeightSDS!U$8*$AM799^2+WeightSDS!V$8*$AM799+WeightSDS!W$8,WeightSDS!$U$9+WeightSDS!$V$9*($AM799-WeightSDS!$W$9)))</f>
        <v>0.75407122999999998</v>
      </c>
      <c r="AP799" s="4">
        <f>IF(D799="M",IF($AM799&lt;45,WeightSDS!M$23*$AM799^10+WeightSDS!N$23*$AM799^9+WeightSDS!O$23*$AM799^8+WeightSDS!P$23*$AM799^7+WeightSDS!Q$23*$AM799^6+WeightSDS!R$23*$AM799^5+WeightSDS!S$23*$AM799^4+WeightSDS!T$23*$AM799^3+WeightSDS!U$23*$AM799^2+WeightSDS!V$23*$AM799+WeightSDS!W$23,IF($AM799&lt;153,WeightSDS!M$25*$AM799^10+WeightSDS!N$25*$AM799^9+WeightSDS!O$25*$AM799^8+WeightSDS!P$25*$AM799^7+WeightSDS!Q$25*$AM799^6+WeightSDS!R$25*$AM799^5+WeightSDS!S$25*$AM799^4+WeightSDS!T$25*$AM799^3+WeightSDS!U$25*$AM799^2+WeightSDS!V$25*$AM799+WeightSDS!W$25,WeightSDS!M$27+WeightSDS!N$27/(1+EXP(WeightSDS!O$27+WeightSDS!P$27*$AM799)))),IF($AM799&lt;43.8,WeightSDS!M$29*$AM799^10+WeightSDS!N$29*$AM799^9+WeightSDS!O$29*$AM799^8+WeightSDS!P$29*$AM799^7+WeightSDS!Q$29*$AM799^6+WeightSDS!R$29*$AM799^5+WeightSDS!S$29*$AM799^4+WeightSDS!T$29*$AM799^3+WeightSDS!U$29*$AM799^2+WeightSDS!V$29*$AM799+WeightSDS!W$29-0.010431*(1-$AM799/210),IF($AM799&lt;123,WeightSDS!M$30*$AM799^10+WeightSDS!N$30*$AM799^9+WeightSDS!O$30*$AM799^8+WeightSDS!P$30*$AM799^7+WeightSDS!Q$30*$AM799^6+WeightSDS!R$30*$AM799^5+WeightSDS!S$30*$AM799^4+WeightSDS!T$30*$AM799^3+WeightSDS!U$30*$AM799^2+WeightSDS!V$30*$AM799+WeightSDS!W$30-0.010431*(1-1/$AM799),WeightSDS!M$32+WeightSDS!N$32/(1+EXP(WeightSDS!O$32+WeightSDS!P$32*$AM799))-0.010431*(1-$AM799/210))))</f>
        <v>2.9500001032655536</v>
      </c>
      <c r="AQ799" s="4">
        <f>IF(D799="M",IF($AM799&lt;162,WeightSDS!P$12*$AM799^7+WeightSDS!Q$12*$AM799^6+WeightSDS!R$12*$AM799^5+WeightSDS!S$12*$AM799^4+WeightSDS!T$12*$AM799^3+WeightSDS!U$12*$AM799^2+WeightSDS!V$12*$AM799+WeightSDS!W$12,WeightSDS!P$14*$AM799^7+WeightSDS!Q$14*$AM799^6+WeightSDS!R$14*$AM799^5+WeightSDS!S$14*$AM799^4+WeightSDS!T$14*$AM799^3+WeightSDS!U$14*$AM799^2+WeightSDS!V$14*$AM799+WeightSDS!W$14),IF($AM799&lt;156,WeightSDS!O$17*$AM799^8+WeightSDS!P$17*$AM799^7+WeightSDS!Q$17*$AM799^6+WeightSDS!R$17*$AM799^5+WeightSDS!S$17*$AM799^4+WeightSDS!T$17*$AM799^3+WeightSDS!U$17*$AM799^2+WeightSDS!V$17*$AM799+WeightSDS!W$17,IF($AM799&lt;186,WeightSDS!$U$18+(WeightSDS!$V$18-WeightSDS!$U$18)/24*($AM799-186)+WeightSDS!$W$18*(-$AM799+186)^2-0.005,WeightSDS!$U$18+(WeightSDS!$V$18-WeightSDS!$U$18)/24*($AM799-186)-0.005)))</f>
        <v>0.14604529399999999</v>
      </c>
      <c r="AT799" s="4">
        <f t="shared" si="259"/>
        <v>0.56299999999999994</v>
      </c>
      <c r="AU799" s="4">
        <f t="shared" si="260"/>
        <v>69</v>
      </c>
      <c r="AV799" s="4">
        <f t="shared" si="261"/>
        <v>0.51</v>
      </c>
    </row>
    <row r="800" spans="1:48" x14ac:dyDescent="0.15">
      <c r="A800" s="4"/>
      <c r="B800" s="21"/>
      <c r="C800" s="21"/>
      <c r="D800" s="21"/>
      <c r="E800" s="22"/>
      <c r="F800" s="22"/>
      <c r="G800" s="23"/>
      <c r="H800" s="23"/>
      <c r="I800" s="181"/>
      <c r="J800" s="8" t="str">
        <f t="shared" si="253"/>
        <v/>
      </c>
      <c r="K800" s="2" t="str">
        <f t="shared" si="262"/>
        <v/>
      </c>
      <c r="L800" s="2" t="str">
        <f t="shared" si="254"/>
        <v/>
      </c>
      <c r="M800" s="2" t="str">
        <f t="shared" si="263"/>
        <v/>
      </c>
      <c r="N800" s="2" t="str">
        <f t="shared" si="271"/>
        <v/>
      </c>
      <c r="O800" s="2" t="str">
        <f t="shared" si="264"/>
        <v/>
      </c>
      <c r="P800" s="8" t="str">
        <f t="shared" si="265"/>
        <v/>
      </c>
      <c r="Q800" s="8" t="str">
        <f t="shared" si="266"/>
        <v/>
      </c>
      <c r="R800" s="111" t="str">
        <f t="shared" si="267"/>
        <v/>
      </c>
      <c r="S800" s="44" t="str">
        <f t="shared" si="268"/>
        <v/>
      </c>
      <c r="T800" s="37" t="str">
        <f t="shared" si="269"/>
        <v/>
      </c>
      <c r="U800" s="44" t="str">
        <f t="shared" si="270"/>
        <v/>
      </c>
      <c r="V800" s="26"/>
      <c r="W800" s="26"/>
      <c r="X800" s="26"/>
      <c r="Y800" s="26"/>
      <c r="Z800" s="24"/>
      <c r="AA800" s="169">
        <f t="shared" si="255"/>
        <v>0</v>
      </c>
      <c r="AB800" s="4">
        <f t="shared" si="256"/>
        <v>0</v>
      </c>
      <c r="AC800" s="170">
        <f t="shared" si="273"/>
        <v>0</v>
      </c>
      <c r="AD800" s="58"/>
      <c r="AE800" s="58"/>
      <c r="AF800" s="58"/>
      <c r="AG800" s="59">
        <f t="shared" si="257"/>
        <v>9.0359999999999996</v>
      </c>
      <c r="AH800" s="59">
        <f t="shared" si="258"/>
        <v>-184.49199999999999</v>
      </c>
      <c r="AJ800" s="4">
        <f>IF(D800="M",IF(AM800&lt;78,BMILMS!$D$5*AM800^3+BMILMS!$E$5*AM800^2+BMILMS!$F$5*AM800+BMILMS!$G$5,IF(AM800&lt;150,BMILMS!$D$6*AM800^3+BMILMS!$E$6*AM800^2+BMILMS!$F$6*AM800+BMILMS!$G$6,BMILMS!$D$7*AM800^3+BMILMS!$E$7*AM800^2+BMILMS!$F$7*AM800+BMILMS!$G$7)),IF(AM800&lt;69,BMILMS!$D$9*AM800^3+BMILMS!$E$9*AM800^2+BMILMS!$F$9*AM800+BMILMS!$G$9,IF(AM800&lt;150,BMILMS!$D$10*AM800^3+BMILMS!$E$10*AM800^2+BMILMS!$F$10*AM800+BMILMS!$G$10,BMILMS!$D$11*AM800^3+BMILMS!$E$11*AM800^2+BMILMS!$F$11*AM800+BMILMS!$G$11)))</f>
        <v>0.79584630099999998</v>
      </c>
      <c r="AK800" s="4">
        <f>IF(D800="M",(IF(AM800&lt;2.5,BMILMS!$D$21*AM800^3+BMILMS!$E$21*AM800^2+BMILMS!$F$21*AM800+BMILMS!$G$21,IF(AM800&lt;9.5,BMILMS!$D$22*AM800^3+BMILMS!$E$22*AM800^2+BMILMS!$F$22*AM800+BMILMS!$G$22,IF(AM800&lt;26.75,BMILMS!$D$23*AM800^3+BMILMS!$E$23*AM800^2+BMILMS!$F$23*AM800+BMILMS!$G$23,IF(AM800&lt;90,BMILMS!$D$24*AM800^3+BMILMS!$E$24*AM800^2+BMILMS!$F$24*AM800+BMILMS!$G$24,BMILMS!$D$25*AM800^3+BMILMS!$E$25*AM800^2+BMILMS!$F$25*AM800+BMILMS!$G$25))))),(IF(AM800&lt;2.5,BMILMS!$D$27*AM800^3+BMILMS!$E$27*AM800^2+BMILMS!$F$27*AM800+BMILMS!$G$27,IF(AM800&lt;9.5,BMILMS!$D$28*AM800^3+BMILMS!$E$28*AM800^2+BMILMS!$F$28*AM800+BMILMS!$G$28,IF(AM800&lt;26.75,BMILMS!$D$29*AM800^3+BMILMS!$E$29*AM800^2+BMILMS!$F$29*AM800+BMILMS!$G$29,IF(AM800&lt;90,BMILMS!$D$30*AM800^3+BMILMS!$E$30*AM800^2+BMILMS!$F$30*AM800+BMILMS!$G$30,IF(AM800&lt;150,BMILMS!$D$31*AM800^3+BMILMS!$E$31*AM800^2+BMILMS!$F$31*AM800+BMILMS!$G$31,BMILMS!$D$32*AM800^3+BMILMS!$E$32*AM800^2+BMILMS!$F$32*AM800+BMILMS!$G$32)))))))</f>
        <v>12.568967990000001</v>
      </c>
      <c r="AL800" s="4">
        <f>IF(D800="M",(IF(AM800&lt;90,BMILMS!$D$14*AM800^3+BMILMS!$E$14*AM800^2+BMILMS!$F$14*AM800+BMILMS!$G$14,BMILMS!$D$15*AM800^3+BMILMS!$E$15*AM800^2+BMILMS!$F$15*AM800+BMILMS!$G$15)),(IF(AM800&lt;90,BMILMS!$D$17*AM800^3+BMILMS!$E$17*AM800^2+BMILMS!$F$17*AM800+BMILMS!$G$17,BMILMS!$D$18*AM800^3+BMILMS!$E$18*AM800^2+BMILMS!$F$18*AM800+BMILMS!$G$18)))</f>
        <v>8.8969350000000003E-2</v>
      </c>
      <c r="AM800" s="4">
        <f t="shared" si="272"/>
        <v>0</v>
      </c>
      <c r="AO800" s="56">
        <f>IF(D800="M",WeightSDS!P$5*$AM800^7+WeightSDS!Q$5*$AM800^6+WeightSDS!R$5*$AM800^5+WeightSDS!S$5*$AM800^4+WeightSDS!T$5*$AM800^3+WeightSDS!U$5*$AM800^2+WeightSDS!V$5*$AM800+WeightSDS!W$5,IF($AM800&lt;186,WeightSDS!P$8*$AM800^7+WeightSDS!Q$8*$AM800^6+WeightSDS!R$8*$AM800^5+WeightSDS!S$8*$AM800^4+WeightSDS!T$8*$AM800^3+WeightSDS!U$8*$AM800^2+WeightSDS!V$8*$AM800+WeightSDS!W$8,WeightSDS!$U$9+WeightSDS!$V$9*($AM800-WeightSDS!$W$9)))</f>
        <v>0.75407122999999998</v>
      </c>
      <c r="AP800" s="4">
        <f>IF(D800="M",IF($AM800&lt;45,WeightSDS!M$23*$AM800^10+WeightSDS!N$23*$AM800^9+WeightSDS!O$23*$AM800^8+WeightSDS!P$23*$AM800^7+WeightSDS!Q$23*$AM800^6+WeightSDS!R$23*$AM800^5+WeightSDS!S$23*$AM800^4+WeightSDS!T$23*$AM800^3+WeightSDS!U$23*$AM800^2+WeightSDS!V$23*$AM800+WeightSDS!W$23,IF($AM800&lt;153,WeightSDS!M$25*$AM800^10+WeightSDS!N$25*$AM800^9+WeightSDS!O$25*$AM800^8+WeightSDS!P$25*$AM800^7+WeightSDS!Q$25*$AM800^6+WeightSDS!R$25*$AM800^5+WeightSDS!S$25*$AM800^4+WeightSDS!T$25*$AM800^3+WeightSDS!U$25*$AM800^2+WeightSDS!V$25*$AM800+WeightSDS!W$25,WeightSDS!M$27+WeightSDS!N$27/(1+EXP(WeightSDS!O$27+WeightSDS!P$27*$AM800)))),IF($AM800&lt;43.8,WeightSDS!M$29*$AM800^10+WeightSDS!N$29*$AM800^9+WeightSDS!O$29*$AM800^8+WeightSDS!P$29*$AM800^7+WeightSDS!Q$29*$AM800^6+WeightSDS!R$29*$AM800^5+WeightSDS!S$29*$AM800^4+WeightSDS!T$29*$AM800^3+WeightSDS!U$29*$AM800^2+WeightSDS!V$29*$AM800+WeightSDS!W$29-0.010431*(1-$AM800/210),IF($AM800&lt;123,WeightSDS!M$30*$AM800^10+WeightSDS!N$30*$AM800^9+WeightSDS!O$30*$AM800^8+WeightSDS!P$30*$AM800^7+WeightSDS!Q$30*$AM800^6+WeightSDS!R$30*$AM800^5+WeightSDS!S$30*$AM800^4+WeightSDS!T$30*$AM800^3+WeightSDS!U$30*$AM800^2+WeightSDS!V$30*$AM800+WeightSDS!W$30-0.010431*(1-1/$AM800),WeightSDS!M$32+WeightSDS!N$32/(1+EXP(WeightSDS!O$32+WeightSDS!P$32*$AM800))-0.010431*(1-$AM800/210))))</f>
        <v>2.9500001032655536</v>
      </c>
      <c r="AQ800" s="4">
        <f>IF(D800="M",IF($AM800&lt;162,WeightSDS!P$12*$AM800^7+WeightSDS!Q$12*$AM800^6+WeightSDS!R$12*$AM800^5+WeightSDS!S$12*$AM800^4+WeightSDS!T$12*$AM800^3+WeightSDS!U$12*$AM800^2+WeightSDS!V$12*$AM800+WeightSDS!W$12,WeightSDS!P$14*$AM800^7+WeightSDS!Q$14*$AM800^6+WeightSDS!R$14*$AM800^5+WeightSDS!S$14*$AM800^4+WeightSDS!T$14*$AM800^3+WeightSDS!U$14*$AM800^2+WeightSDS!V$14*$AM800+WeightSDS!W$14),IF($AM800&lt;156,WeightSDS!O$17*$AM800^8+WeightSDS!P$17*$AM800^7+WeightSDS!Q$17*$AM800^6+WeightSDS!R$17*$AM800^5+WeightSDS!S$17*$AM800^4+WeightSDS!T$17*$AM800^3+WeightSDS!U$17*$AM800^2+WeightSDS!V$17*$AM800+WeightSDS!W$17,IF($AM800&lt;186,WeightSDS!$U$18+(WeightSDS!$V$18-WeightSDS!$U$18)/24*($AM800-186)+WeightSDS!$W$18*(-$AM800+186)^2-0.005,WeightSDS!$U$18+(WeightSDS!$V$18-WeightSDS!$U$18)/24*($AM800-186)-0.005)))</f>
        <v>0.14604529399999999</v>
      </c>
      <c r="AT800" s="4">
        <f t="shared" si="259"/>
        <v>0.56299999999999994</v>
      </c>
      <c r="AU800" s="4">
        <f t="shared" si="260"/>
        <v>69</v>
      </c>
      <c r="AV800" s="4">
        <f t="shared" si="261"/>
        <v>0.51</v>
      </c>
    </row>
    <row r="801" spans="1:48" x14ac:dyDescent="0.15">
      <c r="A801" s="4"/>
      <c r="B801" s="21"/>
      <c r="C801" s="21"/>
      <c r="D801" s="21"/>
      <c r="E801" s="22"/>
      <c r="F801" s="22"/>
      <c r="G801" s="23"/>
      <c r="H801" s="23"/>
      <c r="I801" s="181"/>
      <c r="J801" s="8" t="str">
        <f t="shared" si="253"/>
        <v/>
      </c>
      <c r="K801" s="2" t="str">
        <f t="shared" si="262"/>
        <v/>
      </c>
      <c r="L801" s="2" t="str">
        <f t="shared" si="254"/>
        <v/>
      </c>
      <c r="M801" s="2" t="str">
        <f t="shared" si="263"/>
        <v/>
      </c>
      <c r="N801" s="2" t="str">
        <f t="shared" si="271"/>
        <v/>
      </c>
      <c r="O801" s="2" t="str">
        <f t="shared" si="264"/>
        <v/>
      </c>
      <c r="P801" s="8" t="str">
        <f t="shared" si="265"/>
        <v/>
      </c>
      <c r="Q801" s="8" t="str">
        <f t="shared" si="266"/>
        <v/>
      </c>
      <c r="R801" s="111" t="str">
        <f t="shared" si="267"/>
        <v/>
      </c>
      <c r="S801" s="44" t="str">
        <f t="shared" si="268"/>
        <v/>
      </c>
      <c r="T801" s="37" t="str">
        <f t="shared" si="269"/>
        <v/>
      </c>
      <c r="U801" s="44" t="str">
        <f t="shared" si="270"/>
        <v/>
      </c>
      <c r="V801" s="26"/>
      <c r="W801" s="26"/>
      <c r="X801" s="26"/>
      <c r="Y801" s="26"/>
      <c r="Z801" s="24"/>
      <c r="AA801" s="169">
        <f t="shared" si="255"/>
        <v>0</v>
      </c>
      <c r="AB801" s="4">
        <f t="shared" si="256"/>
        <v>0</v>
      </c>
      <c r="AC801" s="170">
        <f t="shared" si="273"/>
        <v>0</v>
      </c>
      <c r="AD801" s="58"/>
      <c r="AE801" s="58"/>
      <c r="AF801" s="58"/>
      <c r="AG801" s="59">
        <f t="shared" si="257"/>
        <v>9.0359999999999996</v>
      </c>
      <c r="AH801" s="59">
        <f t="shared" si="258"/>
        <v>-184.49199999999999</v>
      </c>
      <c r="AJ801" s="4">
        <f>IF(D801="M",IF(AM801&lt;78,BMILMS!$D$5*AM801^3+BMILMS!$E$5*AM801^2+BMILMS!$F$5*AM801+BMILMS!$G$5,IF(AM801&lt;150,BMILMS!$D$6*AM801^3+BMILMS!$E$6*AM801^2+BMILMS!$F$6*AM801+BMILMS!$G$6,BMILMS!$D$7*AM801^3+BMILMS!$E$7*AM801^2+BMILMS!$F$7*AM801+BMILMS!$G$7)),IF(AM801&lt;69,BMILMS!$D$9*AM801^3+BMILMS!$E$9*AM801^2+BMILMS!$F$9*AM801+BMILMS!$G$9,IF(AM801&lt;150,BMILMS!$D$10*AM801^3+BMILMS!$E$10*AM801^2+BMILMS!$F$10*AM801+BMILMS!$G$10,BMILMS!$D$11*AM801^3+BMILMS!$E$11*AM801^2+BMILMS!$F$11*AM801+BMILMS!$G$11)))</f>
        <v>0.79584630099999998</v>
      </c>
      <c r="AK801" s="4">
        <f>IF(D801="M",(IF(AM801&lt;2.5,BMILMS!$D$21*AM801^3+BMILMS!$E$21*AM801^2+BMILMS!$F$21*AM801+BMILMS!$G$21,IF(AM801&lt;9.5,BMILMS!$D$22*AM801^3+BMILMS!$E$22*AM801^2+BMILMS!$F$22*AM801+BMILMS!$G$22,IF(AM801&lt;26.75,BMILMS!$D$23*AM801^3+BMILMS!$E$23*AM801^2+BMILMS!$F$23*AM801+BMILMS!$G$23,IF(AM801&lt;90,BMILMS!$D$24*AM801^3+BMILMS!$E$24*AM801^2+BMILMS!$F$24*AM801+BMILMS!$G$24,BMILMS!$D$25*AM801^3+BMILMS!$E$25*AM801^2+BMILMS!$F$25*AM801+BMILMS!$G$25))))),(IF(AM801&lt;2.5,BMILMS!$D$27*AM801^3+BMILMS!$E$27*AM801^2+BMILMS!$F$27*AM801+BMILMS!$G$27,IF(AM801&lt;9.5,BMILMS!$D$28*AM801^3+BMILMS!$E$28*AM801^2+BMILMS!$F$28*AM801+BMILMS!$G$28,IF(AM801&lt;26.75,BMILMS!$D$29*AM801^3+BMILMS!$E$29*AM801^2+BMILMS!$F$29*AM801+BMILMS!$G$29,IF(AM801&lt;90,BMILMS!$D$30*AM801^3+BMILMS!$E$30*AM801^2+BMILMS!$F$30*AM801+BMILMS!$G$30,IF(AM801&lt;150,BMILMS!$D$31*AM801^3+BMILMS!$E$31*AM801^2+BMILMS!$F$31*AM801+BMILMS!$G$31,BMILMS!$D$32*AM801^3+BMILMS!$E$32*AM801^2+BMILMS!$F$32*AM801+BMILMS!$G$32)))))))</f>
        <v>12.568967990000001</v>
      </c>
      <c r="AL801" s="4">
        <f>IF(D801="M",(IF(AM801&lt;90,BMILMS!$D$14*AM801^3+BMILMS!$E$14*AM801^2+BMILMS!$F$14*AM801+BMILMS!$G$14,BMILMS!$D$15*AM801^3+BMILMS!$E$15*AM801^2+BMILMS!$F$15*AM801+BMILMS!$G$15)),(IF(AM801&lt;90,BMILMS!$D$17*AM801^3+BMILMS!$E$17*AM801^2+BMILMS!$F$17*AM801+BMILMS!$G$17,BMILMS!$D$18*AM801^3+BMILMS!$E$18*AM801^2+BMILMS!$F$18*AM801+BMILMS!$G$18)))</f>
        <v>8.8969350000000003E-2</v>
      </c>
      <c r="AM801" s="4">
        <f t="shared" si="272"/>
        <v>0</v>
      </c>
      <c r="AO801" s="56">
        <f>IF(D801="M",WeightSDS!P$5*$AM801^7+WeightSDS!Q$5*$AM801^6+WeightSDS!R$5*$AM801^5+WeightSDS!S$5*$AM801^4+WeightSDS!T$5*$AM801^3+WeightSDS!U$5*$AM801^2+WeightSDS!V$5*$AM801+WeightSDS!W$5,IF($AM801&lt;186,WeightSDS!P$8*$AM801^7+WeightSDS!Q$8*$AM801^6+WeightSDS!R$8*$AM801^5+WeightSDS!S$8*$AM801^4+WeightSDS!T$8*$AM801^3+WeightSDS!U$8*$AM801^2+WeightSDS!V$8*$AM801+WeightSDS!W$8,WeightSDS!$U$9+WeightSDS!$V$9*($AM801-WeightSDS!$W$9)))</f>
        <v>0.75407122999999998</v>
      </c>
      <c r="AP801" s="4">
        <f>IF(D801="M",IF($AM801&lt;45,WeightSDS!M$23*$AM801^10+WeightSDS!N$23*$AM801^9+WeightSDS!O$23*$AM801^8+WeightSDS!P$23*$AM801^7+WeightSDS!Q$23*$AM801^6+WeightSDS!R$23*$AM801^5+WeightSDS!S$23*$AM801^4+WeightSDS!T$23*$AM801^3+WeightSDS!U$23*$AM801^2+WeightSDS!V$23*$AM801+WeightSDS!W$23,IF($AM801&lt;153,WeightSDS!M$25*$AM801^10+WeightSDS!N$25*$AM801^9+WeightSDS!O$25*$AM801^8+WeightSDS!P$25*$AM801^7+WeightSDS!Q$25*$AM801^6+WeightSDS!R$25*$AM801^5+WeightSDS!S$25*$AM801^4+WeightSDS!T$25*$AM801^3+WeightSDS!U$25*$AM801^2+WeightSDS!V$25*$AM801+WeightSDS!W$25,WeightSDS!M$27+WeightSDS!N$27/(1+EXP(WeightSDS!O$27+WeightSDS!P$27*$AM801)))),IF($AM801&lt;43.8,WeightSDS!M$29*$AM801^10+WeightSDS!N$29*$AM801^9+WeightSDS!O$29*$AM801^8+WeightSDS!P$29*$AM801^7+WeightSDS!Q$29*$AM801^6+WeightSDS!R$29*$AM801^5+WeightSDS!S$29*$AM801^4+WeightSDS!T$29*$AM801^3+WeightSDS!U$29*$AM801^2+WeightSDS!V$29*$AM801+WeightSDS!W$29-0.010431*(1-$AM801/210),IF($AM801&lt;123,WeightSDS!M$30*$AM801^10+WeightSDS!N$30*$AM801^9+WeightSDS!O$30*$AM801^8+WeightSDS!P$30*$AM801^7+WeightSDS!Q$30*$AM801^6+WeightSDS!R$30*$AM801^5+WeightSDS!S$30*$AM801^4+WeightSDS!T$30*$AM801^3+WeightSDS!U$30*$AM801^2+WeightSDS!V$30*$AM801+WeightSDS!W$30-0.010431*(1-1/$AM801),WeightSDS!M$32+WeightSDS!N$32/(1+EXP(WeightSDS!O$32+WeightSDS!P$32*$AM801))-0.010431*(1-$AM801/210))))</f>
        <v>2.9500001032655536</v>
      </c>
      <c r="AQ801" s="4">
        <f>IF(D801="M",IF($AM801&lt;162,WeightSDS!P$12*$AM801^7+WeightSDS!Q$12*$AM801^6+WeightSDS!R$12*$AM801^5+WeightSDS!S$12*$AM801^4+WeightSDS!T$12*$AM801^3+WeightSDS!U$12*$AM801^2+WeightSDS!V$12*$AM801+WeightSDS!W$12,WeightSDS!P$14*$AM801^7+WeightSDS!Q$14*$AM801^6+WeightSDS!R$14*$AM801^5+WeightSDS!S$14*$AM801^4+WeightSDS!T$14*$AM801^3+WeightSDS!U$14*$AM801^2+WeightSDS!V$14*$AM801+WeightSDS!W$14),IF($AM801&lt;156,WeightSDS!O$17*$AM801^8+WeightSDS!P$17*$AM801^7+WeightSDS!Q$17*$AM801^6+WeightSDS!R$17*$AM801^5+WeightSDS!S$17*$AM801^4+WeightSDS!T$17*$AM801^3+WeightSDS!U$17*$AM801^2+WeightSDS!V$17*$AM801+WeightSDS!W$17,IF($AM801&lt;186,WeightSDS!$U$18+(WeightSDS!$V$18-WeightSDS!$U$18)/24*($AM801-186)+WeightSDS!$W$18*(-$AM801+186)^2-0.005,WeightSDS!$U$18+(WeightSDS!$V$18-WeightSDS!$U$18)/24*($AM801-186)-0.005)))</f>
        <v>0.14604529399999999</v>
      </c>
      <c r="AT801" s="4">
        <f t="shared" si="259"/>
        <v>0.56299999999999994</v>
      </c>
      <c r="AU801" s="4">
        <f t="shared" si="260"/>
        <v>69</v>
      </c>
      <c r="AV801" s="4">
        <f t="shared" si="261"/>
        <v>0.51</v>
      </c>
    </row>
    <row r="802" spans="1:48" x14ac:dyDescent="0.15">
      <c r="A802" s="4"/>
      <c r="B802" s="21"/>
      <c r="C802" s="21"/>
      <c r="D802" s="21"/>
      <c r="E802" s="22"/>
      <c r="F802" s="22"/>
      <c r="G802" s="23"/>
      <c r="H802" s="23"/>
      <c r="I802" s="181"/>
      <c r="J802" s="8" t="str">
        <f t="shared" si="253"/>
        <v/>
      </c>
      <c r="K802" s="2" t="str">
        <f t="shared" si="262"/>
        <v/>
      </c>
      <c r="L802" s="2" t="str">
        <f t="shared" si="254"/>
        <v/>
      </c>
      <c r="M802" s="2" t="str">
        <f t="shared" si="263"/>
        <v/>
      </c>
      <c r="N802" s="2" t="str">
        <f t="shared" si="271"/>
        <v/>
      </c>
      <c r="O802" s="2" t="str">
        <f t="shared" si="264"/>
        <v/>
      </c>
      <c r="P802" s="8" t="str">
        <f t="shared" si="265"/>
        <v/>
      </c>
      <c r="Q802" s="8" t="str">
        <f t="shared" si="266"/>
        <v/>
      </c>
      <c r="R802" s="111" t="str">
        <f t="shared" si="267"/>
        <v/>
      </c>
      <c r="S802" s="44" t="str">
        <f t="shared" si="268"/>
        <v/>
      </c>
      <c r="T802" s="37" t="str">
        <f t="shared" si="269"/>
        <v/>
      </c>
      <c r="U802" s="44" t="str">
        <f t="shared" si="270"/>
        <v/>
      </c>
      <c r="V802" s="26"/>
      <c r="W802" s="26"/>
      <c r="X802" s="26"/>
      <c r="Y802" s="26"/>
      <c r="Z802" s="24"/>
      <c r="AA802" s="169">
        <f t="shared" si="255"/>
        <v>0</v>
      </c>
      <c r="AB802" s="4">
        <f t="shared" si="256"/>
        <v>0</v>
      </c>
      <c r="AC802" s="170">
        <f t="shared" si="273"/>
        <v>0</v>
      </c>
      <c r="AD802" s="58"/>
      <c r="AE802" s="58"/>
      <c r="AF802" s="58"/>
      <c r="AG802" s="59">
        <f t="shared" si="257"/>
        <v>9.0359999999999996</v>
      </c>
      <c r="AH802" s="59">
        <f t="shared" si="258"/>
        <v>-184.49199999999999</v>
      </c>
      <c r="AJ802" s="4">
        <f>IF(D802="M",IF(AM802&lt;78,BMILMS!$D$5*AM802^3+BMILMS!$E$5*AM802^2+BMILMS!$F$5*AM802+BMILMS!$G$5,IF(AM802&lt;150,BMILMS!$D$6*AM802^3+BMILMS!$E$6*AM802^2+BMILMS!$F$6*AM802+BMILMS!$G$6,BMILMS!$D$7*AM802^3+BMILMS!$E$7*AM802^2+BMILMS!$F$7*AM802+BMILMS!$G$7)),IF(AM802&lt;69,BMILMS!$D$9*AM802^3+BMILMS!$E$9*AM802^2+BMILMS!$F$9*AM802+BMILMS!$G$9,IF(AM802&lt;150,BMILMS!$D$10*AM802^3+BMILMS!$E$10*AM802^2+BMILMS!$F$10*AM802+BMILMS!$G$10,BMILMS!$D$11*AM802^3+BMILMS!$E$11*AM802^2+BMILMS!$F$11*AM802+BMILMS!$G$11)))</f>
        <v>0.79584630099999998</v>
      </c>
      <c r="AK802" s="4">
        <f>IF(D802="M",(IF(AM802&lt;2.5,BMILMS!$D$21*AM802^3+BMILMS!$E$21*AM802^2+BMILMS!$F$21*AM802+BMILMS!$G$21,IF(AM802&lt;9.5,BMILMS!$D$22*AM802^3+BMILMS!$E$22*AM802^2+BMILMS!$F$22*AM802+BMILMS!$G$22,IF(AM802&lt;26.75,BMILMS!$D$23*AM802^3+BMILMS!$E$23*AM802^2+BMILMS!$F$23*AM802+BMILMS!$G$23,IF(AM802&lt;90,BMILMS!$D$24*AM802^3+BMILMS!$E$24*AM802^2+BMILMS!$F$24*AM802+BMILMS!$G$24,BMILMS!$D$25*AM802^3+BMILMS!$E$25*AM802^2+BMILMS!$F$25*AM802+BMILMS!$G$25))))),(IF(AM802&lt;2.5,BMILMS!$D$27*AM802^3+BMILMS!$E$27*AM802^2+BMILMS!$F$27*AM802+BMILMS!$G$27,IF(AM802&lt;9.5,BMILMS!$D$28*AM802^3+BMILMS!$E$28*AM802^2+BMILMS!$F$28*AM802+BMILMS!$G$28,IF(AM802&lt;26.75,BMILMS!$D$29*AM802^3+BMILMS!$E$29*AM802^2+BMILMS!$F$29*AM802+BMILMS!$G$29,IF(AM802&lt;90,BMILMS!$D$30*AM802^3+BMILMS!$E$30*AM802^2+BMILMS!$F$30*AM802+BMILMS!$G$30,IF(AM802&lt;150,BMILMS!$D$31*AM802^3+BMILMS!$E$31*AM802^2+BMILMS!$F$31*AM802+BMILMS!$G$31,BMILMS!$D$32*AM802^3+BMILMS!$E$32*AM802^2+BMILMS!$F$32*AM802+BMILMS!$G$32)))))))</f>
        <v>12.568967990000001</v>
      </c>
      <c r="AL802" s="4">
        <f>IF(D802="M",(IF(AM802&lt;90,BMILMS!$D$14*AM802^3+BMILMS!$E$14*AM802^2+BMILMS!$F$14*AM802+BMILMS!$G$14,BMILMS!$D$15*AM802^3+BMILMS!$E$15*AM802^2+BMILMS!$F$15*AM802+BMILMS!$G$15)),(IF(AM802&lt;90,BMILMS!$D$17*AM802^3+BMILMS!$E$17*AM802^2+BMILMS!$F$17*AM802+BMILMS!$G$17,BMILMS!$D$18*AM802^3+BMILMS!$E$18*AM802^2+BMILMS!$F$18*AM802+BMILMS!$G$18)))</f>
        <v>8.8969350000000003E-2</v>
      </c>
      <c r="AM802" s="4">
        <f t="shared" si="272"/>
        <v>0</v>
      </c>
      <c r="AO802" s="56">
        <f>IF(D802="M",WeightSDS!P$5*$AM802^7+WeightSDS!Q$5*$AM802^6+WeightSDS!R$5*$AM802^5+WeightSDS!S$5*$AM802^4+WeightSDS!T$5*$AM802^3+WeightSDS!U$5*$AM802^2+WeightSDS!V$5*$AM802+WeightSDS!W$5,IF($AM802&lt;186,WeightSDS!P$8*$AM802^7+WeightSDS!Q$8*$AM802^6+WeightSDS!R$8*$AM802^5+WeightSDS!S$8*$AM802^4+WeightSDS!T$8*$AM802^3+WeightSDS!U$8*$AM802^2+WeightSDS!V$8*$AM802+WeightSDS!W$8,WeightSDS!$U$9+WeightSDS!$V$9*($AM802-WeightSDS!$W$9)))</f>
        <v>0.75407122999999998</v>
      </c>
      <c r="AP802" s="4">
        <f>IF(D802="M",IF($AM802&lt;45,WeightSDS!M$23*$AM802^10+WeightSDS!N$23*$AM802^9+WeightSDS!O$23*$AM802^8+WeightSDS!P$23*$AM802^7+WeightSDS!Q$23*$AM802^6+WeightSDS!R$23*$AM802^5+WeightSDS!S$23*$AM802^4+WeightSDS!T$23*$AM802^3+WeightSDS!U$23*$AM802^2+WeightSDS!V$23*$AM802+WeightSDS!W$23,IF($AM802&lt;153,WeightSDS!M$25*$AM802^10+WeightSDS!N$25*$AM802^9+WeightSDS!O$25*$AM802^8+WeightSDS!P$25*$AM802^7+WeightSDS!Q$25*$AM802^6+WeightSDS!R$25*$AM802^5+WeightSDS!S$25*$AM802^4+WeightSDS!T$25*$AM802^3+WeightSDS!U$25*$AM802^2+WeightSDS!V$25*$AM802+WeightSDS!W$25,WeightSDS!M$27+WeightSDS!N$27/(1+EXP(WeightSDS!O$27+WeightSDS!P$27*$AM802)))),IF($AM802&lt;43.8,WeightSDS!M$29*$AM802^10+WeightSDS!N$29*$AM802^9+WeightSDS!O$29*$AM802^8+WeightSDS!P$29*$AM802^7+WeightSDS!Q$29*$AM802^6+WeightSDS!R$29*$AM802^5+WeightSDS!S$29*$AM802^4+WeightSDS!T$29*$AM802^3+WeightSDS!U$29*$AM802^2+WeightSDS!V$29*$AM802+WeightSDS!W$29-0.010431*(1-$AM802/210),IF($AM802&lt;123,WeightSDS!M$30*$AM802^10+WeightSDS!N$30*$AM802^9+WeightSDS!O$30*$AM802^8+WeightSDS!P$30*$AM802^7+WeightSDS!Q$30*$AM802^6+WeightSDS!R$30*$AM802^5+WeightSDS!S$30*$AM802^4+WeightSDS!T$30*$AM802^3+WeightSDS!U$30*$AM802^2+WeightSDS!V$30*$AM802+WeightSDS!W$30-0.010431*(1-1/$AM802),WeightSDS!M$32+WeightSDS!N$32/(1+EXP(WeightSDS!O$32+WeightSDS!P$32*$AM802))-0.010431*(1-$AM802/210))))</f>
        <v>2.9500001032655536</v>
      </c>
      <c r="AQ802" s="4">
        <f>IF(D802="M",IF($AM802&lt;162,WeightSDS!P$12*$AM802^7+WeightSDS!Q$12*$AM802^6+WeightSDS!R$12*$AM802^5+WeightSDS!S$12*$AM802^4+WeightSDS!T$12*$AM802^3+WeightSDS!U$12*$AM802^2+WeightSDS!V$12*$AM802+WeightSDS!W$12,WeightSDS!P$14*$AM802^7+WeightSDS!Q$14*$AM802^6+WeightSDS!R$14*$AM802^5+WeightSDS!S$14*$AM802^4+WeightSDS!T$14*$AM802^3+WeightSDS!U$14*$AM802^2+WeightSDS!V$14*$AM802+WeightSDS!W$14),IF($AM802&lt;156,WeightSDS!O$17*$AM802^8+WeightSDS!P$17*$AM802^7+WeightSDS!Q$17*$AM802^6+WeightSDS!R$17*$AM802^5+WeightSDS!S$17*$AM802^4+WeightSDS!T$17*$AM802^3+WeightSDS!U$17*$AM802^2+WeightSDS!V$17*$AM802+WeightSDS!W$17,IF($AM802&lt;186,WeightSDS!$U$18+(WeightSDS!$V$18-WeightSDS!$U$18)/24*($AM802-186)+WeightSDS!$W$18*(-$AM802+186)^2-0.005,WeightSDS!$U$18+(WeightSDS!$V$18-WeightSDS!$U$18)/24*($AM802-186)-0.005)))</f>
        <v>0.14604529399999999</v>
      </c>
      <c r="AT802" s="4">
        <f t="shared" si="259"/>
        <v>0.56299999999999994</v>
      </c>
      <c r="AU802" s="4">
        <f t="shared" si="260"/>
        <v>69</v>
      </c>
      <c r="AV802" s="4">
        <f t="shared" si="261"/>
        <v>0.51</v>
      </c>
    </row>
    <row r="803" spans="1:48" x14ac:dyDescent="0.15">
      <c r="A803" s="4"/>
      <c r="B803" s="21"/>
      <c r="C803" s="21"/>
      <c r="D803" s="21"/>
      <c r="E803" s="22"/>
      <c r="F803" s="22"/>
      <c r="G803" s="23"/>
      <c r="H803" s="23"/>
      <c r="I803" s="181"/>
      <c r="J803" s="8" t="str">
        <f t="shared" si="253"/>
        <v/>
      </c>
      <c r="K803" s="2" t="str">
        <f t="shared" si="262"/>
        <v/>
      </c>
      <c r="L803" s="2" t="str">
        <f t="shared" si="254"/>
        <v/>
      </c>
      <c r="M803" s="2" t="str">
        <f t="shared" si="263"/>
        <v/>
      </c>
      <c r="N803" s="2" t="str">
        <f t="shared" si="271"/>
        <v/>
      </c>
      <c r="O803" s="2" t="str">
        <f t="shared" si="264"/>
        <v/>
      </c>
      <c r="P803" s="8" t="str">
        <f t="shared" si="265"/>
        <v/>
      </c>
      <c r="Q803" s="8" t="str">
        <f t="shared" si="266"/>
        <v/>
      </c>
      <c r="R803" s="111" t="str">
        <f t="shared" si="267"/>
        <v/>
      </c>
      <c r="S803" s="44" t="str">
        <f t="shared" si="268"/>
        <v/>
      </c>
      <c r="T803" s="37" t="str">
        <f t="shared" si="269"/>
        <v/>
      </c>
      <c r="U803" s="44" t="str">
        <f t="shared" si="270"/>
        <v/>
      </c>
      <c r="V803" s="26"/>
      <c r="W803" s="26"/>
      <c r="X803" s="26"/>
      <c r="Y803" s="26"/>
      <c r="Z803" s="24"/>
      <c r="AA803" s="169">
        <f t="shared" si="255"/>
        <v>0</v>
      </c>
      <c r="AB803" s="4">
        <f t="shared" si="256"/>
        <v>0</v>
      </c>
      <c r="AC803" s="170">
        <f t="shared" si="273"/>
        <v>0</v>
      </c>
      <c r="AD803" s="58"/>
      <c r="AE803" s="58"/>
      <c r="AF803" s="58"/>
      <c r="AG803" s="59">
        <f t="shared" si="257"/>
        <v>9.0359999999999996</v>
      </c>
      <c r="AH803" s="59">
        <f t="shared" si="258"/>
        <v>-184.49199999999999</v>
      </c>
      <c r="AJ803" s="4">
        <f>IF(D803="M",IF(AM803&lt;78,BMILMS!$D$5*AM803^3+BMILMS!$E$5*AM803^2+BMILMS!$F$5*AM803+BMILMS!$G$5,IF(AM803&lt;150,BMILMS!$D$6*AM803^3+BMILMS!$E$6*AM803^2+BMILMS!$F$6*AM803+BMILMS!$G$6,BMILMS!$D$7*AM803^3+BMILMS!$E$7*AM803^2+BMILMS!$F$7*AM803+BMILMS!$G$7)),IF(AM803&lt;69,BMILMS!$D$9*AM803^3+BMILMS!$E$9*AM803^2+BMILMS!$F$9*AM803+BMILMS!$G$9,IF(AM803&lt;150,BMILMS!$D$10*AM803^3+BMILMS!$E$10*AM803^2+BMILMS!$F$10*AM803+BMILMS!$G$10,BMILMS!$D$11*AM803^3+BMILMS!$E$11*AM803^2+BMILMS!$F$11*AM803+BMILMS!$G$11)))</f>
        <v>0.79584630099999998</v>
      </c>
      <c r="AK803" s="4">
        <f>IF(D803="M",(IF(AM803&lt;2.5,BMILMS!$D$21*AM803^3+BMILMS!$E$21*AM803^2+BMILMS!$F$21*AM803+BMILMS!$G$21,IF(AM803&lt;9.5,BMILMS!$D$22*AM803^3+BMILMS!$E$22*AM803^2+BMILMS!$F$22*AM803+BMILMS!$G$22,IF(AM803&lt;26.75,BMILMS!$D$23*AM803^3+BMILMS!$E$23*AM803^2+BMILMS!$F$23*AM803+BMILMS!$G$23,IF(AM803&lt;90,BMILMS!$D$24*AM803^3+BMILMS!$E$24*AM803^2+BMILMS!$F$24*AM803+BMILMS!$G$24,BMILMS!$D$25*AM803^3+BMILMS!$E$25*AM803^2+BMILMS!$F$25*AM803+BMILMS!$G$25))))),(IF(AM803&lt;2.5,BMILMS!$D$27*AM803^3+BMILMS!$E$27*AM803^2+BMILMS!$F$27*AM803+BMILMS!$G$27,IF(AM803&lt;9.5,BMILMS!$D$28*AM803^3+BMILMS!$E$28*AM803^2+BMILMS!$F$28*AM803+BMILMS!$G$28,IF(AM803&lt;26.75,BMILMS!$D$29*AM803^3+BMILMS!$E$29*AM803^2+BMILMS!$F$29*AM803+BMILMS!$G$29,IF(AM803&lt;90,BMILMS!$D$30*AM803^3+BMILMS!$E$30*AM803^2+BMILMS!$F$30*AM803+BMILMS!$G$30,IF(AM803&lt;150,BMILMS!$D$31*AM803^3+BMILMS!$E$31*AM803^2+BMILMS!$F$31*AM803+BMILMS!$G$31,BMILMS!$D$32*AM803^3+BMILMS!$E$32*AM803^2+BMILMS!$F$32*AM803+BMILMS!$G$32)))))))</f>
        <v>12.568967990000001</v>
      </c>
      <c r="AL803" s="4">
        <f>IF(D803="M",(IF(AM803&lt;90,BMILMS!$D$14*AM803^3+BMILMS!$E$14*AM803^2+BMILMS!$F$14*AM803+BMILMS!$G$14,BMILMS!$D$15*AM803^3+BMILMS!$E$15*AM803^2+BMILMS!$F$15*AM803+BMILMS!$G$15)),(IF(AM803&lt;90,BMILMS!$D$17*AM803^3+BMILMS!$E$17*AM803^2+BMILMS!$F$17*AM803+BMILMS!$G$17,BMILMS!$D$18*AM803^3+BMILMS!$E$18*AM803^2+BMILMS!$F$18*AM803+BMILMS!$G$18)))</f>
        <v>8.8969350000000003E-2</v>
      </c>
      <c r="AM803" s="4">
        <f t="shared" si="272"/>
        <v>0</v>
      </c>
      <c r="AO803" s="56">
        <f>IF(D803="M",WeightSDS!P$5*$AM803^7+WeightSDS!Q$5*$AM803^6+WeightSDS!R$5*$AM803^5+WeightSDS!S$5*$AM803^4+WeightSDS!T$5*$AM803^3+WeightSDS!U$5*$AM803^2+WeightSDS!V$5*$AM803+WeightSDS!W$5,IF($AM803&lt;186,WeightSDS!P$8*$AM803^7+WeightSDS!Q$8*$AM803^6+WeightSDS!R$8*$AM803^5+WeightSDS!S$8*$AM803^4+WeightSDS!T$8*$AM803^3+WeightSDS!U$8*$AM803^2+WeightSDS!V$8*$AM803+WeightSDS!W$8,WeightSDS!$U$9+WeightSDS!$V$9*($AM803-WeightSDS!$W$9)))</f>
        <v>0.75407122999999998</v>
      </c>
      <c r="AP803" s="4">
        <f>IF(D803="M",IF($AM803&lt;45,WeightSDS!M$23*$AM803^10+WeightSDS!N$23*$AM803^9+WeightSDS!O$23*$AM803^8+WeightSDS!P$23*$AM803^7+WeightSDS!Q$23*$AM803^6+WeightSDS!R$23*$AM803^5+WeightSDS!S$23*$AM803^4+WeightSDS!T$23*$AM803^3+WeightSDS!U$23*$AM803^2+WeightSDS!V$23*$AM803+WeightSDS!W$23,IF($AM803&lt;153,WeightSDS!M$25*$AM803^10+WeightSDS!N$25*$AM803^9+WeightSDS!O$25*$AM803^8+WeightSDS!P$25*$AM803^7+WeightSDS!Q$25*$AM803^6+WeightSDS!R$25*$AM803^5+WeightSDS!S$25*$AM803^4+WeightSDS!T$25*$AM803^3+WeightSDS!U$25*$AM803^2+WeightSDS!V$25*$AM803+WeightSDS!W$25,WeightSDS!M$27+WeightSDS!N$27/(1+EXP(WeightSDS!O$27+WeightSDS!P$27*$AM803)))),IF($AM803&lt;43.8,WeightSDS!M$29*$AM803^10+WeightSDS!N$29*$AM803^9+WeightSDS!O$29*$AM803^8+WeightSDS!P$29*$AM803^7+WeightSDS!Q$29*$AM803^6+WeightSDS!R$29*$AM803^5+WeightSDS!S$29*$AM803^4+WeightSDS!T$29*$AM803^3+WeightSDS!U$29*$AM803^2+WeightSDS!V$29*$AM803+WeightSDS!W$29-0.010431*(1-$AM803/210),IF($AM803&lt;123,WeightSDS!M$30*$AM803^10+WeightSDS!N$30*$AM803^9+WeightSDS!O$30*$AM803^8+WeightSDS!P$30*$AM803^7+WeightSDS!Q$30*$AM803^6+WeightSDS!R$30*$AM803^5+WeightSDS!S$30*$AM803^4+WeightSDS!T$30*$AM803^3+WeightSDS!U$30*$AM803^2+WeightSDS!V$30*$AM803+WeightSDS!W$30-0.010431*(1-1/$AM803),WeightSDS!M$32+WeightSDS!N$32/(1+EXP(WeightSDS!O$32+WeightSDS!P$32*$AM803))-0.010431*(1-$AM803/210))))</f>
        <v>2.9500001032655536</v>
      </c>
      <c r="AQ803" s="4">
        <f>IF(D803="M",IF($AM803&lt;162,WeightSDS!P$12*$AM803^7+WeightSDS!Q$12*$AM803^6+WeightSDS!R$12*$AM803^5+WeightSDS!S$12*$AM803^4+WeightSDS!T$12*$AM803^3+WeightSDS!U$12*$AM803^2+WeightSDS!V$12*$AM803+WeightSDS!W$12,WeightSDS!P$14*$AM803^7+WeightSDS!Q$14*$AM803^6+WeightSDS!R$14*$AM803^5+WeightSDS!S$14*$AM803^4+WeightSDS!T$14*$AM803^3+WeightSDS!U$14*$AM803^2+WeightSDS!V$14*$AM803+WeightSDS!W$14),IF($AM803&lt;156,WeightSDS!O$17*$AM803^8+WeightSDS!P$17*$AM803^7+WeightSDS!Q$17*$AM803^6+WeightSDS!R$17*$AM803^5+WeightSDS!S$17*$AM803^4+WeightSDS!T$17*$AM803^3+WeightSDS!U$17*$AM803^2+WeightSDS!V$17*$AM803+WeightSDS!W$17,IF($AM803&lt;186,WeightSDS!$U$18+(WeightSDS!$V$18-WeightSDS!$U$18)/24*($AM803-186)+WeightSDS!$W$18*(-$AM803+186)^2-0.005,WeightSDS!$U$18+(WeightSDS!$V$18-WeightSDS!$U$18)/24*($AM803-186)-0.005)))</f>
        <v>0.14604529399999999</v>
      </c>
      <c r="AT803" s="4">
        <f t="shared" si="259"/>
        <v>0.56299999999999994</v>
      </c>
      <c r="AU803" s="4">
        <f t="shared" si="260"/>
        <v>69</v>
      </c>
      <c r="AV803" s="4">
        <f t="shared" si="261"/>
        <v>0.51</v>
      </c>
    </row>
    <row r="804" spans="1:48" x14ac:dyDescent="0.15">
      <c r="A804" s="4"/>
      <c r="B804" s="21"/>
      <c r="C804" s="21"/>
      <c r="D804" s="21"/>
      <c r="E804" s="22"/>
      <c r="F804" s="22"/>
      <c r="G804" s="23"/>
      <c r="H804" s="23"/>
      <c r="I804" s="181"/>
      <c r="J804" s="8" t="str">
        <f t="shared" si="253"/>
        <v/>
      </c>
      <c r="K804" s="2" t="str">
        <f t="shared" si="262"/>
        <v/>
      </c>
      <c r="L804" s="2" t="str">
        <f t="shared" si="254"/>
        <v/>
      </c>
      <c r="M804" s="2" t="str">
        <f t="shared" si="263"/>
        <v/>
      </c>
      <c r="N804" s="2" t="str">
        <f t="shared" si="271"/>
        <v/>
      </c>
      <c r="O804" s="2" t="str">
        <f t="shared" si="264"/>
        <v/>
      </c>
      <c r="P804" s="8" t="str">
        <f t="shared" si="265"/>
        <v/>
      </c>
      <c r="Q804" s="8" t="str">
        <f t="shared" si="266"/>
        <v/>
      </c>
      <c r="R804" s="111" t="str">
        <f t="shared" si="267"/>
        <v/>
      </c>
      <c r="S804" s="44" t="str">
        <f t="shared" si="268"/>
        <v/>
      </c>
      <c r="T804" s="37" t="str">
        <f t="shared" si="269"/>
        <v/>
      </c>
      <c r="U804" s="44" t="str">
        <f t="shared" si="270"/>
        <v/>
      </c>
      <c r="V804" s="26"/>
      <c r="W804" s="26"/>
      <c r="X804" s="26"/>
      <c r="Y804" s="26"/>
      <c r="Z804" s="24"/>
      <c r="AA804" s="169">
        <f t="shared" si="255"/>
        <v>0</v>
      </c>
      <c r="AB804" s="4">
        <f t="shared" si="256"/>
        <v>0</v>
      </c>
      <c r="AC804" s="170">
        <f t="shared" si="273"/>
        <v>0</v>
      </c>
      <c r="AD804" s="58"/>
      <c r="AE804" s="58"/>
      <c r="AF804" s="58"/>
      <c r="AG804" s="59">
        <f t="shared" si="257"/>
        <v>9.0359999999999996</v>
      </c>
      <c r="AH804" s="59">
        <f t="shared" si="258"/>
        <v>-184.49199999999999</v>
      </c>
      <c r="AJ804" s="4">
        <f>IF(D804="M",IF(AM804&lt;78,BMILMS!$D$5*AM804^3+BMILMS!$E$5*AM804^2+BMILMS!$F$5*AM804+BMILMS!$G$5,IF(AM804&lt;150,BMILMS!$D$6*AM804^3+BMILMS!$E$6*AM804^2+BMILMS!$F$6*AM804+BMILMS!$G$6,BMILMS!$D$7*AM804^3+BMILMS!$E$7*AM804^2+BMILMS!$F$7*AM804+BMILMS!$G$7)),IF(AM804&lt;69,BMILMS!$D$9*AM804^3+BMILMS!$E$9*AM804^2+BMILMS!$F$9*AM804+BMILMS!$G$9,IF(AM804&lt;150,BMILMS!$D$10*AM804^3+BMILMS!$E$10*AM804^2+BMILMS!$F$10*AM804+BMILMS!$G$10,BMILMS!$D$11*AM804^3+BMILMS!$E$11*AM804^2+BMILMS!$F$11*AM804+BMILMS!$G$11)))</f>
        <v>0.79584630099999998</v>
      </c>
      <c r="AK804" s="4">
        <f>IF(D804="M",(IF(AM804&lt;2.5,BMILMS!$D$21*AM804^3+BMILMS!$E$21*AM804^2+BMILMS!$F$21*AM804+BMILMS!$G$21,IF(AM804&lt;9.5,BMILMS!$D$22*AM804^3+BMILMS!$E$22*AM804^2+BMILMS!$F$22*AM804+BMILMS!$G$22,IF(AM804&lt;26.75,BMILMS!$D$23*AM804^3+BMILMS!$E$23*AM804^2+BMILMS!$F$23*AM804+BMILMS!$G$23,IF(AM804&lt;90,BMILMS!$D$24*AM804^3+BMILMS!$E$24*AM804^2+BMILMS!$F$24*AM804+BMILMS!$G$24,BMILMS!$D$25*AM804^3+BMILMS!$E$25*AM804^2+BMILMS!$F$25*AM804+BMILMS!$G$25))))),(IF(AM804&lt;2.5,BMILMS!$D$27*AM804^3+BMILMS!$E$27*AM804^2+BMILMS!$F$27*AM804+BMILMS!$G$27,IF(AM804&lt;9.5,BMILMS!$D$28*AM804^3+BMILMS!$E$28*AM804^2+BMILMS!$F$28*AM804+BMILMS!$G$28,IF(AM804&lt;26.75,BMILMS!$D$29*AM804^3+BMILMS!$E$29*AM804^2+BMILMS!$F$29*AM804+BMILMS!$G$29,IF(AM804&lt;90,BMILMS!$D$30*AM804^3+BMILMS!$E$30*AM804^2+BMILMS!$F$30*AM804+BMILMS!$G$30,IF(AM804&lt;150,BMILMS!$D$31*AM804^3+BMILMS!$E$31*AM804^2+BMILMS!$F$31*AM804+BMILMS!$G$31,BMILMS!$D$32*AM804^3+BMILMS!$E$32*AM804^2+BMILMS!$F$32*AM804+BMILMS!$G$32)))))))</f>
        <v>12.568967990000001</v>
      </c>
      <c r="AL804" s="4">
        <f>IF(D804="M",(IF(AM804&lt;90,BMILMS!$D$14*AM804^3+BMILMS!$E$14*AM804^2+BMILMS!$F$14*AM804+BMILMS!$G$14,BMILMS!$D$15*AM804^3+BMILMS!$E$15*AM804^2+BMILMS!$F$15*AM804+BMILMS!$G$15)),(IF(AM804&lt;90,BMILMS!$D$17*AM804^3+BMILMS!$E$17*AM804^2+BMILMS!$F$17*AM804+BMILMS!$G$17,BMILMS!$D$18*AM804^3+BMILMS!$E$18*AM804^2+BMILMS!$F$18*AM804+BMILMS!$G$18)))</f>
        <v>8.8969350000000003E-2</v>
      </c>
      <c r="AM804" s="4">
        <f t="shared" si="272"/>
        <v>0</v>
      </c>
      <c r="AO804" s="56">
        <f>IF(D804="M",WeightSDS!P$5*$AM804^7+WeightSDS!Q$5*$AM804^6+WeightSDS!R$5*$AM804^5+WeightSDS!S$5*$AM804^4+WeightSDS!T$5*$AM804^3+WeightSDS!U$5*$AM804^2+WeightSDS!V$5*$AM804+WeightSDS!W$5,IF($AM804&lt;186,WeightSDS!P$8*$AM804^7+WeightSDS!Q$8*$AM804^6+WeightSDS!R$8*$AM804^5+WeightSDS!S$8*$AM804^4+WeightSDS!T$8*$AM804^3+WeightSDS!U$8*$AM804^2+WeightSDS!V$8*$AM804+WeightSDS!W$8,WeightSDS!$U$9+WeightSDS!$V$9*($AM804-WeightSDS!$W$9)))</f>
        <v>0.75407122999999998</v>
      </c>
      <c r="AP804" s="4">
        <f>IF(D804="M",IF($AM804&lt;45,WeightSDS!M$23*$AM804^10+WeightSDS!N$23*$AM804^9+WeightSDS!O$23*$AM804^8+WeightSDS!P$23*$AM804^7+WeightSDS!Q$23*$AM804^6+WeightSDS!R$23*$AM804^5+WeightSDS!S$23*$AM804^4+WeightSDS!T$23*$AM804^3+WeightSDS!U$23*$AM804^2+WeightSDS!V$23*$AM804+WeightSDS!W$23,IF($AM804&lt;153,WeightSDS!M$25*$AM804^10+WeightSDS!N$25*$AM804^9+WeightSDS!O$25*$AM804^8+WeightSDS!P$25*$AM804^7+WeightSDS!Q$25*$AM804^6+WeightSDS!R$25*$AM804^5+WeightSDS!S$25*$AM804^4+WeightSDS!T$25*$AM804^3+WeightSDS!U$25*$AM804^2+WeightSDS!V$25*$AM804+WeightSDS!W$25,WeightSDS!M$27+WeightSDS!N$27/(1+EXP(WeightSDS!O$27+WeightSDS!P$27*$AM804)))),IF($AM804&lt;43.8,WeightSDS!M$29*$AM804^10+WeightSDS!N$29*$AM804^9+WeightSDS!O$29*$AM804^8+WeightSDS!P$29*$AM804^7+WeightSDS!Q$29*$AM804^6+WeightSDS!R$29*$AM804^5+WeightSDS!S$29*$AM804^4+WeightSDS!T$29*$AM804^3+WeightSDS!U$29*$AM804^2+WeightSDS!V$29*$AM804+WeightSDS!W$29-0.010431*(1-$AM804/210),IF($AM804&lt;123,WeightSDS!M$30*$AM804^10+WeightSDS!N$30*$AM804^9+WeightSDS!O$30*$AM804^8+WeightSDS!P$30*$AM804^7+WeightSDS!Q$30*$AM804^6+WeightSDS!R$30*$AM804^5+WeightSDS!S$30*$AM804^4+WeightSDS!T$30*$AM804^3+WeightSDS!U$30*$AM804^2+WeightSDS!V$30*$AM804+WeightSDS!W$30-0.010431*(1-1/$AM804),WeightSDS!M$32+WeightSDS!N$32/(1+EXP(WeightSDS!O$32+WeightSDS!P$32*$AM804))-0.010431*(1-$AM804/210))))</f>
        <v>2.9500001032655536</v>
      </c>
      <c r="AQ804" s="4">
        <f>IF(D804="M",IF($AM804&lt;162,WeightSDS!P$12*$AM804^7+WeightSDS!Q$12*$AM804^6+WeightSDS!R$12*$AM804^5+WeightSDS!S$12*$AM804^4+WeightSDS!T$12*$AM804^3+WeightSDS!U$12*$AM804^2+WeightSDS!V$12*$AM804+WeightSDS!W$12,WeightSDS!P$14*$AM804^7+WeightSDS!Q$14*$AM804^6+WeightSDS!R$14*$AM804^5+WeightSDS!S$14*$AM804^4+WeightSDS!T$14*$AM804^3+WeightSDS!U$14*$AM804^2+WeightSDS!V$14*$AM804+WeightSDS!W$14),IF($AM804&lt;156,WeightSDS!O$17*$AM804^8+WeightSDS!P$17*$AM804^7+WeightSDS!Q$17*$AM804^6+WeightSDS!R$17*$AM804^5+WeightSDS!S$17*$AM804^4+WeightSDS!T$17*$AM804^3+WeightSDS!U$17*$AM804^2+WeightSDS!V$17*$AM804+WeightSDS!W$17,IF($AM804&lt;186,WeightSDS!$U$18+(WeightSDS!$V$18-WeightSDS!$U$18)/24*($AM804-186)+WeightSDS!$W$18*(-$AM804+186)^2-0.005,WeightSDS!$U$18+(WeightSDS!$V$18-WeightSDS!$U$18)/24*($AM804-186)-0.005)))</f>
        <v>0.14604529399999999</v>
      </c>
      <c r="AT804" s="4">
        <f t="shared" si="259"/>
        <v>0.56299999999999994</v>
      </c>
      <c r="AU804" s="4">
        <f t="shared" si="260"/>
        <v>69</v>
      </c>
      <c r="AV804" s="4">
        <f t="shared" si="261"/>
        <v>0.51</v>
      </c>
    </row>
    <row r="805" spans="1:48" x14ac:dyDescent="0.15">
      <c r="A805" s="4"/>
      <c r="B805" s="21"/>
      <c r="C805" s="21"/>
      <c r="D805" s="21"/>
      <c r="E805" s="22"/>
      <c r="F805" s="22"/>
      <c r="G805" s="23"/>
      <c r="H805" s="23"/>
      <c r="I805" s="181"/>
      <c r="J805" s="8" t="str">
        <f t="shared" si="253"/>
        <v/>
      </c>
      <c r="K805" s="2" t="str">
        <f t="shared" si="262"/>
        <v/>
      </c>
      <c r="L805" s="2" t="str">
        <f t="shared" si="254"/>
        <v/>
      </c>
      <c r="M805" s="2" t="str">
        <f t="shared" si="263"/>
        <v/>
      </c>
      <c r="N805" s="2" t="str">
        <f t="shared" si="271"/>
        <v/>
      </c>
      <c r="O805" s="2" t="str">
        <f t="shared" si="264"/>
        <v/>
      </c>
      <c r="P805" s="8" t="str">
        <f t="shared" si="265"/>
        <v/>
      </c>
      <c r="Q805" s="8" t="str">
        <f t="shared" si="266"/>
        <v/>
      </c>
      <c r="R805" s="111" t="str">
        <f t="shared" si="267"/>
        <v/>
      </c>
      <c r="S805" s="44" t="str">
        <f t="shared" si="268"/>
        <v/>
      </c>
      <c r="T805" s="37" t="str">
        <f t="shared" si="269"/>
        <v/>
      </c>
      <c r="U805" s="44" t="str">
        <f t="shared" si="270"/>
        <v/>
      </c>
      <c r="V805" s="26"/>
      <c r="W805" s="26"/>
      <c r="X805" s="26"/>
      <c r="Y805" s="26"/>
      <c r="Z805" s="24"/>
      <c r="AA805" s="169">
        <f t="shared" si="255"/>
        <v>0</v>
      </c>
      <c r="AB805" s="4">
        <f t="shared" si="256"/>
        <v>0</v>
      </c>
      <c r="AC805" s="170">
        <f t="shared" si="273"/>
        <v>0</v>
      </c>
      <c r="AD805" s="58"/>
      <c r="AE805" s="58"/>
      <c r="AF805" s="58"/>
      <c r="AG805" s="59">
        <f t="shared" si="257"/>
        <v>9.0359999999999996</v>
      </c>
      <c r="AH805" s="59">
        <f t="shared" si="258"/>
        <v>-184.49199999999999</v>
      </c>
      <c r="AJ805" s="4">
        <f>IF(D805="M",IF(AM805&lt;78,BMILMS!$D$5*AM805^3+BMILMS!$E$5*AM805^2+BMILMS!$F$5*AM805+BMILMS!$G$5,IF(AM805&lt;150,BMILMS!$D$6*AM805^3+BMILMS!$E$6*AM805^2+BMILMS!$F$6*AM805+BMILMS!$G$6,BMILMS!$D$7*AM805^3+BMILMS!$E$7*AM805^2+BMILMS!$F$7*AM805+BMILMS!$G$7)),IF(AM805&lt;69,BMILMS!$D$9*AM805^3+BMILMS!$E$9*AM805^2+BMILMS!$F$9*AM805+BMILMS!$G$9,IF(AM805&lt;150,BMILMS!$D$10*AM805^3+BMILMS!$E$10*AM805^2+BMILMS!$F$10*AM805+BMILMS!$G$10,BMILMS!$D$11*AM805^3+BMILMS!$E$11*AM805^2+BMILMS!$F$11*AM805+BMILMS!$G$11)))</f>
        <v>0.79584630099999998</v>
      </c>
      <c r="AK805" s="4">
        <f>IF(D805="M",(IF(AM805&lt;2.5,BMILMS!$D$21*AM805^3+BMILMS!$E$21*AM805^2+BMILMS!$F$21*AM805+BMILMS!$G$21,IF(AM805&lt;9.5,BMILMS!$D$22*AM805^3+BMILMS!$E$22*AM805^2+BMILMS!$F$22*AM805+BMILMS!$G$22,IF(AM805&lt;26.75,BMILMS!$D$23*AM805^3+BMILMS!$E$23*AM805^2+BMILMS!$F$23*AM805+BMILMS!$G$23,IF(AM805&lt;90,BMILMS!$D$24*AM805^3+BMILMS!$E$24*AM805^2+BMILMS!$F$24*AM805+BMILMS!$G$24,BMILMS!$D$25*AM805^3+BMILMS!$E$25*AM805^2+BMILMS!$F$25*AM805+BMILMS!$G$25))))),(IF(AM805&lt;2.5,BMILMS!$D$27*AM805^3+BMILMS!$E$27*AM805^2+BMILMS!$F$27*AM805+BMILMS!$G$27,IF(AM805&lt;9.5,BMILMS!$D$28*AM805^3+BMILMS!$E$28*AM805^2+BMILMS!$F$28*AM805+BMILMS!$G$28,IF(AM805&lt;26.75,BMILMS!$D$29*AM805^3+BMILMS!$E$29*AM805^2+BMILMS!$F$29*AM805+BMILMS!$G$29,IF(AM805&lt;90,BMILMS!$D$30*AM805^3+BMILMS!$E$30*AM805^2+BMILMS!$F$30*AM805+BMILMS!$G$30,IF(AM805&lt;150,BMILMS!$D$31*AM805^3+BMILMS!$E$31*AM805^2+BMILMS!$F$31*AM805+BMILMS!$G$31,BMILMS!$D$32*AM805^3+BMILMS!$E$32*AM805^2+BMILMS!$F$32*AM805+BMILMS!$G$32)))))))</f>
        <v>12.568967990000001</v>
      </c>
      <c r="AL805" s="4">
        <f>IF(D805="M",(IF(AM805&lt;90,BMILMS!$D$14*AM805^3+BMILMS!$E$14*AM805^2+BMILMS!$F$14*AM805+BMILMS!$G$14,BMILMS!$D$15*AM805^3+BMILMS!$E$15*AM805^2+BMILMS!$F$15*AM805+BMILMS!$G$15)),(IF(AM805&lt;90,BMILMS!$D$17*AM805^3+BMILMS!$E$17*AM805^2+BMILMS!$F$17*AM805+BMILMS!$G$17,BMILMS!$D$18*AM805^3+BMILMS!$E$18*AM805^2+BMILMS!$F$18*AM805+BMILMS!$G$18)))</f>
        <v>8.8969350000000003E-2</v>
      </c>
      <c r="AM805" s="4">
        <f t="shared" si="272"/>
        <v>0</v>
      </c>
      <c r="AO805" s="56">
        <f>IF(D805="M",WeightSDS!P$5*$AM805^7+WeightSDS!Q$5*$AM805^6+WeightSDS!R$5*$AM805^5+WeightSDS!S$5*$AM805^4+WeightSDS!T$5*$AM805^3+WeightSDS!U$5*$AM805^2+WeightSDS!V$5*$AM805+WeightSDS!W$5,IF($AM805&lt;186,WeightSDS!P$8*$AM805^7+WeightSDS!Q$8*$AM805^6+WeightSDS!R$8*$AM805^5+WeightSDS!S$8*$AM805^4+WeightSDS!T$8*$AM805^3+WeightSDS!U$8*$AM805^2+WeightSDS!V$8*$AM805+WeightSDS!W$8,WeightSDS!$U$9+WeightSDS!$V$9*($AM805-WeightSDS!$W$9)))</f>
        <v>0.75407122999999998</v>
      </c>
      <c r="AP805" s="4">
        <f>IF(D805="M",IF($AM805&lt;45,WeightSDS!M$23*$AM805^10+WeightSDS!N$23*$AM805^9+WeightSDS!O$23*$AM805^8+WeightSDS!P$23*$AM805^7+WeightSDS!Q$23*$AM805^6+WeightSDS!R$23*$AM805^5+WeightSDS!S$23*$AM805^4+WeightSDS!T$23*$AM805^3+WeightSDS!U$23*$AM805^2+WeightSDS!V$23*$AM805+WeightSDS!W$23,IF($AM805&lt;153,WeightSDS!M$25*$AM805^10+WeightSDS!N$25*$AM805^9+WeightSDS!O$25*$AM805^8+WeightSDS!P$25*$AM805^7+WeightSDS!Q$25*$AM805^6+WeightSDS!R$25*$AM805^5+WeightSDS!S$25*$AM805^4+WeightSDS!T$25*$AM805^3+WeightSDS!U$25*$AM805^2+WeightSDS!V$25*$AM805+WeightSDS!W$25,WeightSDS!M$27+WeightSDS!N$27/(1+EXP(WeightSDS!O$27+WeightSDS!P$27*$AM805)))),IF($AM805&lt;43.8,WeightSDS!M$29*$AM805^10+WeightSDS!N$29*$AM805^9+WeightSDS!O$29*$AM805^8+WeightSDS!P$29*$AM805^7+WeightSDS!Q$29*$AM805^6+WeightSDS!R$29*$AM805^5+WeightSDS!S$29*$AM805^4+WeightSDS!T$29*$AM805^3+WeightSDS!U$29*$AM805^2+WeightSDS!V$29*$AM805+WeightSDS!W$29-0.010431*(1-$AM805/210),IF($AM805&lt;123,WeightSDS!M$30*$AM805^10+WeightSDS!N$30*$AM805^9+WeightSDS!O$30*$AM805^8+WeightSDS!P$30*$AM805^7+WeightSDS!Q$30*$AM805^6+WeightSDS!R$30*$AM805^5+WeightSDS!S$30*$AM805^4+WeightSDS!T$30*$AM805^3+WeightSDS!U$30*$AM805^2+WeightSDS!V$30*$AM805+WeightSDS!W$30-0.010431*(1-1/$AM805),WeightSDS!M$32+WeightSDS!N$32/(1+EXP(WeightSDS!O$32+WeightSDS!P$32*$AM805))-0.010431*(1-$AM805/210))))</f>
        <v>2.9500001032655536</v>
      </c>
      <c r="AQ805" s="4">
        <f>IF(D805="M",IF($AM805&lt;162,WeightSDS!P$12*$AM805^7+WeightSDS!Q$12*$AM805^6+WeightSDS!R$12*$AM805^5+WeightSDS!S$12*$AM805^4+WeightSDS!T$12*$AM805^3+WeightSDS!U$12*$AM805^2+WeightSDS!V$12*$AM805+WeightSDS!W$12,WeightSDS!P$14*$AM805^7+WeightSDS!Q$14*$AM805^6+WeightSDS!R$14*$AM805^5+WeightSDS!S$14*$AM805^4+WeightSDS!T$14*$AM805^3+WeightSDS!U$14*$AM805^2+WeightSDS!V$14*$AM805+WeightSDS!W$14),IF($AM805&lt;156,WeightSDS!O$17*$AM805^8+WeightSDS!P$17*$AM805^7+WeightSDS!Q$17*$AM805^6+WeightSDS!R$17*$AM805^5+WeightSDS!S$17*$AM805^4+WeightSDS!T$17*$AM805^3+WeightSDS!U$17*$AM805^2+WeightSDS!V$17*$AM805+WeightSDS!W$17,IF($AM805&lt;186,WeightSDS!$U$18+(WeightSDS!$V$18-WeightSDS!$U$18)/24*($AM805-186)+WeightSDS!$W$18*(-$AM805+186)^2-0.005,WeightSDS!$U$18+(WeightSDS!$V$18-WeightSDS!$U$18)/24*($AM805-186)-0.005)))</f>
        <v>0.14604529399999999</v>
      </c>
      <c r="AT805" s="4">
        <f t="shared" si="259"/>
        <v>0.56299999999999994</v>
      </c>
      <c r="AU805" s="4">
        <f t="shared" si="260"/>
        <v>69</v>
      </c>
      <c r="AV805" s="4">
        <f t="shared" si="261"/>
        <v>0.51</v>
      </c>
    </row>
    <row r="806" spans="1:48" x14ac:dyDescent="0.15">
      <c r="A806" s="4"/>
      <c r="B806" s="21"/>
      <c r="C806" s="21"/>
      <c r="D806" s="21"/>
      <c r="E806" s="22"/>
      <c r="F806" s="22"/>
      <c r="G806" s="23"/>
      <c r="H806" s="23"/>
      <c r="I806" s="181"/>
      <c r="J806" s="8" t="str">
        <f t="shared" si="253"/>
        <v/>
      </c>
      <c r="K806" s="2" t="str">
        <f t="shared" si="262"/>
        <v/>
      </c>
      <c r="L806" s="2" t="str">
        <f t="shared" si="254"/>
        <v/>
      </c>
      <c r="M806" s="2" t="str">
        <f t="shared" si="263"/>
        <v/>
      </c>
      <c r="N806" s="2" t="str">
        <f t="shared" si="271"/>
        <v/>
      </c>
      <c r="O806" s="2" t="str">
        <f t="shared" si="264"/>
        <v/>
      </c>
      <c r="P806" s="8" t="str">
        <f t="shared" si="265"/>
        <v/>
      </c>
      <c r="Q806" s="8" t="str">
        <f t="shared" si="266"/>
        <v/>
      </c>
      <c r="R806" s="111" t="str">
        <f t="shared" si="267"/>
        <v/>
      </c>
      <c r="S806" s="44" t="str">
        <f t="shared" si="268"/>
        <v/>
      </c>
      <c r="T806" s="37" t="str">
        <f t="shared" si="269"/>
        <v/>
      </c>
      <c r="U806" s="44" t="str">
        <f t="shared" si="270"/>
        <v/>
      </c>
      <c r="V806" s="26"/>
      <c r="W806" s="26"/>
      <c r="X806" s="26"/>
      <c r="Y806" s="26"/>
      <c r="Z806" s="24"/>
      <c r="AA806" s="169">
        <f t="shared" si="255"/>
        <v>0</v>
      </c>
      <c r="AB806" s="4">
        <f t="shared" si="256"/>
        <v>0</v>
      </c>
      <c r="AC806" s="170">
        <f t="shared" si="273"/>
        <v>0</v>
      </c>
      <c r="AD806" s="58"/>
      <c r="AE806" s="58"/>
      <c r="AF806" s="58"/>
      <c r="AG806" s="59">
        <f t="shared" si="257"/>
        <v>9.0359999999999996</v>
      </c>
      <c r="AH806" s="59">
        <f t="shared" si="258"/>
        <v>-184.49199999999999</v>
      </c>
      <c r="AJ806" s="4">
        <f>IF(D806="M",IF(AM806&lt;78,BMILMS!$D$5*AM806^3+BMILMS!$E$5*AM806^2+BMILMS!$F$5*AM806+BMILMS!$G$5,IF(AM806&lt;150,BMILMS!$D$6*AM806^3+BMILMS!$E$6*AM806^2+BMILMS!$F$6*AM806+BMILMS!$G$6,BMILMS!$D$7*AM806^3+BMILMS!$E$7*AM806^2+BMILMS!$F$7*AM806+BMILMS!$G$7)),IF(AM806&lt;69,BMILMS!$D$9*AM806^3+BMILMS!$E$9*AM806^2+BMILMS!$F$9*AM806+BMILMS!$G$9,IF(AM806&lt;150,BMILMS!$D$10*AM806^3+BMILMS!$E$10*AM806^2+BMILMS!$F$10*AM806+BMILMS!$G$10,BMILMS!$D$11*AM806^3+BMILMS!$E$11*AM806^2+BMILMS!$F$11*AM806+BMILMS!$G$11)))</f>
        <v>0.79584630099999998</v>
      </c>
      <c r="AK806" s="4">
        <f>IF(D806="M",(IF(AM806&lt;2.5,BMILMS!$D$21*AM806^3+BMILMS!$E$21*AM806^2+BMILMS!$F$21*AM806+BMILMS!$G$21,IF(AM806&lt;9.5,BMILMS!$D$22*AM806^3+BMILMS!$E$22*AM806^2+BMILMS!$F$22*AM806+BMILMS!$G$22,IF(AM806&lt;26.75,BMILMS!$D$23*AM806^3+BMILMS!$E$23*AM806^2+BMILMS!$F$23*AM806+BMILMS!$G$23,IF(AM806&lt;90,BMILMS!$D$24*AM806^3+BMILMS!$E$24*AM806^2+BMILMS!$F$24*AM806+BMILMS!$G$24,BMILMS!$D$25*AM806^3+BMILMS!$E$25*AM806^2+BMILMS!$F$25*AM806+BMILMS!$G$25))))),(IF(AM806&lt;2.5,BMILMS!$D$27*AM806^3+BMILMS!$E$27*AM806^2+BMILMS!$F$27*AM806+BMILMS!$G$27,IF(AM806&lt;9.5,BMILMS!$D$28*AM806^3+BMILMS!$E$28*AM806^2+BMILMS!$F$28*AM806+BMILMS!$G$28,IF(AM806&lt;26.75,BMILMS!$D$29*AM806^3+BMILMS!$E$29*AM806^2+BMILMS!$F$29*AM806+BMILMS!$G$29,IF(AM806&lt;90,BMILMS!$D$30*AM806^3+BMILMS!$E$30*AM806^2+BMILMS!$F$30*AM806+BMILMS!$G$30,IF(AM806&lt;150,BMILMS!$D$31*AM806^3+BMILMS!$E$31*AM806^2+BMILMS!$F$31*AM806+BMILMS!$G$31,BMILMS!$D$32*AM806^3+BMILMS!$E$32*AM806^2+BMILMS!$F$32*AM806+BMILMS!$G$32)))))))</f>
        <v>12.568967990000001</v>
      </c>
      <c r="AL806" s="4">
        <f>IF(D806="M",(IF(AM806&lt;90,BMILMS!$D$14*AM806^3+BMILMS!$E$14*AM806^2+BMILMS!$F$14*AM806+BMILMS!$G$14,BMILMS!$D$15*AM806^3+BMILMS!$E$15*AM806^2+BMILMS!$F$15*AM806+BMILMS!$G$15)),(IF(AM806&lt;90,BMILMS!$D$17*AM806^3+BMILMS!$E$17*AM806^2+BMILMS!$F$17*AM806+BMILMS!$G$17,BMILMS!$D$18*AM806^3+BMILMS!$E$18*AM806^2+BMILMS!$F$18*AM806+BMILMS!$G$18)))</f>
        <v>8.8969350000000003E-2</v>
      </c>
      <c r="AM806" s="4">
        <f t="shared" si="272"/>
        <v>0</v>
      </c>
      <c r="AO806" s="56">
        <f>IF(D806="M",WeightSDS!P$5*$AM806^7+WeightSDS!Q$5*$AM806^6+WeightSDS!R$5*$AM806^5+WeightSDS!S$5*$AM806^4+WeightSDS!T$5*$AM806^3+WeightSDS!U$5*$AM806^2+WeightSDS!V$5*$AM806+WeightSDS!W$5,IF($AM806&lt;186,WeightSDS!P$8*$AM806^7+WeightSDS!Q$8*$AM806^6+WeightSDS!R$8*$AM806^5+WeightSDS!S$8*$AM806^4+WeightSDS!T$8*$AM806^3+WeightSDS!U$8*$AM806^2+WeightSDS!V$8*$AM806+WeightSDS!W$8,WeightSDS!$U$9+WeightSDS!$V$9*($AM806-WeightSDS!$W$9)))</f>
        <v>0.75407122999999998</v>
      </c>
      <c r="AP806" s="4">
        <f>IF(D806="M",IF($AM806&lt;45,WeightSDS!M$23*$AM806^10+WeightSDS!N$23*$AM806^9+WeightSDS!O$23*$AM806^8+WeightSDS!P$23*$AM806^7+WeightSDS!Q$23*$AM806^6+WeightSDS!R$23*$AM806^5+WeightSDS!S$23*$AM806^4+WeightSDS!T$23*$AM806^3+WeightSDS!U$23*$AM806^2+WeightSDS!V$23*$AM806+WeightSDS!W$23,IF($AM806&lt;153,WeightSDS!M$25*$AM806^10+WeightSDS!N$25*$AM806^9+WeightSDS!O$25*$AM806^8+WeightSDS!P$25*$AM806^7+WeightSDS!Q$25*$AM806^6+WeightSDS!R$25*$AM806^5+WeightSDS!S$25*$AM806^4+WeightSDS!T$25*$AM806^3+WeightSDS!U$25*$AM806^2+WeightSDS!V$25*$AM806+WeightSDS!W$25,WeightSDS!M$27+WeightSDS!N$27/(1+EXP(WeightSDS!O$27+WeightSDS!P$27*$AM806)))),IF($AM806&lt;43.8,WeightSDS!M$29*$AM806^10+WeightSDS!N$29*$AM806^9+WeightSDS!O$29*$AM806^8+WeightSDS!P$29*$AM806^7+WeightSDS!Q$29*$AM806^6+WeightSDS!R$29*$AM806^5+WeightSDS!S$29*$AM806^4+WeightSDS!T$29*$AM806^3+WeightSDS!U$29*$AM806^2+WeightSDS!V$29*$AM806+WeightSDS!W$29-0.010431*(1-$AM806/210),IF($AM806&lt;123,WeightSDS!M$30*$AM806^10+WeightSDS!N$30*$AM806^9+WeightSDS!O$30*$AM806^8+WeightSDS!P$30*$AM806^7+WeightSDS!Q$30*$AM806^6+WeightSDS!R$30*$AM806^5+WeightSDS!S$30*$AM806^4+WeightSDS!T$30*$AM806^3+WeightSDS!U$30*$AM806^2+WeightSDS!V$30*$AM806+WeightSDS!W$30-0.010431*(1-1/$AM806),WeightSDS!M$32+WeightSDS!N$32/(1+EXP(WeightSDS!O$32+WeightSDS!P$32*$AM806))-0.010431*(1-$AM806/210))))</f>
        <v>2.9500001032655536</v>
      </c>
      <c r="AQ806" s="4">
        <f>IF(D806="M",IF($AM806&lt;162,WeightSDS!P$12*$AM806^7+WeightSDS!Q$12*$AM806^6+WeightSDS!R$12*$AM806^5+WeightSDS!S$12*$AM806^4+WeightSDS!T$12*$AM806^3+WeightSDS!U$12*$AM806^2+WeightSDS!V$12*$AM806+WeightSDS!W$12,WeightSDS!P$14*$AM806^7+WeightSDS!Q$14*$AM806^6+WeightSDS!R$14*$AM806^5+WeightSDS!S$14*$AM806^4+WeightSDS!T$14*$AM806^3+WeightSDS!U$14*$AM806^2+WeightSDS!V$14*$AM806+WeightSDS!W$14),IF($AM806&lt;156,WeightSDS!O$17*$AM806^8+WeightSDS!P$17*$AM806^7+WeightSDS!Q$17*$AM806^6+WeightSDS!R$17*$AM806^5+WeightSDS!S$17*$AM806^4+WeightSDS!T$17*$AM806^3+WeightSDS!U$17*$AM806^2+WeightSDS!V$17*$AM806+WeightSDS!W$17,IF($AM806&lt;186,WeightSDS!$U$18+(WeightSDS!$V$18-WeightSDS!$U$18)/24*($AM806-186)+WeightSDS!$W$18*(-$AM806+186)^2-0.005,WeightSDS!$U$18+(WeightSDS!$V$18-WeightSDS!$U$18)/24*($AM806-186)-0.005)))</f>
        <v>0.14604529399999999</v>
      </c>
      <c r="AT806" s="4">
        <f t="shared" si="259"/>
        <v>0.56299999999999994</v>
      </c>
      <c r="AU806" s="4">
        <f t="shared" si="260"/>
        <v>69</v>
      </c>
      <c r="AV806" s="4">
        <f t="shared" si="261"/>
        <v>0.51</v>
      </c>
    </row>
    <row r="807" spans="1:48" x14ac:dyDescent="0.15">
      <c r="A807" s="4"/>
      <c r="B807" s="21"/>
      <c r="C807" s="21"/>
      <c r="D807" s="21"/>
      <c r="E807" s="22"/>
      <c r="F807" s="22"/>
      <c r="G807" s="23"/>
      <c r="H807" s="23"/>
      <c r="I807" s="181"/>
      <c r="J807" s="8" t="str">
        <f t="shared" si="253"/>
        <v/>
      </c>
      <c r="K807" s="2" t="str">
        <f t="shared" si="262"/>
        <v/>
      </c>
      <c r="L807" s="2" t="str">
        <f t="shared" si="254"/>
        <v/>
      </c>
      <c r="M807" s="2" t="str">
        <f t="shared" si="263"/>
        <v/>
      </c>
      <c r="N807" s="2" t="str">
        <f t="shared" si="271"/>
        <v/>
      </c>
      <c r="O807" s="2" t="str">
        <f t="shared" si="264"/>
        <v/>
      </c>
      <c r="P807" s="8" t="str">
        <f t="shared" si="265"/>
        <v/>
      </c>
      <c r="Q807" s="8" t="str">
        <f t="shared" si="266"/>
        <v/>
      </c>
      <c r="R807" s="111" t="str">
        <f t="shared" si="267"/>
        <v/>
      </c>
      <c r="S807" s="44" t="str">
        <f t="shared" si="268"/>
        <v/>
      </c>
      <c r="T807" s="37" t="str">
        <f t="shared" si="269"/>
        <v/>
      </c>
      <c r="U807" s="44" t="str">
        <f t="shared" si="270"/>
        <v/>
      </c>
      <c r="V807" s="26"/>
      <c r="W807" s="26"/>
      <c r="X807" s="26"/>
      <c r="Y807" s="26"/>
      <c r="Z807" s="24"/>
      <c r="AA807" s="169">
        <f t="shared" si="255"/>
        <v>0</v>
      </c>
      <c r="AB807" s="4">
        <f t="shared" si="256"/>
        <v>0</v>
      </c>
      <c r="AC807" s="170">
        <f t="shared" si="273"/>
        <v>0</v>
      </c>
      <c r="AD807" s="58"/>
      <c r="AE807" s="58"/>
      <c r="AF807" s="58"/>
      <c r="AG807" s="59">
        <f t="shared" si="257"/>
        <v>9.0359999999999996</v>
      </c>
      <c r="AH807" s="59">
        <f t="shared" si="258"/>
        <v>-184.49199999999999</v>
      </c>
      <c r="AJ807" s="4">
        <f>IF(D807="M",IF(AM807&lt;78,BMILMS!$D$5*AM807^3+BMILMS!$E$5*AM807^2+BMILMS!$F$5*AM807+BMILMS!$G$5,IF(AM807&lt;150,BMILMS!$D$6*AM807^3+BMILMS!$E$6*AM807^2+BMILMS!$F$6*AM807+BMILMS!$G$6,BMILMS!$D$7*AM807^3+BMILMS!$E$7*AM807^2+BMILMS!$F$7*AM807+BMILMS!$G$7)),IF(AM807&lt;69,BMILMS!$D$9*AM807^3+BMILMS!$E$9*AM807^2+BMILMS!$F$9*AM807+BMILMS!$G$9,IF(AM807&lt;150,BMILMS!$D$10*AM807^3+BMILMS!$E$10*AM807^2+BMILMS!$F$10*AM807+BMILMS!$G$10,BMILMS!$D$11*AM807^3+BMILMS!$E$11*AM807^2+BMILMS!$F$11*AM807+BMILMS!$G$11)))</f>
        <v>0.79584630099999998</v>
      </c>
      <c r="AK807" s="4">
        <f>IF(D807="M",(IF(AM807&lt;2.5,BMILMS!$D$21*AM807^3+BMILMS!$E$21*AM807^2+BMILMS!$F$21*AM807+BMILMS!$G$21,IF(AM807&lt;9.5,BMILMS!$D$22*AM807^3+BMILMS!$E$22*AM807^2+BMILMS!$F$22*AM807+BMILMS!$G$22,IF(AM807&lt;26.75,BMILMS!$D$23*AM807^3+BMILMS!$E$23*AM807^2+BMILMS!$F$23*AM807+BMILMS!$G$23,IF(AM807&lt;90,BMILMS!$D$24*AM807^3+BMILMS!$E$24*AM807^2+BMILMS!$F$24*AM807+BMILMS!$G$24,BMILMS!$D$25*AM807^3+BMILMS!$E$25*AM807^2+BMILMS!$F$25*AM807+BMILMS!$G$25))))),(IF(AM807&lt;2.5,BMILMS!$D$27*AM807^3+BMILMS!$E$27*AM807^2+BMILMS!$F$27*AM807+BMILMS!$G$27,IF(AM807&lt;9.5,BMILMS!$D$28*AM807^3+BMILMS!$E$28*AM807^2+BMILMS!$F$28*AM807+BMILMS!$G$28,IF(AM807&lt;26.75,BMILMS!$D$29*AM807^3+BMILMS!$E$29*AM807^2+BMILMS!$F$29*AM807+BMILMS!$G$29,IF(AM807&lt;90,BMILMS!$D$30*AM807^3+BMILMS!$E$30*AM807^2+BMILMS!$F$30*AM807+BMILMS!$G$30,IF(AM807&lt;150,BMILMS!$D$31*AM807^3+BMILMS!$E$31*AM807^2+BMILMS!$F$31*AM807+BMILMS!$G$31,BMILMS!$D$32*AM807^3+BMILMS!$E$32*AM807^2+BMILMS!$F$32*AM807+BMILMS!$G$32)))))))</f>
        <v>12.568967990000001</v>
      </c>
      <c r="AL807" s="4">
        <f>IF(D807="M",(IF(AM807&lt;90,BMILMS!$D$14*AM807^3+BMILMS!$E$14*AM807^2+BMILMS!$F$14*AM807+BMILMS!$G$14,BMILMS!$D$15*AM807^3+BMILMS!$E$15*AM807^2+BMILMS!$F$15*AM807+BMILMS!$G$15)),(IF(AM807&lt;90,BMILMS!$D$17*AM807^3+BMILMS!$E$17*AM807^2+BMILMS!$F$17*AM807+BMILMS!$G$17,BMILMS!$D$18*AM807^3+BMILMS!$E$18*AM807^2+BMILMS!$F$18*AM807+BMILMS!$G$18)))</f>
        <v>8.8969350000000003E-2</v>
      </c>
      <c r="AM807" s="4">
        <f t="shared" si="272"/>
        <v>0</v>
      </c>
      <c r="AO807" s="56">
        <f>IF(D807="M",WeightSDS!P$5*$AM807^7+WeightSDS!Q$5*$AM807^6+WeightSDS!R$5*$AM807^5+WeightSDS!S$5*$AM807^4+WeightSDS!T$5*$AM807^3+WeightSDS!U$5*$AM807^2+WeightSDS!V$5*$AM807+WeightSDS!W$5,IF($AM807&lt;186,WeightSDS!P$8*$AM807^7+WeightSDS!Q$8*$AM807^6+WeightSDS!R$8*$AM807^5+WeightSDS!S$8*$AM807^4+WeightSDS!T$8*$AM807^3+WeightSDS!U$8*$AM807^2+WeightSDS!V$8*$AM807+WeightSDS!W$8,WeightSDS!$U$9+WeightSDS!$V$9*($AM807-WeightSDS!$W$9)))</f>
        <v>0.75407122999999998</v>
      </c>
      <c r="AP807" s="4">
        <f>IF(D807="M",IF($AM807&lt;45,WeightSDS!M$23*$AM807^10+WeightSDS!N$23*$AM807^9+WeightSDS!O$23*$AM807^8+WeightSDS!P$23*$AM807^7+WeightSDS!Q$23*$AM807^6+WeightSDS!R$23*$AM807^5+WeightSDS!S$23*$AM807^4+WeightSDS!T$23*$AM807^3+WeightSDS!U$23*$AM807^2+WeightSDS!V$23*$AM807+WeightSDS!W$23,IF($AM807&lt;153,WeightSDS!M$25*$AM807^10+WeightSDS!N$25*$AM807^9+WeightSDS!O$25*$AM807^8+WeightSDS!P$25*$AM807^7+WeightSDS!Q$25*$AM807^6+WeightSDS!R$25*$AM807^5+WeightSDS!S$25*$AM807^4+WeightSDS!T$25*$AM807^3+WeightSDS!U$25*$AM807^2+WeightSDS!V$25*$AM807+WeightSDS!W$25,WeightSDS!M$27+WeightSDS!N$27/(1+EXP(WeightSDS!O$27+WeightSDS!P$27*$AM807)))),IF($AM807&lt;43.8,WeightSDS!M$29*$AM807^10+WeightSDS!N$29*$AM807^9+WeightSDS!O$29*$AM807^8+WeightSDS!P$29*$AM807^7+WeightSDS!Q$29*$AM807^6+WeightSDS!R$29*$AM807^5+WeightSDS!S$29*$AM807^4+WeightSDS!T$29*$AM807^3+WeightSDS!U$29*$AM807^2+WeightSDS!V$29*$AM807+WeightSDS!W$29-0.010431*(1-$AM807/210),IF($AM807&lt;123,WeightSDS!M$30*$AM807^10+WeightSDS!N$30*$AM807^9+WeightSDS!O$30*$AM807^8+WeightSDS!P$30*$AM807^7+WeightSDS!Q$30*$AM807^6+WeightSDS!R$30*$AM807^5+WeightSDS!S$30*$AM807^4+WeightSDS!T$30*$AM807^3+WeightSDS!U$30*$AM807^2+WeightSDS!V$30*$AM807+WeightSDS!W$30-0.010431*(1-1/$AM807),WeightSDS!M$32+WeightSDS!N$32/(1+EXP(WeightSDS!O$32+WeightSDS!P$32*$AM807))-0.010431*(1-$AM807/210))))</f>
        <v>2.9500001032655536</v>
      </c>
      <c r="AQ807" s="4">
        <f>IF(D807="M",IF($AM807&lt;162,WeightSDS!P$12*$AM807^7+WeightSDS!Q$12*$AM807^6+WeightSDS!R$12*$AM807^5+WeightSDS!S$12*$AM807^4+WeightSDS!T$12*$AM807^3+WeightSDS!U$12*$AM807^2+WeightSDS!V$12*$AM807+WeightSDS!W$12,WeightSDS!P$14*$AM807^7+WeightSDS!Q$14*$AM807^6+WeightSDS!R$14*$AM807^5+WeightSDS!S$14*$AM807^4+WeightSDS!T$14*$AM807^3+WeightSDS!U$14*$AM807^2+WeightSDS!V$14*$AM807+WeightSDS!W$14),IF($AM807&lt;156,WeightSDS!O$17*$AM807^8+WeightSDS!P$17*$AM807^7+WeightSDS!Q$17*$AM807^6+WeightSDS!R$17*$AM807^5+WeightSDS!S$17*$AM807^4+WeightSDS!T$17*$AM807^3+WeightSDS!U$17*$AM807^2+WeightSDS!V$17*$AM807+WeightSDS!W$17,IF($AM807&lt;186,WeightSDS!$U$18+(WeightSDS!$V$18-WeightSDS!$U$18)/24*($AM807-186)+WeightSDS!$W$18*(-$AM807+186)^2-0.005,WeightSDS!$U$18+(WeightSDS!$V$18-WeightSDS!$U$18)/24*($AM807-186)-0.005)))</f>
        <v>0.14604529399999999</v>
      </c>
      <c r="AT807" s="4">
        <f t="shared" si="259"/>
        <v>0.56299999999999994</v>
      </c>
      <c r="AU807" s="4">
        <f t="shared" si="260"/>
        <v>69</v>
      </c>
      <c r="AV807" s="4">
        <f t="shared" si="261"/>
        <v>0.51</v>
      </c>
    </row>
    <row r="808" spans="1:48" x14ac:dyDescent="0.15">
      <c r="A808" s="4"/>
      <c r="B808" s="21"/>
      <c r="C808" s="21"/>
      <c r="D808" s="21"/>
      <c r="E808" s="22"/>
      <c r="F808" s="22"/>
      <c r="G808" s="23"/>
      <c r="H808" s="23"/>
      <c r="I808" s="181"/>
      <c r="J808" s="8" t="str">
        <f t="shared" si="253"/>
        <v/>
      </c>
      <c r="K808" s="2" t="str">
        <f t="shared" si="262"/>
        <v/>
      </c>
      <c r="L808" s="2" t="str">
        <f t="shared" si="254"/>
        <v/>
      </c>
      <c r="M808" s="2" t="str">
        <f t="shared" si="263"/>
        <v/>
      </c>
      <c r="N808" s="2" t="str">
        <f t="shared" si="271"/>
        <v/>
      </c>
      <c r="O808" s="2" t="str">
        <f t="shared" si="264"/>
        <v/>
      </c>
      <c r="P808" s="8" t="str">
        <f t="shared" si="265"/>
        <v/>
      </c>
      <c r="Q808" s="8" t="str">
        <f t="shared" si="266"/>
        <v/>
      </c>
      <c r="R808" s="111" t="str">
        <f t="shared" si="267"/>
        <v/>
      </c>
      <c r="S808" s="44" t="str">
        <f t="shared" si="268"/>
        <v/>
      </c>
      <c r="T808" s="37" t="str">
        <f t="shared" si="269"/>
        <v/>
      </c>
      <c r="U808" s="44" t="str">
        <f t="shared" si="270"/>
        <v/>
      </c>
      <c r="V808" s="26"/>
      <c r="W808" s="26"/>
      <c r="X808" s="26"/>
      <c r="Y808" s="26"/>
      <c r="Z808" s="24"/>
      <c r="AA808" s="169">
        <f t="shared" si="255"/>
        <v>0</v>
      </c>
      <c r="AB808" s="4">
        <f t="shared" si="256"/>
        <v>0</v>
      </c>
      <c r="AC808" s="170">
        <f t="shared" si="273"/>
        <v>0</v>
      </c>
      <c r="AD808" s="58"/>
      <c r="AE808" s="58"/>
      <c r="AF808" s="58"/>
      <c r="AG808" s="59">
        <f t="shared" si="257"/>
        <v>9.0359999999999996</v>
      </c>
      <c r="AH808" s="59">
        <f t="shared" si="258"/>
        <v>-184.49199999999999</v>
      </c>
      <c r="AJ808" s="4">
        <f>IF(D808="M",IF(AM808&lt;78,BMILMS!$D$5*AM808^3+BMILMS!$E$5*AM808^2+BMILMS!$F$5*AM808+BMILMS!$G$5,IF(AM808&lt;150,BMILMS!$D$6*AM808^3+BMILMS!$E$6*AM808^2+BMILMS!$F$6*AM808+BMILMS!$G$6,BMILMS!$D$7*AM808^3+BMILMS!$E$7*AM808^2+BMILMS!$F$7*AM808+BMILMS!$G$7)),IF(AM808&lt;69,BMILMS!$D$9*AM808^3+BMILMS!$E$9*AM808^2+BMILMS!$F$9*AM808+BMILMS!$G$9,IF(AM808&lt;150,BMILMS!$D$10*AM808^3+BMILMS!$E$10*AM808^2+BMILMS!$F$10*AM808+BMILMS!$G$10,BMILMS!$D$11*AM808^3+BMILMS!$E$11*AM808^2+BMILMS!$F$11*AM808+BMILMS!$G$11)))</f>
        <v>0.79584630099999998</v>
      </c>
      <c r="AK808" s="4">
        <f>IF(D808="M",(IF(AM808&lt;2.5,BMILMS!$D$21*AM808^3+BMILMS!$E$21*AM808^2+BMILMS!$F$21*AM808+BMILMS!$G$21,IF(AM808&lt;9.5,BMILMS!$D$22*AM808^3+BMILMS!$E$22*AM808^2+BMILMS!$F$22*AM808+BMILMS!$G$22,IF(AM808&lt;26.75,BMILMS!$D$23*AM808^3+BMILMS!$E$23*AM808^2+BMILMS!$F$23*AM808+BMILMS!$G$23,IF(AM808&lt;90,BMILMS!$D$24*AM808^3+BMILMS!$E$24*AM808^2+BMILMS!$F$24*AM808+BMILMS!$G$24,BMILMS!$D$25*AM808^3+BMILMS!$E$25*AM808^2+BMILMS!$F$25*AM808+BMILMS!$G$25))))),(IF(AM808&lt;2.5,BMILMS!$D$27*AM808^3+BMILMS!$E$27*AM808^2+BMILMS!$F$27*AM808+BMILMS!$G$27,IF(AM808&lt;9.5,BMILMS!$D$28*AM808^3+BMILMS!$E$28*AM808^2+BMILMS!$F$28*AM808+BMILMS!$G$28,IF(AM808&lt;26.75,BMILMS!$D$29*AM808^3+BMILMS!$E$29*AM808^2+BMILMS!$F$29*AM808+BMILMS!$G$29,IF(AM808&lt;90,BMILMS!$D$30*AM808^3+BMILMS!$E$30*AM808^2+BMILMS!$F$30*AM808+BMILMS!$G$30,IF(AM808&lt;150,BMILMS!$D$31*AM808^3+BMILMS!$E$31*AM808^2+BMILMS!$F$31*AM808+BMILMS!$G$31,BMILMS!$D$32*AM808^3+BMILMS!$E$32*AM808^2+BMILMS!$F$32*AM808+BMILMS!$G$32)))))))</f>
        <v>12.568967990000001</v>
      </c>
      <c r="AL808" s="4">
        <f>IF(D808="M",(IF(AM808&lt;90,BMILMS!$D$14*AM808^3+BMILMS!$E$14*AM808^2+BMILMS!$F$14*AM808+BMILMS!$G$14,BMILMS!$D$15*AM808^3+BMILMS!$E$15*AM808^2+BMILMS!$F$15*AM808+BMILMS!$G$15)),(IF(AM808&lt;90,BMILMS!$D$17*AM808^3+BMILMS!$E$17*AM808^2+BMILMS!$F$17*AM808+BMILMS!$G$17,BMILMS!$D$18*AM808^3+BMILMS!$E$18*AM808^2+BMILMS!$F$18*AM808+BMILMS!$G$18)))</f>
        <v>8.8969350000000003E-2</v>
      </c>
      <c r="AM808" s="4">
        <f t="shared" si="272"/>
        <v>0</v>
      </c>
      <c r="AO808" s="56">
        <f>IF(D808="M",WeightSDS!P$5*$AM808^7+WeightSDS!Q$5*$AM808^6+WeightSDS!R$5*$AM808^5+WeightSDS!S$5*$AM808^4+WeightSDS!T$5*$AM808^3+WeightSDS!U$5*$AM808^2+WeightSDS!V$5*$AM808+WeightSDS!W$5,IF($AM808&lt;186,WeightSDS!P$8*$AM808^7+WeightSDS!Q$8*$AM808^6+WeightSDS!R$8*$AM808^5+WeightSDS!S$8*$AM808^4+WeightSDS!T$8*$AM808^3+WeightSDS!U$8*$AM808^2+WeightSDS!V$8*$AM808+WeightSDS!W$8,WeightSDS!$U$9+WeightSDS!$V$9*($AM808-WeightSDS!$W$9)))</f>
        <v>0.75407122999999998</v>
      </c>
      <c r="AP808" s="4">
        <f>IF(D808="M",IF($AM808&lt;45,WeightSDS!M$23*$AM808^10+WeightSDS!N$23*$AM808^9+WeightSDS!O$23*$AM808^8+WeightSDS!P$23*$AM808^7+WeightSDS!Q$23*$AM808^6+WeightSDS!R$23*$AM808^5+WeightSDS!S$23*$AM808^4+WeightSDS!T$23*$AM808^3+WeightSDS!U$23*$AM808^2+WeightSDS!V$23*$AM808+WeightSDS!W$23,IF($AM808&lt;153,WeightSDS!M$25*$AM808^10+WeightSDS!N$25*$AM808^9+WeightSDS!O$25*$AM808^8+WeightSDS!P$25*$AM808^7+WeightSDS!Q$25*$AM808^6+WeightSDS!R$25*$AM808^5+WeightSDS!S$25*$AM808^4+WeightSDS!T$25*$AM808^3+WeightSDS!U$25*$AM808^2+WeightSDS!V$25*$AM808+WeightSDS!W$25,WeightSDS!M$27+WeightSDS!N$27/(1+EXP(WeightSDS!O$27+WeightSDS!P$27*$AM808)))),IF($AM808&lt;43.8,WeightSDS!M$29*$AM808^10+WeightSDS!N$29*$AM808^9+WeightSDS!O$29*$AM808^8+WeightSDS!P$29*$AM808^7+WeightSDS!Q$29*$AM808^6+WeightSDS!R$29*$AM808^5+WeightSDS!S$29*$AM808^4+WeightSDS!T$29*$AM808^3+WeightSDS!U$29*$AM808^2+WeightSDS!V$29*$AM808+WeightSDS!W$29-0.010431*(1-$AM808/210),IF($AM808&lt;123,WeightSDS!M$30*$AM808^10+WeightSDS!N$30*$AM808^9+WeightSDS!O$30*$AM808^8+WeightSDS!P$30*$AM808^7+WeightSDS!Q$30*$AM808^6+WeightSDS!R$30*$AM808^5+WeightSDS!S$30*$AM808^4+WeightSDS!T$30*$AM808^3+WeightSDS!U$30*$AM808^2+WeightSDS!V$30*$AM808+WeightSDS!W$30-0.010431*(1-1/$AM808),WeightSDS!M$32+WeightSDS!N$32/(1+EXP(WeightSDS!O$32+WeightSDS!P$32*$AM808))-0.010431*(1-$AM808/210))))</f>
        <v>2.9500001032655536</v>
      </c>
      <c r="AQ808" s="4">
        <f>IF(D808="M",IF($AM808&lt;162,WeightSDS!P$12*$AM808^7+WeightSDS!Q$12*$AM808^6+WeightSDS!R$12*$AM808^5+WeightSDS!S$12*$AM808^4+WeightSDS!T$12*$AM808^3+WeightSDS!U$12*$AM808^2+WeightSDS!V$12*$AM808+WeightSDS!W$12,WeightSDS!P$14*$AM808^7+WeightSDS!Q$14*$AM808^6+WeightSDS!R$14*$AM808^5+WeightSDS!S$14*$AM808^4+WeightSDS!T$14*$AM808^3+WeightSDS!U$14*$AM808^2+WeightSDS!V$14*$AM808+WeightSDS!W$14),IF($AM808&lt;156,WeightSDS!O$17*$AM808^8+WeightSDS!P$17*$AM808^7+WeightSDS!Q$17*$AM808^6+WeightSDS!R$17*$AM808^5+WeightSDS!S$17*$AM808^4+WeightSDS!T$17*$AM808^3+WeightSDS!U$17*$AM808^2+WeightSDS!V$17*$AM808+WeightSDS!W$17,IF($AM808&lt;186,WeightSDS!$U$18+(WeightSDS!$V$18-WeightSDS!$U$18)/24*($AM808-186)+WeightSDS!$W$18*(-$AM808+186)^2-0.005,WeightSDS!$U$18+(WeightSDS!$V$18-WeightSDS!$U$18)/24*($AM808-186)-0.005)))</f>
        <v>0.14604529399999999</v>
      </c>
      <c r="AT808" s="4">
        <f t="shared" si="259"/>
        <v>0.56299999999999994</v>
      </c>
      <c r="AU808" s="4">
        <f t="shared" si="260"/>
        <v>69</v>
      </c>
      <c r="AV808" s="4">
        <f t="shared" si="261"/>
        <v>0.51</v>
      </c>
    </row>
    <row r="809" spans="1:48" x14ac:dyDescent="0.15">
      <c r="A809" s="4"/>
      <c r="B809" s="21"/>
      <c r="C809" s="21"/>
      <c r="D809" s="21"/>
      <c r="E809" s="22"/>
      <c r="F809" s="22"/>
      <c r="G809" s="23"/>
      <c r="H809" s="23"/>
      <c r="I809" s="181"/>
      <c r="J809" s="8" t="str">
        <f t="shared" si="253"/>
        <v/>
      </c>
      <c r="K809" s="2" t="str">
        <f t="shared" si="262"/>
        <v/>
      </c>
      <c r="L809" s="2" t="str">
        <f t="shared" si="254"/>
        <v/>
      </c>
      <c r="M809" s="2" t="str">
        <f t="shared" si="263"/>
        <v/>
      </c>
      <c r="N809" s="2" t="str">
        <f t="shared" si="271"/>
        <v/>
      </c>
      <c r="O809" s="2" t="str">
        <f t="shared" si="264"/>
        <v/>
      </c>
      <c r="P809" s="8" t="str">
        <f t="shared" si="265"/>
        <v/>
      </c>
      <c r="Q809" s="8" t="str">
        <f t="shared" si="266"/>
        <v/>
      </c>
      <c r="R809" s="111" t="str">
        <f t="shared" si="267"/>
        <v/>
      </c>
      <c r="S809" s="44" t="str">
        <f t="shared" si="268"/>
        <v/>
      </c>
      <c r="T809" s="37" t="str">
        <f t="shared" si="269"/>
        <v/>
      </c>
      <c r="U809" s="44" t="str">
        <f t="shared" si="270"/>
        <v/>
      </c>
      <c r="V809" s="26"/>
      <c r="W809" s="26"/>
      <c r="X809" s="26"/>
      <c r="Y809" s="26"/>
      <c r="Z809" s="24"/>
      <c r="AA809" s="169">
        <f t="shared" si="255"/>
        <v>0</v>
      </c>
      <c r="AB809" s="4">
        <f t="shared" si="256"/>
        <v>0</v>
      </c>
      <c r="AC809" s="170">
        <f t="shared" si="273"/>
        <v>0</v>
      </c>
      <c r="AD809" s="58"/>
      <c r="AE809" s="58"/>
      <c r="AF809" s="58"/>
      <c r="AG809" s="59">
        <f t="shared" si="257"/>
        <v>9.0359999999999996</v>
      </c>
      <c r="AH809" s="59">
        <f t="shared" si="258"/>
        <v>-184.49199999999999</v>
      </c>
      <c r="AJ809" s="4">
        <f>IF(D809="M",IF(AM809&lt;78,BMILMS!$D$5*AM809^3+BMILMS!$E$5*AM809^2+BMILMS!$F$5*AM809+BMILMS!$G$5,IF(AM809&lt;150,BMILMS!$D$6*AM809^3+BMILMS!$E$6*AM809^2+BMILMS!$F$6*AM809+BMILMS!$G$6,BMILMS!$D$7*AM809^3+BMILMS!$E$7*AM809^2+BMILMS!$F$7*AM809+BMILMS!$G$7)),IF(AM809&lt;69,BMILMS!$D$9*AM809^3+BMILMS!$E$9*AM809^2+BMILMS!$F$9*AM809+BMILMS!$G$9,IF(AM809&lt;150,BMILMS!$D$10*AM809^3+BMILMS!$E$10*AM809^2+BMILMS!$F$10*AM809+BMILMS!$G$10,BMILMS!$D$11*AM809^3+BMILMS!$E$11*AM809^2+BMILMS!$F$11*AM809+BMILMS!$G$11)))</f>
        <v>0.79584630099999998</v>
      </c>
      <c r="AK809" s="4">
        <f>IF(D809="M",(IF(AM809&lt;2.5,BMILMS!$D$21*AM809^3+BMILMS!$E$21*AM809^2+BMILMS!$F$21*AM809+BMILMS!$G$21,IF(AM809&lt;9.5,BMILMS!$D$22*AM809^3+BMILMS!$E$22*AM809^2+BMILMS!$F$22*AM809+BMILMS!$G$22,IF(AM809&lt;26.75,BMILMS!$D$23*AM809^3+BMILMS!$E$23*AM809^2+BMILMS!$F$23*AM809+BMILMS!$G$23,IF(AM809&lt;90,BMILMS!$D$24*AM809^3+BMILMS!$E$24*AM809^2+BMILMS!$F$24*AM809+BMILMS!$G$24,BMILMS!$D$25*AM809^3+BMILMS!$E$25*AM809^2+BMILMS!$F$25*AM809+BMILMS!$G$25))))),(IF(AM809&lt;2.5,BMILMS!$D$27*AM809^3+BMILMS!$E$27*AM809^2+BMILMS!$F$27*AM809+BMILMS!$G$27,IF(AM809&lt;9.5,BMILMS!$D$28*AM809^3+BMILMS!$E$28*AM809^2+BMILMS!$F$28*AM809+BMILMS!$G$28,IF(AM809&lt;26.75,BMILMS!$D$29*AM809^3+BMILMS!$E$29*AM809^2+BMILMS!$F$29*AM809+BMILMS!$G$29,IF(AM809&lt;90,BMILMS!$D$30*AM809^3+BMILMS!$E$30*AM809^2+BMILMS!$F$30*AM809+BMILMS!$G$30,IF(AM809&lt;150,BMILMS!$D$31*AM809^3+BMILMS!$E$31*AM809^2+BMILMS!$F$31*AM809+BMILMS!$G$31,BMILMS!$D$32*AM809^3+BMILMS!$E$32*AM809^2+BMILMS!$F$32*AM809+BMILMS!$G$32)))))))</f>
        <v>12.568967990000001</v>
      </c>
      <c r="AL809" s="4">
        <f>IF(D809="M",(IF(AM809&lt;90,BMILMS!$D$14*AM809^3+BMILMS!$E$14*AM809^2+BMILMS!$F$14*AM809+BMILMS!$G$14,BMILMS!$D$15*AM809^3+BMILMS!$E$15*AM809^2+BMILMS!$F$15*AM809+BMILMS!$G$15)),(IF(AM809&lt;90,BMILMS!$D$17*AM809^3+BMILMS!$E$17*AM809^2+BMILMS!$F$17*AM809+BMILMS!$G$17,BMILMS!$D$18*AM809^3+BMILMS!$E$18*AM809^2+BMILMS!$F$18*AM809+BMILMS!$G$18)))</f>
        <v>8.8969350000000003E-2</v>
      </c>
      <c r="AM809" s="4">
        <f t="shared" si="272"/>
        <v>0</v>
      </c>
      <c r="AO809" s="56">
        <f>IF(D809="M",WeightSDS!P$5*$AM809^7+WeightSDS!Q$5*$AM809^6+WeightSDS!R$5*$AM809^5+WeightSDS!S$5*$AM809^4+WeightSDS!T$5*$AM809^3+WeightSDS!U$5*$AM809^2+WeightSDS!V$5*$AM809+WeightSDS!W$5,IF($AM809&lt;186,WeightSDS!P$8*$AM809^7+WeightSDS!Q$8*$AM809^6+WeightSDS!R$8*$AM809^5+WeightSDS!S$8*$AM809^4+WeightSDS!T$8*$AM809^3+WeightSDS!U$8*$AM809^2+WeightSDS!V$8*$AM809+WeightSDS!W$8,WeightSDS!$U$9+WeightSDS!$V$9*($AM809-WeightSDS!$W$9)))</f>
        <v>0.75407122999999998</v>
      </c>
      <c r="AP809" s="4">
        <f>IF(D809="M",IF($AM809&lt;45,WeightSDS!M$23*$AM809^10+WeightSDS!N$23*$AM809^9+WeightSDS!O$23*$AM809^8+WeightSDS!P$23*$AM809^7+WeightSDS!Q$23*$AM809^6+WeightSDS!R$23*$AM809^5+WeightSDS!S$23*$AM809^4+WeightSDS!T$23*$AM809^3+WeightSDS!U$23*$AM809^2+WeightSDS!V$23*$AM809+WeightSDS!W$23,IF($AM809&lt;153,WeightSDS!M$25*$AM809^10+WeightSDS!N$25*$AM809^9+WeightSDS!O$25*$AM809^8+WeightSDS!P$25*$AM809^7+WeightSDS!Q$25*$AM809^6+WeightSDS!R$25*$AM809^5+WeightSDS!S$25*$AM809^4+WeightSDS!T$25*$AM809^3+WeightSDS!U$25*$AM809^2+WeightSDS!V$25*$AM809+WeightSDS!W$25,WeightSDS!M$27+WeightSDS!N$27/(1+EXP(WeightSDS!O$27+WeightSDS!P$27*$AM809)))),IF($AM809&lt;43.8,WeightSDS!M$29*$AM809^10+WeightSDS!N$29*$AM809^9+WeightSDS!O$29*$AM809^8+WeightSDS!P$29*$AM809^7+WeightSDS!Q$29*$AM809^6+WeightSDS!R$29*$AM809^5+WeightSDS!S$29*$AM809^4+WeightSDS!T$29*$AM809^3+WeightSDS!U$29*$AM809^2+WeightSDS!V$29*$AM809+WeightSDS!W$29-0.010431*(1-$AM809/210),IF($AM809&lt;123,WeightSDS!M$30*$AM809^10+WeightSDS!N$30*$AM809^9+WeightSDS!O$30*$AM809^8+WeightSDS!P$30*$AM809^7+WeightSDS!Q$30*$AM809^6+WeightSDS!R$30*$AM809^5+WeightSDS!S$30*$AM809^4+WeightSDS!T$30*$AM809^3+WeightSDS!U$30*$AM809^2+WeightSDS!V$30*$AM809+WeightSDS!W$30-0.010431*(1-1/$AM809),WeightSDS!M$32+WeightSDS!N$32/(1+EXP(WeightSDS!O$32+WeightSDS!P$32*$AM809))-0.010431*(1-$AM809/210))))</f>
        <v>2.9500001032655536</v>
      </c>
      <c r="AQ809" s="4">
        <f>IF(D809="M",IF($AM809&lt;162,WeightSDS!P$12*$AM809^7+WeightSDS!Q$12*$AM809^6+WeightSDS!R$12*$AM809^5+WeightSDS!S$12*$AM809^4+WeightSDS!T$12*$AM809^3+WeightSDS!U$12*$AM809^2+WeightSDS!V$12*$AM809+WeightSDS!W$12,WeightSDS!P$14*$AM809^7+WeightSDS!Q$14*$AM809^6+WeightSDS!R$14*$AM809^5+WeightSDS!S$14*$AM809^4+WeightSDS!T$14*$AM809^3+WeightSDS!U$14*$AM809^2+WeightSDS!V$14*$AM809+WeightSDS!W$14),IF($AM809&lt;156,WeightSDS!O$17*$AM809^8+WeightSDS!P$17*$AM809^7+WeightSDS!Q$17*$AM809^6+WeightSDS!R$17*$AM809^5+WeightSDS!S$17*$AM809^4+WeightSDS!T$17*$AM809^3+WeightSDS!U$17*$AM809^2+WeightSDS!V$17*$AM809+WeightSDS!W$17,IF($AM809&lt;186,WeightSDS!$U$18+(WeightSDS!$V$18-WeightSDS!$U$18)/24*($AM809-186)+WeightSDS!$W$18*(-$AM809+186)^2-0.005,WeightSDS!$U$18+(WeightSDS!$V$18-WeightSDS!$U$18)/24*($AM809-186)-0.005)))</f>
        <v>0.14604529399999999</v>
      </c>
      <c r="AT809" s="4">
        <f t="shared" si="259"/>
        <v>0.56299999999999994</v>
      </c>
      <c r="AU809" s="4">
        <f t="shared" si="260"/>
        <v>69</v>
      </c>
      <c r="AV809" s="4">
        <f t="shared" si="261"/>
        <v>0.51</v>
      </c>
    </row>
    <row r="810" spans="1:48" x14ac:dyDescent="0.15">
      <c r="A810" s="4"/>
      <c r="B810" s="21"/>
      <c r="C810" s="21"/>
      <c r="D810" s="21"/>
      <c r="E810" s="22"/>
      <c r="F810" s="22"/>
      <c r="G810" s="23"/>
      <c r="H810" s="23"/>
      <c r="I810" s="181"/>
      <c r="J810" s="8" t="str">
        <f t="shared" si="253"/>
        <v/>
      </c>
      <c r="K810" s="2" t="str">
        <f t="shared" si="262"/>
        <v/>
      </c>
      <c r="L810" s="2" t="str">
        <f t="shared" si="254"/>
        <v/>
      </c>
      <c r="M810" s="2" t="str">
        <f t="shared" si="263"/>
        <v/>
      </c>
      <c r="N810" s="2" t="str">
        <f t="shared" si="271"/>
        <v/>
      </c>
      <c r="O810" s="2" t="str">
        <f t="shared" si="264"/>
        <v/>
      </c>
      <c r="P810" s="8" t="str">
        <f t="shared" si="265"/>
        <v/>
      </c>
      <c r="Q810" s="8" t="str">
        <f t="shared" si="266"/>
        <v/>
      </c>
      <c r="R810" s="111" t="str">
        <f t="shared" si="267"/>
        <v/>
      </c>
      <c r="S810" s="44" t="str">
        <f t="shared" si="268"/>
        <v/>
      </c>
      <c r="T810" s="37" t="str">
        <f t="shared" si="269"/>
        <v/>
      </c>
      <c r="U810" s="44" t="str">
        <f t="shared" si="270"/>
        <v/>
      </c>
      <c r="V810" s="26"/>
      <c r="W810" s="26"/>
      <c r="X810" s="26"/>
      <c r="Y810" s="26"/>
      <c r="Z810" s="24"/>
      <c r="AA810" s="169">
        <f t="shared" si="255"/>
        <v>0</v>
      </c>
      <c r="AB810" s="4">
        <f t="shared" si="256"/>
        <v>0</v>
      </c>
      <c r="AC810" s="170">
        <f t="shared" si="273"/>
        <v>0</v>
      </c>
      <c r="AD810" s="58"/>
      <c r="AE810" s="58"/>
      <c r="AF810" s="58"/>
      <c r="AG810" s="59">
        <f t="shared" si="257"/>
        <v>9.0359999999999996</v>
      </c>
      <c r="AH810" s="59">
        <f t="shared" si="258"/>
        <v>-184.49199999999999</v>
      </c>
      <c r="AJ810" s="4">
        <f>IF(D810="M",IF(AM810&lt;78,BMILMS!$D$5*AM810^3+BMILMS!$E$5*AM810^2+BMILMS!$F$5*AM810+BMILMS!$G$5,IF(AM810&lt;150,BMILMS!$D$6*AM810^3+BMILMS!$E$6*AM810^2+BMILMS!$F$6*AM810+BMILMS!$G$6,BMILMS!$D$7*AM810^3+BMILMS!$E$7*AM810^2+BMILMS!$F$7*AM810+BMILMS!$G$7)),IF(AM810&lt;69,BMILMS!$D$9*AM810^3+BMILMS!$E$9*AM810^2+BMILMS!$F$9*AM810+BMILMS!$G$9,IF(AM810&lt;150,BMILMS!$D$10*AM810^3+BMILMS!$E$10*AM810^2+BMILMS!$F$10*AM810+BMILMS!$G$10,BMILMS!$D$11*AM810^3+BMILMS!$E$11*AM810^2+BMILMS!$F$11*AM810+BMILMS!$G$11)))</f>
        <v>0.79584630099999998</v>
      </c>
      <c r="AK810" s="4">
        <f>IF(D810="M",(IF(AM810&lt;2.5,BMILMS!$D$21*AM810^3+BMILMS!$E$21*AM810^2+BMILMS!$F$21*AM810+BMILMS!$G$21,IF(AM810&lt;9.5,BMILMS!$D$22*AM810^3+BMILMS!$E$22*AM810^2+BMILMS!$F$22*AM810+BMILMS!$G$22,IF(AM810&lt;26.75,BMILMS!$D$23*AM810^3+BMILMS!$E$23*AM810^2+BMILMS!$F$23*AM810+BMILMS!$G$23,IF(AM810&lt;90,BMILMS!$D$24*AM810^3+BMILMS!$E$24*AM810^2+BMILMS!$F$24*AM810+BMILMS!$G$24,BMILMS!$D$25*AM810^3+BMILMS!$E$25*AM810^2+BMILMS!$F$25*AM810+BMILMS!$G$25))))),(IF(AM810&lt;2.5,BMILMS!$D$27*AM810^3+BMILMS!$E$27*AM810^2+BMILMS!$F$27*AM810+BMILMS!$G$27,IF(AM810&lt;9.5,BMILMS!$D$28*AM810^3+BMILMS!$E$28*AM810^2+BMILMS!$F$28*AM810+BMILMS!$G$28,IF(AM810&lt;26.75,BMILMS!$D$29*AM810^3+BMILMS!$E$29*AM810^2+BMILMS!$F$29*AM810+BMILMS!$G$29,IF(AM810&lt;90,BMILMS!$D$30*AM810^3+BMILMS!$E$30*AM810^2+BMILMS!$F$30*AM810+BMILMS!$G$30,IF(AM810&lt;150,BMILMS!$D$31*AM810^3+BMILMS!$E$31*AM810^2+BMILMS!$F$31*AM810+BMILMS!$G$31,BMILMS!$D$32*AM810^3+BMILMS!$E$32*AM810^2+BMILMS!$F$32*AM810+BMILMS!$G$32)))))))</f>
        <v>12.568967990000001</v>
      </c>
      <c r="AL810" s="4">
        <f>IF(D810="M",(IF(AM810&lt;90,BMILMS!$D$14*AM810^3+BMILMS!$E$14*AM810^2+BMILMS!$F$14*AM810+BMILMS!$G$14,BMILMS!$D$15*AM810^3+BMILMS!$E$15*AM810^2+BMILMS!$F$15*AM810+BMILMS!$G$15)),(IF(AM810&lt;90,BMILMS!$D$17*AM810^3+BMILMS!$E$17*AM810^2+BMILMS!$F$17*AM810+BMILMS!$G$17,BMILMS!$D$18*AM810^3+BMILMS!$E$18*AM810^2+BMILMS!$F$18*AM810+BMILMS!$G$18)))</f>
        <v>8.8969350000000003E-2</v>
      </c>
      <c r="AM810" s="4">
        <f t="shared" si="272"/>
        <v>0</v>
      </c>
      <c r="AO810" s="56">
        <f>IF(D810="M",WeightSDS!P$5*$AM810^7+WeightSDS!Q$5*$AM810^6+WeightSDS!R$5*$AM810^5+WeightSDS!S$5*$AM810^4+WeightSDS!T$5*$AM810^3+WeightSDS!U$5*$AM810^2+WeightSDS!V$5*$AM810+WeightSDS!W$5,IF($AM810&lt;186,WeightSDS!P$8*$AM810^7+WeightSDS!Q$8*$AM810^6+WeightSDS!R$8*$AM810^5+WeightSDS!S$8*$AM810^4+WeightSDS!T$8*$AM810^3+WeightSDS!U$8*$AM810^2+WeightSDS!V$8*$AM810+WeightSDS!W$8,WeightSDS!$U$9+WeightSDS!$V$9*($AM810-WeightSDS!$W$9)))</f>
        <v>0.75407122999999998</v>
      </c>
      <c r="AP810" s="4">
        <f>IF(D810="M",IF($AM810&lt;45,WeightSDS!M$23*$AM810^10+WeightSDS!N$23*$AM810^9+WeightSDS!O$23*$AM810^8+WeightSDS!P$23*$AM810^7+WeightSDS!Q$23*$AM810^6+WeightSDS!R$23*$AM810^5+WeightSDS!S$23*$AM810^4+WeightSDS!T$23*$AM810^3+WeightSDS!U$23*$AM810^2+WeightSDS!V$23*$AM810+WeightSDS!W$23,IF($AM810&lt;153,WeightSDS!M$25*$AM810^10+WeightSDS!N$25*$AM810^9+WeightSDS!O$25*$AM810^8+WeightSDS!P$25*$AM810^7+WeightSDS!Q$25*$AM810^6+WeightSDS!R$25*$AM810^5+WeightSDS!S$25*$AM810^4+WeightSDS!T$25*$AM810^3+WeightSDS!U$25*$AM810^2+WeightSDS!V$25*$AM810+WeightSDS!W$25,WeightSDS!M$27+WeightSDS!N$27/(1+EXP(WeightSDS!O$27+WeightSDS!P$27*$AM810)))),IF($AM810&lt;43.8,WeightSDS!M$29*$AM810^10+WeightSDS!N$29*$AM810^9+WeightSDS!O$29*$AM810^8+WeightSDS!P$29*$AM810^7+WeightSDS!Q$29*$AM810^6+WeightSDS!R$29*$AM810^5+WeightSDS!S$29*$AM810^4+WeightSDS!T$29*$AM810^3+WeightSDS!U$29*$AM810^2+WeightSDS!V$29*$AM810+WeightSDS!W$29-0.010431*(1-$AM810/210),IF($AM810&lt;123,WeightSDS!M$30*$AM810^10+WeightSDS!N$30*$AM810^9+WeightSDS!O$30*$AM810^8+WeightSDS!P$30*$AM810^7+WeightSDS!Q$30*$AM810^6+WeightSDS!R$30*$AM810^5+WeightSDS!S$30*$AM810^4+WeightSDS!T$30*$AM810^3+WeightSDS!U$30*$AM810^2+WeightSDS!V$30*$AM810+WeightSDS!W$30-0.010431*(1-1/$AM810),WeightSDS!M$32+WeightSDS!N$32/(1+EXP(WeightSDS!O$32+WeightSDS!P$32*$AM810))-0.010431*(1-$AM810/210))))</f>
        <v>2.9500001032655536</v>
      </c>
      <c r="AQ810" s="4">
        <f>IF(D810="M",IF($AM810&lt;162,WeightSDS!P$12*$AM810^7+WeightSDS!Q$12*$AM810^6+WeightSDS!R$12*$AM810^5+WeightSDS!S$12*$AM810^4+WeightSDS!T$12*$AM810^3+WeightSDS!U$12*$AM810^2+WeightSDS!V$12*$AM810+WeightSDS!W$12,WeightSDS!P$14*$AM810^7+WeightSDS!Q$14*$AM810^6+WeightSDS!R$14*$AM810^5+WeightSDS!S$14*$AM810^4+WeightSDS!T$14*$AM810^3+WeightSDS!U$14*$AM810^2+WeightSDS!V$14*$AM810+WeightSDS!W$14),IF($AM810&lt;156,WeightSDS!O$17*$AM810^8+WeightSDS!P$17*$AM810^7+WeightSDS!Q$17*$AM810^6+WeightSDS!R$17*$AM810^5+WeightSDS!S$17*$AM810^4+WeightSDS!T$17*$AM810^3+WeightSDS!U$17*$AM810^2+WeightSDS!V$17*$AM810+WeightSDS!W$17,IF($AM810&lt;186,WeightSDS!$U$18+(WeightSDS!$V$18-WeightSDS!$U$18)/24*($AM810-186)+WeightSDS!$W$18*(-$AM810+186)^2-0.005,WeightSDS!$U$18+(WeightSDS!$V$18-WeightSDS!$U$18)/24*($AM810-186)-0.005)))</f>
        <v>0.14604529399999999</v>
      </c>
      <c r="AT810" s="4">
        <f t="shared" si="259"/>
        <v>0.56299999999999994</v>
      </c>
      <c r="AU810" s="4">
        <f t="shared" si="260"/>
        <v>69</v>
      </c>
      <c r="AV810" s="4">
        <f t="shared" si="261"/>
        <v>0.51</v>
      </c>
    </row>
    <row r="811" spans="1:48" x14ac:dyDescent="0.15">
      <c r="A811" s="4"/>
      <c r="B811" s="21"/>
      <c r="C811" s="21"/>
      <c r="D811" s="21"/>
      <c r="E811" s="22"/>
      <c r="F811" s="22"/>
      <c r="G811" s="23"/>
      <c r="H811" s="23"/>
      <c r="I811" s="181"/>
      <c r="J811" s="8" t="str">
        <f t="shared" si="253"/>
        <v/>
      </c>
      <c r="K811" s="2" t="str">
        <f t="shared" si="262"/>
        <v/>
      </c>
      <c r="L811" s="2" t="str">
        <f t="shared" si="254"/>
        <v/>
      </c>
      <c r="M811" s="2" t="str">
        <f t="shared" si="263"/>
        <v/>
      </c>
      <c r="N811" s="2" t="str">
        <f t="shared" si="271"/>
        <v/>
      </c>
      <c r="O811" s="2" t="str">
        <f t="shared" si="264"/>
        <v/>
      </c>
      <c r="P811" s="8" t="str">
        <f t="shared" si="265"/>
        <v/>
      </c>
      <c r="Q811" s="8" t="str">
        <f t="shared" si="266"/>
        <v/>
      </c>
      <c r="R811" s="111" t="str">
        <f t="shared" si="267"/>
        <v/>
      </c>
      <c r="S811" s="44" t="str">
        <f t="shared" si="268"/>
        <v/>
      </c>
      <c r="T811" s="37" t="str">
        <f t="shared" si="269"/>
        <v/>
      </c>
      <c r="U811" s="44" t="str">
        <f t="shared" si="270"/>
        <v/>
      </c>
      <c r="V811" s="26"/>
      <c r="W811" s="26"/>
      <c r="X811" s="26"/>
      <c r="Y811" s="26"/>
      <c r="Z811" s="24"/>
      <c r="AA811" s="169">
        <f t="shared" si="255"/>
        <v>0</v>
      </c>
      <c r="AB811" s="4">
        <f t="shared" si="256"/>
        <v>0</v>
      </c>
      <c r="AC811" s="170">
        <f t="shared" si="273"/>
        <v>0</v>
      </c>
      <c r="AD811" s="58"/>
      <c r="AE811" s="58"/>
      <c r="AF811" s="58"/>
      <c r="AG811" s="59">
        <f t="shared" si="257"/>
        <v>9.0359999999999996</v>
      </c>
      <c r="AH811" s="59">
        <f t="shared" si="258"/>
        <v>-184.49199999999999</v>
      </c>
      <c r="AJ811" s="4">
        <f>IF(D811="M",IF(AM811&lt;78,BMILMS!$D$5*AM811^3+BMILMS!$E$5*AM811^2+BMILMS!$F$5*AM811+BMILMS!$G$5,IF(AM811&lt;150,BMILMS!$D$6*AM811^3+BMILMS!$E$6*AM811^2+BMILMS!$F$6*AM811+BMILMS!$G$6,BMILMS!$D$7*AM811^3+BMILMS!$E$7*AM811^2+BMILMS!$F$7*AM811+BMILMS!$G$7)),IF(AM811&lt;69,BMILMS!$D$9*AM811^3+BMILMS!$E$9*AM811^2+BMILMS!$F$9*AM811+BMILMS!$G$9,IF(AM811&lt;150,BMILMS!$D$10*AM811^3+BMILMS!$E$10*AM811^2+BMILMS!$F$10*AM811+BMILMS!$G$10,BMILMS!$D$11*AM811^3+BMILMS!$E$11*AM811^2+BMILMS!$F$11*AM811+BMILMS!$G$11)))</f>
        <v>0.79584630099999998</v>
      </c>
      <c r="AK811" s="4">
        <f>IF(D811="M",(IF(AM811&lt;2.5,BMILMS!$D$21*AM811^3+BMILMS!$E$21*AM811^2+BMILMS!$F$21*AM811+BMILMS!$G$21,IF(AM811&lt;9.5,BMILMS!$D$22*AM811^3+BMILMS!$E$22*AM811^2+BMILMS!$F$22*AM811+BMILMS!$G$22,IF(AM811&lt;26.75,BMILMS!$D$23*AM811^3+BMILMS!$E$23*AM811^2+BMILMS!$F$23*AM811+BMILMS!$G$23,IF(AM811&lt;90,BMILMS!$D$24*AM811^3+BMILMS!$E$24*AM811^2+BMILMS!$F$24*AM811+BMILMS!$G$24,BMILMS!$D$25*AM811^3+BMILMS!$E$25*AM811^2+BMILMS!$F$25*AM811+BMILMS!$G$25))))),(IF(AM811&lt;2.5,BMILMS!$D$27*AM811^3+BMILMS!$E$27*AM811^2+BMILMS!$F$27*AM811+BMILMS!$G$27,IF(AM811&lt;9.5,BMILMS!$D$28*AM811^3+BMILMS!$E$28*AM811^2+BMILMS!$F$28*AM811+BMILMS!$G$28,IF(AM811&lt;26.75,BMILMS!$D$29*AM811^3+BMILMS!$E$29*AM811^2+BMILMS!$F$29*AM811+BMILMS!$G$29,IF(AM811&lt;90,BMILMS!$D$30*AM811^3+BMILMS!$E$30*AM811^2+BMILMS!$F$30*AM811+BMILMS!$G$30,IF(AM811&lt;150,BMILMS!$D$31*AM811^3+BMILMS!$E$31*AM811^2+BMILMS!$F$31*AM811+BMILMS!$G$31,BMILMS!$D$32*AM811^3+BMILMS!$E$32*AM811^2+BMILMS!$F$32*AM811+BMILMS!$G$32)))))))</f>
        <v>12.568967990000001</v>
      </c>
      <c r="AL811" s="4">
        <f>IF(D811="M",(IF(AM811&lt;90,BMILMS!$D$14*AM811^3+BMILMS!$E$14*AM811^2+BMILMS!$F$14*AM811+BMILMS!$G$14,BMILMS!$D$15*AM811^3+BMILMS!$E$15*AM811^2+BMILMS!$F$15*AM811+BMILMS!$G$15)),(IF(AM811&lt;90,BMILMS!$D$17*AM811^3+BMILMS!$E$17*AM811^2+BMILMS!$F$17*AM811+BMILMS!$G$17,BMILMS!$D$18*AM811^3+BMILMS!$E$18*AM811^2+BMILMS!$F$18*AM811+BMILMS!$G$18)))</f>
        <v>8.8969350000000003E-2</v>
      </c>
      <c r="AM811" s="4">
        <f t="shared" si="272"/>
        <v>0</v>
      </c>
      <c r="AO811" s="56">
        <f>IF(D811="M",WeightSDS!P$5*$AM811^7+WeightSDS!Q$5*$AM811^6+WeightSDS!R$5*$AM811^5+WeightSDS!S$5*$AM811^4+WeightSDS!T$5*$AM811^3+WeightSDS!U$5*$AM811^2+WeightSDS!V$5*$AM811+WeightSDS!W$5,IF($AM811&lt;186,WeightSDS!P$8*$AM811^7+WeightSDS!Q$8*$AM811^6+WeightSDS!R$8*$AM811^5+WeightSDS!S$8*$AM811^4+WeightSDS!T$8*$AM811^3+WeightSDS!U$8*$AM811^2+WeightSDS!V$8*$AM811+WeightSDS!W$8,WeightSDS!$U$9+WeightSDS!$V$9*($AM811-WeightSDS!$W$9)))</f>
        <v>0.75407122999999998</v>
      </c>
      <c r="AP811" s="4">
        <f>IF(D811="M",IF($AM811&lt;45,WeightSDS!M$23*$AM811^10+WeightSDS!N$23*$AM811^9+WeightSDS!O$23*$AM811^8+WeightSDS!P$23*$AM811^7+WeightSDS!Q$23*$AM811^6+WeightSDS!R$23*$AM811^5+WeightSDS!S$23*$AM811^4+WeightSDS!T$23*$AM811^3+WeightSDS!U$23*$AM811^2+WeightSDS!V$23*$AM811+WeightSDS!W$23,IF($AM811&lt;153,WeightSDS!M$25*$AM811^10+WeightSDS!N$25*$AM811^9+WeightSDS!O$25*$AM811^8+WeightSDS!P$25*$AM811^7+WeightSDS!Q$25*$AM811^6+WeightSDS!R$25*$AM811^5+WeightSDS!S$25*$AM811^4+WeightSDS!T$25*$AM811^3+WeightSDS!U$25*$AM811^2+WeightSDS!V$25*$AM811+WeightSDS!W$25,WeightSDS!M$27+WeightSDS!N$27/(1+EXP(WeightSDS!O$27+WeightSDS!P$27*$AM811)))),IF($AM811&lt;43.8,WeightSDS!M$29*$AM811^10+WeightSDS!N$29*$AM811^9+WeightSDS!O$29*$AM811^8+WeightSDS!P$29*$AM811^7+WeightSDS!Q$29*$AM811^6+WeightSDS!R$29*$AM811^5+WeightSDS!S$29*$AM811^4+WeightSDS!T$29*$AM811^3+WeightSDS!U$29*$AM811^2+WeightSDS!V$29*$AM811+WeightSDS!W$29-0.010431*(1-$AM811/210),IF($AM811&lt;123,WeightSDS!M$30*$AM811^10+WeightSDS!N$30*$AM811^9+WeightSDS!O$30*$AM811^8+WeightSDS!P$30*$AM811^7+WeightSDS!Q$30*$AM811^6+WeightSDS!R$30*$AM811^5+WeightSDS!S$30*$AM811^4+WeightSDS!T$30*$AM811^3+WeightSDS!U$30*$AM811^2+WeightSDS!V$30*$AM811+WeightSDS!W$30-0.010431*(1-1/$AM811),WeightSDS!M$32+WeightSDS!N$32/(1+EXP(WeightSDS!O$32+WeightSDS!P$32*$AM811))-0.010431*(1-$AM811/210))))</f>
        <v>2.9500001032655536</v>
      </c>
      <c r="AQ811" s="4">
        <f>IF(D811="M",IF($AM811&lt;162,WeightSDS!P$12*$AM811^7+WeightSDS!Q$12*$AM811^6+WeightSDS!R$12*$AM811^5+WeightSDS!S$12*$AM811^4+WeightSDS!T$12*$AM811^3+WeightSDS!U$12*$AM811^2+WeightSDS!V$12*$AM811+WeightSDS!W$12,WeightSDS!P$14*$AM811^7+WeightSDS!Q$14*$AM811^6+WeightSDS!R$14*$AM811^5+WeightSDS!S$14*$AM811^4+WeightSDS!T$14*$AM811^3+WeightSDS!U$14*$AM811^2+WeightSDS!V$14*$AM811+WeightSDS!W$14),IF($AM811&lt;156,WeightSDS!O$17*$AM811^8+WeightSDS!P$17*$AM811^7+WeightSDS!Q$17*$AM811^6+WeightSDS!R$17*$AM811^5+WeightSDS!S$17*$AM811^4+WeightSDS!T$17*$AM811^3+WeightSDS!U$17*$AM811^2+WeightSDS!V$17*$AM811+WeightSDS!W$17,IF($AM811&lt;186,WeightSDS!$U$18+(WeightSDS!$V$18-WeightSDS!$U$18)/24*($AM811-186)+WeightSDS!$W$18*(-$AM811+186)^2-0.005,WeightSDS!$U$18+(WeightSDS!$V$18-WeightSDS!$U$18)/24*($AM811-186)-0.005)))</f>
        <v>0.14604529399999999</v>
      </c>
      <c r="AT811" s="4">
        <f t="shared" si="259"/>
        <v>0.56299999999999994</v>
      </c>
      <c r="AU811" s="4">
        <f t="shared" si="260"/>
        <v>69</v>
      </c>
      <c r="AV811" s="4">
        <f t="shared" si="261"/>
        <v>0.51</v>
      </c>
    </row>
    <row r="812" spans="1:48" x14ac:dyDescent="0.15">
      <c r="A812" s="4"/>
      <c r="B812" s="21"/>
      <c r="C812" s="21"/>
      <c r="D812" s="21"/>
      <c r="E812" s="22"/>
      <c r="F812" s="22"/>
      <c r="G812" s="23"/>
      <c r="H812" s="23"/>
      <c r="I812" s="181"/>
      <c r="J812" s="8" t="str">
        <f t="shared" si="253"/>
        <v/>
      </c>
      <c r="K812" s="2" t="str">
        <f t="shared" si="262"/>
        <v/>
      </c>
      <c r="L812" s="2" t="str">
        <f t="shared" si="254"/>
        <v/>
      </c>
      <c r="M812" s="2" t="str">
        <f t="shared" si="263"/>
        <v/>
      </c>
      <c r="N812" s="2" t="str">
        <f t="shared" si="271"/>
        <v/>
      </c>
      <c r="O812" s="2" t="str">
        <f t="shared" si="264"/>
        <v/>
      </c>
      <c r="P812" s="8" t="str">
        <f t="shared" si="265"/>
        <v/>
      </c>
      <c r="Q812" s="8" t="str">
        <f t="shared" si="266"/>
        <v/>
      </c>
      <c r="R812" s="111" t="str">
        <f t="shared" si="267"/>
        <v/>
      </c>
      <c r="S812" s="44" t="str">
        <f t="shared" si="268"/>
        <v/>
      </c>
      <c r="T812" s="37" t="str">
        <f t="shared" si="269"/>
        <v/>
      </c>
      <c r="U812" s="44" t="str">
        <f t="shared" si="270"/>
        <v/>
      </c>
      <c r="V812" s="26"/>
      <c r="W812" s="26"/>
      <c r="X812" s="26"/>
      <c r="Y812" s="26"/>
      <c r="Z812" s="24"/>
      <c r="AA812" s="169">
        <f t="shared" si="255"/>
        <v>0</v>
      </c>
      <c r="AB812" s="4">
        <f t="shared" si="256"/>
        <v>0</v>
      </c>
      <c r="AC812" s="170">
        <f t="shared" si="273"/>
        <v>0</v>
      </c>
      <c r="AD812" s="58"/>
      <c r="AE812" s="58"/>
      <c r="AF812" s="58"/>
      <c r="AG812" s="59">
        <f t="shared" si="257"/>
        <v>9.0359999999999996</v>
      </c>
      <c r="AH812" s="59">
        <f t="shared" si="258"/>
        <v>-184.49199999999999</v>
      </c>
      <c r="AJ812" s="4">
        <f>IF(D812="M",IF(AM812&lt;78,BMILMS!$D$5*AM812^3+BMILMS!$E$5*AM812^2+BMILMS!$F$5*AM812+BMILMS!$G$5,IF(AM812&lt;150,BMILMS!$D$6*AM812^3+BMILMS!$E$6*AM812^2+BMILMS!$F$6*AM812+BMILMS!$G$6,BMILMS!$D$7*AM812^3+BMILMS!$E$7*AM812^2+BMILMS!$F$7*AM812+BMILMS!$G$7)),IF(AM812&lt;69,BMILMS!$D$9*AM812^3+BMILMS!$E$9*AM812^2+BMILMS!$F$9*AM812+BMILMS!$G$9,IF(AM812&lt;150,BMILMS!$D$10*AM812^3+BMILMS!$E$10*AM812^2+BMILMS!$F$10*AM812+BMILMS!$G$10,BMILMS!$D$11*AM812^3+BMILMS!$E$11*AM812^2+BMILMS!$F$11*AM812+BMILMS!$G$11)))</f>
        <v>0.79584630099999998</v>
      </c>
      <c r="AK812" s="4">
        <f>IF(D812="M",(IF(AM812&lt;2.5,BMILMS!$D$21*AM812^3+BMILMS!$E$21*AM812^2+BMILMS!$F$21*AM812+BMILMS!$G$21,IF(AM812&lt;9.5,BMILMS!$D$22*AM812^3+BMILMS!$E$22*AM812^2+BMILMS!$F$22*AM812+BMILMS!$G$22,IF(AM812&lt;26.75,BMILMS!$D$23*AM812^3+BMILMS!$E$23*AM812^2+BMILMS!$F$23*AM812+BMILMS!$G$23,IF(AM812&lt;90,BMILMS!$D$24*AM812^3+BMILMS!$E$24*AM812^2+BMILMS!$F$24*AM812+BMILMS!$G$24,BMILMS!$D$25*AM812^3+BMILMS!$E$25*AM812^2+BMILMS!$F$25*AM812+BMILMS!$G$25))))),(IF(AM812&lt;2.5,BMILMS!$D$27*AM812^3+BMILMS!$E$27*AM812^2+BMILMS!$F$27*AM812+BMILMS!$G$27,IF(AM812&lt;9.5,BMILMS!$D$28*AM812^3+BMILMS!$E$28*AM812^2+BMILMS!$F$28*AM812+BMILMS!$G$28,IF(AM812&lt;26.75,BMILMS!$D$29*AM812^3+BMILMS!$E$29*AM812^2+BMILMS!$F$29*AM812+BMILMS!$G$29,IF(AM812&lt;90,BMILMS!$D$30*AM812^3+BMILMS!$E$30*AM812^2+BMILMS!$F$30*AM812+BMILMS!$G$30,IF(AM812&lt;150,BMILMS!$D$31*AM812^3+BMILMS!$E$31*AM812^2+BMILMS!$F$31*AM812+BMILMS!$G$31,BMILMS!$D$32*AM812^3+BMILMS!$E$32*AM812^2+BMILMS!$F$32*AM812+BMILMS!$G$32)))))))</f>
        <v>12.568967990000001</v>
      </c>
      <c r="AL812" s="4">
        <f>IF(D812="M",(IF(AM812&lt;90,BMILMS!$D$14*AM812^3+BMILMS!$E$14*AM812^2+BMILMS!$F$14*AM812+BMILMS!$G$14,BMILMS!$D$15*AM812^3+BMILMS!$E$15*AM812^2+BMILMS!$F$15*AM812+BMILMS!$G$15)),(IF(AM812&lt;90,BMILMS!$D$17*AM812^3+BMILMS!$E$17*AM812^2+BMILMS!$F$17*AM812+BMILMS!$G$17,BMILMS!$D$18*AM812^3+BMILMS!$E$18*AM812^2+BMILMS!$F$18*AM812+BMILMS!$G$18)))</f>
        <v>8.8969350000000003E-2</v>
      </c>
      <c r="AM812" s="4">
        <f t="shared" si="272"/>
        <v>0</v>
      </c>
      <c r="AO812" s="56">
        <f>IF(D812="M",WeightSDS!P$5*$AM812^7+WeightSDS!Q$5*$AM812^6+WeightSDS!R$5*$AM812^5+WeightSDS!S$5*$AM812^4+WeightSDS!T$5*$AM812^3+WeightSDS!U$5*$AM812^2+WeightSDS!V$5*$AM812+WeightSDS!W$5,IF($AM812&lt;186,WeightSDS!P$8*$AM812^7+WeightSDS!Q$8*$AM812^6+WeightSDS!R$8*$AM812^5+WeightSDS!S$8*$AM812^4+WeightSDS!T$8*$AM812^3+WeightSDS!U$8*$AM812^2+WeightSDS!V$8*$AM812+WeightSDS!W$8,WeightSDS!$U$9+WeightSDS!$V$9*($AM812-WeightSDS!$W$9)))</f>
        <v>0.75407122999999998</v>
      </c>
      <c r="AP812" s="4">
        <f>IF(D812="M",IF($AM812&lt;45,WeightSDS!M$23*$AM812^10+WeightSDS!N$23*$AM812^9+WeightSDS!O$23*$AM812^8+WeightSDS!P$23*$AM812^7+WeightSDS!Q$23*$AM812^6+WeightSDS!R$23*$AM812^5+WeightSDS!S$23*$AM812^4+WeightSDS!T$23*$AM812^3+WeightSDS!U$23*$AM812^2+WeightSDS!V$23*$AM812+WeightSDS!W$23,IF($AM812&lt;153,WeightSDS!M$25*$AM812^10+WeightSDS!N$25*$AM812^9+WeightSDS!O$25*$AM812^8+WeightSDS!P$25*$AM812^7+WeightSDS!Q$25*$AM812^6+WeightSDS!R$25*$AM812^5+WeightSDS!S$25*$AM812^4+WeightSDS!T$25*$AM812^3+WeightSDS!U$25*$AM812^2+WeightSDS!V$25*$AM812+WeightSDS!W$25,WeightSDS!M$27+WeightSDS!N$27/(1+EXP(WeightSDS!O$27+WeightSDS!P$27*$AM812)))),IF($AM812&lt;43.8,WeightSDS!M$29*$AM812^10+WeightSDS!N$29*$AM812^9+WeightSDS!O$29*$AM812^8+WeightSDS!P$29*$AM812^7+WeightSDS!Q$29*$AM812^6+WeightSDS!R$29*$AM812^5+WeightSDS!S$29*$AM812^4+WeightSDS!T$29*$AM812^3+WeightSDS!U$29*$AM812^2+WeightSDS!V$29*$AM812+WeightSDS!W$29-0.010431*(1-$AM812/210),IF($AM812&lt;123,WeightSDS!M$30*$AM812^10+WeightSDS!N$30*$AM812^9+WeightSDS!O$30*$AM812^8+WeightSDS!P$30*$AM812^7+WeightSDS!Q$30*$AM812^6+WeightSDS!R$30*$AM812^5+WeightSDS!S$30*$AM812^4+WeightSDS!T$30*$AM812^3+WeightSDS!U$30*$AM812^2+WeightSDS!V$30*$AM812+WeightSDS!W$30-0.010431*(1-1/$AM812),WeightSDS!M$32+WeightSDS!N$32/(1+EXP(WeightSDS!O$32+WeightSDS!P$32*$AM812))-0.010431*(1-$AM812/210))))</f>
        <v>2.9500001032655536</v>
      </c>
      <c r="AQ812" s="4">
        <f>IF(D812="M",IF($AM812&lt;162,WeightSDS!P$12*$AM812^7+WeightSDS!Q$12*$AM812^6+WeightSDS!R$12*$AM812^5+WeightSDS!S$12*$AM812^4+WeightSDS!T$12*$AM812^3+WeightSDS!U$12*$AM812^2+WeightSDS!V$12*$AM812+WeightSDS!W$12,WeightSDS!P$14*$AM812^7+WeightSDS!Q$14*$AM812^6+WeightSDS!R$14*$AM812^5+WeightSDS!S$14*$AM812^4+WeightSDS!T$14*$AM812^3+WeightSDS!U$14*$AM812^2+WeightSDS!V$14*$AM812+WeightSDS!W$14),IF($AM812&lt;156,WeightSDS!O$17*$AM812^8+WeightSDS!P$17*$AM812^7+WeightSDS!Q$17*$AM812^6+WeightSDS!R$17*$AM812^5+WeightSDS!S$17*$AM812^4+WeightSDS!T$17*$AM812^3+WeightSDS!U$17*$AM812^2+WeightSDS!V$17*$AM812+WeightSDS!W$17,IF($AM812&lt;186,WeightSDS!$U$18+(WeightSDS!$V$18-WeightSDS!$U$18)/24*($AM812-186)+WeightSDS!$W$18*(-$AM812+186)^2-0.005,WeightSDS!$U$18+(WeightSDS!$V$18-WeightSDS!$U$18)/24*($AM812-186)-0.005)))</f>
        <v>0.14604529399999999</v>
      </c>
      <c r="AT812" s="4">
        <f t="shared" si="259"/>
        <v>0.56299999999999994</v>
      </c>
      <c r="AU812" s="4">
        <f t="shared" si="260"/>
        <v>69</v>
      </c>
      <c r="AV812" s="4">
        <f t="shared" si="261"/>
        <v>0.51</v>
      </c>
    </row>
    <row r="813" spans="1:48" x14ac:dyDescent="0.15">
      <c r="A813" s="4"/>
      <c r="B813" s="21"/>
      <c r="C813" s="21"/>
      <c r="D813" s="21"/>
      <c r="E813" s="22"/>
      <c r="F813" s="22"/>
      <c r="G813" s="23"/>
      <c r="H813" s="23"/>
      <c r="I813" s="181"/>
      <c r="J813" s="8" t="str">
        <f t="shared" si="253"/>
        <v/>
      </c>
      <c r="K813" s="2" t="str">
        <f t="shared" si="262"/>
        <v/>
      </c>
      <c r="L813" s="2" t="str">
        <f t="shared" si="254"/>
        <v/>
      </c>
      <c r="M813" s="2" t="str">
        <f t="shared" si="263"/>
        <v/>
      </c>
      <c r="N813" s="2" t="str">
        <f t="shared" si="271"/>
        <v/>
      </c>
      <c r="O813" s="2" t="str">
        <f t="shared" si="264"/>
        <v/>
      </c>
      <c r="P813" s="8" t="str">
        <f t="shared" si="265"/>
        <v/>
      </c>
      <c r="Q813" s="8" t="str">
        <f t="shared" si="266"/>
        <v/>
      </c>
      <c r="R813" s="111" t="str">
        <f t="shared" si="267"/>
        <v/>
      </c>
      <c r="S813" s="44" t="str">
        <f t="shared" si="268"/>
        <v/>
      </c>
      <c r="T813" s="37" t="str">
        <f t="shared" si="269"/>
        <v/>
      </c>
      <c r="U813" s="44" t="str">
        <f t="shared" si="270"/>
        <v/>
      </c>
      <c r="V813" s="26"/>
      <c r="W813" s="26"/>
      <c r="X813" s="26"/>
      <c r="Y813" s="26"/>
      <c r="Z813" s="24"/>
      <c r="AA813" s="169">
        <f t="shared" si="255"/>
        <v>0</v>
      </c>
      <c r="AB813" s="4">
        <f t="shared" si="256"/>
        <v>0</v>
      </c>
      <c r="AC813" s="170">
        <f t="shared" si="273"/>
        <v>0</v>
      </c>
      <c r="AD813" s="58"/>
      <c r="AE813" s="58"/>
      <c r="AF813" s="58"/>
      <c r="AG813" s="59">
        <f t="shared" si="257"/>
        <v>9.0359999999999996</v>
      </c>
      <c r="AH813" s="59">
        <f t="shared" si="258"/>
        <v>-184.49199999999999</v>
      </c>
      <c r="AJ813" s="4">
        <f>IF(D813="M",IF(AM813&lt;78,BMILMS!$D$5*AM813^3+BMILMS!$E$5*AM813^2+BMILMS!$F$5*AM813+BMILMS!$G$5,IF(AM813&lt;150,BMILMS!$D$6*AM813^3+BMILMS!$E$6*AM813^2+BMILMS!$F$6*AM813+BMILMS!$G$6,BMILMS!$D$7*AM813^3+BMILMS!$E$7*AM813^2+BMILMS!$F$7*AM813+BMILMS!$G$7)),IF(AM813&lt;69,BMILMS!$D$9*AM813^3+BMILMS!$E$9*AM813^2+BMILMS!$F$9*AM813+BMILMS!$G$9,IF(AM813&lt;150,BMILMS!$D$10*AM813^3+BMILMS!$E$10*AM813^2+BMILMS!$F$10*AM813+BMILMS!$G$10,BMILMS!$D$11*AM813^3+BMILMS!$E$11*AM813^2+BMILMS!$F$11*AM813+BMILMS!$G$11)))</f>
        <v>0.79584630099999998</v>
      </c>
      <c r="AK813" s="4">
        <f>IF(D813="M",(IF(AM813&lt;2.5,BMILMS!$D$21*AM813^3+BMILMS!$E$21*AM813^2+BMILMS!$F$21*AM813+BMILMS!$G$21,IF(AM813&lt;9.5,BMILMS!$D$22*AM813^3+BMILMS!$E$22*AM813^2+BMILMS!$F$22*AM813+BMILMS!$G$22,IF(AM813&lt;26.75,BMILMS!$D$23*AM813^3+BMILMS!$E$23*AM813^2+BMILMS!$F$23*AM813+BMILMS!$G$23,IF(AM813&lt;90,BMILMS!$D$24*AM813^3+BMILMS!$E$24*AM813^2+BMILMS!$F$24*AM813+BMILMS!$G$24,BMILMS!$D$25*AM813^3+BMILMS!$E$25*AM813^2+BMILMS!$F$25*AM813+BMILMS!$G$25))))),(IF(AM813&lt;2.5,BMILMS!$D$27*AM813^3+BMILMS!$E$27*AM813^2+BMILMS!$F$27*AM813+BMILMS!$G$27,IF(AM813&lt;9.5,BMILMS!$D$28*AM813^3+BMILMS!$E$28*AM813^2+BMILMS!$F$28*AM813+BMILMS!$G$28,IF(AM813&lt;26.75,BMILMS!$D$29*AM813^3+BMILMS!$E$29*AM813^2+BMILMS!$F$29*AM813+BMILMS!$G$29,IF(AM813&lt;90,BMILMS!$D$30*AM813^3+BMILMS!$E$30*AM813^2+BMILMS!$F$30*AM813+BMILMS!$G$30,IF(AM813&lt;150,BMILMS!$D$31*AM813^3+BMILMS!$E$31*AM813^2+BMILMS!$F$31*AM813+BMILMS!$G$31,BMILMS!$D$32*AM813^3+BMILMS!$E$32*AM813^2+BMILMS!$F$32*AM813+BMILMS!$G$32)))))))</f>
        <v>12.568967990000001</v>
      </c>
      <c r="AL813" s="4">
        <f>IF(D813="M",(IF(AM813&lt;90,BMILMS!$D$14*AM813^3+BMILMS!$E$14*AM813^2+BMILMS!$F$14*AM813+BMILMS!$G$14,BMILMS!$D$15*AM813^3+BMILMS!$E$15*AM813^2+BMILMS!$F$15*AM813+BMILMS!$G$15)),(IF(AM813&lt;90,BMILMS!$D$17*AM813^3+BMILMS!$E$17*AM813^2+BMILMS!$F$17*AM813+BMILMS!$G$17,BMILMS!$D$18*AM813^3+BMILMS!$E$18*AM813^2+BMILMS!$F$18*AM813+BMILMS!$G$18)))</f>
        <v>8.8969350000000003E-2</v>
      </c>
      <c r="AM813" s="4">
        <f t="shared" si="272"/>
        <v>0</v>
      </c>
      <c r="AO813" s="56">
        <f>IF(D813="M",WeightSDS!P$5*$AM813^7+WeightSDS!Q$5*$AM813^6+WeightSDS!R$5*$AM813^5+WeightSDS!S$5*$AM813^4+WeightSDS!T$5*$AM813^3+WeightSDS!U$5*$AM813^2+WeightSDS!V$5*$AM813+WeightSDS!W$5,IF($AM813&lt;186,WeightSDS!P$8*$AM813^7+WeightSDS!Q$8*$AM813^6+WeightSDS!R$8*$AM813^5+WeightSDS!S$8*$AM813^4+WeightSDS!T$8*$AM813^3+WeightSDS!U$8*$AM813^2+WeightSDS!V$8*$AM813+WeightSDS!W$8,WeightSDS!$U$9+WeightSDS!$V$9*($AM813-WeightSDS!$W$9)))</f>
        <v>0.75407122999999998</v>
      </c>
      <c r="AP813" s="4">
        <f>IF(D813="M",IF($AM813&lt;45,WeightSDS!M$23*$AM813^10+WeightSDS!N$23*$AM813^9+WeightSDS!O$23*$AM813^8+WeightSDS!P$23*$AM813^7+WeightSDS!Q$23*$AM813^6+WeightSDS!R$23*$AM813^5+WeightSDS!S$23*$AM813^4+WeightSDS!T$23*$AM813^3+WeightSDS!U$23*$AM813^2+WeightSDS!V$23*$AM813+WeightSDS!W$23,IF($AM813&lt;153,WeightSDS!M$25*$AM813^10+WeightSDS!N$25*$AM813^9+WeightSDS!O$25*$AM813^8+WeightSDS!P$25*$AM813^7+WeightSDS!Q$25*$AM813^6+WeightSDS!R$25*$AM813^5+WeightSDS!S$25*$AM813^4+WeightSDS!T$25*$AM813^3+WeightSDS!U$25*$AM813^2+WeightSDS!V$25*$AM813+WeightSDS!W$25,WeightSDS!M$27+WeightSDS!N$27/(1+EXP(WeightSDS!O$27+WeightSDS!P$27*$AM813)))),IF($AM813&lt;43.8,WeightSDS!M$29*$AM813^10+WeightSDS!N$29*$AM813^9+WeightSDS!O$29*$AM813^8+WeightSDS!P$29*$AM813^7+WeightSDS!Q$29*$AM813^6+WeightSDS!R$29*$AM813^5+WeightSDS!S$29*$AM813^4+WeightSDS!T$29*$AM813^3+WeightSDS!U$29*$AM813^2+WeightSDS!V$29*$AM813+WeightSDS!W$29-0.010431*(1-$AM813/210),IF($AM813&lt;123,WeightSDS!M$30*$AM813^10+WeightSDS!N$30*$AM813^9+WeightSDS!O$30*$AM813^8+WeightSDS!P$30*$AM813^7+WeightSDS!Q$30*$AM813^6+WeightSDS!R$30*$AM813^5+WeightSDS!S$30*$AM813^4+WeightSDS!T$30*$AM813^3+WeightSDS!U$30*$AM813^2+WeightSDS!V$30*$AM813+WeightSDS!W$30-0.010431*(1-1/$AM813),WeightSDS!M$32+WeightSDS!N$32/(1+EXP(WeightSDS!O$32+WeightSDS!P$32*$AM813))-0.010431*(1-$AM813/210))))</f>
        <v>2.9500001032655536</v>
      </c>
      <c r="AQ813" s="4">
        <f>IF(D813="M",IF($AM813&lt;162,WeightSDS!P$12*$AM813^7+WeightSDS!Q$12*$AM813^6+WeightSDS!R$12*$AM813^5+WeightSDS!S$12*$AM813^4+WeightSDS!T$12*$AM813^3+WeightSDS!U$12*$AM813^2+WeightSDS!V$12*$AM813+WeightSDS!W$12,WeightSDS!P$14*$AM813^7+WeightSDS!Q$14*$AM813^6+WeightSDS!R$14*$AM813^5+WeightSDS!S$14*$AM813^4+WeightSDS!T$14*$AM813^3+WeightSDS!U$14*$AM813^2+WeightSDS!V$14*$AM813+WeightSDS!W$14),IF($AM813&lt;156,WeightSDS!O$17*$AM813^8+WeightSDS!P$17*$AM813^7+WeightSDS!Q$17*$AM813^6+WeightSDS!R$17*$AM813^5+WeightSDS!S$17*$AM813^4+WeightSDS!T$17*$AM813^3+WeightSDS!U$17*$AM813^2+WeightSDS!V$17*$AM813+WeightSDS!W$17,IF($AM813&lt;186,WeightSDS!$U$18+(WeightSDS!$V$18-WeightSDS!$U$18)/24*($AM813-186)+WeightSDS!$W$18*(-$AM813+186)^2-0.005,WeightSDS!$U$18+(WeightSDS!$V$18-WeightSDS!$U$18)/24*($AM813-186)-0.005)))</f>
        <v>0.14604529399999999</v>
      </c>
      <c r="AT813" s="4">
        <f t="shared" si="259"/>
        <v>0.56299999999999994</v>
      </c>
      <c r="AU813" s="4">
        <f t="shared" si="260"/>
        <v>69</v>
      </c>
      <c r="AV813" s="4">
        <f t="shared" si="261"/>
        <v>0.51</v>
      </c>
    </row>
    <row r="814" spans="1:48" x14ac:dyDescent="0.15">
      <c r="A814" s="4"/>
      <c r="B814" s="21"/>
      <c r="C814" s="21"/>
      <c r="D814" s="21"/>
      <c r="E814" s="22"/>
      <c r="F814" s="22"/>
      <c r="G814" s="23"/>
      <c r="H814" s="23"/>
      <c r="I814" s="181"/>
      <c r="J814" s="8" t="str">
        <f t="shared" si="253"/>
        <v/>
      </c>
      <c r="K814" s="2" t="str">
        <f t="shared" si="262"/>
        <v/>
      </c>
      <c r="L814" s="2" t="str">
        <f t="shared" si="254"/>
        <v/>
      </c>
      <c r="M814" s="2" t="str">
        <f t="shared" si="263"/>
        <v/>
      </c>
      <c r="N814" s="2" t="str">
        <f t="shared" si="271"/>
        <v/>
      </c>
      <c r="O814" s="2" t="str">
        <f t="shared" si="264"/>
        <v/>
      </c>
      <c r="P814" s="8" t="str">
        <f t="shared" si="265"/>
        <v/>
      </c>
      <c r="Q814" s="8" t="str">
        <f t="shared" si="266"/>
        <v/>
      </c>
      <c r="R814" s="111" t="str">
        <f t="shared" si="267"/>
        <v/>
      </c>
      <c r="S814" s="44" t="str">
        <f t="shared" si="268"/>
        <v/>
      </c>
      <c r="T814" s="37" t="str">
        <f t="shared" si="269"/>
        <v/>
      </c>
      <c r="U814" s="44" t="str">
        <f t="shared" si="270"/>
        <v/>
      </c>
      <c r="V814" s="26"/>
      <c r="W814" s="26"/>
      <c r="X814" s="26"/>
      <c r="Y814" s="26"/>
      <c r="Z814" s="24"/>
      <c r="AA814" s="169">
        <f t="shared" si="255"/>
        <v>0</v>
      </c>
      <c r="AB814" s="4">
        <f t="shared" si="256"/>
        <v>0</v>
      </c>
      <c r="AC814" s="170">
        <f t="shared" si="273"/>
        <v>0</v>
      </c>
      <c r="AD814" s="58"/>
      <c r="AE814" s="58"/>
      <c r="AF814" s="58"/>
      <c r="AG814" s="59">
        <f t="shared" si="257"/>
        <v>9.0359999999999996</v>
      </c>
      <c r="AH814" s="59">
        <f t="shared" si="258"/>
        <v>-184.49199999999999</v>
      </c>
      <c r="AJ814" s="4">
        <f>IF(D814="M",IF(AM814&lt;78,BMILMS!$D$5*AM814^3+BMILMS!$E$5*AM814^2+BMILMS!$F$5*AM814+BMILMS!$G$5,IF(AM814&lt;150,BMILMS!$D$6*AM814^3+BMILMS!$E$6*AM814^2+BMILMS!$F$6*AM814+BMILMS!$G$6,BMILMS!$D$7*AM814^3+BMILMS!$E$7*AM814^2+BMILMS!$F$7*AM814+BMILMS!$G$7)),IF(AM814&lt;69,BMILMS!$D$9*AM814^3+BMILMS!$E$9*AM814^2+BMILMS!$F$9*AM814+BMILMS!$G$9,IF(AM814&lt;150,BMILMS!$D$10*AM814^3+BMILMS!$E$10*AM814^2+BMILMS!$F$10*AM814+BMILMS!$G$10,BMILMS!$D$11*AM814^3+BMILMS!$E$11*AM814^2+BMILMS!$F$11*AM814+BMILMS!$G$11)))</f>
        <v>0.79584630099999998</v>
      </c>
      <c r="AK814" s="4">
        <f>IF(D814="M",(IF(AM814&lt;2.5,BMILMS!$D$21*AM814^3+BMILMS!$E$21*AM814^2+BMILMS!$F$21*AM814+BMILMS!$G$21,IF(AM814&lt;9.5,BMILMS!$D$22*AM814^3+BMILMS!$E$22*AM814^2+BMILMS!$F$22*AM814+BMILMS!$G$22,IF(AM814&lt;26.75,BMILMS!$D$23*AM814^3+BMILMS!$E$23*AM814^2+BMILMS!$F$23*AM814+BMILMS!$G$23,IF(AM814&lt;90,BMILMS!$D$24*AM814^3+BMILMS!$E$24*AM814^2+BMILMS!$F$24*AM814+BMILMS!$G$24,BMILMS!$D$25*AM814^3+BMILMS!$E$25*AM814^2+BMILMS!$F$25*AM814+BMILMS!$G$25))))),(IF(AM814&lt;2.5,BMILMS!$D$27*AM814^3+BMILMS!$E$27*AM814^2+BMILMS!$F$27*AM814+BMILMS!$G$27,IF(AM814&lt;9.5,BMILMS!$D$28*AM814^3+BMILMS!$E$28*AM814^2+BMILMS!$F$28*AM814+BMILMS!$G$28,IF(AM814&lt;26.75,BMILMS!$D$29*AM814^3+BMILMS!$E$29*AM814^2+BMILMS!$F$29*AM814+BMILMS!$G$29,IF(AM814&lt;90,BMILMS!$D$30*AM814^3+BMILMS!$E$30*AM814^2+BMILMS!$F$30*AM814+BMILMS!$G$30,IF(AM814&lt;150,BMILMS!$D$31*AM814^3+BMILMS!$E$31*AM814^2+BMILMS!$F$31*AM814+BMILMS!$G$31,BMILMS!$D$32*AM814^3+BMILMS!$E$32*AM814^2+BMILMS!$F$32*AM814+BMILMS!$G$32)))))))</f>
        <v>12.568967990000001</v>
      </c>
      <c r="AL814" s="4">
        <f>IF(D814="M",(IF(AM814&lt;90,BMILMS!$D$14*AM814^3+BMILMS!$E$14*AM814^2+BMILMS!$F$14*AM814+BMILMS!$G$14,BMILMS!$D$15*AM814^3+BMILMS!$E$15*AM814^2+BMILMS!$F$15*AM814+BMILMS!$G$15)),(IF(AM814&lt;90,BMILMS!$D$17*AM814^3+BMILMS!$E$17*AM814^2+BMILMS!$F$17*AM814+BMILMS!$G$17,BMILMS!$D$18*AM814^3+BMILMS!$E$18*AM814^2+BMILMS!$F$18*AM814+BMILMS!$G$18)))</f>
        <v>8.8969350000000003E-2</v>
      </c>
      <c r="AM814" s="4">
        <f t="shared" si="272"/>
        <v>0</v>
      </c>
      <c r="AO814" s="56">
        <f>IF(D814="M",WeightSDS!P$5*$AM814^7+WeightSDS!Q$5*$AM814^6+WeightSDS!R$5*$AM814^5+WeightSDS!S$5*$AM814^4+WeightSDS!T$5*$AM814^3+WeightSDS!U$5*$AM814^2+WeightSDS!V$5*$AM814+WeightSDS!W$5,IF($AM814&lt;186,WeightSDS!P$8*$AM814^7+WeightSDS!Q$8*$AM814^6+WeightSDS!R$8*$AM814^5+WeightSDS!S$8*$AM814^4+WeightSDS!T$8*$AM814^3+WeightSDS!U$8*$AM814^2+WeightSDS!V$8*$AM814+WeightSDS!W$8,WeightSDS!$U$9+WeightSDS!$V$9*($AM814-WeightSDS!$W$9)))</f>
        <v>0.75407122999999998</v>
      </c>
      <c r="AP814" s="4">
        <f>IF(D814="M",IF($AM814&lt;45,WeightSDS!M$23*$AM814^10+WeightSDS!N$23*$AM814^9+WeightSDS!O$23*$AM814^8+WeightSDS!P$23*$AM814^7+WeightSDS!Q$23*$AM814^6+WeightSDS!R$23*$AM814^5+WeightSDS!S$23*$AM814^4+WeightSDS!T$23*$AM814^3+WeightSDS!U$23*$AM814^2+WeightSDS!V$23*$AM814+WeightSDS!W$23,IF($AM814&lt;153,WeightSDS!M$25*$AM814^10+WeightSDS!N$25*$AM814^9+WeightSDS!O$25*$AM814^8+WeightSDS!P$25*$AM814^7+WeightSDS!Q$25*$AM814^6+WeightSDS!R$25*$AM814^5+WeightSDS!S$25*$AM814^4+WeightSDS!T$25*$AM814^3+WeightSDS!U$25*$AM814^2+WeightSDS!V$25*$AM814+WeightSDS!W$25,WeightSDS!M$27+WeightSDS!N$27/(1+EXP(WeightSDS!O$27+WeightSDS!P$27*$AM814)))),IF($AM814&lt;43.8,WeightSDS!M$29*$AM814^10+WeightSDS!N$29*$AM814^9+WeightSDS!O$29*$AM814^8+WeightSDS!P$29*$AM814^7+WeightSDS!Q$29*$AM814^6+WeightSDS!R$29*$AM814^5+WeightSDS!S$29*$AM814^4+WeightSDS!T$29*$AM814^3+WeightSDS!U$29*$AM814^2+WeightSDS!V$29*$AM814+WeightSDS!W$29-0.010431*(1-$AM814/210),IF($AM814&lt;123,WeightSDS!M$30*$AM814^10+WeightSDS!N$30*$AM814^9+WeightSDS!O$30*$AM814^8+WeightSDS!P$30*$AM814^7+WeightSDS!Q$30*$AM814^6+WeightSDS!R$30*$AM814^5+WeightSDS!S$30*$AM814^4+WeightSDS!T$30*$AM814^3+WeightSDS!U$30*$AM814^2+WeightSDS!V$30*$AM814+WeightSDS!W$30-0.010431*(1-1/$AM814),WeightSDS!M$32+WeightSDS!N$32/(1+EXP(WeightSDS!O$32+WeightSDS!P$32*$AM814))-0.010431*(1-$AM814/210))))</f>
        <v>2.9500001032655536</v>
      </c>
      <c r="AQ814" s="4">
        <f>IF(D814="M",IF($AM814&lt;162,WeightSDS!P$12*$AM814^7+WeightSDS!Q$12*$AM814^6+WeightSDS!R$12*$AM814^5+WeightSDS!S$12*$AM814^4+WeightSDS!T$12*$AM814^3+WeightSDS!U$12*$AM814^2+WeightSDS!V$12*$AM814+WeightSDS!W$12,WeightSDS!P$14*$AM814^7+WeightSDS!Q$14*$AM814^6+WeightSDS!R$14*$AM814^5+WeightSDS!S$14*$AM814^4+WeightSDS!T$14*$AM814^3+WeightSDS!U$14*$AM814^2+WeightSDS!V$14*$AM814+WeightSDS!W$14),IF($AM814&lt;156,WeightSDS!O$17*$AM814^8+WeightSDS!P$17*$AM814^7+WeightSDS!Q$17*$AM814^6+WeightSDS!R$17*$AM814^5+WeightSDS!S$17*$AM814^4+WeightSDS!T$17*$AM814^3+WeightSDS!U$17*$AM814^2+WeightSDS!V$17*$AM814+WeightSDS!W$17,IF($AM814&lt;186,WeightSDS!$U$18+(WeightSDS!$V$18-WeightSDS!$U$18)/24*($AM814-186)+WeightSDS!$W$18*(-$AM814+186)^2-0.005,WeightSDS!$U$18+(WeightSDS!$V$18-WeightSDS!$U$18)/24*($AM814-186)-0.005)))</f>
        <v>0.14604529399999999</v>
      </c>
      <c r="AT814" s="4">
        <f t="shared" si="259"/>
        <v>0.56299999999999994</v>
      </c>
      <c r="AU814" s="4">
        <f t="shared" si="260"/>
        <v>69</v>
      </c>
      <c r="AV814" s="4">
        <f t="shared" si="261"/>
        <v>0.51</v>
      </c>
    </row>
    <row r="815" spans="1:48" x14ac:dyDescent="0.15">
      <c r="A815" s="4"/>
      <c r="B815" s="21"/>
      <c r="C815" s="21"/>
      <c r="D815" s="21"/>
      <c r="E815" s="22"/>
      <c r="F815" s="22"/>
      <c r="G815" s="23"/>
      <c r="H815" s="23"/>
      <c r="I815" s="181"/>
      <c r="J815" s="8" t="str">
        <f t="shared" si="253"/>
        <v/>
      </c>
      <c r="K815" s="2" t="str">
        <f t="shared" si="262"/>
        <v/>
      </c>
      <c r="L815" s="2" t="str">
        <f t="shared" si="254"/>
        <v/>
      </c>
      <c r="M815" s="2" t="str">
        <f t="shared" si="263"/>
        <v/>
      </c>
      <c r="N815" s="2" t="str">
        <f t="shared" si="271"/>
        <v/>
      </c>
      <c r="O815" s="2" t="str">
        <f t="shared" si="264"/>
        <v/>
      </c>
      <c r="P815" s="8" t="str">
        <f t="shared" si="265"/>
        <v/>
      </c>
      <c r="Q815" s="8" t="str">
        <f t="shared" si="266"/>
        <v/>
      </c>
      <c r="R815" s="111" t="str">
        <f t="shared" si="267"/>
        <v/>
      </c>
      <c r="S815" s="44" t="str">
        <f t="shared" si="268"/>
        <v/>
      </c>
      <c r="T815" s="37" t="str">
        <f t="shared" si="269"/>
        <v/>
      </c>
      <c r="U815" s="44" t="str">
        <f t="shared" si="270"/>
        <v/>
      </c>
      <c r="V815" s="26"/>
      <c r="W815" s="26"/>
      <c r="X815" s="26"/>
      <c r="Y815" s="26"/>
      <c r="Z815" s="24"/>
      <c r="AA815" s="169">
        <f t="shared" si="255"/>
        <v>0</v>
      </c>
      <c r="AB815" s="4">
        <f t="shared" si="256"/>
        <v>0</v>
      </c>
      <c r="AC815" s="170">
        <f t="shared" si="273"/>
        <v>0</v>
      </c>
      <c r="AD815" s="58"/>
      <c r="AE815" s="58"/>
      <c r="AF815" s="58"/>
      <c r="AG815" s="59">
        <f t="shared" si="257"/>
        <v>9.0359999999999996</v>
      </c>
      <c r="AH815" s="59">
        <f t="shared" si="258"/>
        <v>-184.49199999999999</v>
      </c>
      <c r="AJ815" s="4">
        <f>IF(D815="M",IF(AM815&lt;78,BMILMS!$D$5*AM815^3+BMILMS!$E$5*AM815^2+BMILMS!$F$5*AM815+BMILMS!$G$5,IF(AM815&lt;150,BMILMS!$D$6*AM815^3+BMILMS!$E$6*AM815^2+BMILMS!$F$6*AM815+BMILMS!$G$6,BMILMS!$D$7*AM815^3+BMILMS!$E$7*AM815^2+BMILMS!$F$7*AM815+BMILMS!$G$7)),IF(AM815&lt;69,BMILMS!$D$9*AM815^3+BMILMS!$E$9*AM815^2+BMILMS!$F$9*AM815+BMILMS!$G$9,IF(AM815&lt;150,BMILMS!$D$10*AM815^3+BMILMS!$E$10*AM815^2+BMILMS!$F$10*AM815+BMILMS!$G$10,BMILMS!$D$11*AM815^3+BMILMS!$E$11*AM815^2+BMILMS!$F$11*AM815+BMILMS!$G$11)))</f>
        <v>0.79584630099999998</v>
      </c>
      <c r="AK815" s="4">
        <f>IF(D815="M",(IF(AM815&lt;2.5,BMILMS!$D$21*AM815^3+BMILMS!$E$21*AM815^2+BMILMS!$F$21*AM815+BMILMS!$G$21,IF(AM815&lt;9.5,BMILMS!$D$22*AM815^3+BMILMS!$E$22*AM815^2+BMILMS!$F$22*AM815+BMILMS!$G$22,IF(AM815&lt;26.75,BMILMS!$D$23*AM815^3+BMILMS!$E$23*AM815^2+BMILMS!$F$23*AM815+BMILMS!$G$23,IF(AM815&lt;90,BMILMS!$D$24*AM815^3+BMILMS!$E$24*AM815^2+BMILMS!$F$24*AM815+BMILMS!$G$24,BMILMS!$D$25*AM815^3+BMILMS!$E$25*AM815^2+BMILMS!$F$25*AM815+BMILMS!$G$25))))),(IF(AM815&lt;2.5,BMILMS!$D$27*AM815^3+BMILMS!$E$27*AM815^2+BMILMS!$F$27*AM815+BMILMS!$G$27,IF(AM815&lt;9.5,BMILMS!$D$28*AM815^3+BMILMS!$E$28*AM815^2+BMILMS!$F$28*AM815+BMILMS!$G$28,IF(AM815&lt;26.75,BMILMS!$D$29*AM815^3+BMILMS!$E$29*AM815^2+BMILMS!$F$29*AM815+BMILMS!$G$29,IF(AM815&lt;90,BMILMS!$D$30*AM815^3+BMILMS!$E$30*AM815^2+BMILMS!$F$30*AM815+BMILMS!$G$30,IF(AM815&lt;150,BMILMS!$D$31*AM815^3+BMILMS!$E$31*AM815^2+BMILMS!$F$31*AM815+BMILMS!$G$31,BMILMS!$D$32*AM815^3+BMILMS!$E$32*AM815^2+BMILMS!$F$32*AM815+BMILMS!$G$32)))))))</f>
        <v>12.568967990000001</v>
      </c>
      <c r="AL815" s="4">
        <f>IF(D815="M",(IF(AM815&lt;90,BMILMS!$D$14*AM815^3+BMILMS!$E$14*AM815^2+BMILMS!$F$14*AM815+BMILMS!$G$14,BMILMS!$D$15*AM815^3+BMILMS!$E$15*AM815^2+BMILMS!$F$15*AM815+BMILMS!$G$15)),(IF(AM815&lt;90,BMILMS!$D$17*AM815^3+BMILMS!$E$17*AM815^2+BMILMS!$F$17*AM815+BMILMS!$G$17,BMILMS!$D$18*AM815^3+BMILMS!$E$18*AM815^2+BMILMS!$F$18*AM815+BMILMS!$G$18)))</f>
        <v>8.8969350000000003E-2</v>
      </c>
      <c r="AM815" s="4">
        <f t="shared" si="272"/>
        <v>0</v>
      </c>
      <c r="AO815" s="56">
        <f>IF(D815="M",WeightSDS!P$5*$AM815^7+WeightSDS!Q$5*$AM815^6+WeightSDS!R$5*$AM815^5+WeightSDS!S$5*$AM815^4+WeightSDS!T$5*$AM815^3+WeightSDS!U$5*$AM815^2+WeightSDS!V$5*$AM815+WeightSDS!W$5,IF($AM815&lt;186,WeightSDS!P$8*$AM815^7+WeightSDS!Q$8*$AM815^6+WeightSDS!R$8*$AM815^5+WeightSDS!S$8*$AM815^4+WeightSDS!T$8*$AM815^3+WeightSDS!U$8*$AM815^2+WeightSDS!V$8*$AM815+WeightSDS!W$8,WeightSDS!$U$9+WeightSDS!$V$9*($AM815-WeightSDS!$W$9)))</f>
        <v>0.75407122999999998</v>
      </c>
      <c r="AP815" s="4">
        <f>IF(D815="M",IF($AM815&lt;45,WeightSDS!M$23*$AM815^10+WeightSDS!N$23*$AM815^9+WeightSDS!O$23*$AM815^8+WeightSDS!P$23*$AM815^7+WeightSDS!Q$23*$AM815^6+WeightSDS!R$23*$AM815^5+WeightSDS!S$23*$AM815^4+WeightSDS!T$23*$AM815^3+WeightSDS!U$23*$AM815^2+WeightSDS!V$23*$AM815+WeightSDS!W$23,IF($AM815&lt;153,WeightSDS!M$25*$AM815^10+WeightSDS!N$25*$AM815^9+WeightSDS!O$25*$AM815^8+WeightSDS!P$25*$AM815^7+WeightSDS!Q$25*$AM815^6+WeightSDS!R$25*$AM815^5+WeightSDS!S$25*$AM815^4+WeightSDS!T$25*$AM815^3+WeightSDS!U$25*$AM815^2+WeightSDS!V$25*$AM815+WeightSDS!W$25,WeightSDS!M$27+WeightSDS!N$27/(1+EXP(WeightSDS!O$27+WeightSDS!P$27*$AM815)))),IF($AM815&lt;43.8,WeightSDS!M$29*$AM815^10+WeightSDS!N$29*$AM815^9+WeightSDS!O$29*$AM815^8+WeightSDS!P$29*$AM815^7+WeightSDS!Q$29*$AM815^6+WeightSDS!R$29*$AM815^5+WeightSDS!S$29*$AM815^4+WeightSDS!T$29*$AM815^3+WeightSDS!U$29*$AM815^2+WeightSDS!V$29*$AM815+WeightSDS!W$29-0.010431*(1-$AM815/210),IF($AM815&lt;123,WeightSDS!M$30*$AM815^10+WeightSDS!N$30*$AM815^9+WeightSDS!O$30*$AM815^8+WeightSDS!P$30*$AM815^7+WeightSDS!Q$30*$AM815^6+WeightSDS!R$30*$AM815^5+WeightSDS!S$30*$AM815^4+WeightSDS!T$30*$AM815^3+WeightSDS!U$30*$AM815^2+WeightSDS!V$30*$AM815+WeightSDS!W$30-0.010431*(1-1/$AM815),WeightSDS!M$32+WeightSDS!N$32/(1+EXP(WeightSDS!O$32+WeightSDS!P$32*$AM815))-0.010431*(1-$AM815/210))))</f>
        <v>2.9500001032655536</v>
      </c>
      <c r="AQ815" s="4">
        <f>IF(D815="M",IF($AM815&lt;162,WeightSDS!P$12*$AM815^7+WeightSDS!Q$12*$AM815^6+WeightSDS!R$12*$AM815^5+WeightSDS!S$12*$AM815^4+WeightSDS!T$12*$AM815^3+WeightSDS!U$12*$AM815^2+WeightSDS!V$12*$AM815+WeightSDS!W$12,WeightSDS!P$14*$AM815^7+WeightSDS!Q$14*$AM815^6+WeightSDS!R$14*$AM815^5+WeightSDS!S$14*$AM815^4+WeightSDS!T$14*$AM815^3+WeightSDS!U$14*$AM815^2+WeightSDS!V$14*$AM815+WeightSDS!W$14),IF($AM815&lt;156,WeightSDS!O$17*$AM815^8+WeightSDS!P$17*$AM815^7+WeightSDS!Q$17*$AM815^6+WeightSDS!R$17*$AM815^5+WeightSDS!S$17*$AM815^4+WeightSDS!T$17*$AM815^3+WeightSDS!U$17*$AM815^2+WeightSDS!V$17*$AM815+WeightSDS!W$17,IF($AM815&lt;186,WeightSDS!$U$18+(WeightSDS!$V$18-WeightSDS!$U$18)/24*($AM815-186)+WeightSDS!$W$18*(-$AM815+186)^2-0.005,WeightSDS!$U$18+(WeightSDS!$V$18-WeightSDS!$U$18)/24*($AM815-186)-0.005)))</f>
        <v>0.14604529399999999</v>
      </c>
      <c r="AT815" s="4">
        <f t="shared" si="259"/>
        <v>0.56299999999999994</v>
      </c>
      <c r="AU815" s="4">
        <f t="shared" si="260"/>
        <v>69</v>
      </c>
      <c r="AV815" s="4">
        <f t="shared" si="261"/>
        <v>0.51</v>
      </c>
    </row>
    <row r="816" spans="1:48" x14ac:dyDescent="0.15">
      <c r="A816" s="4"/>
      <c r="B816" s="21"/>
      <c r="C816" s="21"/>
      <c r="D816" s="21"/>
      <c r="E816" s="22"/>
      <c r="F816" s="22"/>
      <c r="G816" s="23"/>
      <c r="H816" s="23"/>
      <c r="I816" s="181"/>
      <c r="J816" s="8" t="str">
        <f t="shared" si="253"/>
        <v/>
      </c>
      <c r="K816" s="2" t="str">
        <f t="shared" si="262"/>
        <v/>
      </c>
      <c r="L816" s="2" t="str">
        <f t="shared" si="254"/>
        <v/>
      </c>
      <c r="M816" s="2" t="str">
        <f t="shared" si="263"/>
        <v/>
      </c>
      <c r="N816" s="2" t="str">
        <f t="shared" si="271"/>
        <v/>
      </c>
      <c r="O816" s="2" t="str">
        <f t="shared" si="264"/>
        <v/>
      </c>
      <c r="P816" s="8" t="str">
        <f t="shared" si="265"/>
        <v/>
      </c>
      <c r="Q816" s="8" t="str">
        <f t="shared" si="266"/>
        <v/>
      </c>
      <c r="R816" s="111" t="str">
        <f t="shared" si="267"/>
        <v/>
      </c>
      <c r="S816" s="44" t="str">
        <f t="shared" si="268"/>
        <v/>
      </c>
      <c r="T816" s="37" t="str">
        <f t="shared" si="269"/>
        <v/>
      </c>
      <c r="U816" s="44" t="str">
        <f t="shared" si="270"/>
        <v/>
      </c>
      <c r="V816" s="26"/>
      <c r="W816" s="26"/>
      <c r="X816" s="26"/>
      <c r="Y816" s="26"/>
      <c r="Z816" s="24"/>
      <c r="AA816" s="169">
        <f t="shared" si="255"/>
        <v>0</v>
      </c>
      <c r="AB816" s="4">
        <f t="shared" si="256"/>
        <v>0</v>
      </c>
      <c r="AC816" s="170">
        <f t="shared" si="273"/>
        <v>0</v>
      </c>
      <c r="AD816" s="58"/>
      <c r="AE816" s="58"/>
      <c r="AF816" s="58"/>
      <c r="AG816" s="59">
        <f t="shared" si="257"/>
        <v>9.0359999999999996</v>
      </c>
      <c r="AH816" s="59">
        <f t="shared" si="258"/>
        <v>-184.49199999999999</v>
      </c>
      <c r="AJ816" s="4">
        <f>IF(D816="M",IF(AM816&lt;78,BMILMS!$D$5*AM816^3+BMILMS!$E$5*AM816^2+BMILMS!$F$5*AM816+BMILMS!$G$5,IF(AM816&lt;150,BMILMS!$D$6*AM816^3+BMILMS!$E$6*AM816^2+BMILMS!$F$6*AM816+BMILMS!$G$6,BMILMS!$D$7*AM816^3+BMILMS!$E$7*AM816^2+BMILMS!$F$7*AM816+BMILMS!$G$7)),IF(AM816&lt;69,BMILMS!$D$9*AM816^3+BMILMS!$E$9*AM816^2+BMILMS!$F$9*AM816+BMILMS!$G$9,IF(AM816&lt;150,BMILMS!$D$10*AM816^3+BMILMS!$E$10*AM816^2+BMILMS!$F$10*AM816+BMILMS!$G$10,BMILMS!$D$11*AM816^3+BMILMS!$E$11*AM816^2+BMILMS!$F$11*AM816+BMILMS!$G$11)))</f>
        <v>0.79584630099999998</v>
      </c>
      <c r="AK816" s="4">
        <f>IF(D816="M",(IF(AM816&lt;2.5,BMILMS!$D$21*AM816^3+BMILMS!$E$21*AM816^2+BMILMS!$F$21*AM816+BMILMS!$G$21,IF(AM816&lt;9.5,BMILMS!$D$22*AM816^3+BMILMS!$E$22*AM816^2+BMILMS!$F$22*AM816+BMILMS!$G$22,IF(AM816&lt;26.75,BMILMS!$D$23*AM816^3+BMILMS!$E$23*AM816^2+BMILMS!$F$23*AM816+BMILMS!$G$23,IF(AM816&lt;90,BMILMS!$D$24*AM816^3+BMILMS!$E$24*AM816^2+BMILMS!$F$24*AM816+BMILMS!$G$24,BMILMS!$D$25*AM816^3+BMILMS!$E$25*AM816^2+BMILMS!$F$25*AM816+BMILMS!$G$25))))),(IF(AM816&lt;2.5,BMILMS!$D$27*AM816^3+BMILMS!$E$27*AM816^2+BMILMS!$F$27*AM816+BMILMS!$G$27,IF(AM816&lt;9.5,BMILMS!$D$28*AM816^3+BMILMS!$E$28*AM816^2+BMILMS!$F$28*AM816+BMILMS!$G$28,IF(AM816&lt;26.75,BMILMS!$D$29*AM816^3+BMILMS!$E$29*AM816^2+BMILMS!$F$29*AM816+BMILMS!$G$29,IF(AM816&lt;90,BMILMS!$D$30*AM816^3+BMILMS!$E$30*AM816^2+BMILMS!$F$30*AM816+BMILMS!$G$30,IF(AM816&lt;150,BMILMS!$D$31*AM816^3+BMILMS!$E$31*AM816^2+BMILMS!$F$31*AM816+BMILMS!$G$31,BMILMS!$D$32*AM816^3+BMILMS!$E$32*AM816^2+BMILMS!$F$32*AM816+BMILMS!$G$32)))))))</f>
        <v>12.568967990000001</v>
      </c>
      <c r="AL816" s="4">
        <f>IF(D816="M",(IF(AM816&lt;90,BMILMS!$D$14*AM816^3+BMILMS!$E$14*AM816^2+BMILMS!$F$14*AM816+BMILMS!$G$14,BMILMS!$D$15*AM816^3+BMILMS!$E$15*AM816^2+BMILMS!$F$15*AM816+BMILMS!$G$15)),(IF(AM816&lt;90,BMILMS!$D$17*AM816^3+BMILMS!$E$17*AM816^2+BMILMS!$F$17*AM816+BMILMS!$G$17,BMILMS!$D$18*AM816^3+BMILMS!$E$18*AM816^2+BMILMS!$F$18*AM816+BMILMS!$G$18)))</f>
        <v>8.8969350000000003E-2</v>
      </c>
      <c r="AM816" s="4">
        <f t="shared" si="272"/>
        <v>0</v>
      </c>
      <c r="AO816" s="56">
        <f>IF(D816="M",WeightSDS!P$5*$AM816^7+WeightSDS!Q$5*$AM816^6+WeightSDS!R$5*$AM816^5+WeightSDS!S$5*$AM816^4+WeightSDS!T$5*$AM816^3+WeightSDS!U$5*$AM816^2+WeightSDS!V$5*$AM816+WeightSDS!W$5,IF($AM816&lt;186,WeightSDS!P$8*$AM816^7+WeightSDS!Q$8*$AM816^6+WeightSDS!R$8*$AM816^5+WeightSDS!S$8*$AM816^4+WeightSDS!T$8*$AM816^3+WeightSDS!U$8*$AM816^2+WeightSDS!V$8*$AM816+WeightSDS!W$8,WeightSDS!$U$9+WeightSDS!$V$9*($AM816-WeightSDS!$W$9)))</f>
        <v>0.75407122999999998</v>
      </c>
      <c r="AP816" s="4">
        <f>IF(D816="M",IF($AM816&lt;45,WeightSDS!M$23*$AM816^10+WeightSDS!N$23*$AM816^9+WeightSDS!O$23*$AM816^8+WeightSDS!P$23*$AM816^7+WeightSDS!Q$23*$AM816^6+WeightSDS!R$23*$AM816^5+WeightSDS!S$23*$AM816^4+WeightSDS!T$23*$AM816^3+WeightSDS!U$23*$AM816^2+WeightSDS!V$23*$AM816+WeightSDS!W$23,IF($AM816&lt;153,WeightSDS!M$25*$AM816^10+WeightSDS!N$25*$AM816^9+WeightSDS!O$25*$AM816^8+WeightSDS!P$25*$AM816^7+WeightSDS!Q$25*$AM816^6+WeightSDS!R$25*$AM816^5+WeightSDS!S$25*$AM816^4+WeightSDS!T$25*$AM816^3+WeightSDS!U$25*$AM816^2+WeightSDS!V$25*$AM816+WeightSDS!W$25,WeightSDS!M$27+WeightSDS!N$27/(1+EXP(WeightSDS!O$27+WeightSDS!P$27*$AM816)))),IF($AM816&lt;43.8,WeightSDS!M$29*$AM816^10+WeightSDS!N$29*$AM816^9+WeightSDS!O$29*$AM816^8+WeightSDS!P$29*$AM816^7+WeightSDS!Q$29*$AM816^6+WeightSDS!R$29*$AM816^5+WeightSDS!S$29*$AM816^4+WeightSDS!T$29*$AM816^3+WeightSDS!U$29*$AM816^2+WeightSDS!V$29*$AM816+WeightSDS!W$29-0.010431*(1-$AM816/210),IF($AM816&lt;123,WeightSDS!M$30*$AM816^10+WeightSDS!N$30*$AM816^9+WeightSDS!O$30*$AM816^8+WeightSDS!P$30*$AM816^7+WeightSDS!Q$30*$AM816^6+WeightSDS!R$30*$AM816^5+WeightSDS!S$30*$AM816^4+WeightSDS!T$30*$AM816^3+WeightSDS!U$30*$AM816^2+WeightSDS!V$30*$AM816+WeightSDS!W$30-0.010431*(1-1/$AM816),WeightSDS!M$32+WeightSDS!N$32/(1+EXP(WeightSDS!O$32+WeightSDS!P$32*$AM816))-0.010431*(1-$AM816/210))))</f>
        <v>2.9500001032655536</v>
      </c>
      <c r="AQ816" s="4">
        <f>IF(D816="M",IF($AM816&lt;162,WeightSDS!P$12*$AM816^7+WeightSDS!Q$12*$AM816^6+WeightSDS!R$12*$AM816^5+WeightSDS!S$12*$AM816^4+WeightSDS!T$12*$AM816^3+WeightSDS!U$12*$AM816^2+WeightSDS!V$12*$AM816+WeightSDS!W$12,WeightSDS!P$14*$AM816^7+WeightSDS!Q$14*$AM816^6+WeightSDS!R$14*$AM816^5+WeightSDS!S$14*$AM816^4+WeightSDS!T$14*$AM816^3+WeightSDS!U$14*$AM816^2+WeightSDS!V$14*$AM816+WeightSDS!W$14),IF($AM816&lt;156,WeightSDS!O$17*$AM816^8+WeightSDS!P$17*$AM816^7+WeightSDS!Q$17*$AM816^6+WeightSDS!R$17*$AM816^5+WeightSDS!S$17*$AM816^4+WeightSDS!T$17*$AM816^3+WeightSDS!U$17*$AM816^2+WeightSDS!V$17*$AM816+WeightSDS!W$17,IF($AM816&lt;186,WeightSDS!$U$18+(WeightSDS!$V$18-WeightSDS!$U$18)/24*($AM816-186)+WeightSDS!$W$18*(-$AM816+186)^2-0.005,WeightSDS!$U$18+(WeightSDS!$V$18-WeightSDS!$U$18)/24*($AM816-186)-0.005)))</f>
        <v>0.14604529399999999</v>
      </c>
      <c r="AT816" s="4">
        <f t="shared" si="259"/>
        <v>0.56299999999999994</v>
      </c>
      <c r="AU816" s="4">
        <f t="shared" si="260"/>
        <v>69</v>
      </c>
      <c r="AV816" s="4">
        <f t="shared" si="261"/>
        <v>0.51</v>
      </c>
    </row>
    <row r="817" spans="1:48" x14ac:dyDescent="0.15">
      <c r="A817" s="4"/>
      <c r="B817" s="21"/>
      <c r="C817" s="21"/>
      <c r="D817" s="21"/>
      <c r="E817" s="22"/>
      <c r="F817" s="22"/>
      <c r="G817" s="23"/>
      <c r="H817" s="23"/>
      <c r="I817" s="181"/>
      <c r="J817" s="8" t="str">
        <f t="shared" si="253"/>
        <v/>
      </c>
      <c r="K817" s="2" t="str">
        <f t="shared" si="262"/>
        <v/>
      </c>
      <c r="L817" s="2" t="str">
        <f t="shared" si="254"/>
        <v/>
      </c>
      <c r="M817" s="2" t="str">
        <f t="shared" si="263"/>
        <v/>
      </c>
      <c r="N817" s="2" t="str">
        <f t="shared" si="271"/>
        <v/>
      </c>
      <c r="O817" s="2" t="str">
        <f t="shared" si="264"/>
        <v/>
      </c>
      <c r="P817" s="8" t="str">
        <f t="shared" si="265"/>
        <v/>
      </c>
      <c r="Q817" s="8" t="str">
        <f t="shared" si="266"/>
        <v/>
      </c>
      <c r="R817" s="111" t="str">
        <f t="shared" si="267"/>
        <v/>
      </c>
      <c r="S817" s="44" t="str">
        <f t="shared" si="268"/>
        <v/>
      </c>
      <c r="T817" s="37" t="str">
        <f t="shared" si="269"/>
        <v/>
      </c>
      <c r="U817" s="44" t="str">
        <f t="shared" si="270"/>
        <v/>
      </c>
      <c r="V817" s="26"/>
      <c r="W817" s="26"/>
      <c r="X817" s="26"/>
      <c r="Y817" s="26"/>
      <c r="Z817" s="24"/>
      <c r="AA817" s="169">
        <f t="shared" si="255"/>
        <v>0</v>
      </c>
      <c r="AB817" s="4">
        <f t="shared" si="256"/>
        <v>0</v>
      </c>
      <c r="AC817" s="170">
        <f t="shared" si="273"/>
        <v>0</v>
      </c>
      <c r="AD817" s="58"/>
      <c r="AE817" s="58"/>
      <c r="AF817" s="58"/>
      <c r="AG817" s="59">
        <f t="shared" si="257"/>
        <v>9.0359999999999996</v>
      </c>
      <c r="AH817" s="59">
        <f t="shared" si="258"/>
        <v>-184.49199999999999</v>
      </c>
      <c r="AJ817" s="4">
        <f>IF(D817="M",IF(AM817&lt;78,BMILMS!$D$5*AM817^3+BMILMS!$E$5*AM817^2+BMILMS!$F$5*AM817+BMILMS!$G$5,IF(AM817&lt;150,BMILMS!$D$6*AM817^3+BMILMS!$E$6*AM817^2+BMILMS!$F$6*AM817+BMILMS!$G$6,BMILMS!$D$7*AM817^3+BMILMS!$E$7*AM817^2+BMILMS!$F$7*AM817+BMILMS!$G$7)),IF(AM817&lt;69,BMILMS!$D$9*AM817^3+BMILMS!$E$9*AM817^2+BMILMS!$F$9*AM817+BMILMS!$G$9,IF(AM817&lt;150,BMILMS!$D$10*AM817^3+BMILMS!$E$10*AM817^2+BMILMS!$F$10*AM817+BMILMS!$G$10,BMILMS!$D$11*AM817^3+BMILMS!$E$11*AM817^2+BMILMS!$F$11*AM817+BMILMS!$G$11)))</f>
        <v>0.79584630099999998</v>
      </c>
      <c r="AK817" s="4">
        <f>IF(D817="M",(IF(AM817&lt;2.5,BMILMS!$D$21*AM817^3+BMILMS!$E$21*AM817^2+BMILMS!$F$21*AM817+BMILMS!$G$21,IF(AM817&lt;9.5,BMILMS!$D$22*AM817^3+BMILMS!$E$22*AM817^2+BMILMS!$F$22*AM817+BMILMS!$G$22,IF(AM817&lt;26.75,BMILMS!$D$23*AM817^3+BMILMS!$E$23*AM817^2+BMILMS!$F$23*AM817+BMILMS!$G$23,IF(AM817&lt;90,BMILMS!$D$24*AM817^3+BMILMS!$E$24*AM817^2+BMILMS!$F$24*AM817+BMILMS!$G$24,BMILMS!$D$25*AM817^3+BMILMS!$E$25*AM817^2+BMILMS!$F$25*AM817+BMILMS!$G$25))))),(IF(AM817&lt;2.5,BMILMS!$D$27*AM817^3+BMILMS!$E$27*AM817^2+BMILMS!$F$27*AM817+BMILMS!$G$27,IF(AM817&lt;9.5,BMILMS!$D$28*AM817^3+BMILMS!$E$28*AM817^2+BMILMS!$F$28*AM817+BMILMS!$G$28,IF(AM817&lt;26.75,BMILMS!$D$29*AM817^3+BMILMS!$E$29*AM817^2+BMILMS!$F$29*AM817+BMILMS!$G$29,IF(AM817&lt;90,BMILMS!$D$30*AM817^3+BMILMS!$E$30*AM817^2+BMILMS!$F$30*AM817+BMILMS!$G$30,IF(AM817&lt;150,BMILMS!$D$31*AM817^3+BMILMS!$E$31*AM817^2+BMILMS!$F$31*AM817+BMILMS!$G$31,BMILMS!$D$32*AM817^3+BMILMS!$E$32*AM817^2+BMILMS!$F$32*AM817+BMILMS!$G$32)))))))</f>
        <v>12.568967990000001</v>
      </c>
      <c r="AL817" s="4">
        <f>IF(D817="M",(IF(AM817&lt;90,BMILMS!$D$14*AM817^3+BMILMS!$E$14*AM817^2+BMILMS!$F$14*AM817+BMILMS!$G$14,BMILMS!$D$15*AM817^3+BMILMS!$E$15*AM817^2+BMILMS!$F$15*AM817+BMILMS!$G$15)),(IF(AM817&lt;90,BMILMS!$D$17*AM817^3+BMILMS!$E$17*AM817^2+BMILMS!$F$17*AM817+BMILMS!$G$17,BMILMS!$D$18*AM817^3+BMILMS!$E$18*AM817^2+BMILMS!$F$18*AM817+BMILMS!$G$18)))</f>
        <v>8.8969350000000003E-2</v>
      </c>
      <c r="AM817" s="4">
        <f t="shared" si="272"/>
        <v>0</v>
      </c>
      <c r="AO817" s="56">
        <f>IF(D817="M",WeightSDS!P$5*$AM817^7+WeightSDS!Q$5*$AM817^6+WeightSDS!R$5*$AM817^5+WeightSDS!S$5*$AM817^4+WeightSDS!T$5*$AM817^3+WeightSDS!U$5*$AM817^2+WeightSDS!V$5*$AM817+WeightSDS!W$5,IF($AM817&lt;186,WeightSDS!P$8*$AM817^7+WeightSDS!Q$8*$AM817^6+WeightSDS!R$8*$AM817^5+WeightSDS!S$8*$AM817^4+WeightSDS!T$8*$AM817^3+WeightSDS!U$8*$AM817^2+WeightSDS!V$8*$AM817+WeightSDS!W$8,WeightSDS!$U$9+WeightSDS!$V$9*($AM817-WeightSDS!$W$9)))</f>
        <v>0.75407122999999998</v>
      </c>
      <c r="AP817" s="4">
        <f>IF(D817="M",IF($AM817&lt;45,WeightSDS!M$23*$AM817^10+WeightSDS!N$23*$AM817^9+WeightSDS!O$23*$AM817^8+WeightSDS!P$23*$AM817^7+WeightSDS!Q$23*$AM817^6+WeightSDS!R$23*$AM817^5+WeightSDS!S$23*$AM817^4+WeightSDS!T$23*$AM817^3+WeightSDS!U$23*$AM817^2+WeightSDS!V$23*$AM817+WeightSDS!W$23,IF($AM817&lt;153,WeightSDS!M$25*$AM817^10+WeightSDS!N$25*$AM817^9+WeightSDS!O$25*$AM817^8+WeightSDS!P$25*$AM817^7+WeightSDS!Q$25*$AM817^6+WeightSDS!R$25*$AM817^5+WeightSDS!S$25*$AM817^4+WeightSDS!T$25*$AM817^3+WeightSDS!U$25*$AM817^2+WeightSDS!V$25*$AM817+WeightSDS!W$25,WeightSDS!M$27+WeightSDS!N$27/(1+EXP(WeightSDS!O$27+WeightSDS!P$27*$AM817)))),IF($AM817&lt;43.8,WeightSDS!M$29*$AM817^10+WeightSDS!N$29*$AM817^9+WeightSDS!O$29*$AM817^8+WeightSDS!P$29*$AM817^7+WeightSDS!Q$29*$AM817^6+WeightSDS!R$29*$AM817^5+WeightSDS!S$29*$AM817^4+WeightSDS!T$29*$AM817^3+WeightSDS!U$29*$AM817^2+WeightSDS!V$29*$AM817+WeightSDS!W$29-0.010431*(1-$AM817/210),IF($AM817&lt;123,WeightSDS!M$30*$AM817^10+WeightSDS!N$30*$AM817^9+WeightSDS!O$30*$AM817^8+WeightSDS!P$30*$AM817^7+WeightSDS!Q$30*$AM817^6+WeightSDS!R$30*$AM817^5+WeightSDS!S$30*$AM817^4+WeightSDS!T$30*$AM817^3+WeightSDS!U$30*$AM817^2+WeightSDS!V$30*$AM817+WeightSDS!W$30-0.010431*(1-1/$AM817),WeightSDS!M$32+WeightSDS!N$32/(1+EXP(WeightSDS!O$32+WeightSDS!P$32*$AM817))-0.010431*(1-$AM817/210))))</f>
        <v>2.9500001032655536</v>
      </c>
      <c r="AQ817" s="4">
        <f>IF(D817="M",IF($AM817&lt;162,WeightSDS!P$12*$AM817^7+WeightSDS!Q$12*$AM817^6+WeightSDS!R$12*$AM817^5+WeightSDS!S$12*$AM817^4+WeightSDS!T$12*$AM817^3+WeightSDS!U$12*$AM817^2+WeightSDS!V$12*$AM817+WeightSDS!W$12,WeightSDS!P$14*$AM817^7+WeightSDS!Q$14*$AM817^6+WeightSDS!R$14*$AM817^5+WeightSDS!S$14*$AM817^4+WeightSDS!T$14*$AM817^3+WeightSDS!U$14*$AM817^2+WeightSDS!V$14*$AM817+WeightSDS!W$14),IF($AM817&lt;156,WeightSDS!O$17*$AM817^8+WeightSDS!P$17*$AM817^7+WeightSDS!Q$17*$AM817^6+WeightSDS!R$17*$AM817^5+WeightSDS!S$17*$AM817^4+WeightSDS!T$17*$AM817^3+WeightSDS!U$17*$AM817^2+WeightSDS!V$17*$AM817+WeightSDS!W$17,IF($AM817&lt;186,WeightSDS!$U$18+(WeightSDS!$V$18-WeightSDS!$U$18)/24*($AM817-186)+WeightSDS!$W$18*(-$AM817+186)^2-0.005,WeightSDS!$U$18+(WeightSDS!$V$18-WeightSDS!$U$18)/24*($AM817-186)-0.005)))</f>
        <v>0.14604529399999999</v>
      </c>
      <c r="AT817" s="4">
        <f t="shared" si="259"/>
        <v>0.56299999999999994</v>
      </c>
      <c r="AU817" s="4">
        <f t="shared" si="260"/>
        <v>69</v>
      </c>
      <c r="AV817" s="4">
        <f t="shared" si="261"/>
        <v>0.51</v>
      </c>
    </row>
    <row r="818" spans="1:48" x14ac:dyDescent="0.15">
      <c r="A818" s="4"/>
      <c r="B818" s="21"/>
      <c r="C818" s="21"/>
      <c r="D818" s="21"/>
      <c r="E818" s="22"/>
      <c r="F818" s="22"/>
      <c r="G818" s="23"/>
      <c r="H818" s="23"/>
      <c r="I818" s="181"/>
      <c r="J818" s="8" t="str">
        <f t="shared" si="253"/>
        <v/>
      </c>
      <c r="K818" s="2" t="str">
        <f t="shared" si="262"/>
        <v/>
      </c>
      <c r="L818" s="2" t="str">
        <f t="shared" si="254"/>
        <v/>
      </c>
      <c r="M818" s="2" t="str">
        <f t="shared" si="263"/>
        <v/>
      </c>
      <c r="N818" s="2" t="str">
        <f t="shared" si="271"/>
        <v/>
      </c>
      <c r="O818" s="2" t="str">
        <f t="shared" si="264"/>
        <v/>
      </c>
      <c r="P818" s="8" t="str">
        <f t="shared" si="265"/>
        <v/>
      </c>
      <c r="Q818" s="8" t="str">
        <f t="shared" si="266"/>
        <v/>
      </c>
      <c r="R818" s="111" t="str">
        <f t="shared" si="267"/>
        <v/>
      </c>
      <c r="S818" s="44" t="str">
        <f t="shared" si="268"/>
        <v/>
      </c>
      <c r="T818" s="37" t="str">
        <f t="shared" si="269"/>
        <v/>
      </c>
      <c r="U818" s="44" t="str">
        <f t="shared" si="270"/>
        <v/>
      </c>
      <c r="V818" s="26"/>
      <c r="W818" s="26"/>
      <c r="X818" s="26"/>
      <c r="Y818" s="26"/>
      <c r="Z818" s="24"/>
      <c r="AA818" s="169">
        <f t="shared" si="255"/>
        <v>0</v>
      </c>
      <c r="AB818" s="4">
        <f t="shared" si="256"/>
        <v>0</v>
      </c>
      <c r="AC818" s="170">
        <f t="shared" si="273"/>
        <v>0</v>
      </c>
      <c r="AD818" s="58"/>
      <c r="AE818" s="58"/>
      <c r="AF818" s="58"/>
      <c r="AG818" s="59">
        <f t="shared" si="257"/>
        <v>9.0359999999999996</v>
      </c>
      <c r="AH818" s="59">
        <f t="shared" si="258"/>
        <v>-184.49199999999999</v>
      </c>
      <c r="AJ818" s="4">
        <f>IF(D818="M",IF(AM818&lt;78,BMILMS!$D$5*AM818^3+BMILMS!$E$5*AM818^2+BMILMS!$F$5*AM818+BMILMS!$G$5,IF(AM818&lt;150,BMILMS!$D$6*AM818^3+BMILMS!$E$6*AM818^2+BMILMS!$F$6*AM818+BMILMS!$G$6,BMILMS!$D$7*AM818^3+BMILMS!$E$7*AM818^2+BMILMS!$F$7*AM818+BMILMS!$G$7)),IF(AM818&lt;69,BMILMS!$D$9*AM818^3+BMILMS!$E$9*AM818^2+BMILMS!$F$9*AM818+BMILMS!$G$9,IF(AM818&lt;150,BMILMS!$D$10*AM818^3+BMILMS!$E$10*AM818^2+BMILMS!$F$10*AM818+BMILMS!$G$10,BMILMS!$D$11*AM818^3+BMILMS!$E$11*AM818^2+BMILMS!$F$11*AM818+BMILMS!$G$11)))</f>
        <v>0.79584630099999998</v>
      </c>
      <c r="AK818" s="4">
        <f>IF(D818="M",(IF(AM818&lt;2.5,BMILMS!$D$21*AM818^3+BMILMS!$E$21*AM818^2+BMILMS!$F$21*AM818+BMILMS!$G$21,IF(AM818&lt;9.5,BMILMS!$D$22*AM818^3+BMILMS!$E$22*AM818^2+BMILMS!$F$22*AM818+BMILMS!$G$22,IF(AM818&lt;26.75,BMILMS!$D$23*AM818^3+BMILMS!$E$23*AM818^2+BMILMS!$F$23*AM818+BMILMS!$G$23,IF(AM818&lt;90,BMILMS!$D$24*AM818^3+BMILMS!$E$24*AM818^2+BMILMS!$F$24*AM818+BMILMS!$G$24,BMILMS!$D$25*AM818^3+BMILMS!$E$25*AM818^2+BMILMS!$F$25*AM818+BMILMS!$G$25))))),(IF(AM818&lt;2.5,BMILMS!$D$27*AM818^3+BMILMS!$E$27*AM818^2+BMILMS!$F$27*AM818+BMILMS!$G$27,IF(AM818&lt;9.5,BMILMS!$D$28*AM818^3+BMILMS!$E$28*AM818^2+BMILMS!$F$28*AM818+BMILMS!$G$28,IF(AM818&lt;26.75,BMILMS!$D$29*AM818^3+BMILMS!$E$29*AM818^2+BMILMS!$F$29*AM818+BMILMS!$G$29,IF(AM818&lt;90,BMILMS!$D$30*AM818^3+BMILMS!$E$30*AM818^2+BMILMS!$F$30*AM818+BMILMS!$G$30,IF(AM818&lt;150,BMILMS!$D$31*AM818^3+BMILMS!$E$31*AM818^2+BMILMS!$F$31*AM818+BMILMS!$G$31,BMILMS!$D$32*AM818^3+BMILMS!$E$32*AM818^2+BMILMS!$F$32*AM818+BMILMS!$G$32)))))))</f>
        <v>12.568967990000001</v>
      </c>
      <c r="AL818" s="4">
        <f>IF(D818="M",(IF(AM818&lt;90,BMILMS!$D$14*AM818^3+BMILMS!$E$14*AM818^2+BMILMS!$F$14*AM818+BMILMS!$G$14,BMILMS!$D$15*AM818^3+BMILMS!$E$15*AM818^2+BMILMS!$F$15*AM818+BMILMS!$G$15)),(IF(AM818&lt;90,BMILMS!$D$17*AM818^3+BMILMS!$E$17*AM818^2+BMILMS!$F$17*AM818+BMILMS!$G$17,BMILMS!$D$18*AM818^3+BMILMS!$E$18*AM818^2+BMILMS!$F$18*AM818+BMILMS!$G$18)))</f>
        <v>8.8969350000000003E-2</v>
      </c>
      <c r="AM818" s="4">
        <f t="shared" si="272"/>
        <v>0</v>
      </c>
      <c r="AO818" s="56">
        <f>IF(D818="M",WeightSDS!P$5*$AM818^7+WeightSDS!Q$5*$AM818^6+WeightSDS!R$5*$AM818^5+WeightSDS!S$5*$AM818^4+WeightSDS!T$5*$AM818^3+WeightSDS!U$5*$AM818^2+WeightSDS!V$5*$AM818+WeightSDS!W$5,IF($AM818&lt;186,WeightSDS!P$8*$AM818^7+WeightSDS!Q$8*$AM818^6+WeightSDS!R$8*$AM818^5+WeightSDS!S$8*$AM818^4+WeightSDS!T$8*$AM818^3+WeightSDS!U$8*$AM818^2+WeightSDS!V$8*$AM818+WeightSDS!W$8,WeightSDS!$U$9+WeightSDS!$V$9*($AM818-WeightSDS!$W$9)))</f>
        <v>0.75407122999999998</v>
      </c>
      <c r="AP818" s="4">
        <f>IF(D818="M",IF($AM818&lt;45,WeightSDS!M$23*$AM818^10+WeightSDS!N$23*$AM818^9+WeightSDS!O$23*$AM818^8+WeightSDS!P$23*$AM818^7+WeightSDS!Q$23*$AM818^6+WeightSDS!R$23*$AM818^5+WeightSDS!S$23*$AM818^4+WeightSDS!T$23*$AM818^3+WeightSDS!U$23*$AM818^2+WeightSDS!V$23*$AM818+WeightSDS!W$23,IF($AM818&lt;153,WeightSDS!M$25*$AM818^10+WeightSDS!N$25*$AM818^9+WeightSDS!O$25*$AM818^8+WeightSDS!P$25*$AM818^7+WeightSDS!Q$25*$AM818^6+WeightSDS!R$25*$AM818^5+WeightSDS!S$25*$AM818^4+WeightSDS!T$25*$AM818^3+WeightSDS!U$25*$AM818^2+WeightSDS!V$25*$AM818+WeightSDS!W$25,WeightSDS!M$27+WeightSDS!N$27/(1+EXP(WeightSDS!O$27+WeightSDS!P$27*$AM818)))),IF($AM818&lt;43.8,WeightSDS!M$29*$AM818^10+WeightSDS!N$29*$AM818^9+WeightSDS!O$29*$AM818^8+WeightSDS!P$29*$AM818^7+WeightSDS!Q$29*$AM818^6+WeightSDS!R$29*$AM818^5+WeightSDS!S$29*$AM818^4+WeightSDS!T$29*$AM818^3+WeightSDS!U$29*$AM818^2+WeightSDS!V$29*$AM818+WeightSDS!W$29-0.010431*(1-$AM818/210),IF($AM818&lt;123,WeightSDS!M$30*$AM818^10+WeightSDS!N$30*$AM818^9+WeightSDS!O$30*$AM818^8+WeightSDS!P$30*$AM818^7+WeightSDS!Q$30*$AM818^6+WeightSDS!R$30*$AM818^5+WeightSDS!S$30*$AM818^4+WeightSDS!T$30*$AM818^3+WeightSDS!U$30*$AM818^2+WeightSDS!V$30*$AM818+WeightSDS!W$30-0.010431*(1-1/$AM818),WeightSDS!M$32+WeightSDS!N$32/(1+EXP(WeightSDS!O$32+WeightSDS!P$32*$AM818))-0.010431*(1-$AM818/210))))</f>
        <v>2.9500001032655536</v>
      </c>
      <c r="AQ818" s="4">
        <f>IF(D818="M",IF($AM818&lt;162,WeightSDS!P$12*$AM818^7+WeightSDS!Q$12*$AM818^6+WeightSDS!R$12*$AM818^5+WeightSDS!S$12*$AM818^4+WeightSDS!T$12*$AM818^3+WeightSDS!U$12*$AM818^2+WeightSDS!V$12*$AM818+WeightSDS!W$12,WeightSDS!P$14*$AM818^7+WeightSDS!Q$14*$AM818^6+WeightSDS!R$14*$AM818^5+WeightSDS!S$14*$AM818^4+WeightSDS!T$14*$AM818^3+WeightSDS!U$14*$AM818^2+WeightSDS!V$14*$AM818+WeightSDS!W$14),IF($AM818&lt;156,WeightSDS!O$17*$AM818^8+WeightSDS!P$17*$AM818^7+WeightSDS!Q$17*$AM818^6+WeightSDS!R$17*$AM818^5+WeightSDS!S$17*$AM818^4+WeightSDS!T$17*$AM818^3+WeightSDS!U$17*$AM818^2+WeightSDS!V$17*$AM818+WeightSDS!W$17,IF($AM818&lt;186,WeightSDS!$U$18+(WeightSDS!$V$18-WeightSDS!$U$18)/24*($AM818-186)+WeightSDS!$W$18*(-$AM818+186)^2-0.005,WeightSDS!$U$18+(WeightSDS!$V$18-WeightSDS!$U$18)/24*($AM818-186)-0.005)))</f>
        <v>0.14604529399999999</v>
      </c>
      <c r="AT818" s="4">
        <f t="shared" si="259"/>
        <v>0.56299999999999994</v>
      </c>
      <c r="AU818" s="4">
        <f t="shared" si="260"/>
        <v>69</v>
      </c>
      <c r="AV818" s="4">
        <f t="shared" si="261"/>
        <v>0.51</v>
      </c>
    </row>
    <row r="819" spans="1:48" x14ac:dyDescent="0.15">
      <c r="A819" s="4"/>
      <c r="B819" s="21"/>
      <c r="C819" s="21"/>
      <c r="D819" s="21"/>
      <c r="E819" s="22"/>
      <c r="F819" s="22"/>
      <c r="G819" s="23"/>
      <c r="H819" s="23"/>
      <c r="I819" s="181"/>
      <c r="J819" s="8" t="str">
        <f t="shared" si="253"/>
        <v/>
      </c>
      <c r="K819" s="2" t="str">
        <f t="shared" si="262"/>
        <v/>
      </c>
      <c r="L819" s="2" t="str">
        <f t="shared" si="254"/>
        <v/>
      </c>
      <c r="M819" s="2" t="str">
        <f t="shared" si="263"/>
        <v/>
      </c>
      <c r="N819" s="2" t="str">
        <f t="shared" si="271"/>
        <v/>
      </c>
      <c r="O819" s="2" t="str">
        <f t="shared" si="264"/>
        <v/>
      </c>
      <c r="P819" s="8" t="str">
        <f t="shared" si="265"/>
        <v/>
      </c>
      <c r="Q819" s="8" t="str">
        <f t="shared" si="266"/>
        <v/>
      </c>
      <c r="R819" s="111" t="str">
        <f t="shared" si="267"/>
        <v/>
      </c>
      <c r="S819" s="44" t="str">
        <f t="shared" si="268"/>
        <v/>
      </c>
      <c r="T819" s="37" t="str">
        <f t="shared" si="269"/>
        <v/>
      </c>
      <c r="U819" s="44" t="str">
        <f t="shared" si="270"/>
        <v/>
      </c>
      <c r="V819" s="26"/>
      <c r="W819" s="26"/>
      <c r="X819" s="26"/>
      <c r="Y819" s="26"/>
      <c r="Z819" s="24"/>
      <c r="AA819" s="169">
        <f t="shared" si="255"/>
        <v>0</v>
      </c>
      <c r="AB819" s="4">
        <f t="shared" si="256"/>
        <v>0</v>
      </c>
      <c r="AC819" s="170">
        <f t="shared" si="273"/>
        <v>0</v>
      </c>
      <c r="AD819" s="58"/>
      <c r="AE819" s="58"/>
      <c r="AF819" s="58"/>
      <c r="AG819" s="59">
        <f t="shared" si="257"/>
        <v>9.0359999999999996</v>
      </c>
      <c r="AH819" s="59">
        <f t="shared" si="258"/>
        <v>-184.49199999999999</v>
      </c>
      <c r="AJ819" s="4">
        <f>IF(D819="M",IF(AM819&lt;78,BMILMS!$D$5*AM819^3+BMILMS!$E$5*AM819^2+BMILMS!$F$5*AM819+BMILMS!$G$5,IF(AM819&lt;150,BMILMS!$D$6*AM819^3+BMILMS!$E$6*AM819^2+BMILMS!$F$6*AM819+BMILMS!$G$6,BMILMS!$D$7*AM819^3+BMILMS!$E$7*AM819^2+BMILMS!$F$7*AM819+BMILMS!$G$7)),IF(AM819&lt;69,BMILMS!$D$9*AM819^3+BMILMS!$E$9*AM819^2+BMILMS!$F$9*AM819+BMILMS!$G$9,IF(AM819&lt;150,BMILMS!$D$10*AM819^3+BMILMS!$E$10*AM819^2+BMILMS!$F$10*AM819+BMILMS!$G$10,BMILMS!$D$11*AM819^3+BMILMS!$E$11*AM819^2+BMILMS!$F$11*AM819+BMILMS!$G$11)))</f>
        <v>0.79584630099999998</v>
      </c>
      <c r="AK819" s="4">
        <f>IF(D819="M",(IF(AM819&lt;2.5,BMILMS!$D$21*AM819^3+BMILMS!$E$21*AM819^2+BMILMS!$F$21*AM819+BMILMS!$G$21,IF(AM819&lt;9.5,BMILMS!$D$22*AM819^3+BMILMS!$E$22*AM819^2+BMILMS!$F$22*AM819+BMILMS!$G$22,IF(AM819&lt;26.75,BMILMS!$D$23*AM819^3+BMILMS!$E$23*AM819^2+BMILMS!$F$23*AM819+BMILMS!$G$23,IF(AM819&lt;90,BMILMS!$D$24*AM819^3+BMILMS!$E$24*AM819^2+BMILMS!$F$24*AM819+BMILMS!$G$24,BMILMS!$D$25*AM819^3+BMILMS!$E$25*AM819^2+BMILMS!$F$25*AM819+BMILMS!$G$25))))),(IF(AM819&lt;2.5,BMILMS!$D$27*AM819^3+BMILMS!$E$27*AM819^2+BMILMS!$F$27*AM819+BMILMS!$G$27,IF(AM819&lt;9.5,BMILMS!$D$28*AM819^3+BMILMS!$E$28*AM819^2+BMILMS!$F$28*AM819+BMILMS!$G$28,IF(AM819&lt;26.75,BMILMS!$D$29*AM819^3+BMILMS!$E$29*AM819^2+BMILMS!$F$29*AM819+BMILMS!$G$29,IF(AM819&lt;90,BMILMS!$D$30*AM819^3+BMILMS!$E$30*AM819^2+BMILMS!$F$30*AM819+BMILMS!$G$30,IF(AM819&lt;150,BMILMS!$D$31*AM819^3+BMILMS!$E$31*AM819^2+BMILMS!$F$31*AM819+BMILMS!$G$31,BMILMS!$D$32*AM819^3+BMILMS!$E$32*AM819^2+BMILMS!$F$32*AM819+BMILMS!$G$32)))))))</f>
        <v>12.568967990000001</v>
      </c>
      <c r="AL819" s="4">
        <f>IF(D819="M",(IF(AM819&lt;90,BMILMS!$D$14*AM819^3+BMILMS!$E$14*AM819^2+BMILMS!$F$14*AM819+BMILMS!$G$14,BMILMS!$D$15*AM819^3+BMILMS!$E$15*AM819^2+BMILMS!$F$15*AM819+BMILMS!$G$15)),(IF(AM819&lt;90,BMILMS!$D$17*AM819^3+BMILMS!$E$17*AM819^2+BMILMS!$F$17*AM819+BMILMS!$G$17,BMILMS!$D$18*AM819^3+BMILMS!$E$18*AM819^2+BMILMS!$F$18*AM819+BMILMS!$G$18)))</f>
        <v>8.8969350000000003E-2</v>
      </c>
      <c r="AM819" s="4">
        <f t="shared" si="272"/>
        <v>0</v>
      </c>
      <c r="AO819" s="56">
        <f>IF(D819="M",WeightSDS!P$5*$AM819^7+WeightSDS!Q$5*$AM819^6+WeightSDS!R$5*$AM819^5+WeightSDS!S$5*$AM819^4+WeightSDS!T$5*$AM819^3+WeightSDS!U$5*$AM819^2+WeightSDS!V$5*$AM819+WeightSDS!W$5,IF($AM819&lt;186,WeightSDS!P$8*$AM819^7+WeightSDS!Q$8*$AM819^6+WeightSDS!R$8*$AM819^5+WeightSDS!S$8*$AM819^4+WeightSDS!T$8*$AM819^3+WeightSDS!U$8*$AM819^2+WeightSDS!V$8*$AM819+WeightSDS!W$8,WeightSDS!$U$9+WeightSDS!$V$9*($AM819-WeightSDS!$W$9)))</f>
        <v>0.75407122999999998</v>
      </c>
      <c r="AP819" s="4">
        <f>IF(D819="M",IF($AM819&lt;45,WeightSDS!M$23*$AM819^10+WeightSDS!N$23*$AM819^9+WeightSDS!O$23*$AM819^8+WeightSDS!P$23*$AM819^7+WeightSDS!Q$23*$AM819^6+WeightSDS!R$23*$AM819^5+WeightSDS!S$23*$AM819^4+WeightSDS!T$23*$AM819^3+WeightSDS!U$23*$AM819^2+WeightSDS!V$23*$AM819+WeightSDS!W$23,IF($AM819&lt;153,WeightSDS!M$25*$AM819^10+WeightSDS!N$25*$AM819^9+WeightSDS!O$25*$AM819^8+WeightSDS!P$25*$AM819^7+WeightSDS!Q$25*$AM819^6+WeightSDS!R$25*$AM819^5+WeightSDS!S$25*$AM819^4+WeightSDS!T$25*$AM819^3+WeightSDS!U$25*$AM819^2+WeightSDS!V$25*$AM819+WeightSDS!W$25,WeightSDS!M$27+WeightSDS!N$27/(1+EXP(WeightSDS!O$27+WeightSDS!P$27*$AM819)))),IF($AM819&lt;43.8,WeightSDS!M$29*$AM819^10+WeightSDS!N$29*$AM819^9+WeightSDS!O$29*$AM819^8+WeightSDS!P$29*$AM819^7+WeightSDS!Q$29*$AM819^6+WeightSDS!R$29*$AM819^5+WeightSDS!S$29*$AM819^4+WeightSDS!T$29*$AM819^3+WeightSDS!U$29*$AM819^2+WeightSDS!V$29*$AM819+WeightSDS!W$29-0.010431*(1-$AM819/210),IF($AM819&lt;123,WeightSDS!M$30*$AM819^10+WeightSDS!N$30*$AM819^9+WeightSDS!O$30*$AM819^8+WeightSDS!P$30*$AM819^7+WeightSDS!Q$30*$AM819^6+WeightSDS!R$30*$AM819^5+WeightSDS!S$30*$AM819^4+WeightSDS!T$30*$AM819^3+WeightSDS!U$30*$AM819^2+WeightSDS!V$30*$AM819+WeightSDS!W$30-0.010431*(1-1/$AM819),WeightSDS!M$32+WeightSDS!N$32/(1+EXP(WeightSDS!O$32+WeightSDS!P$32*$AM819))-0.010431*(1-$AM819/210))))</f>
        <v>2.9500001032655536</v>
      </c>
      <c r="AQ819" s="4">
        <f>IF(D819="M",IF($AM819&lt;162,WeightSDS!P$12*$AM819^7+WeightSDS!Q$12*$AM819^6+WeightSDS!R$12*$AM819^5+WeightSDS!S$12*$AM819^4+WeightSDS!T$12*$AM819^3+WeightSDS!U$12*$AM819^2+WeightSDS!V$12*$AM819+WeightSDS!W$12,WeightSDS!P$14*$AM819^7+WeightSDS!Q$14*$AM819^6+WeightSDS!R$14*$AM819^5+WeightSDS!S$14*$AM819^4+WeightSDS!T$14*$AM819^3+WeightSDS!U$14*$AM819^2+WeightSDS!V$14*$AM819+WeightSDS!W$14),IF($AM819&lt;156,WeightSDS!O$17*$AM819^8+WeightSDS!P$17*$AM819^7+WeightSDS!Q$17*$AM819^6+WeightSDS!R$17*$AM819^5+WeightSDS!S$17*$AM819^4+WeightSDS!T$17*$AM819^3+WeightSDS!U$17*$AM819^2+WeightSDS!V$17*$AM819+WeightSDS!W$17,IF($AM819&lt;186,WeightSDS!$U$18+(WeightSDS!$V$18-WeightSDS!$U$18)/24*($AM819-186)+WeightSDS!$W$18*(-$AM819+186)^2-0.005,WeightSDS!$U$18+(WeightSDS!$V$18-WeightSDS!$U$18)/24*($AM819-186)-0.005)))</f>
        <v>0.14604529399999999</v>
      </c>
      <c r="AT819" s="4">
        <f t="shared" si="259"/>
        <v>0.56299999999999994</v>
      </c>
      <c r="AU819" s="4">
        <f t="shared" si="260"/>
        <v>69</v>
      </c>
      <c r="AV819" s="4">
        <f t="shared" si="261"/>
        <v>0.51</v>
      </c>
    </row>
    <row r="820" spans="1:48" x14ac:dyDescent="0.15">
      <c r="A820" s="4"/>
      <c r="B820" s="21"/>
      <c r="C820" s="21"/>
      <c r="D820" s="21"/>
      <c r="E820" s="22"/>
      <c r="F820" s="22"/>
      <c r="G820" s="23"/>
      <c r="H820" s="23"/>
      <c r="I820" s="181"/>
      <c r="J820" s="8" t="str">
        <f t="shared" si="253"/>
        <v/>
      </c>
      <c r="K820" s="2" t="str">
        <f t="shared" si="262"/>
        <v/>
      </c>
      <c r="L820" s="2" t="str">
        <f t="shared" si="254"/>
        <v/>
      </c>
      <c r="M820" s="2" t="str">
        <f t="shared" si="263"/>
        <v/>
      </c>
      <c r="N820" s="2" t="str">
        <f t="shared" si="271"/>
        <v/>
      </c>
      <c r="O820" s="2" t="str">
        <f t="shared" si="264"/>
        <v/>
      </c>
      <c r="P820" s="8" t="str">
        <f t="shared" si="265"/>
        <v/>
      </c>
      <c r="Q820" s="8" t="str">
        <f t="shared" si="266"/>
        <v/>
      </c>
      <c r="R820" s="111" t="str">
        <f t="shared" si="267"/>
        <v/>
      </c>
      <c r="S820" s="44" t="str">
        <f t="shared" si="268"/>
        <v/>
      </c>
      <c r="T820" s="37" t="str">
        <f t="shared" si="269"/>
        <v/>
      </c>
      <c r="U820" s="44" t="str">
        <f t="shared" si="270"/>
        <v/>
      </c>
      <c r="V820" s="26"/>
      <c r="W820" s="26"/>
      <c r="X820" s="26"/>
      <c r="Y820" s="26"/>
      <c r="Z820" s="24"/>
      <c r="AA820" s="169">
        <f t="shared" si="255"/>
        <v>0</v>
      </c>
      <c r="AB820" s="4">
        <f t="shared" si="256"/>
        <v>0</v>
      </c>
      <c r="AC820" s="170">
        <f t="shared" si="273"/>
        <v>0</v>
      </c>
      <c r="AD820" s="58"/>
      <c r="AE820" s="58"/>
      <c r="AF820" s="58"/>
      <c r="AG820" s="59">
        <f t="shared" si="257"/>
        <v>9.0359999999999996</v>
      </c>
      <c r="AH820" s="59">
        <f t="shared" si="258"/>
        <v>-184.49199999999999</v>
      </c>
      <c r="AJ820" s="4">
        <f>IF(D820="M",IF(AM820&lt;78,BMILMS!$D$5*AM820^3+BMILMS!$E$5*AM820^2+BMILMS!$F$5*AM820+BMILMS!$G$5,IF(AM820&lt;150,BMILMS!$D$6*AM820^3+BMILMS!$E$6*AM820^2+BMILMS!$F$6*AM820+BMILMS!$G$6,BMILMS!$D$7*AM820^3+BMILMS!$E$7*AM820^2+BMILMS!$F$7*AM820+BMILMS!$G$7)),IF(AM820&lt;69,BMILMS!$D$9*AM820^3+BMILMS!$E$9*AM820^2+BMILMS!$F$9*AM820+BMILMS!$G$9,IF(AM820&lt;150,BMILMS!$D$10*AM820^3+BMILMS!$E$10*AM820^2+BMILMS!$F$10*AM820+BMILMS!$G$10,BMILMS!$D$11*AM820^3+BMILMS!$E$11*AM820^2+BMILMS!$F$11*AM820+BMILMS!$G$11)))</f>
        <v>0.79584630099999998</v>
      </c>
      <c r="AK820" s="4">
        <f>IF(D820="M",(IF(AM820&lt;2.5,BMILMS!$D$21*AM820^3+BMILMS!$E$21*AM820^2+BMILMS!$F$21*AM820+BMILMS!$G$21,IF(AM820&lt;9.5,BMILMS!$D$22*AM820^3+BMILMS!$E$22*AM820^2+BMILMS!$F$22*AM820+BMILMS!$G$22,IF(AM820&lt;26.75,BMILMS!$D$23*AM820^3+BMILMS!$E$23*AM820^2+BMILMS!$F$23*AM820+BMILMS!$G$23,IF(AM820&lt;90,BMILMS!$D$24*AM820^3+BMILMS!$E$24*AM820^2+BMILMS!$F$24*AM820+BMILMS!$G$24,BMILMS!$D$25*AM820^3+BMILMS!$E$25*AM820^2+BMILMS!$F$25*AM820+BMILMS!$G$25))))),(IF(AM820&lt;2.5,BMILMS!$D$27*AM820^3+BMILMS!$E$27*AM820^2+BMILMS!$F$27*AM820+BMILMS!$G$27,IF(AM820&lt;9.5,BMILMS!$D$28*AM820^3+BMILMS!$E$28*AM820^2+BMILMS!$F$28*AM820+BMILMS!$G$28,IF(AM820&lt;26.75,BMILMS!$D$29*AM820^3+BMILMS!$E$29*AM820^2+BMILMS!$F$29*AM820+BMILMS!$G$29,IF(AM820&lt;90,BMILMS!$D$30*AM820^3+BMILMS!$E$30*AM820^2+BMILMS!$F$30*AM820+BMILMS!$G$30,IF(AM820&lt;150,BMILMS!$D$31*AM820^3+BMILMS!$E$31*AM820^2+BMILMS!$F$31*AM820+BMILMS!$G$31,BMILMS!$D$32*AM820^3+BMILMS!$E$32*AM820^2+BMILMS!$F$32*AM820+BMILMS!$G$32)))))))</f>
        <v>12.568967990000001</v>
      </c>
      <c r="AL820" s="4">
        <f>IF(D820="M",(IF(AM820&lt;90,BMILMS!$D$14*AM820^3+BMILMS!$E$14*AM820^2+BMILMS!$F$14*AM820+BMILMS!$G$14,BMILMS!$D$15*AM820^3+BMILMS!$E$15*AM820^2+BMILMS!$F$15*AM820+BMILMS!$G$15)),(IF(AM820&lt;90,BMILMS!$D$17*AM820^3+BMILMS!$E$17*AM820^2+BMILMS!$F$17*AM820+BMILMS!$G$17,BMILMS!$D$18*AM820^3+BMILMS!$E$18*AM820^2+BMILMS!$F$18*AM820+BMILMS!$G$18)))</f>
        <v>8.8969350000000003E-2</v>
      </c>
      <c r="AM820" s="4">
        <f t="shared" si="272"/>
        <v>0</v>
      </c>
      <c r="AO820" s="56">
        <f>IF(D820="M",WeightSDS!P$5*$AM820^7+WeightSDS!Q$5*$AM820^6+WeightSDS!R$5*$AM820^5+WeightSDS!S$5*$AM820^4+WeightSDS!T$5*$AM820^3+WeightSDS!U$5*$AM820^2+WeightSDS!V$5*$AM820+WeightSDS!W$5,IF($AM820&lt;186,WeightSDS!P$8*$AM820^7+WeightSDS!Q$8*$AM820^6+WeightSDS!R$8*$AM820^5+WeightSDS!S$8*$AM820^4+WeightSDS!T$8*$AM820^3+WeightSDS!U$8*$AM820^2+WeightSDS!V$8*$AM820+WeightSDS!W$8,WeightSDS!$U$9+WeightSDS!$V$9*($AM820-WeightSDS!$W$9)))</f>
        <v>0.75407122999999998</v>
      </c>
      <c r="AP820" s="4">
        <f>IF(D820="M",IF($AM820&lt;45,WeightSDS!M$23*$AM820^10+WeightSDS!N$23*$AM820^9+WeightSDS!O$23*$AM820^8+WeightSDS!P$23*$AM820^7+WeightSDS!Q$23*$AM820^6+WeightSDS!R$23*$AM820^5+WeightSDS!S$23*$AM820^4+WeightSDS!T$23*$AM820^3+WeightSDS!U$23*$AM820^2+WeightSDS!V$23*$AM820+WeightSDS!W$23,IF($AM820&lt;153,WeightSDS!M$25*$AM820^10+WeightSDS!N$25*$AM820^9+WeightSDS!O$25*$AM820^8+WeightSDS!P$25*$AM820^7+WeightSDS!Q$25*$AM820^6+WeightSDS!R$25*$AM820^5+WeightSDS!S$25*$AM820^4+WeightSDS!T$25*$AM820^3+WeightSDS!U$25*$AM820^2+WeightSDS!V$25*$AM820+WeightSDS!W$25,WeightSDS!M$27+WeightSDS!N$27/(1+EXP(WeightSDS!O$27+WeightSDS!P$27*$AM820)))),IF($AM820&lt;43.8,WeightSDS!M$29*$AM820^10+WeightSDS!N$29*$AM820^9+WeightSDS!O$29*$AM820^8+WeightSDS!P$29*$AM820^7+WeightSDS!Q$29*$AM820^6+WeightSDS!R$29*$AM820^5+WeightSDS!S$29*$AM820^4+WeightSDS!T$29*$AM820^3+WeightSDS!U$29*$AM820^2+WeightSDS!V$29*$AM820+WeightSDS!W$29-0.010431*(1-$AM820/210),IF($AM820&lt;123,WeightSDS!M$30*$AM820^10+WeightSDS!N$30*$AM820^9+WeightSDS!O$30*$AM820^8+WeightSDS!P$30*$AM820^7+WeightSDS!Q$30*$AM820^6+WeightSDS!R$30*$AM820^5+WeightSDS!S$30*$AM820^4+WeightSDS!T$30*$AM820^3+WeightSDS!U$30*$AM820^2+WeightSDS!V$30*$AM820+WeightSDS!W$30-0.010431*(1-1/$AM820),WeightSDS!M$32+WeightSDS!N$32/(1+EXP(WeightSDS!O$32+WeightSDS!P$32*$AM820))-0.010431*(1-$AM820/210))))</f>
        <v>2.9500001032655536</v>
      </c>
      <c r="AQ820" s="4">
        <f>IF(D820="M",IF($AM820&lt;162,WeightSDS!P$12*$AM820^7+WeightSDS!Q$12*$AM820^6+WeightSDS!R$12*$AM820^5+WeightSDS!S$12*$AM820^4+WeightSDS!T$12*$AM820^3+WeightSDS!U$12*$AM820^2+WeightSDS!V$12*$AM820+WeightSDS!W$12,WeightSDS!P$14*$AM820^7+WeightSDS!Q$14*$AM820^6+WeightSDS!R$14*$AM820^5+WeightSDS!S$14*$AM820^4+WeightSDS!T$14*$AM820^3+WeightSDS!U$14*$AM820^2+WeightSDS!V$14*$AM820+WeightSDS!W$14),IF($AM820&lt;156,WeightSDS!O$17*$AM820^8+WeightSDS!P$17*$AM820^7+WeightSDS!Q$17*$AM820^6+WeightSDS!R$17*$AM820^5+WeightSDS!S$17*$AM820^4+WeightSDS!T$17*$AM820^3+WeightSDS!U$17*$AM820^2+WeightSDS!V$17*$AM820+WeightSDS!W$17,IF($AM820&lt;186,WeightSDS!$U$18+(WeightSDS!$V$18-WeightSDS!$U$18)/24*($AM820-186)+WeightSDS!$W$18*(-$AM820+186)^2-0.005,WeightSDS!$U$18+(WeightSDS!$V$18-WeightSDS!$U$18)/24*($AM820-186)-0.005)))</f>
        <v>0.14604529399999999</v>
      </c>
      <c r="AT820" s="4">
        <f t="shared" si="259"/>
        <v>0.56299999999999994</v>
      </c>
      <c r="AU820" s="4">
        <f t="shared" si="260"/>
        <v>69</v>
      </c>
      <c r="AV820" s="4">
        <f t="shared" si="261"/>
        <v>0.51</v>
      </c>
    </row>
    <row r="821" spans="1:48" x14ac:dyDescent="0.15">
      <c r="A821" s="4"/>
      <c r="B821" s="21"/>
      <c r="C821" s="21"/>
      <c r="D821" s="21"/>
      <c r="E821" s="22"/>
      <c r="F821" s="22"/>
      <c r="G821" s="23"/>
      <c r="H821" s="23"/>
      <c r="I821" s="181"/>
      <c r="J821" s="8" t="str">
        <f t="shared" si="253"/>
        <v/>
      </c>
      <c r="K821" s="2" t="str">
        <f t="shared" si="262"/>
        <v/>
      </c>
      <c r="L821" s="2" t="str">
        <f t="shared" si="254"/>
        <v/>
      </c>
      <c r="M821" s="2" t="str">
        <f t="shared" si="263"/>
        <v/>
      </c>
      <c r="N821" s="2" t="str">
        <f t="shared" si="271"/>
        <v/>
      </c>
      <c r="O821" s="2" t="str">
        <f t="shared" si="264"/>
        <v/>
      </c>
      <c r="P821" s="8" t="str">
        <f t="shared" si="265"/>
        <v/>
      </c>
      <c r="Q821" s="8" t="str">
        <f t="shared" si="266"/>
        <v/>
      </c>
      <c r="R821" s="111" t="str">
        <f t="shared" si="267"/>
        <v/>
      </c>
      <c r="S821" s="44" t="str">
        <f t="shared" si="268"/>
        <v/>
      </c>
      <c r="T821" s="37" t="str">
        <f t="shared" si="269"/>
        <v/>
      </c>
      <c r="U821" s="44" t="str">
        <f t="shared" si="270"/>
        <v/>
      </c>
      <c r="V821" s="26"/>
      <c r="W821" s="26"/>
      <c r="X821" s="26"/>
      <c r="Y821" s="26"/>
      <c r="Z821" s="24"/>
      <c r="AA821" s="169">
        <f t="shared" si="255"/>
        <v>0</v>
      </c>
      <c r="AB821" s="4">
        <f t="shared" si="256"/>
        <v>0</v>
      </c>
      <c r="AC821" s="170">
        <f t="shared" si="273"/>
        <v>0</v>
      </c>
      <c r="AD821" s="58"/>
      <c r="AE821" s="58"/>
      <c r="AF821" s="58"/>
      <c r="AG821" s="59">
        <f t="shared" si="257"/>
        <v>9.0359999999999996</v>
      </c>
      <c r="AH821" s="59">
        <f t="shared" si="258"/>
        <v>-184.49199999999999</v>
      </c>
      <c r="AJ821" s="4">
        <f>IF(D821="M",IF(AM821&lt;78,BMILMS!$D$5*AM821^3+BMILMS!$E$5*AM821^2+BMILMS!$F$5*AM821+BMILMS!$G$5,IF(AM821&lt;150,BMILMS!$D$6*AM821^3+BMILMS!$E$6*AM821^2+BMILMS!$F$6*AM821+BMILMS!$G$6,BMILMS!$D$7*AM821^3+BMILMS!$E$7*AM821^2+BMILMS!$F$7*AM821+BMILMS!$G$7)),IF(AM821&lt;69,BMILMS!$D$9*AM821^3+BMILMS!$E$9*AM821^2+BMILMS!$F$9*AM821+BMILMS!$G$9,IF(AM821&lt;150,BMILMS!$D$10*AM821^3+BMILMS!$E$10*AM821^2+BMILMS!$F$10*AM821+BMILMS!$G$10,BMILMS!$D$11*AM821^3+BMILMS!$E$11*AM821^2+BMILMS!$F$11*AM821+BMILMS!$G$11)))</f>
        <v>0.79584630099999998</v>
      </c>
      <c r="AK821" s="4">
        <f>IF(D821="M",(IF(AM821&lt;2.5,BMILMS!$D$21*AM821^3+BMILMS!$E$21*AM821^2+BMILMS!$F$21*AM821+BMILMS!$G$21,IF(AM821&lt;9.5,BMILMS!$D$22*AM821^3+BMILMS!$E$22*AM821^2+BMILMS!$F$22*AM821+BMILMS!$G$22,IF(AM821&lt;26.75,BMILMS!$D$23*AM821^3+BMILMS!$E$23*AM821^2+BMILMS!$F$23*AM821+BMILMS!$G$23,IF(AM821&lt;90,BMILMS!$D$24*AM821^3+BMILMS!$E$24*AM821^2+BMILMS!$F$24*AM821+BMILMS!$G$24,BMILMS!$D$25*AM821^3+BMILMS!$E$25*AM821^2+BMILMS!$F$25*AM821+BMILMS!$G$25))))),(IF(AM821&lt;2.5,BMILMS!$D$27*AM821^3+BMILMS!$E$27*AM821^2+BMILMS!$F$27*AM821+BMILMS!$G$27,IF(AM821&lt;9.5,BMILMS!$D$28*AM821^3+BMILMS!$E$28*AM821^2+BMILMS!$F$28*AM821+BMILMS!$G$28,IF(AM821&lt;26.75,BMILMS!$D$29*AM821^3+BMILMS!$E$29*AM821^2+BMILMS!$F$29*AM821+BMILMS!$G$29,IF(AM821&lt;90,BMILMS!$D$30*AM821^3+BMILMS!$E$30*AM821^2+BMILMS!$F$30*AM821+BMILMS!$G$30,IF(AM821&lt;150,BMILMS!$D$31*AM821^3+BMILMS!$E$31*AM821^2+BMILMS!$F$31*AM821+BMILMS!$G$31,BMILMS!$D$32*AM821^3+BMILMS!$E$32*AM821^2+BMILMS!$F$32*AM821+BMILMS!$G$32)))))))</f>
        <v>12.568967990000001</v>
      </c>
      <c r="AL821" s="4">
        <f>IF(D821="M",(IF(AM821&lt;90,BMILMS!$D$14*AM821^3+BMILMS!$E$14*AM821^2+BMILMS!$F$14*AM821+BMILMS!$G$14,BMILMS!$D$15*AM821^3+BMILMS!$E$15*AM821^2+BMILMS!$F$15*AM821+BMILMS!$G$15)),(IF(AM821&lt;90,BMILMS!$D$17*AM821^3+BMILMS!$E$17*AM821^2+BMILMS!$F$17*AM821+BMILMS!$G$17,BMILMS!$D$18*AM821^3+BMILMS!$E$18*AM821^2+BMILMS!$F$18*AM821+BMILMS!$G$18)))</f>
        <v>8.8969350000000003E-2</v>
      </c>
      <c r="AM821" s="4">
        <f t="shared" si="272"/>
        <v>0</v>
      </c>
      <c r="AO821" s="56">
        <f>IF(D821="M",WeightSDS!P$5*$AM821^7+WeightSDS!Q$5*$AM821^6+WeightSDS!R$5*$AM821^5+WeightSDS!S$5*$AM821^4+WeightSDS!T$5*$AM821^3+WeightSDS!U$5*$AM821^2+WeightSDS!V$5*$AM821+WeightSDS!W$5,IF($AM821&lt;186,WeightSDS!P$8*$AM821^7+WeightSDS!Q$8*$AM821^6+WeightSDS!R$8*$AM821^5+WeightSDS!S$8*$AM821^4+WeightSDS!T$8*$AM821^3+WeightSDS!U$8*$AM821^2+WeightSDS!V$8*$AM821+WeightSDS!W$8,WeightSDS!$U$9+WeightSDS!$V$9*($AM821-WeightSDS!$W$9)))</f>
        <v>0.75407122999999998</v>
      </c>
      <c r="AP821" s="4">
        <f>IF(D821="M",IF($AM821&lt;45,WeightSDS!M$23*$AM821^10+WeightSDS!N$23*$AM821^9+WeightSDS!O$23*$AM821^8+WeightSDS!P$23*$AM821^7+WeightSDS!Q$23*$AM821^6+WeightSDS!R$23*$AM821^5+WeightSDS!S$23*$AM821^4+WeightSDS!T$23*$AM821^3+WeightSDS!U$23*$AM821^2+WeightSDS!V$23*$AM821+WeightSDS!W$23,IF($AM821&lt;153,WeightSDS!M$25*$AM821^10+WeightSDS!N$25*$AM821^9+WeightSDS!O$25*$AM821^8+WeightSDS!P$25*$AM821^7+WeightSDS!Q$25*$AM821^6+WeightSDS!R$25*$AM821^5+WeightSDS!S$25*$AM821^4+WeightSDS!T$25*$AM821^3+WeightSDS!U$25*$AM821^2+WeightSDS!V$25*$AM821+WeightSDS!W$25,WeightSDS!M$27+WeightSDS!N$27/(1+EXP(WeightSDS!O$27+WeightSDS!P$27*$AM821)))),IF($AM821&lt;43.8,WeightSDS!M$29*$AM821^10+WeightSDS!N$29*$AM821^9+WeightSDS!O$29*$AM821^8+WeightSDS!P$29*$AM821^7+WeightSDS!Q$29*$AM821^6+WeightSDS!R$29*$AM821^5+WeightSDS!S$29*$AM821^4+WeightSDS!T$29*$AM821^3+WeightSDS!U$29*$AM821^2+WeightSDS!V$29*$AM821+WeightSDS!W$29-0.010431*(1-$AM821/210),IF($AM821&lt;123,WeightSDS!M$30*$AM821^10+WeightSDS!N$30*$AM821^9+WeightSDS!O$30*$AM821^8+WeightSDS!P$30*$AM821^7+WeightSDS!Q$30*$AM821^6+WeightSDS!R$30*$AM821^5+WeightSDS!S$30*$AM821^4+WeightSDS!T$30*$AM821^3+WeightSDS!U$30*$AM821^2+WeightSDS!V$30*$AM821+WeightSDS!W$30-0.010431*(1-1/$AM821),WeightSDS!M$32+WeightSDS!N$32/(1+EXP(WeightSDS!O$32+WeightSDS!P$32*$AM821))-0.010431*(1-$AM821/210))))</f>
        <v>2.9500001032655536</v>
      </c>
      <c r="AQ821" s="4">
        <f>IF(D821="M",IF($AM821&lt;162,WeightSDS!P$12*$AM821^7+WeightSDS!Q$12*$AM821^6+WeightSDS!R$12*$AM821^5+WeightSDS!S$12*$AM821^4+WeightSDS!T$12*$AM821^3+WeightSDS!U$12*$AM821^2+WeightSDS!V$12*$AM821+WeightSDS!W$12,WeightSDS!P$14*$AM821^7+WeightSDS!Q$14*$AM821^6+WeightSDS!R$14*$AM821^5+WeightSDS!S$14*$AM821^4+WeightSDS!T$14*$AM821^3+WeightSDS!U$14*$AM821^2+WeightSDS!V$14*$AM821+WeightSDS!W$14),IF($AM821&lt;156,WeightSDS!O$17*$AM821^8+WeightSDS!P$17*$AM821^7+WeightSDS!Q$17*$AM821^6+WeightSDS!R$17*$AM821^5+WeightSDS!S$17*$AM821^4+WeightSDS!T$17*$AM821^3+WeightSDS!U$17*$AM821^2+WeightSDS!V$17*$AM821+WeightSDS!W$17,IF($AM821&lt;186,WeightSDS!$U$18+(WeightSDS!$V$18-WeightSDS!$U$18)/24*($AM821-186)+WeightSDS!$W$18*(-$AM821+186)^2-0.005,WeightSDS!$U$18+(WeightSDS!$V$18-WeightSDS!$U$18)/24*($AM821-186)-0.005)))</f>
        <v>0.14604529399999999</v>
      </c>
      <c r="AT821" s="4">
        <f t="shared" si="259"/>
        <v>0.56299999999999994</v>
      </c>
      <c r="AU821" s="4">
        <f t="shared" si="260"/>
        <v>69</v>
      </c>
      <c r="AV821" s="4">
        <f t="shared" si="261"/>
        <v>0.51</v>
      </c>
    </row>
    <row r="822" spans="1:48" x14ac:dyDescent="0.15">
      <c r="A822" s="4"/>
      <c r="B822" s="21"/>
      <c r="C822" s="21"/>
      <c r="D822" s="21"/>
      <c r="E822" s="22"/>
      <c r="F822" s="22"/>
      <c r="G822" s="23"/>
      <c r="H822" s="23"/>
      <c r="I822" s="181"/>
      <c r="J822" s="8" t="str">
        <f t="shared" si="253"/>
        <v/>
      </c>
      <c r="K822" s="2" t="str">
        <f t="shared" si="262"/>
        <v/>
      </c>
      <c r="L822" s="2" t="str">
        <f t="shared" si="254"/>
        <v/>
      </c>
      <c r="M822" s="2" t="str">
        <f t="shared" si="263"/>
        <v/>
      </c>
      <c r="N822" s="2" t="str">
        <f t="shared" si="271"/>
        <v/>
      </c>
      <c r="O822" s="2" t="str">
        <f t="shared" si="264"/>
        <v/>
      </c>
      <c r="P822" s="8" t="str">
        <f t="shared" si="265"/>
        <v/>
      </c>
      <c r="Q822" s="8" t="str">
        <f t="shared" si="266"/>
        <v/>
      </c>
      <c r="R822" s="111" t="str">
        <f t="shared" si="267"/>
        <v/>
      </c>
      <c r="S822" s="44" t="str">
        <f t="shared" si="268"/>
        <v/>
      </c>
      <c r="T822" s="37" t="str">
        <f t="shared" si="269"/>
        <v/>
      </c>
      <c r="U822" s="44" t="str">
        <f t="shared" si="270"/>
        <v/>
      </c>
      <c r="V822" s="26"/>
      <c r="W822" s="26"/>
      <c r="X822" s="26"/>
      <c r="Y822" s="26"/>
      <c r="Z822" s="24"/>
      <c r="AA822" s="169">
        <f t="shared" si="255"/>
        <v>0</v>
      </c>
      <c r="AB822" s="4">
        <f t="shared" si="256"/>
        <v>0</v>
      </c>
      <c r="AC822" s="170">
        <f t="shared" si="273"/>
        <v>0</v>
      </c>
      <c r="AD822" s="58"/>
      <c r="AE822" s="58"/>
      <c r="AF822" s="58"/>
      <c r="AG822" s="59">
        <f t="shared" si="257"/>
        <v>9.0359999999999996</v>
      </c>
      <c r="AH822" s="59">
        <f t="shared" si="258"/>
        <v>-184.49199999999999</v>
      </c>
      <c r="AJ822" s="4">
        <f>IF(D822="M",IF(AM822&lt;78,BMILMS!$D$5*AM822^3+BMILMS!$E$5*AM822^2+BMILMS!$F$5*AM822+BMILMS!$G$5,IF(AM822&lt;150,BMILMS!$D$6*AM822^3+BMILMS!$E$6*AM822^2+BMILMS!$F$6*AM822+BMILMS!$G$6,BMILMS!$D$7*AM822^3+BMILMS!$E$7*AM822^2+BMILMS!$F$7*AM822+BMILMS!$G$7)),IF(AM822&lt;69,BMILMS!$D$9*AM822^3+BMILMS!$E$9*AM822^2+BMILMS!$F$9*AM822+BMILMS!$G$9,IF(AM822&lt;150,BMILMS!$D$10*AM822^3+BMILMS!$E$10*AM822^2+BMILMS!$F$10*AM822+BMILMS!$G$10,BMILMS!$D$11*AM822^3+BMILMS!$E$11*AM822^2+BMILMS!$F$11*AM822+BMILMS!$G$11)))</f>
        <v>0.79584630099999998</v>
      </c>
      <c r="AK822" s="4">
        <f>IF(D822="M",(IF(AM822&lt;2.5,BMILMS!$D$21*AM822^3+BMILMS!$E$21*AM822^2+BMILMS!$F$21*AM822+BMILMS!$G$21,IF(AM822&lt;9.5,BMILMS!$D$22*AM822^3+BMILMS!$E$22*AM822^2+BMILMS!$F$22*AM822+BMILMS!$G$22,IF(AM822&lt;26.75,BMILMS!$D$23*AM822^3+BMILMS!$E$23*AM822^2+BMILMS!$F$23*AM822+BMILMS!$G$23,IF(AM822&lt;90,BMILMS!$D$24*AM822^3+BMILMS!$E$24*AM822^2+BMILMS!$F$24*AM822+BMILMS!$G$24,BMILMS!$D$25*AM822^3+BMILMS!$E$25*AM822^2+BMILMS!$F$25*AM822+BMILMS!$G$25))))),(IF(AM822&lt;2.5,BMILMS!$D$27*AM822^3+BMILMS!$E$27*AM822^2+BMILMS!$F$27*AM822+BMILMS!$G$27,IF(AM822&lt;9.5,BMILMS!$D$28*AM822^3+BMILMS!$E$28*AM822^2+BMILMS!$F$28*AM822+BMILMS!$G$28,IF(AM822&lt;26.75,BMILMS!$D$29*AM822^3+BMILMS!$E$29*AM822^2+BMILMS!$F$29*AM822+BMILMS!$G$29,IF(AM822&lt;90,BMILMS!$D$30*AM822^3+BMILMS!$E$30*AM822^2+BMILMS!$F$30*AM822+BMILMS!$G$30,IF(AM822&lt;150,BMILMS!$D$31*AM822^3+BMILMS!$E$31*AM822^2+BMILMS!$F$31*AM822+BMILMS!$G$31,BMILMS!$D$32*AM822^3+BMILMS!$E$32*AM822^2+BMILMS!$F$32*AM822+BMILMS!$G$32)))))))</f>
        <v>12.568967990000001</v>
      </c>
      <c r="AL822" s="4">
        <f>IF(D822="M",(IF(AM822&lt;90,BMILMS!$D$14*AM822^3+BMILMS!$E$14*AM822^2+BMILMS!$F$14*AM822+BMILMS!$G$14,BMILMS!$D$15*AM822^3+BMILMS!$E$15*AM822^2+BMILMS!$F$15*AM822+BMILMS!$G$15)),(IF(AM822&lt;90,BMILMS!$D$17*AM822^3+BMILMS!$E$17*AM822^2+BMILMS!$F$17*AM822+BMILMS!$G$17,BMILMS!$D$18*AM822^3+BMILMS!$E$18*AM822^2+BMILMS!$F$18*AM822+BMILMS!$G$18)))</f>
        <v>8.8969350000000003E-2</v>
      </c>
      <c r="AM822" s="4">
        <f t="shared" si="272"/>
        <v>0</v>
      </c>
      <c r="AO822" s="56">
        <f>IF(D822="M",WeightSDS!P$5*$AM822^7+WeightSDS!Q$5*$AM822^6+WeightSDS!R$5*$AM822^5+WeightSDS!S$5*$AM822^4+WeightSDS!T$5*$AM822^3+WeightSDS!U$5*$AM822^2+WeightSDS!V$5*$AM822+WeightSDS!W$5,IF($AM822&lt;186,WeightSDS!P$8*$AM822^7+WeightSDS!Q$8*$AM822^6+WeightSDS!R$8*$AM822^5+WeightSDS!S$8*$AM822^4+WeightSDS!T$8*$AM822^3+WeightSDS!U$8*$AM822^2+WeightSDS!V$8*$AM822+WeightSDS!W$8,WeightSDS!$U$9+WeightSDS!$V$9*($AM822-WeightSDS!$W$9)))</f>
        <v>0.75407122999999998</v>
      </c>
      <c r="AP822" s="4">
        <f>IF(D822="M",IF($AM822&lt;45,WeightSDS!M$23*$AM822^10+WeightSDS!N$23*$AM822^9+WeightSDS!O$23*$AM822^8+WeightSDS!P$23*$AM822^7+WeightSDS!Q$23*$AM822^6+WeightSDS!R$23*$AM822^5+WeightSDS!S$23*$AM822^4+WeightSDS!T$23*$AM822^3+WeightSDS!U$23*$AM822^2+WeightSDS!V$23*$AM822+WeightSDS!W$23,IF($AM822&lt;153,WeightSDS!M$25*$AM822^10+WeightSDS!N$25*$AM822^9+WeightSDS!O$25*$AM822^8+WeightSDS!P$25*$AM822^7+WeightSDS!Q$25*$AM822^6+WeightSDS!R$25*$AM822^5+WeightSDS!S$25*$AM822^4+WeightSDS!T$25*$AM822^3+WeightSDS!U$25*$AM822^2+WeightSDS!V$25*$AM822+WeightSDS!W$25,WeightSDS!M$27+WeightSDS!N$27/(1+EXP(WeightSDS!O$27+WeightSDS!P$27*$AM822)))),IF($AM822&lt;43.8,WeightSDS!M$29*$AM822^10+WeightSDS!N$29*$AM822^9+WeightSDS!O$29*$AM822^8+WeightSDS!P$29*$AM822^7+WeightSDS!Q$29*$AM822^6+WeightSDS!R$29*$AM822^5+WeightSDS!S$29*$AM822^4+WeightSDS!T$29*$AM822^3+WeightSDS!U$29*$AM822^2+WeightSDS!V$29*$AM822+WeightSDS!W$29-0.010431*(1-$AM822/210),IF($AM822&lt;123,WeightSDS!M$30*$AM822^10+WeightSDS!N$30*$AM822^9+WeightSDS!O$30*$AM822^8+WeightSDS!P$30*$AM822^7+WeightSDS!Q$30*$AM822^6+WeightSDS!R$30*$AM822^5+WeightSDS!S$30*$AM822^4+WeightSDS!T$30*$AM822^3+WeightSDS!U$30*$AM822^2+WeightSDS!V$30*$AM822+WeightSDS!W$30-0.010431*(1-1/$AM822),WeightSDS!M$32+WeightSDS!N$32/(1+EXP(WeightSDS!O$32+WeightSDS!P$32*$AM822))-0.010431*(1-$AM822/210))))</f>
        <v>2.9500001032655536</v>
      </c>
      <c r="AQ822" s="4">
        <f>IF(D822="M",IF($AM822&lt;162,WeightSDS!P$12*$AM822^7+WeightSDS!Q$12*$AM822^6+WeightSDS!R$12*$AM822^5+WeightSDS!S$12*$AM822^4+WeightSDS!T$12*$AM822^3+WeightSDS!U$12*$AM822^2+WeightSDS!V$12*$AM822+WeightSDS!W$12,WeightSDS!P$14*$AM822^7+WeightSDS!Q$14*$AM822^6+WeightSDS!R$14*$AM822^5+WeightSDS!S$14*$AM822^4+WeightSDS!T$14*$AM822^3+WeightSDS!U$14*$AM822^2+WeightSDS!V$14*$AM822+WeightSDS!W$14),IF($AM822&lt;156,WeightSDS!O$17*$AM822^8+WeightSDS!P$17*$AM822^7+WeightSDS!Q$17*$AM822^6+WeightSDS!R$17*$AM822^5+WeightSDS!S$17*$AM822^4+WeightSDS!T$17*$AM822^3+WeightSDS!U$17*$AM822^2+WeightSDS!V$17*$AM822+WeightSDS!W$17,IF($AM822&lt;186,WeightSDS!$U$18+(WeightSDS!$V$18-WeightSDS!$U$18)/24*($AM822-186)+WeightSDS!$W$18*(-$AM822+186)^2-0.005,WeightSDS!$U$18+(WeightSDS!$V$18-WeightSDS!$U$18)/24*($AM822-186)-0.005)))</f>
        <v>0.14604529399999999</v>
      </c>
      <c r="AT822" s="4">
        <f t="shared" si="259"/>
        <v>0.56299999999999994</v>
      </c>
      <c r="AU822" s="4">
        <f t="shared" si="260"/>
        <v>69</v>
      </c>
      <c r="AV822" s="4">
        <f t="shared" si="261"/>
        <v>0.51</v>
      </c>
    </row>
    <row r="823" spans="1:48" x14ac:dyDescent="0.15">
      <c r="A823" s="4"/>
      <c r="B823" s="21"/>
      <c r="C823" s="21"/>
      <c r="D823" s="21"/>
      <c r="E823" s="22"/>
      <c r="F823" s="22"/>
      <c r="G823" s="23"/>
      <c r="H823" s="23"/>
      <c r="I823" s="181"/>
      <c r="J823" s="8" t="str">
        <f t="shared" si="253"/>
        <v/>
      </c>
      <c r="K823" s="2" t="str">
        <f t="shared" si="262"/>
        <v/>
      </c>
      <c r="L823" s="2" t="str">
        <f t="shared" si="254"/>
        <v/>
      </c>
      <c r="M823" s="2" t="str">
        <f t="shared" si="263"/>
        <v/>
      </c>
      <c r="N823" s="2" t="str">
        <f t="shared" si="271"/>
        <v/>
      </c>
      <c r="O823" s="2" t="str">
        <f t="shared" si="264"/>
        <v/>
      </c>
      <c r="P823" s="8" t="str">
        <f t="shared" si="265"/>
        <v/>
      </c>
      <c r="Q823" s="8" t="str">
        <f t="shared" si="266"/>
        <v/>
      </c>
      <c r="R823" s="111" t="str">
        <f t="shared" si="267"/>
        <v/>
      </c>
      <c r="S823" s="44" t="str">
        <f t="shared" si="268"/>
        <v/>
      </c>
      <c r="T823" s="37" t="str">
        <f t="shared" si="269"/>
        <v/>
      </c>
      <c r="U823" s="44" t="str">
        <f t="shared" si="270"/>
        <v/>
      </c>
      <c r="V823" s="26"/>
      <c r="W823" s="26"/>
      <c r="X823" s="26"/>
      <c r="Y823" s="26"/>
      <c r="Z823" s="24"/>
      <c r="AA823" s="169">
        <f t="shared" si="255"/>
        <v>0</v>
      </c>
      <c r="AB823" s="4">
        <f t="shared" si="256"/>
        <v>0</v>
      </c>
      <c r="AC823" s="170">
        <f t="shared" si="273"/>
        <v>0</v>
      </c>
      <c r="AD823" s="58"/>
      <c r="AE823" s="58"/>
      <c r="AF823" s="58"/>
      <c r="AG823" s="59">
        <f t="shared" si="257"/>
        <v>9.0359999999999996</v>
      </c>
      <c r="AH823" s="59">
        <f t="shared" si="258"/>
        <v>-184.49199999999999</v>
      </c>
      <c r="AJ823" s="4">
        <f>IF(D823="M",IF(AM823&lt;78,BMILMS!$D$5*AM823^3+BMILMS!$E$5*AM823^2+BMILMS!$F$5*AM823+BMILMS!$G$5,IF(AM823&lt;150,BMILMS!$D$6*AM823^3+BMILMS!$E$6*AM823^2+BMILMS!$F$6*AM823+BMILMS!$G$6,BMILMS!$D$7*AM823^3+BMILMS!$E$7*AM823^2+BMILMS!$F$7*AM823+BMILMS!$G$7)),IF(AM823&lt;69,BMILMS!$D$9*AM823^3+BMILMS!$E$9*AM823^2+BMILMS!$F$9*AM823+BMILMS!$G$9,IF(AM823&lt;150,BMILMS!$D$10*AM823^3+BMILMS!$E$10*AM823^2+BMILMS!$F$10*AM823+BMILMS!$G$10,BMILMS!$D$11*AM823^3+BMILMS!$E$11*AM823^2+BMILMS!$F$11*AM823+BMILMS!$G$11)))</f>
        <v>0.79584630099999998</v>
      </c>
      <c r="AK823" s="4">
        <f>IF(D823="M",(IF(AM823&lt;2.5,BMILMS!$D$21*AM823^3+BMILMS!$E$21*AM823^2+BMILMS!$F$21*AM823+BMILMS!$G$21,IF(AM823&lt;9.5,BMILMS!$D$22*AM823^3+BMILMS!$E$22*AM823^2+BMILMS!$F$22*AM823+BMILMS!$G$22,IF(AM823&lt;26.75,BMILMS!$D$23*AM823^3+BMILMS!$E$23*AM823^2+BMILMS!$F$23*AM823+BMILMS!$G$23,IF(AM823&lt;90,BMILMS!$D$24*AM823^3+BMILMS!$E$24*AM823^2+BMILMS!$F$24*AM823+BMILMS!$G$24,BMILMS!$D$25*AM823^3+BMILMS!$E$25*AM823^2+BMILMS!$F$25*AM823+BMILMS!$G$25))))),(IF(AM823&lt;2.5,BMILMS!$D$27*AM823^3+BMILMS!$E$27*AM823^2+BMILMS!$F$27*AM823+BMILMS!$G$27,IF(AM823&lt;9.5,BMILMS!$D$28*AM823^3+BMILMS!$E$28*AM823^2+BMILMS!$F$28*AM823+BMILMS!$G$28,IF(AM823&lt;26.75,BMILMS!$D$29*AM823^3+BMILMS!$E$29*AM823^2+BMILMS!$F$29*AM823+BMILMS!$G$29,IF(AM823&lt;90,BMILMS!$D$30*AM823^3+BMILMS!$E$30*AM823^2+BMILMS!$F$30*AM823+BMILMS!$G$30,IF(AM823&lt;150,BMILMS!$D$31*AM823^3+BMILMS!$E$31*AM823^2+BMILMS!$F$31*AM823+BMILMS!$G$31,BMILMS!$D$32*AM823^3+BMILMS!$E$32*AM823^2+BMILMS!$F$32*AM823+BMILMS!$G$32)))))))</f>
        <v>12.568967990000001</v>
      </c>
      <c r="AL823" s="4">
        <f>IF(D823="M",(IF(AM823&lt;90,BMILMS!$D$14*AM823^3+BMILMS!$E$14*AM823^2+BMILMS!$F$14*AM823+BMILMS!$G$14,BMILMS!$D$15*AM823^3+BMILMS!$E$15*AM823^2+BMILMS!$F$15*AM823+BMILMS!$G$15)),(IF(AM823&lt;90,BMILMS!$D$17*AM823^3+BMILMS!$E$17*AM823^2+BMILMS!$F$17*AM823+BMILMS!$G$17,BMILMS!$D$18*AM823^3+BMILMS!$E$18*AM823^2+BMILMS!$F$18*AM823+BMILMS!$G$18)))</f>
        <v>8.8969350000000003E-2</v>
      </c>
      <c r="AM823" s="4">
        <f t="shared" si="272"/>
        <v>0</v>
      </c>
      <c r="AO823" s="56">
        <f>IF(D823="M",WeightSDS!P$5*$AM823^7+WeightSDS!Q$5*$AM823^6+WeightSDS!R$5*$AM823^5+WeightSDS!S$5*$AM823^4+WeightSDS!T$5*$AM823^3+WeightSDS!U$5*$AM823^2+WeightSDS!V$5*$AM823+WeightSDS!W$5,IF($AM823&lt;186,WeightSDS!P$8*$AM823^7+WeightSDS!Q$8*$AM823^6+WeightSDS!R$8*$AM823^5+WeightSDS!S$8*$AM823^4+WeightSDS!T$8*$AM823^3+WeightSDS!U$8*$AM823^2+WeightSDS!V$8*$AM823+WeightSDS!W$8,WeightSDS!$U$9+WeightSDS!$V$9*($AM823-WeightSDS!$W$9)))</f>
        <v>0.75407122999999998</v>
      </c>
      <c r="AP823" s="4">
        <f>IF(D823="M",IF($AM823&lt;45,WeightSDS!M$23*$AM823^10+WeightSDS!N$23*$AM823^9+WeightSDS!O$23*$AM823^8+WeightSDS!P$23*$AM823^7+WeightSDS!Q$23*$AM823^6+WeightSDS!R$23*$AM823^5+WeightSDS!S$23*$AM823^4+WeightSDS!T$23*$AM823^3+WeightSDS!U$23*$AM823^2+WeightSDS!V$23*$AM823+WeightSDS!W$23,IF($AM823&lt;153,WeightSDS!M$25*$AM823^10+WeightSDS!N$25*$AM823^9+WeightSDS!O$25*$AM823^8+WeightSDS!P$25*$AM823^7+WeightSDS!Q$25*$AM823^6+WeightSDS!R$25*$AM823^5+WeightSDS!S$25*$AM823^4+WeightSDS!T$25*$AM823^3+WeightSDS!U$25*$AM823^2+WeightSDS!V$25*$AM823+WeightSDS!W$25,WeightSDS!M$27+WeightSDS!N$27/(1+EXP(WeightSDS!O$27+WeightSDS!P$27*$AM823)))),IF($AM823&lt;43.8,WeightSDS!M$29*$AM823^10+WeightSDS!N$29*$AM823^9+WeightSDS!O$29*$AM823^8+WeightSDS!P$29*$AM823^7+WeightSDS!Q$29*$AM823^6+WeightSDS!R$29*$AM823^5+WeightSDS!S$29*$AM823^4+WeightSDS!T$29*$AM823^3+WeightSDS!U$29*$AM823^2+WeightSDS!V$29*$AM823+WeightSDS!W$29-0.010431*(1-$AM823/210),IF($AM823&lt;123,WeightSDS!M$30*$AM823^10+WeightSDS!N$30*$AM823^9+WeightSDS!O$30*$AM823^8+WeightSDS!P$30*$AM823^7+WeightSDS!Q$30*$AM823^6+WeightSDS!R$30*$AM823^5+WeightSDS!S$30*$AM823^4+WeightSDS!T$30*$AM823^3+WeightSDS!U$30*$AM823^2+WeightSDS!V$30*$AM823+WeightSDS!W$30-0.010431*(1-1/$AM823),WeightSDS!M$32+WeightSDS!N$32/(1+EXP(WeightSDS!O$32+WeightSDS!P$32*$AM823))-0.010431*(1-$AM823/210))))</f>
        <v>2.9500001032655536</v>
      </c>
      <c r="AQ823" s="4">
        <f>IF(D823="M",IF($AM823&lt;162,WeightSDS!P$12*$AM823^7+WeightSDS!Q$12*$AM823^6+WeightSDS!R$12*$AM823^5+WeightSDS!S$12*$AM823^4+WeightSDS!T$12*$AM823^3+WeightSDS!U$12*$AM823^2+WeightSDS!V$12*$AM823+WeightSDS!W$12,WeightSDS!P$14*$AM823^7+WeightSDS!Q$14*$AM823^6+WeightSDS!R$14*$AM823^5+WeightSDS!S$14*$AM823^4+WeightSDS!T$14*$AM823^3+WeightSDS!U$14*$AM823^2+WeightSDS!V$14*$AM823+WeightSDS!W$14),IF($AM823&lt;156,WeightSDS!O$17*$AM823^8+WeightSDS!P$17*$AM823^7+WeightSDS!Q$17*$AM823^6+WeightSDS!R$17*$AM823^5+WeightSDS!S$17*$AM823^4+WeightSDS!T$17*$AM823^3+WeightSDS!U$17*$AM823^2+WeightSDS!V$17*$AM823+WeightSDS!W$17,IF($AM823&lt;186,WeightSDS!$U$18+(WeightSDS!$V$18-WeightSDS!$U$18)/24*($AM823-186)+WeightSDS!$W$18*(-$AM823+186)^2-0.005,WeightSDS!$U$18+(WeightSDS!$V$18-WeightSDS!$U$18)/24*($AM823-186)-0.005)))</f>
        <v>0.14604529399999999</v>
      </c>
      <c r="AT823" s="4">
        <f t="shared" si="259"/>
        <v>0.56299999999999994</v>
      </c>
      <c r="AU823" s="4">
        <f t="shared" si="260"/>
        <v>69</v>
      </c>
      <c r="AV823" s="4">
        <f t="shared" si="261"/>
        <v>0.51</v>
      </c>
    </row>
    <row r="824" spans="1:48" x14ac:dyDescent="0.15">
      <c r="A824" s="4"/>
      <c r="B824" s="21"/>
      <c r="C824" s="21"/>
      <c r="D824" s="21"/>
      <c r="E824" s="22"/>
      <c r="F824" s="22"/>
      <c r="G824" s="23"/>
      <c r="H824" s="23"/>
      <c r="I824" s="181"/>
      <c r="J824" s="8" t="str">
        <f t="shared" si="253"/>
        <v/>
      </c>
      <c r="K824" s="2" t="str">
        <f t="shared" si="262"/>
        <v/>
      </c>
      <c r="L824" s="2" t="str">
        <f t="shared" si="254"/>
        <v/>
      </c>
      <c r="M824" s="2" t="str">
        <f t="shared" si="263"/>
        <v/>
      </c>
      <c r="N824" s="2" t="str">
        <f t="shared" si="271"/>
        <v/>
      </c>
      <c r="O824" s="2" t="str">
        <f t="shared" si="264"/>
        <v/>
      </c>
      <c r="P824" s="8" t="str">
        <f t="shared" si="265"/>
        <v/>
      </c>
      <c r="Q824" s="8" t="str">
        <f t="shared" si="266"/>
        <v/>
      </c>
      <c r="R824" s="111" t="str">
        <f t="shared" si="267"/>
        <v/>
      </c>
      <c r="S824" s="44" t="str">
        <f t="shared" si="268"/>
        <v/>
      </c>
      <c r="T824" s="37" t="str">
        <f t="shared" si="269"/>
        <v/>
      </c>
      <c r="U824" s="44" t="str">
        <f t="shared" si="270"/>
        <v/>
      </c>
      <c r="V824" s="26"/>
      <c r="W824" s="26"/>
      <c r="X824" s="26"/>
      <c r="Y824" s="26"/>
      <c r="Z824" s="24"/>
      <c r="AA824" s="169">
        <f t="shared" si="255"/>
        <v>0</v>
      </c>
      <c r="AB824" s="4">
        <f t="shared" si="256"/>
        <v>0</v>
      </c>
      <c r="AC824" s="170">
        <f t="shared" si="273"/>
        <v>0</v>
      </c>
      <c r="AD824" s="58"/>
      <c r="AE824" s="58"/>
      <c r="AF824" s="58"/>
      <c r="AG824" s="59">
        <f t="shared" si="257"/>
        <v>9.0359999999999996</v>
      </c>
      <c r="AH824" s="59">
        <f t="shared" si="258"/>
        <v>-184.49199999999999</v>
      </c>
      <c r="AJ824" s="4">
        <f>IF(D824="M",IF(AM824&lt;78,BMILMS!$D$5*AM824^3+BMILMS!$E$5*AM824^2+BMILMS!$F$5*AM824+BMILMS!$G$5,IF(AM824&lt;150,BMILMS!$D$6*AM824^3+BMILMS!$E$6*AM824^2+BMILMS!$F$6*AM824+BMILMS!$G$6,BMILMS!$D$7*AM824^3+BMILMS!$E$7*AM824^2+BMILMS!$F$7*AM824+BMILMS!$G$7)),IF(AM824&lt;69,BMILMS!$D$9*AM824^3+BMILMS!$E$9*AM824^2+BMILMS!$F$9*AM824+BMILMS!$G$9,IF(AM824&lt;150,BMILMS!$D$10*AM824^3+BMILMS!$E$10*AM824^2+BMILMS!$F$10*AM824+BMILMS!$G$10,BMILMS!$D$11*AM824^3+BMILMS!$E$11*AM824^2+BMILMS!$F$11*AM824+BMILMS!$G$11)))</f>
        <v>0.79584630099999998</v>
      </c>
      <c r="AK824" s="4">
        <f>IF(D824="M",(IF(AM824&lt;2.5,BMILMS!$D$21*AM824^3+BMILMS!$E$21*AM824^2+BMILMS!$F$21*AM824+BMILMS!$G$21,IF(AM824&lt;9.5,BMILMS!$D$22*AM824^3+BMILMS!$E$22*AM824^2+BMILMS!$F$22*AM824+BMILMS!$G$22,IF(AM824&lt;26.75,BMILMS!$D$23*AM824^3+BMILMS!$E$23*AM824^2+BMILMS!$F$23*AM824+BMILMS!$G$23,IF(AM824&lt;90,BMILMS!$D$24*AM824^3+BMILMS!$E$24*AM824^2+BMILMS!$F$24*AM824+BMILMS!$G$24,BMILMS!$D$25*AM824^3+BMILMS!$E$25*AM824^2+BMILMS!$F$25*AM824+BMILMS!$G$25))))),(IF(AM824&lt;2.5,BMILMS!$D$27*AM824^3+BMILMS!$E$27*AM824^2+BMILMS!$F$27*AM824+BMILMS!$G$27,IF(AM824&lt;9.5,BMILMS!$D$28*AM824^3+BMILMS!$E$28*AM824^2+BMILMS!$F$28*AM824+BMILMS!$G$28,IF(AM824&lt;26.75,BMILMS!$D$29*AM824^3+BMILMS!$E$29*AM824^2+BMILMS!$F$29*AM824+BMILMS!$G$29,IF(AM824&lt;90,BMILMS!$D$30*AM824^3+BMILMS!$E$30*AM824^2+BMILMS!$F$30*AM824+BMILMS!$G$30,IF(AM824&lt;150,BMILMS!$D$31*AM824^3+BMILMS!$E$31*AM824^2+BMILMS!$F$31*AM824+BMILMS!$G$31,BMILMS!$D$32*AM824^3+BMILMS!$E$32*AM824^2+BMILMS!$F$32*AM824+BMILMS!$G$32)))))))</f>
        <v>12.568967990000001</v>
      </c>
      <c r="AL824" s="4">
        <f>IF(D824="M",(IF(AM824&lt;90,BMILMS!$D$14*AM824^3+BMILMS!$E$14*AM824^2+BMILMS!$F$14*AM824+BMILMS!$G$14,BMILMS!$D$15*AM824^3+BMILMS!$E$15*AM824^2+BMILMS!$F$15*AM824+BMILMS!$G$15)),(IF(AM824&lt;90,BMILMS!$D$17*AM824^3+BMILMS!$E$17*AM824^2+BMILMS!$F$17*AM824+BMILMS!$G$17,BMILMS!$D$18*AM824^3+BMILMS!$E$18*AM824^2+BMILMS!$F$18*AM824+BMILMS!$G$18)))</f>
        <v>8.8969350000000003E-2</v>
      </c>
      <c r="AM824" s="4">
        <f t="shared" si="272"/>
        <v>0</v>
      </c>
      <c r="AO824" s="56">
        <f>IF(D824="M",WeightSDS!P$5*$AM824^7+WeightSDS!Q$5*$AM824^6+WeightSDS!R$5*$AM824^5+WeightSDS!S$5*$AM824^4+WeightSDS!T$5*$AM824^3+WeightSDS!U$5*$AM824^2+WeightSDS!V$5*$AM824+WeightSDS!W$5,IF($AM824&lt;186,WeightSDS!P$8*$AM824^7+WeightSDS!Q$8*$AM824^6+WeightSDS!R$8*$AM824^5+WeightSDS!S$8*$AM824^4+WeightSDS!T$8*$AM824^3+WeightSDS!U$8*$AM824^2+WeightSDS!V$8*$AM824+WeightSDS!W$8,WeightSDS!$U$9+WeightSDS!$V$9*($AM824-WeightSDS!$W$9)))</f>
        <v>0.75407122999999998</v>
      </c>
      <c r="AP824" s="4">
        <f>IF(D824="M",IF($AM824&lt;45,WeightSDS!M$23*$AM824^10+WeightSDS!N$23*$AM824^9+WeightSDS!O$23*$AM824^8+WeightSDS!P$23*$AM824^7+WeightSDS!Q$23*$AM824^6+WeightSDS!R$23*$AM824^5+WeightSDS!S$23*$AM824^4+WeightSDS!T$23*$AM824^3+WeightSDS!U$23*$AM824^2+WeightSDS!V$23*$AM824+WeightSDS!W$23,IF($AM824&lt;153,WeightSDS!M$25*$AM824^10+WeightSDS!N$25*$AM824^9+WeightSDS!O$25*$AM824^8+WeightSDS!P$25*$AM824^7+WeightSDS!Q$25*$AM824^6+WeightSDS!R$25*$AM824^5+WeightSDS!S$25*$AM824^4+WeightSDS!T$25*$AM824^3+WeightSDS!U$25*$AM824^2+WeightSDS!V$25*$AM824+WeightSDS!W$25,WeightSDS!M$27+WeightSDS!N$27/(1+EXP(WeightSDS!O$27+WeightSDS!P$27*$AM824)))),IF($AM824&lt;43.8,WeightSDS!M$29*$AM824^10+WeightSDS!N$29*$AM824^9+WeightSDS!O$29*$AM824^8+WeightSDS!P$29*$AM824^7+WeightSDS!Q$29*$AM824^6+WeightSDS!R$29*$AM824^5+WeightSDS!S$29*$AM824^4+WeightSDS!T$29*$AM824^3+WeightSDS!U$29*$AM824^2+WeightSDS!V$29*$AM824+WeightSDS!W$29-0.010431*(1-$AM824/210),IF($AM824&lt;123,WeightSDS!M$30*$AM824^10+WeightSDS!N$30*$AM824^9+WeightSDS!O$30*$AM824^8+WeightSDS!P$30*$AM824^7+WeightSDS!Q$30*$AM824^6+WeightSDS!R$30*$AM824^5+WeightSDS!S$30*$AM824^4+WeightSDS!T$30*$AM824^3+WeightSDS!U$30*$AM824^2+WeightSDS!V$30*$AM824+WeightSDS!W$30-0.010431*(1-1/$AM824),WeightSDS!M$32+WeightSDS!N$32/(1+EXP(WeightSDS!O$32+WeightSDS!P$32*$AM824))-0.010431*(1-$AM824/210))))</f>
        <v>2.9500001032655536</v>
      </c>
      <c r="AQ824" s="4">
        <f>IF(D824="M",IF($AM824&lt;162,WeightSDS!P$12*$AM824^7+WeightSDS!Q$12*$AM824^6+WeightSDS!R$12*$AM824^5+WeightSDS!S$12*$AM824^4+WeightSDS!T$12*$AM824^3+WeightSDS!U$12*$AM824^2+WeightSDS!V$12*$AM824+WeightSDS!W$12,WeightSDS!P$14*$AM824^7+WeightSDS!Q$14*$AM824^6+WeightSDS!R$14*$AM824^5+WeightSDS!S$14*$AM824^4+WeightSDS!T$14*$AM824^3+WeightSDS!U$14*$AM824^2+WeightSDS!V$14*$AM824+WeightSDS!W$14),IF($AM824&lt;156,WeightSDS!O$17*$AM824^8+WeightSDS!P$17*$AM824^7+WeightSDS!Q$17*$AM824^6+WeightSDS!R$17*$AM824^5+WeightSDS!S$17*$AM824^4+WeightSDS!T$17*$AM824^3+WeightSDS!U$17*$AM824^2+WeightSDS!V$17*$AM824+WeightSDS!W$17,IF($AM824&lt;186,WeightSDS!$U$18+(WeightSDS!$V$18-WeightSDS!$U$18)/24*($AM824-186)+WeightSDS!$W$18*(-$AM824+186)^2-0.005,WeightSDS!$U$18+(WeightSDS!$V$18-WeightSDS!$U$18)/24*($AM824-186)-0.005)))</f>
        <v>0.14604529399999999</v>
      </c>
      <c r="AT824" s="4">
        <f t="shared" si="259"/>
        <v>0.56299999999999994</v>
      </c>
      <c r="AU824" s="4">
        <f t="shared" si="260"/>
        <v>69</v>
      </c>
      <c r="AV824" s="4">
        <f t="shared" si="261"/>
        <v>0.51</v>
      </c>
    </row>
    <row r="825" spans="1:48" x14ac:dyDescent="0.15">
      <c r="A825" s="4"/>
      <c r="B825" s="21"/>
      <c r="C825" s="21"/>
      <c r="D825" s="21"/>
      <c r="E825" s="22"/>
      <c r="F825" s="22"/>
      <c r="G825" s="23"/>
      <c r="H825" s="23"/>
      <c r="I825" s="181"/>
      <c r="J825" s="8" t="str">
        <f t="shared" si="253"/>
        <v/>
      </c>
      <c r="K825" s="2" t="str">
        <f t="shared" si="262"/>
        <v/>
      </c>
      <c r="L825" s="2" t="str">
        <f t="shared" si="254"/>
        <v/>
      </c>
      <c r="M825" s="2" t="str">
        <f t="shared" si="263"/>
        <v/>
      </c>
      <c r="N825" s="2" t="str">
        <f t="shared" si="271"/>
        <v/>
      </c>
      <c r="O825" s="2" t="str">
        <f t="shared" si="264"/>
        <v/>
      </c>
      <c r="P825" s="8" t="str">
        <f t="shared" si="265"/>
        <v/>
      </c>
      <c r="Q825" s="8" t="str">
        <f t="shared" si="266"/>
        <v/>
      </c>
      <c r="R825" s="111" t="str">
        <f t="shared" si="267"/>
        <v/>
      </c>
      <c r="S825" s="44" t="str">
        <f t="shared" si="268"/>
        <v/>
      </c>
      <c r="T825" s="37" t="str">
        <f t="shared" si="269"/>
        <v/>
      </c>
      <c r="U825" s="44" t="str">
        <f t="shared" si="270"/>
        <v/>
      </c>
      <c r="V825" s="26"/>
      <c r="W825" s="26"/>
      <c r="X825" s="26"/>
      <c r="Y825" s="26"/>
      <c r="Z825" s="24"/>
      <c r="AA825" s="169">
        <f t="shared" si="255"/>
        <v>0</v>
      </c>
      <c r="AB825" s="4">
        <f t="shared" si="256"/>
        <v>0</v>
      </c>
      <c r="AC825" s="170">
        <f t="shared" si="273"/>
        <v>0</v>
      </c>
      <c r="AD825" s="58"/>
      <c r="AE825" s="58"/>
      <c r="AF825" s="58"/>
      <c r="AG825" s="59">
        <f t="shared" si="257"/>
        <v>9.0359999999999996</v>
      </c>
      <c r="AH825" s="59">
        <f t="shared" si="258"/>
        <v>-184.49199999999999</v>
      </c>
      <c r="AJ825" s="4">
        <f>IF(D825="M",IF(AM825&lt;78,BMILMS!$D$5*AM825^3+BMILMS!$E$5*AM825^2+BMILMS!$F$5*AM825+BMILMS!$G$5,IF(AM825&lt;150,BMILMS!$D$6*AM825^3+BMILMS!$E$6*AM825^2+BMILMS!$F$6*AM825+BMILMS!$G$6,BMILMS!$D$7*AM825^3+BMILMS!$E$7*AM825^2+BMILMS!$F$7*AM825+BMILMS!$G$7)),IF(AM825&lt;69,BMILMS!$D$9*AM825^3+BMILMS!$E$9*AM825^2+BMILMS!$F$9*AM825+BMILMS!$G$9,IF(AM825&lt;150,BMILMS!$D$10*AM825^3+BMILMS!$E$10*AM825^2+BMILMS!$F$10*AM825+BMILMS!$G$10,BMILMS!$D$11*AM825^3+BMILMS!$E$11*AM825^2+BMILMS!$F$11*AM825+BMILMS!$G$11)))</f>
        <v>0.79584630099999998</v>
      </c>
      <c r="AK825" s="4">
        <f>IF(D825="M",(IF(AM825&lt;2.5,BMILMS!$D$21*AM825^3+BMILMS!$E$21*AM825^2+BMILMS!$F$21*AM825+BMILMS!$G$21,IF(AM825&lt;9.5,BMILMS!$D$22*AM825^3+BMILMS!$E$22*AM825^2+BMILMS!$F$22*AM825+BMILMS!$G$22,IF(AM825&lt;26.75,BMILMS!$D$23*AM825^3+BMILMS!$E$23*AM825^2+BMILMS!$F$23*AM825+BMILMS!$G$23,IF(AM825&lt;90,BMILMS!$D$24*AM825^3+BMILMS!$E$24*AM825^2+BMILMS!$F$24*AM825+BMILMS!$G$24,BMILMS!$D$25*AM825^3+BMILMS!$E$25*AM825^2+BMILMS!$F$25*AM825+BMILMS!$G$25))))),(IF(AM825&lt;2.5,BMILMS!$D$27*AM825^3+BMILMS!$E$27*AM825^2+BMILMS!$F$27*AM825+BMILMS!$G$27,IF(AM825&lt;9.5,BMILMS!$D$28*AM825^3+BMILMS!$E$28*AM825^2+BMILMS!$F$28*AM825+BMILMS!$G$28,IF(AM825&lt;26.75,BMILMS!$D$29*AM825^3+BMILMS!$E$29*AM825^2+BMILMS!$F$29*AM825+BMILMS!$G$29,IF(AM825&lt;90,BMILMS!$D$30*AM825^3+BMILMS!$E$30*AM825^2+BMILMS!$F$30*AM825+BMILMS!$G$30,IF(AM825&lt;150,BMILMS!$D$31*AM825^3+BMILMS!$E$31*AM825^2+BMILMS!$F$31*AM825+BMILMS!$G$31,BMILMS!$D$32*AM825^3+BMILMS!$E$32*AM825^2+BMILMS!$F$32*AM825+BMILMS!$G$32)))))))</f>
        <v>12.568967990000001</v>
      </c>
      <c r="AL825" s="4">
        <f>IF(D825="M",(IF(AM825&lt;90,BMILMS!$D$14*AM825^3+BMILMS!$E$14*AM825^2+BMILMS!$F$14*AM825+BMILMS!$G$14,BMILMS!$D$15*AM825^3+BMILMS!$E$15*AM825^2+BMILMS!$F$15*AM825+BMILMS!$G$15)),(IF(AM825&lt;90,BMILMS!$D$17*AM825^3+BMILMS!$E$17*AM825^2+BMILMS!$F$17*AM825+BMILMS!$G$17,BMILMS!$D$18*AM825^3+BMILMS!$E$18*AM825^2+BMILMS!$F$18*AM825+BMILMS!$G$18)))</f>
        <v>8.8969350000000003E-2</v>
      </c>
      <c r="AM825" s="4">
        <f t="shared" si="272"/>
        <v>0</v>
      </c>
      <c r="AO825" s="56">
        <f>IF(D825="M",WeightSDS!P$5*$AM825^7+WeightSDS!Q$5*$AM825^6+WeightSDS!R$5*$AM825^5+WeightSDS!S$5*$AM825^4+WeightSDS!T$5*$AM825^3+WeightSDS!U$5*$AM825^2+WeightSDS!V$5*$AM825+WeightSDS!W$5,IF($AM825&lt;186,WeightSDS!P$8*$AM825^7+WeightSDS!Q$8*$AM825^6+WeightSDS!R$8*$AM825^5+WeightSDS!S$8*$AM825^4+WeightSDS!T$8*$AM825^3+WeightSDS!U$8*$AM825^2+WeightSDS!V$8*$AM825+WeightSDS!W$8,WeightSDS!$U$9+WeightSDS!$V$9*($AM825-WeightSDS!$W$9)))</f>
        <v>0.75407122999999998</v>
      </c>
      <c r="AP825" s="4">
        <f>IF(D825="M",IF($AM825&lt;45,WeightSDS!M$23*$AM825^10+WeightSDS!N$23*$AM825^9+WeightSDS!O$23*$AM825^8+WeightSDS!P$23*$AM825^7+WeightSDS!Q$23*$AM825^6+WeightSDS!R$23*$AM825^5+WeightSDS!S$23*$AM825^4+WeightSDS!T$23*$AM825^3+WeightSDS!U$23*$AM825^2+WeightSDS!V$23*$AM825+WeightSDS!W$23,IF($AM825&lt;153,WeightSDS!M$25*$AM825^10+WeightSDS!N$25*$AM825^9+WeightSDS!O$25*$AM825^8+WeightSDS!P$25*$AM825^7+WeightSDS!Q$25*$AM825^6+WeightSDS!R$25*$AM825^5+WeightSDS!S$25*$AM825^4+WeightSDS!T$25*$AM825^3+WeightSDS!U$25*$AM825^2+WeightSDS!V$25*$AM825+WeightSDS!W$25,WeightSDS!M$27+WeightSDS!N$27/(1+EXP(WeightSDS!O$27+WeightSDS!P$27*$AM825)))),IF($AM825&lt;43.8,WeightSDS!M$29*$AM825^10+WeightSDS!N$29*$AM825^9+WeightSDS!O$29*$AM825^8+WeightSDS!P$29*$AM825^7+WeightSDS!Q$29*$AM825^6+WeightSDS!R$29*$AM825^5+WeightSDS!S$29*$AM825^4+WeightSDS!T$29*$AM825^3+WeightSDS!U$29*$AM825^2+WeightSDS!V$29*$AM825+WeightSDS!W$29-0.010431*(1-$AM825/210),IF($AM825&lt;123,WeightSDS!M$30*$AM825^10+WeightSDS!N$30*$AM825^9+WeightSDS!O$30*$AM825^8+WeightSDS!P$30*$AM825^7+WeightSDS!Q$30*$AM825^6+WeightSDS!R$30*$AM825^5+WeightSDS!S$30*$AM825^4+WeightSDS!T$30*$AM825^3+WeightSDS!U$30*$AM825^2+WeightSDS!V$30*$AM825+WeightSDS!W$30-0.010431*(1-1/$AM825),WeightSDS!M$32+WeightSDS!N$32/(1+EXP(WeightSDS!O$32+WeightSDS!P$32*$AM825))-0.010431*(1-$AM825/210))))</f>
        <v>2.9500001032655536</v>
      </c>
      <c r="AQ825" s="4">
        <f>IF(D825="M",IF($AM825&lt;162,WeightSDS!P$12*$AM825^7+WeightSDS!Q$12*$AM825^6+WeightSDS!R$12*$AM825^5+WeightSDS!S$12*$AM825^4+WeightSDS!T$12*$AM825^3+WeightSDS!U$12*$AM825^2+WeightSDS!V$12*$AM825+WeightSDS!W$12,WeightSDS!P$14*$AM825^7+WeightSDS!Q$14*$AM825^6+WeightSDS!R$14*$AM825^5+WeightSDS!S$14*$AM825^4+WeightSDS!T$14*$AM825^3+WeightSDS!U$14*$AM825^2+WeightSDS!V$14*$AM825+WeightSDS!W$14),IF($AM825&lt;156,WeightSDS!O$17*$AM825^8+WeightSDS!P$17*$AM825^7+WeightSDS!Q$17*$AM825^6+WeightSDS!R$17*$AM825^5+WeightSDS!S$17*$AM825^4+WeightSDS!T$17*$AM825^3+WeightSDS!U$17*$AM825^2+WeightSDS!V$17*$AM825+WeightSDS!W$17,IF($AM825&lt;186,WeightSDS!$U$18+(WeightSDS!$V$18-WeightSDS!$U$18)/24*($AM825-186)+WeightSDS!$W$18*(-$AM825+186)^2-0.005,WeightSDS!$U$18+(WeightSDS!$V$18-WeightSDS!$U$18)/24*($AM825-186)-0.005)))</f>
        <v>0.14604529399999999</v>
      </c>
      <c r="AT825" s="4">
        <f t="shared" si="259"/>
        <v>0.56299999999999994</v>
      </c>
      <c r="AU825" s="4">
        <f t="shared" si="260"/>
        <v>69</v>
      </c>
      <c r="AV825" s="4">
        <f t="shared" si="261"/>
        <v>0.51</v>
      </c>
    </row>
    <row r="826" spans="1:48" x14ac:dyDescent="0.15">
      <c r="A826" s="4"/>
      <c r="B826" s="21"/>
      <c r="C826" s="21"/>
      <c r="D826" s="21"/>
      <c r="E826" s="22"/>
      <c r="F826" s="22"/>
      <c r="G826" s="23"/>
      <c r="H826" s="23"/>
      <c r="I826" s="181"/>
      <c r="J826" s="8" t="str">
        <f t="shared" si="253"/>
        <v/>
      </c>
      <c r="K826" s="2" t="str">
        <f t="shared" si="262"/>
        <v/>
      </c>
      <c r="L826" s="2" t="str">
        <f t="shared" si="254"/>
        <v/>
      </c>
      <c r="M826" s="2" t="str">
        <f t="shared" si="263"/>
        <v/>
      </c>
      <c r="N826" s="2" t="str">
        <f t="shared" si="271"/>
        <v/>
      </c>
      <c r="O826" s="2" t="str">
        <f t="shared" si="264"/>
        <v/>
      </c>
      <c r="P826" s="8" t="str">
        <f t="shared" si="265"/>
        <v/>
      </c>
      <c r="Q826" s="8" t="str">
        <f t="shared" si="266"/>
        <v/>
      </c>
      <c r="R826" s="111" t="str">
        <f t="shared" si="267"/>
        <v/>
      </c>
      <c r="S826" s="44" t="str">
        <f t="shared" si="268"/>
        <v/>
      </c>
      <c r="T826" s="37" t="str">
        <f t="shared" si="269"/>
        <v/>
      </c>
      <c r="U826" s="44" t="str">
        <f t="shared" si="270"/>
        <v/>
      </c>
      <c r="V826" s="26"/>
      <c r="W826" s="26"/>
      <c r="X826" s="26"/>
      <c r="Y826" s="26"/>
      <c r="Z826" s="24"/>
      <c r="AA826" s="169">
        <f t="shared" si="255"/>
        <v>0</v>
      </c>
      <c r="AB826" s="4">
        <f t="shared" si="256"/>
        <v>0</v>
      </c>
      <c r="AC826" s="170">
        <f t="shared" si="273"/>
        <v>0</v>
      </c>
      <c r="AD826" s="58"/>
      <c r="AE826" s="58"/>
      <c r="AF826" s="58"/>
      <c r="AG826" s="59">
        <f t="shared" si="257"/>
        <v>9.0359999999999996</v>
      </c>
      <c r="AH826" s="59">
        <f t="shared" si="258"/>
        <v>-184.49199999999999</v>
      </c>
      <c r="AJ826" s="4">
        <f>IF(D826="M",IF(AM826&lt;78,BMILMS!$D$5*AM826^3+BMILMS!$E$5*AM826^2+BMILMS!$F$5*AM826+BMILMS!$G$5,IF(AM826&lt;150,BMILMS!$D$6*AM826^3+BMILMS!$E$6*AM826^2+BMILMS!$F$6*AM826+BMILMS!$G$6,BMILMS!$D$7*AM826^3+BMILMS!$E$7*AM826^2+BMILMS!$F$7*AM826+BMILMS!$G$7)),IF(AM826&lt;69,BMILMS!$D$9*AM826^3+BMILMS!$E$9*AM826^2+BMILMS!$F$9*AM826+BMILMS!$G$9,IF(AM826&lt;150,BMILMS!$D$10*AM826^3+BMILMS!$E$10*AM826^2+BMILMS!$F$10*AM826+BMILMS!$G$10,BMILMS!$D$11*AM826^3+BMILMS!$E$11*AM826^2+BMILMS!$F$11*AM826+BMILMS!$G$11)))</f>
        <v>0.79584630099999998</v>
      </c>
      <c r="AK826" s="4">
        <f>IF(D826="M",(IF(AM826&lt;2.5,BMILMS!$D$21*AM826^3+BMILMS!$E$21*AM826^2+BMILMS!$F$21*AM826+BMILMS!$G$21,IF(AM826&lt;9.5,BMILMS!$D$22*AM826^3+BMILMS!$E$22*AM826^2+BMILMS!$F$22*AM826+BMILMS!$G$22,IF(AM826&lt;26.75,BMILMS!$D$23*AM826^3+BMILMS!$E$23*AM826^2+BMILMS!$F$23*AM826+BMILMS!$G$23,IF(AM826&lt;90,BMILMS!$D$24*AM826^3+BMILMS!$E$24*AM826^2+BMILMS!$F$24*AM826+BMILMS!$G$24,BMILMS!$D$25*AM826^3+BMILMS!$E$25*AM826^2+BMILMS!$F$25*AM826+BMILMS!$G$25))))),(IF(AM826&lt;2.5,BMILMS!$D$27*AM826^3+BMILMS!$E$27*AM826^2+BMILMS!$F$27*AM826+BMILMS!$G$27,IF(AM826&lt;9.5,BMILMS!$D$28*AM826^3+BMILMS!$E$28*AM826^2+BMILMS!$F$28*AM826+BMILMS!$G$28,IF(AM826&lt;26.75,BMILMS!$D$29*AM826^3+BMILMS!$E$29*AM826^2+BMILMS!$F$29*AM826+BMILMS!$G$29,IF(AM826&lt;90,BMILMS!$D$30*AM826^3+BMILMS!$E$30*AM826^2+BMILMS!$F$30*AM826+BMILMS!$G$30,IF(AM826&lt;150,BMILMS!$D$31*AM826^3+BMILMS!$E$31*AM826^2+BMILMS!$F$31*AM826+BMILMS!$G$31,BMILMS!$D$32*AM826^3+BMILMS!$E$32*AM826^2+BMILMS!$F$32*AM826+BMILMS!$G$32)))))))</f>
        <v>12.568967990000001</v>
      </c>
      <c r="AL826" s="4">
        <f>IF(D826="M",(IF(AM826&lt;90,BMILMS!$D$14*AM826^3+BMILMS!$E$14*AM826^2+BMILMS!$F$14*AM826+BMILMS!$G$14,BMILMS!$D$15*AM826^3+BMILMS!$E$15*AM826^2+BMILMS!$F$15*AM826+BMILMS!$G$15)),(IF(AM826&lt;90,BMILMS!$D$17*AM826^3+BMILMS!$E$17*AM826^2+BMILMS!$F$17*AM826+BMILMS!$G$17,BMILMS!$D$18*AM826^3+BMILMS!$E$18*AM826^2+BMILMS!$F$18*AM826+BMILMS!$G$18)))</f>
        <v>8.8969350000000003E-2</v>
      </c>
      <c r="AM826" s="4">
        <f t="shared" si="272"/>
        <v>0</v>
      </c>
      <c r="AO826" s="56">
        <f>IF(D826="M",WeightSDS!P$5*$AM826^7+WeightSDS!Q$5*$AM826^6+WeightSDS!R$5*$AM826^5+WeightSDS!S$5*$AM826^4+WeightSDS!T$5*$AM826^3+WeightSDS!U$5*$AM826^2+WeightSDS!V$5*$AM826+WeightSDS!W$5,IF($AM826&lt;186,WeightSDS!P$8*$AM826^7+WeightSDS!Q$8*$AM826^6+WeightSDS!R$8*$AM826^5+WeightSDS!S$8*$AM826^4+WeightSDS!T$8*$AM826^3+WeightSDS!U$8*$AM826^2+WeightSDS!V$8*$AM826+WeightSDS!W$8,WeightSDS!$U$9+WeightSDS!$V$9*($AM826-WeightSDS!$W$9)))</f>
        <v>0.75407122999999998</v>
      </c>
      <c r="AP826" s="4">
        <f>IF(D826="M",IF($AM826&lt;45,WeightSDS!M$23*$AM826^10+WeightSDS!N$23*$AM826^9+WeightSDS!O$23*$AM826^8+WeightSDS!P$23*$AM826^7+WeightSDS!Q$23*$AM826^6+WeightSDS!R$23*$AM826^5+WeightSDS!S$23*$AM826^4+WeightSDS!T$23*$AM826^3+WeightSDS!U$23*$AM826^2+WeightSDS!V$23*$AM826+WeightSDS!W$23,IF($AM826&lt;153,WeightSDS!M$25*$AM826^10+WeightSDS!N$25*$AM826^9+WeightSDS!O$25*$AM826^8+WeightSDS!P$25*$AM826^7+WeightSDS!Q$25*$AM826^6+WeightSDS!R$25*$AM826^5+WeightSDS!S$25*$AM826^4+WeightSDS!T$25*$AM826^3+WeightSDS!U$25*$AM826^2+WeightSDS!V$25*$AM826+WeightSDS!W$25,WeightSDS!M$27+WeightSDS!N$27/(1+EXP(WeightSDS!O$27+WeightSDS!P$27*$AM826)))),IF($AM826&lt;43.8,WeightSDS!M$29*$AM826^10+WeightSDS!N$29*$AM826^9+WeightSDS!O$29*$AM826^8+WeightSDS!P$29*$AM826^7+WeightSDS!Q$29*$AM826^6+WeightSDS!R$29*$AM826^5+WeightSDS!S$29*$AM826^4+WeightSDS!T$29*$AM826^3+WeightSDS!U$29*$AM826^2+WeightSDS!V$29*$AM826+WeightSDS!W$29-0.010431*(1-$AM826/210),IF($AM826&lt;123,WeightSDS!M$30*$AM826^10+WeightSDS!N$30*$AM826^9+WeightSDS!O$30*$AM826^8+WeightSDS!P$30*$AM826^7+WeightSDS!Q$30*$AM826^6+WeightSDS!R$30*$AM826^5+WeightSDS!S$30*$AM826^4+WeightSDS!T$30*$AM826^3+WeightSDS!U$30*$AM826^2+WeightSDS!V$30*$AM826+WeightSDS!W$30-0.010431*(1-1/$AM826),WeightSDS!M$32+WeightSDS!N$32/(1+EXP(WeightSDS!O$32+WeightSDS!P$32*$AM826))-0.010431*(1-$AM826/210))))</f>
        <v>2.9500001032655536</v>
      </c>
      <c r="AQ826" s="4">
        <f>IF(D826="M",IF($AM826&lt;162,WeightSDS!P$12*$AM826^7+WeightSDS!Q$12*$AM826^6+WeightSDS!R$12*$AM826^5+WeightSDS!S$12*$AM826^4+WeightSDS!T$12*$AM826^3+WeightSDS!U$12*$AM826^2+WeightSDS!V$12*$AM826+WeightSDS!W$12,WeightSDS!P$14*$AM826^7+WeightSDS!Q$14*$AM826^6+WeightSDS!R$14*$AM826^5+WeightSDS!S$14*$AM826^4+WeightSDS!T$14*$AM826^3+WeightSDS!U$14*$AM826^2+WeightSDS!V$14*$AM826+WeightSDS!W$14),IF($AM826&lt;156,WeightSDS!O$17*$AM826^8+WeightSDS!P$17*$AM826^7+WeightSDS!Q$17*$AM826^6+WeightSDS!R$17*$AM826^5+WeightSDS!S$17*$AM826^4+WeightSDS!T$17*$AM826^3+WeightSDS!U$17*$AM826^2+WeightSDS!V$17*$AM826+WeightSDS!W$17,IF($AM826&lt;186,WeightSDS!$U$18+(WeightSDS!$V$18-WeightSDS!$U$18)/24*($AM826-186)+WeightSDS!$W$18*(-$AM826+186)^2-0.005,WeightSDS!$U$18+(WeightSDS!$V$18-WeightSDS!$U$18)/24*($AM826-186)-0.005)))</f>
        <v>0.14604529399999999</v>
      </c>
      <c r="AT826" s="4">
        <f t="shared" si="259"/>
        <v>0.56299999999999994</v>
      </c>
      <c r="AU826" s="4">
        <f t="shared" si="260"/>
        <v>69</v>
      </c>
      <c r="AV826" s="4">
        <f t="shared" si="261"/>
        <v>0.51</v>
      </c>
    </row>
    <row r="827" spans="1:48" x14ac:dyDescent="0.15">
      <c r="A827" s="4"/>
      <c r="B827" s="21"/>
      <c r="C827" s="21"/>
      <c r="D827" s="21"/>
      <c r="E827" s="22"/>
      <c r="F827" s="22"/>
      <c r="G827" s="23"/>
      <c r="H827" s="23"/>
      <c r="I827" s="181"/>
      <c r="J827" s="8" t="str">
        <f t="shared" si="253"/>
        <v/>
      </c>
      <c r="K827" s="2" t="str">
        <f t="shared" si="262"/>
        <v/>
      </c>
      <c r="L827" s="2" t="str">
        <f t="shared" si="254"/>
        <v/>
      </c>
      <c r="M827" s="2" t="str">
        <f t="shared" si="263"/>
        <v/>
      </c>
      <c r="N827" s="2" t="str">
        <f t="shared" si="271"/>
        <v/>
      </c>
      <c r="O827" s="2" t="str">
        <f t="shared" si="264"/>
        <v/>
      </c>
      <c r="P827" s="8" t="str">
        <f t="shared" si="265"/>
        <v/>
      </c>
      <c r="Q827" s="8" t="str">
        <f t="shared" si="266"/>
        <v/>
      </c>
      <c r="R827" s="111" t="str">
        <f t="shared" si="267"/>
        <v/>
      </c>
      <c r="S827" s="44" t="str">
        <f t="shared" si="268"/>
        <v/>
      </c>
      <c r="T827" s="37" t="str">
        <f t="shared" si="269"/>
        <v/>
      </c>
      <c r="U827" s="44" t="str">
        <f t="shared" si="270"/>
        <v/>
      </c>
      <c r="V827" s="26"/>
      <c r="W827" s="26"/>
      <c r="X827" s="26"/>
      <c r="Y827" s="26"/>
      <c r="Z827" s="24"/>
      <c r="AA827" s="169">
        <f t="shared" si="255"/>
        <v>0</v>
      </c>
      <c r="AB827" s="4">
        <f t="shared" si="256"/>
        <v>0</v>
      </c>
      <c r="AC827" s="170">
        <f t="shared" si="273"/>
        <v>0</v>
      </c>
      <c r="AD827" s="58"/>
      <c r="AE827" s="58"/>
      <c r="AF827" s="58"/>
      <c r="AG827" s="59">
        <f t="shared" si="257"/>
        <v>9.0359999999999996</v>
      </c>
      <c r="AH827" s="59">
        <f t="shared" si="258"/>
        <v>-184.49199999999999</v>
      </c>
      <c r="AJ827" s="4">
        <f>IF(D827="M",IF(AM827&lt;78,BMILMS!$D$5*AM827^3+BMILMS!$E$5*AM827^2+BMILMS!$F$5*AM827+BMILMS!$G$5,IF(AM827&lt;150,BMILMS!$D$6*AM827^3+BMILMS!$E$6*AM827^2+BMILMS!$F$6*AM827+BMILMS!$G$6,BMILMS!$D$7*AM827^3+BMILMS!$E$7*AM827^2+BMILMS!$F$7*AM827+BMILMS!$G$7)),IF(AM827&lt;69,BMILMS!$D$9*AM827^3+BMILMS!$E$9*AM827^2+BMILMS!$F$9*AM827+BMILMS!$G$9,IF(AM827&lt;150,BMILMS!$D$10*AM827^3+BMILMS!$E$10*AM827^2+BMILMS!$F$10*AM827+BMILMS!$G$10,BMILMS!$D$11*AM827^3+BMILMS!$E$11*AM827^2+BMILMS!$F$11*AM827+BMILMS!$G$11)))</f>
        <v>0.79584630099999998</v>
      </c>
      <c r="AK827" s="4">
        <f>IF(D827="M",(IF(AM827&lt;2.5,BMILMS!$D$21*AM827^3+BMILMS!$E$21*AM827^2+BMILMS!$F$21*AM827+BMILMS!$G$21,IF(AM827&lt;9.5,BMILMS!$D$22*AM827^3+BMILMS!$E$22*AM827^2+BMILMS!$F$22*AM827+BMILMS!$G$22,IF(AM827&lt;26.75,BMILMS!$D$23*AM827^3+BMILMS!$E$23*AM827^2+BMILMS!$F$23*AM827+BMILMS!$G$23,IF(AM827&lt;90,BMILMS!$D$24*AM827^3+BMILMS!$E$24*AM827^2+BMILMS!$F$24*AM827+BMILMS!$G$24,BMILMS!$D$25*AM827^3+BMILMS!$E$25*AM827^2+BMILMS!$F$25*AM827+BMILMS!$G$25))))),(IF(AM827&lt;2.5,BMILMS!$D$27*AM827^3+BMILMS!$E$27*AM827^2+BMILMS!$F$27*AM827+BMILMS!$G$27,IF(AM827&lt;9.5,BMILMS!$D$28*AM827^3+BMILMS!$E$28*AM827^2+BMILMS!$F$28*AM827+BMILMS!$G$28,IF(AM827&lt;26.75,BMILMS!$D$29*AM827^3+BMILMS!$E$29*AM827^2+BMILMS!$F$29*AM827+BMILMS!$G$29,IF(AM827&lt;90,BMILMS!$D$30*AM827^3+BMILMS!$E$30*AM827^2+BMILMS!$F$30*AM827+BMILMS!$G$30,IF(AM827&lt;150,BMILMS!$D$31*AM827^3+BMILMS!$E$31*AM827^2+BMILMS!$F$31*AM827+BMILMS!$G$31,BMILMS!$D$32*AM827^3+BMILMS!$E$32*AM827^2+BMILMS!$F$32*AM827+BMILMS!$G$32)))))))</f>
        <v>12.568967990000001</v>
      </c>
      <c r="AL827" s="4">
        <f>IF(D827="M",(IF(AM827&lt;90,BMILMS!$D$14*AM827^3+BMILMS!$E$14*AM827^2+BMILMS!$F$14*AM827+BMILMS!$G$14,BMILMS!$D$15*AM827^3+BMILMS!$E$15*AM827^2+BMILMS!$F$15*AM827+BMILMS!$G$15)),(IF(AM827&lt;90,BMILMS!$D$17*AM827^3+BMILMS!$E$17*AM827^2+BMILMS!$F$17*AM827+BMILMS!$G$17,BMILMS!$D$18*AM827^3+BMILMS!$E$18*AM827^2+BMILMS!$F$18*AM827+BMILMS!$G$18)))</f>
        <v>8.8969350000000003E-2</v>
      </c>
      <c r="AM827" s="4">
        <f t="shared" si="272"/>
        <v>0</v>
      </c>
      <c r="AO827" s="56">
        <f>IF(D827="M",WeightSDS!P$5*$AM827^7+WeightSDS!Q$5*$AM827^6+WeightSDS!R$5*$AM827^5+WeightSDS!S$5*$AM827^4+WeightSDS!T$5*$AM827^3+WeightSDS!U$5*$AM827^2+WeightSDS!V$5*$AM827+WeightSDS!W$5,IF($AM827&lt;186,WeightSDS!P$8*$AM827^7+WeightSDS!Q$8*$AM827^6+WeightSDS!R$8*$AM827^5+WeightSDS!S$8*$AM827^4+WeightSDS!T$8*$AM827^3+WeightSDS!U$8*$AM827^2+WeightSDS!V$8*$AM827+WeightSDS!W$8,WeightSDS!$U$9+WeightSDS!$V$9*($AM827-WeightSDS!$W$9)))</f>
        <v>0.75407122999999998</v>
      </c>
      <c r="AP827" s="4">
        <f>IF(D827="M",IF($AM827&lt;45,WeightSDS!M$23*$AM827^10+WeightSDS!N$23*$AM827^9+WeightSDS!O$23*$AM827^8+WeightSDS!P$23*$AM827^7+WeightSDS!Q$23*$AM827^6+WeightSDS!R$23*$AM827^5+WeightSDS!S$23*$AM827^4+WeightSDS!T$23*$AM827^3+WeightSDS!U$23*$AM827^2+WeightSDS!V$23*$AM827+WeightSDS!W$23,IF($AM827&lt;153,WeightSDS!M$25*$AM827^10+WeightSDS!N$25*$AM827^9+WeightSDS!O$25*$AM827^8+WeightSDS!P$25*$AM827^7+WeightSDS!Q$25*$AM827^6+WeightSDS!R$25*$AM827^5+WeightSDS!S$25*$AM827^4+WeightSDS!T$25*$AM827^3+WeightSDS!U$25*$AM827^2+WeightSDS!V$25*$AM827+WeightSDS!W$25,WeightSDS!M$27+WeightSDS!N$27/(1+EXP(WeightSDS!O$27+WeightSDS!P$27*$AM827)))),IF($AM827&lt;43.8,WeightSDS!M$29*$AM827^10+WeightSDS!N$29*$AM827^9+WeightSDS!O$29*$AM827^8+WeightSDS!P$29*$AM827^7+WeightSDS!Q$29*$AM827^6+WeightSDS!R$29*$AM827^5+WeightSDS!S$29*$AM827^4+WeightSDS!T$29*$AM827^3+WeightSDS!U$29*$AM827^2+WeightSDS!V$29*$AM827+WeightSDS!W$29-0.010431*(1-$AM827/210),IF($AM827&lt;123,WeightSDS!M$30*$AM827^10+WeightSDS!N$30*$AM827^9+WeightSDS!O$30*$AM827^8+WeightSDS!P$30*$AM827^7+WeightSDS!Q$30*$AM827^6+WeightSDS!R$30*$AM827^5+WeightSDS!S$30*$AM827^4+WeightSDS!T$30*$AM827^3+WeightSDS!U$30*$AM827^2+WeightSDS!V$30*$AM827+WeightSDS!W$30-0.010431*(1-1/$AM827),WeightSDS!M$32+WeightSDS!N$32/(1+EXP(WeightSDS!O$32+WeightSDS!P$32*$AM827))-0.010431*(1-$AM827/210))))</f>
        <v>2.9500001032655536</v>
      </c>
      <c r="AQ827" s="4">
        <f>IF(D827="M",IF($AM827&lt;162,WeightSDS!P$12*$AM827^7+WeightSDS!Q$12*$AM827^6+WeightSDS!R$12*$AM827^5+WeightSDS!S$12*$AM827^4+WeightSDS!T$12*$AM827^3+WeightSDS!U$12*$AM827^2+WeightSDS!V$12*$AM827+WeightSDS!W$12,WeightSDS!P$14*$AM827^7+WeightSDS!Q$14*$AM827^6+WeightSDS!R$14*$AM827^5+WeightSDS!S$14*$AM827^4+WeightSDS!T$14*$AM827^3+WeightSDS!U$14*$AM827^2+WeightSDS!V$14*$AM827+WeightSDS!W$14),IF($AM827&lt;156,WeightSDS!O$17*$AM827^8+WeightSDS!P$17*$AM827^7+WeightSDS!Q$17*$AM827^6+WeightSDS!R$17*$AM827^5+WeightSDS!S$17*$AM827^4+WeightSDS!T$17*$AM827^3+WeightSDS!U$17*$AM827^2+WeightSDS!V$17*$AM827+WeightSDS!W$17,IF($AM827&lt;186,WeightSDS!$U$18+(WeightSDS!$V$18-WeightSDS!$U$18)/24*($AM827-186)+WeightSDS!$W$18*(-$AM827+186)^2-0.005,WeightSDS!$U$18+(WeightSDS!$V$18-WeightSDS!$U$18)/24*($AM827-186)-0.005)))</f>
        <v>0.14604529399999999</v>
      </c>
      <c r="AT827" s="4">
        <f t="shared" si="259"/>
        <v>0.56299999999999994</v>
      </c>
      <c r="AU827" s="4">
        <f t="shared" si="260"/>
        <v>69</v>
      </c>
      <c r="AV827" s="4">
        <f t="shared" si="261"/>
        <v>0.51</v>
      </c>
    </row>
    <row r="828" spans="1:48" x14ac:dyDescent="0.15">
      <c r="A828" s="4"/>
      <c r="B828" s="21"/>
      <c r="C828" s="21"/>
      <c r="D828" s="21"/>
      <c r="E828" s="22"/>
      <c r="F828" s="22"/>
      <c r="G828" s="23"/>
      <c r="H828" s="23"/>
      <c r="I828" s="181"/>
      <c r="J828" s="8" t="str">
        <f t="shared" si="253"/>
        <v/>
      </c>
      <c r="K828" s="2" t="str">
        <f t="shared" si="262"/>
        <v/>
      </c>
      <c r="L828" s="2" t="str">
        <f t="shared" si="254"/>
        <v/>
      </c>
      <c r="M828" s="2" t="str">
        <f t="shared" si="263"/>
        <v/>
      </c>
      <c r="N828" s="2" t="str">
        <f t="shared" si="271"/>
        <v/>
      </c>
      <c r="O828" s="2" t="str">
        <f t="shared" si="264"/>
        <v/>
      </c>
      <c r="P828" s="8" t="str">
        <f t="shared" si="265"/>
        <v/>
      </c>
      <c r="Q828" s="8" t="str">
        <f t="shared" si="266"/>
        <v/>
      </c>
      <c r="R828" s="111" t="str">
        <f t="shared" si="267"/>
        <v/>
      </c>
      <c r="S828" s="44" t="str">
        <f t="shared" si="268"/>
        <v/>
      </c>
      <c r="T828" s="37" t="str">
        <f t="shared" si="269"/>
        <v/>
      </c>
      <c r="U828" s="44" t="str">
        <f t="shared" si="270"/>
        <v/>
      </c>
      <c r="V828" s="26"/>
      <c r="W828" s="26"/>
      <c r="X828" s="26"/>
      <c r="Y828" s="26"/>
      <c r="Z828" s="24"/>
      <c r="AA828" s="169">
        <f t="shared" si="255"/>
        <v>0</v>
      </c>
      <c r="AB828" s="4">
        <f t="shared" si="256"/>
        <v>0</v>
      </c>
      <c r="AC828" s="170">
        <f t="shared" si="273"/>
        <v>0</v>
      </c>
      <c r="AD828" s="58"/>
      <c r="AE828" s="58"/>
      <c r="AF828" s="58"/>
      <c r="AG828" s="59">
        <f t="shared" si="257"/>
        <v>9.0359999999999996</v>
      </c>
      <c r="AH828" s="59">
        <f t="shared" si="258"/>
        <v>-184.49199999999999</v>
      </c>
      <c r="AJ828" s="4">
        <f>IF(D828="M",IF(AM828&lt;78,BMILMS!$D$5*AM828^3+BMILMS!$E$5*AM828^2+BMILMS!$F$5*AM828+BMILMS!$G$5,IF(AM828&lt;150,BMILMS!$D$6*AM828^3+BMILMS!$E$6*AM828^2+BMILMS!$F$6*AM828+BMILMS!$G$6,BMILMS!$D$7*AM828^3+BMILMS!$E$7*AM828^2+BMILMS!$F$7*AM828+BMILMS!$G$7)),IF(AM828&lt;69,BMILMS!$D$9*AM828^3+BMILMS!$E$9*AM828^2+BMILMS!$F$9*AM828+BMILMS!$G$9,IF(AM828&lt;150,BMILMS!$D$10*AM828^3+BMILMS!$E$10*AM828^2+BMILMS!$F$10*AM828+BMILMS!$G$10,BMILMS!$D$11*AM828^3+BMILMS!$E$11*AM828^2+BMILMS!$F$11*AM828+BMILMS!$G$11)))</f>
        <v>0.79584630099999998</v>
      </c>
      <c r="AK828" s="4">
        <f>IF(D828="M",(IF(AM828&lt;2.5,BMILMS!$D$21*AM828^3+BMILMS!$E$21*AM828^2+BMILMS!$F$21*AM828+BMILMS!$G$21,IF(AM828&lt;9.5,BMILMS!$D$22*AM828^3+BMILMS!$E$22*AM828^2+BMILMS!$F$22*AM828+BMILMS!$G$22,IF(AM828&lt;26.75,BMILMS!$D$23*AM828^3+BMILMS!$E$23*AM828^2+BMILMS!$F$23*AM828+BMILMS!$G$23,IF(AM828&lt;90,BMILMS!$D$24*AM828^3+BMILMS!$E$24*AM828^2+BMILMS!$F$24*AM828+BMILMS!$G$24,BMILMS!$D$25*AM828^3+BMILMS!$E$25*AM828^2+BMILMS!$F$25*AM828+BMILMS!$G$25))))),(IF(AM828&lt;2.5,BMILMS!$D$27*AM828^3+BMILMS!$E$27*AM828^2+BMILMS!$F$27*AM828+BMILMS!$G$27,IF(AM828&lt;9.5,BMILMS!$D$28*AM828^3+BMILMS!$E$28*AM828^2+BMILMS!$F$28*AM828+BMILMS!$G$28,IF(AM828&lt;26.75,BMILMS!$D$29*AM828^3+BMILMS!$E$29*AM828^2+BMILMS!$F$29*AM828+BMILMS!$G$29,IF(AM828&lt;90,BMILMS!$D$30*AM828^3+BMILMS!$E$30*AM828^2+BMILMS!$F$30*AM828+BMILMS!$G$30,IF(AM828&lt;150,BMILMS!$D$31*AM828^3+BMILMS!$E$31*AM828^2+BMILMS!$F$31*AM828+BMILMS!$G$31,BMILMS!$D$32*AM828^3+BMILMS!$E$32*AM828^2+BMILMS!$F$32*AM828+BMILMS!$G$32)))))))</f>
        <v>12.568967990000001</v>
      </c>
      <c r="AL828" s="4">
        <f>IF(D828="M",(IF(AM828&lt;90,BMILMS!$D$14*AM828^3+BMILMS!$E$14*AM828^2+BMILMS!$F$14*AM828+BMILMS!$G$14,BMILMS!$D$15*AM828^3+BMILMS!$E$15*AM828^2+BMILMS!$F$15*AM828+BMILMS!$G$15)),(IF(AM828&lt;90,BMILMS!$D$17*AM828^3+BMILMS!$E$17*AM828^2+BMILMS!$F$17*AM828+BMILMS!$G$17,BMILMS!$D$18*AM828^3+BMILMS!$E$18*AM828^2+BMILMS!$F$18*AM828+BMILMS!$G$18)))</f>
        <v>8.8969350000000003E-2</v>
      </c>
      <c r="AM828" s="4">
        <f t="shared" si="272"/>
        <v>0</v>
      </c>
      <c r="AO828" s="56">
        <f>IF(D828="M",WeightSDS!P$5*$AM828^7+WeightSDS!Q$5*$AM828^6+WeightSDS!R$5*$AM828^5+WeightSDS!S$5*$AM828^4+WeightSDS!T$5*$AM828^3+WeightSDS!U$5*$AM828^2+WeightSDS!V$5*$AM828+WeightSDS!W$5,IF($AM828&lt;186,WeightSDS!P$8*$AM828^7+WeightSDS!Q$8*$AM828^6+WeightSDS!R$8*$AM828^5+WeightSDS!S$8*$AM828^4+WeightSDS!T$8*$AM828^3+WeightSDS!U$8*$AM828^2+WeightSDS!V$8*$AM828+WeightSDS!W$8,WeightSDS!$U$9+WeightSDS!$V$9*($AM828-WeightSDS!$W$9)))</f>
        <v>0.75407122999999998</v>
      </c>
      <c r="AP828" s="4">
        <f>IF(D828="M",IF($AM828&lt;45,WeightSDS!M$23*$AM828^10+WeightSDS!N$23*$AM828^9+WeightSDS!O$23*$AM828^8+WeightSDS!P$23*$AM828^7+WeightSDS!Q$23*$AM828^6+WeightSDS!R$23*$AM828^5+WeightSDS!S$23*$AM828^4+WeightSDS!T$23*$AM828^3+WeightSDS!U$23*$AM828^2+WeightSDS!V$23*$AM828+WeightSDS!W$23,IF($AM828&lt;153,WeightSDS!M$25*$AM828^10+WeightSDS!N$25*$AM828^9+WeightSDS!O$25*$AM828^8+WeightSDS!P$25*$AM828^7+WeightSDS!Q$25*$AM828^6+WeightSDS!R$25*$AM828^5+WeightSDS!S$25*$AM828^4+WeightSDS!T$25*$AM828^3+WeightSDS!U$25*$AM828^2+WeightSDS!V$25*$AM828+WeightSDS!W$25,WeightSDS!M$27+WeightSDS!N$27/(1+EXP(WeightSDS!O$27+WeightSDS!P$27*$AM828)))),IF($AM828&lt;43.8,WeightSDS!M$29*$AM828^10+WeightSDS!N$29*$AM828^9+WeightSDS!O$29*$AM828^8+WeightSDS!P$29*$AM828^7+WeightSDS!Q$29*$AM828^6+WeightSDS!R$29*$AM828^5+WeightSDS!S$29*$AM828^4+WeightSDS!T$29*$AM828^3+WeightSDS!U$29*$AM828^2+WeightSDS!V$29*$AM828+WeightSDS!W$29-0.010431*(1-$AM828/210),IF($AM828&lt;123,WeightSDS!M$30*$AM828^10+WeightSDS!N$30*$AM828^9+WeightSDS!O$30*$AM828^8+WeightSDS!P$30*$AM828^7+WeightSDS!Q$30*$AM828^6+WeightSDS!R$30*$AM828^5+WeightSDS!S$30*$AM828^4+WeightSDS!T$30*$AM828^3+WeightSDS!U$30*$AM828^2+WeightSDS!V$30*$AM828+WeightSDS!W$30-0.010431*(1-1/$AM828),WeightSDS!M$32+WeightSDS!N$32/(1+EXP(WeightSDS!O$32+WeightSDS!P$32*$AM828))-0.010431*(1-$AM828/210))))</f>
        <v>2.9500001032655536</v>
      </c>
      <c r="AQ828" s="4">
        <f>IF(D828="M",IF($AM828&lt;162,WeightSDS!P$12*$AM828^7+WeightSDS!Q$12*$AM828^6+WeightSDS!R$12*$AM828^5+WeightSDS!S$12*$AM828^4+WeightSDS!T$12*$AM828^3+WeightSDS!U$12*$AM828^2+WeightSDS!V$12*$AM828+WeightSDS!W$12,WeightSDS!P$14*$AM828^7+WeightSDS!Q$14*$AM828^6+WeightSDS!R$14*$AM828^5+WeightSDS!S$14*$AM828^4+WeightSDS!T$14*$AM828^3+WeightSDS!U$14*$AM828^2+WeightSDS!V$14*$AM828+WeightSDS!W$14),IF($AM828&lt;156,WeightSDS!O$17*$AM828^8+WeightSDS!P$17*$AM828^7+WeightSDS!Q$17*$AM828^6+WeightSDS!R$17*$AM828^5+WeightSDS!S$17*$AM828^4+WeightSDS!T$17*$AM828^3+WeightSDS!U$17*$AM828^2+WeightSDS!V$17*$AM828+WeightSDS!W$17,IF($AM828&lt;186,WeightSDS!$U$18+(WeightSDS!$V$18-WeightSDS!$U$18)/24*($AM828-186)+WeightSDS!$W$18*(-$AM828+186)^2-0.005,WeightSDS!$U$18+(WeightSDS!$V$18-WeightSDS!$U$18)/24*($AM828-186)-0.005)))</f>
        <v>0.14604529399999999</v>
      </c>
      <c r="AT828" s="4">
        <f t="shared" si="259"/>
        <v>0.56299999999999994</v>
      </c>
      <c r="AU828" s="4">
        <f t="shared" si="260"/>
        <v>69</v>
      </c>
      <c r="AV828" s="4">
        <f t="shared" si="261"/>
        <v>0.51</v>
      </c>
    </row>
    <row r="829" spans="1:48" x14ac:dyDescent="0.15">
      <c r="A829" s="4"/>
      <c r="B829" s="21"/>
      <c r="C829" s="21"/>
      <c r="D829" s="21"/>
      <c r="E829" s="22"/>
      <c r="F829" s="22"/>
      <c r="G829" s="23"/>
      <c r="H829" s="23"/>
      <c r="I829" s="181"/>
      <c r="J829" s="8" t="str">
        <f t="shared" si="253"/>
        <v/>
      </c>
      <c r="K829" s="2" t="str">
        <f t="shared" si="262"/>
        <v/>
      </c>
      <c r="L829" s="2" t="str">
        <f t="shared" si="254"/>
        <v/>
      </c>
      <c r="M829" s="2" t="str">
        <f t="shared" si="263"/>
        <v/>
      </c>
      <c r="N829" s="2" t="str">
        <f t="shared" si="271"/>
        <v/>
      </c>
      <c r="O829" s="2" t="str">
        <f t="shared" si="264"/>
        <v/>
      </c>
      <c r="P829" s="8" t="str">
        <f t="shared" si="265"/>
        <v/>
      </c>
      <c r="Q829" s="8" t="str">
        <f t="shared" si="266"/>
        <v/>
      </c>
      <c r="R829" s="111" t="str">
        <f t="shared" si="267"/>
        <v/>
      </c>
      <c r="S829" s="44" t="str">
        <f t="shared" si="268"/>
        <v/>
      </c>
      <c r="T829" s="37" t="str">
        <f t="shared" si="269"/>
        <v/>
      </c>
      <c r="U829" s="44" t="str">
        <f t="shared" si="270"/>
        <v/>
      </c>
      <c r="V829" s="26"/>
      <c r="W829" s="26"/>
      <c r="X829" s="26"/>
      <c r="Y829" s="26"/>
      <c r="Z829" s="24"/>
      <c r="AA829" s="169">
        <f t="shared" si="255"/>
        <v>0</v>
      </c>
      <c r="AB829" s="4">
        <f t="shared" si="256"/>
        <v>0</v>
      </c>
      <c r="AC829" s="170">
        <f t="shared" si="273"/>
        <v>0</v>
      </c>
      <c r="AD829" s="58"/>
      <c r="AE829" s="58"/>
      <c r="AF829" s="58"/>
      <c r="AG829" s="59">
        <f t="shared" si="257"/>
        <v>9.0359999999999996</v>
      </c>
      <c r="AH829" s="59">
        <f t="shared" si="258"/>
        <v>-184.49199999999999</v>
      </c>
      <c r="AJ829" s="4">
        <f>IF(D829="M",IF(AM829&lt;78,BMILMS!$D$5*AM829^3+BMILMS!$E$5*AM829^2+BMILMS!$F$5*AM829+BMILMS!$G$5,IF(AM829&lt;150,BMILMS!$D$6*AM829^3+BMILMS!$E$6*AM829^2+BMILMS!$F$6*AM829+BMILMS!$G$6,BMILMS!$D$7*AM829^3+BMILMS!$E$7*AM829^2+BMILMS!$F$7*AM829+BMILMS!$G$7)),IF(AM829&lt;69,BMILMS!$D$9*AM829^3+BMILMS!$E$9*AM829^2+BMILMS!$F$9*AM829+BMILMS!$G$9,IF(AM829&lt;150,BMILMS!$D$10*AM829^3+BMILMS!$E$10*AM829^2+BMILMS!$F$10*AM829+BMILMS!$G$10,BMILMS!$D$11*AM829^3+BMILMS!$E$11*AM829^2+BMILMS!$F$11*AM829+BMILMS!$G$11)))</f>
        <v>0.79584630099999998</v>
      </c>
      <c r="AK829" s="4">
        <f>IF(D829="M",(IF(AM829&lt;2.5,BMILMS!$D$21*AM829^3+BMILMS!$E$21*AM829^2+BMILMS!$F$21*AM829+BMILMS!$G$21,IF(AM829&lt;9.5,BMILMS!$D$22*AM829^3+BMILMS!$E$22*AM829^2+BMILMS!$F$22*AM829+BMILMS!$G$22,IF(AM829&lt;26.75,BMILMS!$D$23*AM829^3+BMILMS!$E$23*AM829^2+BMILMS!$F$23*AM829+BMILMS!$G$23,IF(AM829&lt;90,BMILMS!$D$24*AM829^3+BMILMS!$E$24*AM829^2+BMILMS!$F$24*AM829+BMILMS!$G$24,BMILMS!$D$25*AM829^3+BMILMS!$E$25*AM829^2+BMILMS!$F$25*AM829+BMILMS!$G$25))))),(IF(AM829&lt;2.5,BMILMS!$D$27*AM829^3+BMILMS!$E$27*AM829^2+BMILMS!$F$27*AM829+BMILMS!$G$27,IF(AM829&lt;9.5,BMILMS!$D$28*AM829^3+BMILMS!$E$28*AM829^2+BMILMS!$F$28*AM829+BMILMS!$G$28,IF(AM829&lt;26.75,BMILMS!$D$29*AM829^3+BMILMS!$E$29*AM829^2+BMILMS!$F$29*AM829+BMILMS!$G$29,IF(AM829&lt;90,BMILMS!$D$30*AM829^3+BMILMS!$E$30*AM829^2+BMILMS!$F$30*AM829+BMILMS!$G$30,IF(AM829&lt;150,BMILMS!$D$31*AM829^3+BMILMS!$E$31*AM829^2+BMILMS!$F$31*AM829+BMILMS!$G$31,BMILMS!$D$32*AM829^3+BMILMS!$E$32*AM829^2+BMILMS!$F$32*AM829+BMILMS!$G$32)))))))</f>
        <v>12.568967990000001</v>
      </c>
      <c r="AL829" s="4">
        <f>IF(D829="M",(IF(AM829&lt;90,BMILMS!$D$14*AM829^3+BMILMS!$E$14*AM829^2+BMILMS!$F$14*AM829+BMILMS!$G$14,BMILMS!$D$15*AM829^3+BMILMS!$E$15*AM829^2+BMILMS!$F$15*AM829+BMILMS!$G$15)),(IF(AM829&lt;90,BMILMS!$D$17*AM829^3+BMILMS!$E$17*AM829^2+BMILMS!$F$17*AM829+BMILMS!$G$17,BMILMS!$D$18*AM829^3+BMILMS!$E$18*AM829^2+BMILMS!$F$18*AM829+BMILMS!$G$18)))</f>
        <v>8.8969350000000003E-2</v>
      </c>
      <c r="AM829" s="4">
        <f t="shared" si="272"/>
        <v>0</v>
      </c>
      <c r="AO829" s="56">
        <f>IF(D829="M",WeightSDS!P$5*$AM829^7+WeightSDS!Q$5*$AM829^6+WeightSDS!R$5*$AM829^5+WeightSDS!S$5*$AM829^4+WeightSDS!T$5*$AM829^3+WeightSDS!U$5*$AM829^2+WeightSDS!V$5*$AM829+WeightSDS!W$5,IF($AM829&lt;186,WeightSDS!P$8*$AM829^7+WeightSDS!Q$8*$AM829^6+WeightSDS!R$8*$AM829^5+WeightSDS!S$8*$AM829^4+WeightSDS!T$8*$AM829^3+WeightSDS!U$8*$AM829^2+WeightSDS!V$8*$AM829+WeightSDS!W$8,WeightSDS!$U$9+WeightSDS!$V$9*($AM829-WeightSDS!$W$9)))</f>
        <v>0.75407122999999998</v>
      </c>
      <c r="AP829" s="4">
        <f>IF(D829="M",IF($AM829&lt;45,WeightSDS!M$23*$AM829^10+WeightSDS!N$23*$AM829^9+WeightSDS!O$23*$AM829^8+WeightSDS!P$23*$AM829^7+WeightSDS!Q$23*$AM829^6+WeightSDS!R$23*$AM829^5+WeightSDS!S$23*$AM829^4+WeightSDS!T$23*$AM829^3+WeightSDS!U$23*$AM829^2+WeightSDS!V$23*$AM829+WeightSDS!W$23,IF($AM829&lt;153,WeightSDS!M$25*$AM829^10+WeightSDS!N$25*$AM829^9+WeightSDS!O$25*$AM829^8+WeightSDS!P$25*$AM829^7+WeightSDS!Q$25*$AM829^6+WeightSDS!R$25*$AM829^5+WeightSDS!S$25*$AM829^4+WeightSDS!T$25*$AM829^3+WeightSDS!U$25*$AM829^2+WeightSDS!V$25*$AM829+WeightSDS!W$25,WeightSDS!M$27+WeightSDS!N$27/(1+EXP(WeightSDS!O$27+WeightSDS!P$27*$AM829)))),IF($AM829&lt;43.8,WeightSDS!M$29*$AM829^10+WeightSDS!N$29*$AM829^9+WeightSDS!O$29*$AM829^8+WeightSDS!P$29*$AM829^7+WeightSDS!Q$29*$AM829^6+WeightSDS!R$29*$AM829^5+WeightSDS!S$29*$AM829^4+WeightSDS!T$29*$AM829^3+WeightSDS!U$29*$AM829^2+WeightSDS!V$29*$AM829+WeightSDS!W$29-0.010431*(1-$AM829/210),IF($AM829&lt;123,WeightSDS!M$30*$AM829^10+WeightSDS!N$30*$AM829^9+WeightSDS!O$30*$AM829^8+WeightSDS!P$30*$AM829^7+WeightSDS!Q$30*$AM829^6+WeightSDS!R$30*$AM829^5+WeightSDS!S$30*$AM829^4+WeightSDS!T$30*$AM829^3+WeightSDS!U$30*$AM829^2+WeightSDS!V$30*$AM829+WeightSDS!W$30-0.010431*(1-1/$AM829),WeightSDS!M$32+WeightSDS!N$32/(1+EXP(WeightSDS!O$32+WeightSDS!P$32*$AM829))-0.010431*(1-$AM829/210))))</f>
        <v>2.9500001032655536</v>
      </c>
      <c r="AQ829" s="4">
        <f>IF(D829="M",IF($AM829&lt;162,WeightSDS!P$12*$AM829^7+WeightSDS!Q$12*$AM829^6+WeightSDS!R$12*$AM829^5+WeightSDS!S$12*$AM829^4+WeightSDS!T$12*$AM829^3+WeightSDS!U$12*$AM829^2+WeightSDS!V$12*$AM829+WeightSDS!W$12,WeightSDS!P$14*$AM829^7+WeightSDS!Q$14*$AM829^6+WeightSDS!R$14*$AM829^5+WeightSDS!S$14*$AM829^4+WeightSDS!T$14*$AM829^3+WeightSDS!U$14*$AM829^2+WeightSDS!V$14*$AM829+WeightSDS!W$14),IF($AM829&lt;156,WeightSDS!O$17*$AM829^8+WeightSDS!P$17*$AM829^7+WeightSDS!Q$17*$AM829^6+WeightSDS!R$17*$AM829^5+WeightSDS!S$17*$AM829^4+WeightSDS!T$17*$AM829^3+WeightSDS!U$17*$AM829^2+WeightSDS!V$17*$AM829+WeightSDS!W$17,IF($AM829&lt;186,WeightSDS!$U$18+(WeightSDS!$V$18-WeightSDS!$U$18)/24*($AM829-186)+WeightSDS!$W$18*(-$AM829+186)^2-0.005,WeightSDS!$U$18+(WeightSDS!$V$18-WeightSDS!$U$18)/24*($AM829-186)-0.005)))</f>
        <v>0.14604529399999999</v>
      </c>
      <c r="AT829" s="4">
        <f t="shared" si="259"/>
        <v>0.56299999999999994</v>
      </c>
      <c r="AU829" s="4">
        <f t="shared" si="260"/>
        <v>69</v>
      </c>
      <c r="AV829" s="4">
        <f t="shared" si="261"/>
        <v>0.51</v>
      </c>
    </row>
    <row r="830" spans="1:48" x14ac:dyDescent="0.15">
      <c r="A830" s="4"/>
      <c r="B830" s="21"/>
      <c r="C830" s="21"/>
      <c r="D830" s="21"/>
      <c r="E830" s="22"/>
      <c r="F830" s="22"/>
      <c r="G830" s="23"/>
      <c r="H830" s="23"/>
      <c r="I830" s="181"/>
      <c r="J830" s="8" t="str">
        <f t="shared" si="253"/>
        <v/>
      </c>
      <c r="K830" s="2" t="str">
        <f t="shared" si="262"/>
        <v/>
      </c>
      <c r="L830" s="2" t="str">
        <f t="shared" si="254"/>
        <v/>
      </c>
      <c r="M830" s="2" t="str">
        <f t="shared" si="263"/>
        <v/>
      </c>
      <c r="N830" s="2" t="str">
        <f t="shared" si="271"/>
        <v/>
      </c>
      <c r="O830" s="2" t="str">
        <f t="shared" si="264"/>
        <v/>
      </c>
      <c r="P830" s="8" t="str">
        <f t="shared" si="265"/>
        <v/>
      </c>
      <c r="Q830" s="8" t="str">
        <f t="shared" si="266"/>
        <v/>
      </c>
      <c r="R830" s="111" t="str">
        <f t="shared" si="267"/>
        <v/>
      </c>
      <c r="S830" s="44" t="str">
        <f t="shared" si="268"/>
        <v/>
      </c>
      <c r="T830" s="37" t="str">
        <f t="shared" si="269"/>
        <v/>
      </c>
      <c r="U830" s="44" t="str">
        <f t="shared" si="270"/>
        <v/>
      </c>
      <c r="V830" s="26"/>
      <c r="W830" s="26"/>
      <c r="X830" s="26"/>
      <c r="Y830" s="26"/>
      <c r="Z830" s="24"/>
      <c r="AA830" s="169">
        <f t="shared" si="255"/>
        <v>0</v>
      </c>
      <c r="AB830" s="4">
        <f t="shared" si="256"/>
        <v>0</v>
      </c>
      <c r="AC830" s="170">
        <f t="shared" si="273"/>
        <v>0</v>
      </c>
      <c r="AD830" s="58"/>
      <c r="AE830" s="58"/>
      <c r="AF830" s="58"/>
      <c r="AG830" s="59">
        <f t="shared" si="257"/>
        <v>9.0359999999999996</v>
      </c>
      <c r="AH830" s="59">
        <f t="shared" si="258"/>
        <v>-184.49199999999999</v>
      </c>
      <c r="AJ830" s="4">
        <f>IF(D830="M",IF(AM830&lt;78,BMILMS!$D$5*AM830^3+BMILMS!$E$5*AM830^2+BMILMS!$F$5*AM830+BMILMS!$G$5,IF(AM830&lt;150,BMILMS!$D$6*AM830^3+BMILMS!$E$6*AM830^2+BMILMS!$F$6*AM830+BMILMS!$G$6,BMILMS!$D$7*AM830^3+BMILMS!$E$7*AM830^2+BMILMS!$F$7*AM830+BMILMS!$G$7)),IF(AM830&lt;69,BMILMS!$D$9*AM830^3+BMILMS!$E$9*AM830^2+BMILMS!$F$9*AM830+BMILMS!$G$9,IF(AM830&lt;150,BMILMS!$D$10*AM830^3+BMILMS!$E$10*AM830^2+BMILMS!$F$10*AM830+BMILMS!$G$10,BMILMS!$D$11*AM830^3+BMILMS!$E$11*AM830^2+BMILMS!$F$11*AM830+BMILMS!$G$11)))</f>
        <v>0.79584630099999998</v>
      </c>
      <c r="AK830" s="4">
        <f>IF(D830="M",(IF(AM830&lt;2.5,BMILMS!$D$21*AM830^3+BMILMS!$E$21*AM830^2+BMILMS!$F$21*AM830+BMILMS!$G$21,IF(AM830&lt;9.5,BMILMS!$D$22*AM830^3+BMILMS!$E$22*AM830^2+BMILMS!$F$22*AM830+BMILMS!$G$22,IF(AM830&lt;26.75,BMILMS!$D$23*AM830^3+BMILMS!$E$23*AM830^2+BMILMS!$F$23*AM830+BMILMS!$G$23,IF(AM830&lt;90,BMILMS!$D$24*AM830^3+BMILMS!$E$24*AM830^2+BMILMS!$F$24*AM830+BMILMS!$G$24,BMILMS!$D$25*AM830^3+BMILMS!$E$25*AM830^2+BMILMS!$F$25*AM830+BMILMS!$G$25))))),(IF(AM830&lt;2.5,BMILMS!$D$27*AM830^3+BMILMS!$E$27*AM830^2+BMILMS!$F$27*AM830+BMILMS!$G$27,IF(AM830&lt;9.5,BMILMS!$D$28*AM830^3+BMILMS!$E$28*AM830^2+BMILMS!$F$28*AM830+BMILMS!$G$28,IF(AM830&lt;26.75,BMILMS!$D$29*AM830^3+BMILMS!$E$29*AM830^2+BMILMS!$F$29*AM830+BMILMS!$G$29,IF(AM830&lt;90,BMILMS!$D$30*AM830^3+BMILMS!$E$30*AM830^2+BMILMS!$F$30*AM830+BMILMS!$G$30,IF(AM830&lt;150,BMILMS!$D$31*AM830^3+BMILMS!$E$31*AM830^2+BMILMS!$F$31*AM830+BMILMS!$G$31,BMILMS!$D$32*AM830^3+BMILMS!$E$32*AM830^2+BMILMS!$F$32*AM830+BMILMS!$G$32)))))))</f>
        <v>12.568967990000001</v>
      </c>
      <c r="AL830" s="4">
        <f>IF(D830="M",(IF(AM830&lt;90,BMILMS!$D$14*AM830^3+BMILMS!$E$14*AM830^2+BMILMS!$F$14*AM830+BMILMS!$G$14,BMILMS!$D$15*AM830^3+BMILMS!$E$15*AM830^2+BMILMS!$F$15*AM830+BMILMS!$G$15)),(IF(AM830&lt;90,BMILMS!$D$17*AM830^3+BMILMS!$E$17*AM830^2+BMILMS!$F$17*AM830+BMILMS!$G$17,BMILMS!$D$18*AM830^3+BMILMS!$E$18*AM830^2+BMILMS!$F$18*AM830+BMILMS!$G$18)))</f>
        <v>8.8969350000000003E-2</v>
      </c>
      <c r="AM830" s="4">
        <f t="shared" si="272"/>
        <v>0</v>
      </c>
      <c r="AO830" s="56">
        <f>IF(D830="M",WeightSDS!P$5*$AM830^7+WeightSDS!Q$5*$AM830^6+WeightSDS!R$5*$AM830^5+WeightSDS!S$5*$AM830^4+WeightSDS!T$5*$AM830^3+WeightSDS!U$5*$AM830^2+WeightSDS!V$5*$AM830+WeightSDS!W$5,IF($AM830&lt;186,WeightSDS!P$8*$AM830^7+WeightSDS!Q$8*$AM830^6+WeightSDS!R$8*$AM830^5+WeightSDS!S$8*$AM830^4+WeightSDS!T$8*$AM830^3+WeightSDS!U$8*$AM830^2+WeightSDS!V$8*$AM830+WeightSDS!W$8,WeightSDS!$U$9+WeightSDS!$V$9*($AM830-WeightSDS!$W$9)))</f>
        <v>0.75407122999999998</v>
      </c>
      <c r="AP830" s="4">
        <f>IF(D830="M",IF($AM830&lt;45,WeightSDS!M$23*$AM830^10+WeightSDS!N$23*$AM830^9+WeightSDS!O$23*$AM830^8+WeightSDS!P$23*$AM830^7+WeightSDS!Q$23*$AM830^6+WeightSDS!R$23*$AM830^5+WeightSDS!S$23*$AM830^4+WeightSDS!T$23*$AM830^3+WeightSDS!U$23*$AM830^2+WeightSDS!V$23*$AM830+WeightSDS!W$23,IF($AM830&lt;153,WeightSDS!M$25*$AM830^10+WeightSDS!N$25*$AM830^9+WeightSDS!O$25*$AM830^8+WeightSDS!P$25*$AM830^7+WeightSDS!Q$25*$AM830^6+WeightSDS!R$25*$AM830^5+WeightSDS!S$25*$AM830^4+WeightSDS!T$25*$AM830^3+WeightSDS!U$25*$AM830^2+WeightSDS!V$25*$AM830+WeightSDS!W$25,WeightSDS!M$27+WeightSDS!N$27/(1+EXP(WeightSDS!O$27+WeightSDS!P$27*$AM830)))),IF($AM830&lt;43.8,WeightSDS!M$29*$AM830^10+WeightSDS!N$29*$AM830^9+WeightSDS!O$29*$AM830^8+WeightSDS!P$29*$AM830^7+WeightSDS!Q$29*$AM830^6+WeightSDS!R$29*$AM830^5+WeightSDS!S$29*$AM830^4+WeightSDS!T$29*$AM830^3+WeightSDS!U$29*$AM830^2+WeightSDS!V$29*$AM830+WeightSDS!W$29-0.010431*(1-$AM830/210),IF($AM830&lt;123,WeightSDS!M$30*$AM830^10+WeightSDS!N$30*$AM830^9+WeightSDS!O$30*$AM830^8+WeightSDS!P$30*$AM830^7+WeightSDS!Q$30*$AM830^6+WeightSDS!R$30*$AM830^5+WeightSDS!S$30*$AM830^4+WeightSDS!T$30*$AM830^3+WeightSDS!U$30*$AM830^2+WeightSDS!V$30*$AM830+WeightSDS!W$30-0.010431*(1-1/$AM830),WeightSDS!M$32+WeightSDS!N$32/(1+EXP(WeightSDS!O$32+WeightSDS!P$32*$AM830))-0.010431*(1-$AM830/210))))</f>
        <v>2.9500001032655536</v>
      </c>
      <c r="AQ830" s="4">
        <f>IF(D830="M",IF($AM830&lt;162,WeightSDS!P$12*$AM830^7+WeightSDS!Q$12*$AM830^6+WeightSDS!R$12*$AM830^5+WeightSDS!S$12*$AM830^4+WeightSDS!T$12*$AM830^3+WeightSDS!U$12*$AM830^2+WeightSDS!V$12*$AM830+WeightSDS!W$12,WeightSDS!P$14*$AM830^7+WeightSDS!Q$14*$AM830^6+WeightSDS!R$14*$AM830^5+WeightSDS!S$14*$AM830^4+WeightSDS!T$14*$AM830^3+WeightSDS!U$14*$AM830^2+WeightSDS!V$14*$AM830+WeightSDS!W$14),IF($AM830&lt;156,WeightSDS!O$17*$AM830^8+WeightSDS!P$17*$AM830^7+WeightSDS!Q$17*$AM830^6+WeightSDS!R$17*$AM830^5+WeightSDS!S$17*$AM830^4+WeightSDS!T$17*$AM830^3+WeightSDS!U$17*$AM830^2+WeightSDS!V$17*$AM830+WeightSDS!W$17,IF($AM830&lt;186,WeightSDS!$U$18+(WeightSDS!$V$18-WeightSDS!$U$18)/24*($AM830-186)+WeightSDS!$W$18*(-$AM830+186)^2-0.005,WeightSDS!$U$18+(WeightSDS!$V$18-WeightSDS!$U$18)/24*($AM830-186)-0.005)))</f>
        <v>0.14604529399999999</v>
      </c>
      <c r="AT830" s="4">
        <f t="shared" si="259"/>
        <v>0.56299999999999994</v>
      </c>
      <c r="AU830" s="4">
        <f t="shared" si="260"/>
        <v>69</v>
      </c>
      <c r="AV830" s="4">
        <f t="shared" si="261"/>
        <v>0.51</v>
      </c>
    </row>
    <row r="831" spans="1:48" x14ac:dyDescent="0.15">
      <c r="A831" s="4"/>
      <c r="B831" s="21"/>
      <c r="C831" s="21"/>
      <c r="D831" s="21"/>
      <c r="E831" s="22"/>
      <c r="F831" s="22"/>
      <c r="G831" s="23"/>
      <c r="H831" s="23"/>
      <c r="I831" s="181"/>
      <c r="J831" s="8" t="str">
        <f t="shared" si="253"/>
        <v/>
      </c>
      <c r="K831" s="2" t="str">
        <f t="shared" si="262"/>
        <v/>
      </c>
      <c r="L831" s="2" t="str">
        <f t="shared" si="254"/>
        <v/>
      </c>
      <c r="M831" s="2" t="str">
        <f t="shared" si="263"/>
        <v/>
      </c>
      <c r="N831" s="2" t="str">
        <f t="shared" si="271"/>
        <v/>
      </c>
      <c r="O831" s="2" t="str">
        <f t="shared" si="264"/>
        <v/>
      </c>
      <c r="P831" s="8" t="str">
        <f t="shared" si="265"/>
        <v/>
      </c>
      <c r="Q831" s="8" t="str">
        <f t="shared" si="266"/>
        <v/>
      </c>
      <c r="R831" s="111" t="str">
        <f t="shared" si="267"/>
        <v/>
      </c>
      <c r="S831" s="44" t="str">
        <f t="shared" si="268"/>
        <v/>
      </c>
      <c r="T831" s="37" t="str">
        <f t="shared" si="269"/>
        <v/>
      </c>
      <c r="U831" s="44" t="str">
        <f t="shared" si="270"/>
        <v/>
      </c>
      <c r="V831" s="26"/>
      <c r="W831" s="26"/>
      <c r="X831" s="26"/>
      <c r="Y831" s="26"/>
      <c r="Z831" s="24"/>
      <c r="AA831" s="169">
        <f t="shared" si="255"/>
        <v>0</v>
      </c>
      <c r="AB831" s="4">
        <f t="shared" si="256"/>
        <v>0</v>
      </c>
      <c r="AC831" s="170">
        <f t="shared" si="273"/>
        <v>0</v>
      </c>
      <c r="AD831" s="58"/>
      <c r="AE831" s="58"/>
      <c r="AF831" s="58"/>
      <c r="AG831" s="59">
        <f t="shared" si="257"/>
        <v>9.0359999999999996</v>
      </c>
      <c r="AH831" s="59">
        <f t="shared" si="258"/>
        <v>-184.49199999999999</v>
      </c>
      <c r="AJ831" s="4">
        <f>IF(D831="M",IF(AM831&lt;78,BMILMS!$D$5*AM831^3+BMILMS!$E$5*AM831^2+BMILMS!$F$5*AM831+BMILMS!$G$5,IF(AM831&lt;150,BMILMS!$D$6*AM831^3+BMILMS!$E$6*AM831^2+BMILMS!$F$6*AM831+BMILMS!$G$6,BMILMS!$D$7*AM831^3+BMILMS!$E$7*AM831^2+BMILMS!$F$7*AM831+BMILMS!$G$7)),IF(AM831&lt;69,BMILMS!$D$9*AM831^3+BMILMS!$E$9*AM831^2+BMILMS!$F$9*AM831+BMILMS!$G$9,IF(AM831&lt;150,BMILMS!$D$10*AM831^3+BMILMS!$E$10*AM831^2+BMILMS!$F$10*AM831+BMILMS!$G$10,BMILMS!$D$11*AM831^3+BMILMS!$E$11*AM831^2+BMILMS!$F$11*AM831+BMILMS!$G$11)))</f>
        <v>0.79584630099999998</v>
      </c>
      <c r="AK831" s="4">
        <f>IF(D831="M",(IF(AM831&lt;2.5,BMILMS!$D$21*AM831^3+BMILMS!$E$21*AM831^2+BMILMS!$F$21*AM831+BMILMS!$G$21,IF(AM831&lt;9.5,BMILMS!$D$22*AM831^3+BMILMS!$E$22*AM831^2+BMILMS!$F$22*AM831+BMILMS!$G$22,IF(AM831&lt;26.75,BMILMS!$D$23*AM831^3+BMILMS!$E$23*AM831^2+BMILMS!$F$23*AM831+BMILMS!$G$23,IF(AM831&lt;90,BMILMS!$D$24*AM831^3+BMILMS!$E$24*AM831^2+BMILMS!$F$24*AM831+BMILMS!$G$24,BMILMS!$D$25*AM831^3+BMILMS!$E$25*AM831^2+BMILMS!$F$25*AM831+BMILMS!$G$25))))),(IF(AM831&lt;2.5,BMILMS!$D$27*AM831^3+BMILMS!$E$27*AM831^2+BMILMS!$F$27*AM831+BMILMS!$G$27,IF(AM831&lt;9.5,BMILMS!$D$28*AM831^3+BMILMS!$E$28*AM831^2+BMILMS!$F$28*AM831+BMILMS!$G$28,IF(AM831&lt;26.75,BMILMS!$D$29*AM831^3+BMILMS!$E$29*AM831^2+BMILMS!$F$29*AM831+BMILMS!$G$29,IF(AM831&lt;90,BMILMS!$D$30*AM831^3+BMILMS!$E$30*AM831^2+BMILMS!$F$30*AM831+BMILMS!$G$30,IF(AM831&lt;150,BMILMS!$D$31*AM831^3+BMILMS!$E$31*AM831^2+BMILMS!$F$31*AM831+BMILMS!$G$31,BMILMS!$D$32*AM831^3+BMILMS!$E$32*AM831^2+BMILMS!$F$32*AM831+BMILMS!$G$32)))))))</f>
        <v>12.568967990000001</v>
      </c>
      <c r="AL831" s="4">
        <f>IF(D831="M",(IF(AM831&lt;90,BMILMS!$D$14*AM831^3+BMILMS!$E$14*AM831^2+BMILMS!$F$14*AM831+BMILMS!$G$14,BMILMS!$D$15*AM831^3+BMILMS!$E$15*AM831^2+BMILMS!$F$15*AM831+BMILMS!$G$15)),(IF(AM831&lt;90,BMILMS!$D$17*AM831^3+BMILMS!$E$17*AM831^2+BMILMS!$F$17*AM831+BMILMS!$G$17,BMILMS!$D$18*AM831^3+BMILMS!$E$18*AM831^2+BMILMS!$F$18*AM831+BMILMS!$G$18)))</f>
        <v>8.8969350000000003E-2</v>
      </c>
      <c r="AM831" s="4">
        <f t="shared" si="272"/>
        <v>0</v>
      </c>
      <c r="AO831" s="56">
        <f>IF(D831="M",WeightSDS!P$5*$AM831^7+WeightSDS!Q$5*$AM831^6+WeightSDS!R$5*$AM831^5+WeightSDS!S$5*$AM831^4+WeightSDS!T$5*$AM831^3+WeightSDS!U$5*$AM831^2+WeightSDS!V$5*$AM831+WeightSDS!W$5,IF($AM831&lt;186,WeightSDS!P$8*$AM831^7+WeightSDS!Q$8*$AM831^6+WeightSDS!R$8*$AM831^5+WeightSDS!S$8*$AM831^4+WeightSDS!T$8*$AM831^3+WeightSDS!U$8*$AM831^2+WeightSDS!V$8*$AM831+WeightSDS!W$8,WeightSDS!$U$9+WeightSDS!$V$9*($AM831-WeightSDS!$W$9)))</f>
        <v>0.75407122999999998</v>
      </c>
      <c r="AP831" s="4">
        <f>IF(D831="M",IF($AM831&lt;45,WeightSDS!M$23*$AM831^10+WeightSDS!N$23*$AM831^9+WeightSDS!O$23*$AM831^8+WeightSDS!P$23*$AM831^7+WeightSDS!Q$23*$AM831^6+WeightSDS!R$23*$AM831^5+WeightSDS!S$23*$AM831^4+WeightSDS!T$23*$AM831^3+WeightSDS!U$23*$AM831^2+WeightSDS!V$23*$AM831+WeightSDS!W$23,IF($AM831&lt;153,WeightSDS!M$25*$AM831^10+WeightSDS!N$25*$AM831^9+WeightSDS!O$25*$AM831^8+WeightSDS!P$25*$AM831^7+WeightSDS!Q$25*$AM831^6+WeightSDS!R$25*$AM831^5+WeightSDS!S$25*$AM831^4+WeightSDS!T$25*$AM831^3+WeightSDS!U$25*$AM831^2+WeightSDS!V$25*$AM831+WeightSDS!W$25,WeightSDS!M$27+WeightSDS!N$27/(1+EXP(WeightSDS!O$27+WeightSDS!P$27*$AM831)))),IF($AM831&lt;43.8,WeightSDS!M$29*$AM831^10+WeightSDS!N$29*$AM831^9+WeightSDS!O$29*$AM831^8+WeightSDS!P$29*$AM831^7+WeightSDS!Q$29*$AM831^6+WeightSDS!R$29*$AM831^5+WeightSDS!S$29*$AM831^4+WeightSDS!T$29*$AM831^3+WeightSDS!U$29*$AM831^2+WeightSDS!V$29*$AM831+WeightSDS!W$29-0.010431*(1-$AM831/210),IF($AM831&lt;123,WeightSDS!M$30*$AM831^10+WeightSDS!N$30*$AM831^9+WeightSDS!O$30*$AM831^8+WeightSDS!P$30*$AM831^7+WeightSDS!Q$30*$AM831^6+WeightSDS!R$30*$AM831^5+WeightSDS!S$30*$AM831^4+WeightSDS!T$30*$AM831^3+WeightSDS!U$30*$AM831^2+WeightSDS!V$30*$AM831+WeightSDS!W$30-0.010431*(1-1/$AM831),WeightSDS!M$32+WeightSDS!N$32/(1+EXP(WeightSDS!O$32+WeightSDS!P$32*$AM831))-0.010431*(1-$AM831/210))))</f>
        <v>2.9500001032655536</v>
      </c>
      <c r="AQ831" s="4">
        <f>IF(D831="M",IF($AM831&lt;162,WeightSDS!P$12*$AM831^7+WeightSDS!Q$12*$AM831^6+WeightSDS!R$12*$AM831^5+WeightSDS!S$12*$AM831^4+WeightSDS!T$12*$AM831^3+WeightSDS!U$12*$AM831^2+WeightSDS!V$12*$AM831+WeightSDS!W$12,WeightSDS!P$14*$AM831^7+WeightSDS!Q$14*$AM831^6+WeightSDS!R$14*$AM831^5+WeightSDS!S$14*$AM831^4+WeightSDS!T$14*$AM831^3+WeightSDS!U$14*$AM831^2+WeightSDS!V$14*$AM831+WeightSDS!W$14),IF($AM831&lt;156,WeightSDS!O$17*$AM831^8+WeightSDS!P$17*$AM831^7+WeightSDS!Q$17*$AM831^6+WeightSDS!R$17*$AM831^5+WeightSDS!S$17*$AM831^4+WeightSDS!T$17*$AM831^3+WeightSDS!U$17*$AM831^2+WeightSDS!V$17*$AM831+WeightSDS!W$17,IF($AM831&lt;186,WeightSDS!$U$18+(WeightSDS!$V$18-WeightSDS!$U$18)/24*($AM831-186)+WeightSDS!$W$18*(-$AM831+186)^2-0.005,WeightSDS!$U$18+(WeightSDS!$V$18-WeightSDS!$U$18)/24*($AM831-186)-0.005)))</f>
        <v>0.14604529399999999</v>
      </c>
      <c r="AT831" s="4">
        <f t="shared" si="259"/>
        <v>0.56299999999999994</v>
      </c>
      <c r="AU831" s="4">
        <f t="shared" si="260"/>
        <v>69</v>
      </c>
      <c r="AV831" s="4">
        <f t="shared" si="261"/>
        <v>0.51</v>
      </c>
    </row>
    <row r="832" spans="1:48" x14ac:dyDescent="0.15">
      <c r="A832" s="4"/>
      <c r="B832" s="21"/>
      <c r="C832" s="21"/>
      <c r="D832" s="21"/>
      <c r="E832" s="22"/>
      <c r="F832" s="22"/>
      <c r="G832" s="23"/>
      <c r="H832" s="23"/>
      <c r="I832" s="181"/>
      <c r="J832" s="8" t="str">
        <f t="shared" si="253"/>
        <v/>
      </c>
      <c r="K832" s="2" t="str">
        <f t="shared" si="262"/>
        <v/>
      </c>
      <c r="L832" s="2" t="str">
        <f t="shared" si="254"/>
        <v/>
      </c>
      <c r="M832" s="2" t="str">
        <f t="shared" si="263"/>
        <v/>
      </c>
      <c r="N832" s="2" t="str">
        <f t="shared" si="271"/>
        <v/>
      </c>
      <c r="O832" s="2" t="str">
        <f t="shared" si="264"/>
        <v/>
      </c>
      <c r="P832" s="8" t="str">
        <f t="shared" si="265"/>
        <v/>
      </c>
      <c r="Q832" s="8" t="str">
        <f t="shared" si="266"/>
        <v/>
      </c>
      <c r="R832" s="111" t="str">
        <f t="shared" si="267"/>
        <v/>
      </c>
      <c r="S832" s="44" t="str">
        <f t="shared" si="268"/>
        <v/>
      </c>
      <c r="T832" s="37" t="str">
        <f t="shared" si="269"/>
        <v/>
      </c>
      <c r="U832" s="44" t="str">
        <f t="shared" si="270"/>
        <v/>
      </c>
      <c r="V832" s="26"/>
      <c r="W832" s="26"/>
      <c r="X832" s="26"/>
      <c r="Y832" s="26"/>
      <c r="Z832" s="24"/>
      <c r="AA832" s="169">
        <f t="shared" si="255"/>
        <v>0</v>
      </c>
      <c r="AB832" s="4">
        <f t="shared" si="256"/>
        <v>0</v>
      </c>
      <c r="AC832" s="170">
        <f t="shared" si="273"/>
        <v>0</v>
      </c>
      <c r="AD832" s="58"/>
      <c r="AE832" s="58"/>
      <c r="AF832" s="58"/>
      <c r="AG832" s="59">
        <f t="shared" si="257"/>
        <v>9.0359999999999996</v>
      </c>
      <c r="AH832" s="59">
        <f t="shared" si="258"/>
        <v>-184.49199999999999</v>
      </c>
      <c r="AJ832" s="4">
        <f>IF(D832="M",IF(AM832&lt;78,BMILMS!$D$5*AM832^3+BMILMS!$E$5*AM832^2+BMILMS!$F$5*AM832+BMILMS!$G$5,IF(AM832&lt;150,BMILMS!$D$6*AM832^3+BMILMS!$E$6*AM832^2+BMILMS!$F$6*AM832+BMILMS!$G$6,BMILMS!$D$7*AM832^3+BMILMS!$E$7*AM832^2+BMILMS!$F$7*AM832+BMILMS!$G$7)),IF(AM832&lt;69,BMILMS!$D$9*AM832^3+BMILMS!$E$9*AM832^2+BMILMS!$F$9*AM832+BMILMS!$G$9,IF(AM832&lt;150,BMILMS!$D$10*AM832^3+BMILMS!$E$10*AM832^2+BMILMS!$F$10*AM832+BMILMS!$G$10,BMILMS!$D$11*AM832^3+BMILMS!$E$11*AM832^2+BMILMS!$F$11*AM832+BMILMS!$G$11)))</f>
        <v>0.79584630099999998</v>
      </c>
      <c r="AK832" s="4">
        <f>IF(D832="M",(IF(AM832&lt;2.5,BMILMS!$D$21*AM832^3+BMILMS!$E$21*AM832^2+BMILMS!$F$21*AM832+BMILMS!$G$21,IF(AM832&lt;9.5,BMILMS!$D$22*AM832^3+BMILMS!$E$22*AM832^2+BMILMS!$F$22*AM832+BMILMS!$G$22,IF(AM832&lt;26.75,BMILMS!$D$23*AM832^3+BMILMS!$E$23*AM832^2+BMILMS!$F$23*AM832+BMILMS!$G$23,IF(AM832&lt;90,BMILMS!$D$24*AM832^3+BMILMS!$E$24*AM832^2+BMILMS!$F$24*AM832+BMILMS!$G$24,BMILMS!$D$25*AM832^3+BMILMS!$E$25*AM832^2+BMILMS!$F$25*AM832+BMILMS!$G$25))))),(IF(AM832&lt;2.5,BMILMS!$D$27*AM832^3+BMILMS!$E$27*AM832^2+BMILMS!$F$27*AM832+BMILMS!$G$27,IF(AM832&lt;9.5,BMILMS!$D$28*AM832^3+BMILMS!$E$28*AM832^2+BMILMS!$F$28*AM832+BMILMS!$G$28,IF(AM832&lt;26.75,BMILMS!$D$29*AM832^3+BMILMS!$E$29*AM832^2+BMILMS!$F$29*AM832+BMILMS!$G$29,IF(AM832&lt;90,BMILMS!$D$30*AM832^3+BMILMS!$E$30*AM832^2+BMILMS!$F$30*AM832+BMILMS!$G$30,IF(AM832&lt;150,BMILMS!$D$31*AM832^3+BMILMS!$E$31*AM832^2+BMILMS!$F$31*AM832+BMILMS!$G$31,BMILMS!$D$32*AM832^3+BMILMS!$E$32*AM832^2+BMILMS!$F$32*AM832+BMILMS!$G$32)))))))</f>
        <v>12.568967990000001</v>
      </c>
      <c r="AL832" s="4">
        <f>IF(D832="M",(IF(AM832&lt;90,BMILMS!$D$14*AM832^3+BMILMS!$E$14*AM832^2+BMILMS!$F$14*AM832+BMILMS!$G$14,BMILMS!$D$15*AM832^3+BMILMS!$E$15*AM832^2+BMILMS!$F$15*AM832+BMILMS!$G$15)),(IF(AM832&lt;90,BMILMS!$D$17*AM832^3+BMILMS!$E$17*AM832^2+BMILMS!$F$17*AM832+BMILMS!$G$17,BMILMS!$D$18*AM832^3+BMILMS!$E$18*AM832^2+BMILMS!$F$18*AM832+BMILMS!$G$18)))</f>
        <v>8.8969350000000003E-2</v>
      </c>
      <c r="AM832" s="4">
        <f t="shared" si="272"/>
        <v>0</v>
      </c>
      <c r="AO832" s="56">
        <f>IF(D832="M",WeightSDS!P$5*$AM832^7+WeightSDS!Q$5*$AM832^6+WeightSDS!R$5*$AM832^5+WeightSDS!S$5*$AM832^4+WeightSDS!T$5*$AM832^3+WeightSDS!U$5*$AM832^2+WeightSDS!V$5*$AM832+WeightSDS!W$5,IF($AM832&lt;186,WeightSDS!P$8*$AM832^7+WeightSDS!Q$8*$AM832^6+WeightSDS!R$8*$AM832^5+WeightSDS!S$8*$AM832^4+WeightSDS!T$8*$AM832^3+WeightSDS!U$8*$AM832^2+WeightSDS!V$8*$AM832+WeightSDS!W$8,WeightSDS!$U$9+WeightSDS!$V$9*($AM832-WeightSDS!$W$9)))</f>
        <v>0.75407122999999998</v>
      </c>
      <c r="AP832" s="4">
        <f>IF(D832="M",IF($AM832&lt;45,WeightSDS!M$23*$AM832^10+WeightSDS!N$23*$AM832^9+WeightSDS!O$23*$AM832^8+WeightSDS!P$23*$AM832^7+WeightSDS!Q$23*$AM832^6+WeightSDS!R$23*$AM832^5+WeightSDS!S$23*$AM832^4+WeightSDS!T$23*$AM832^3+WeightSDS!U$23*$AM832^2+WeightSDS!V$23*$AM832+WeightSDS!W$23,IF($AM832&lt;153,WeightSDS!M$25*$AM832^10+WeightSDS!N$25*$AM832^9+WeightSDS!O$25*$AM832^8+WeightSDS!P$25*$AM832^7+WeightSDS!Q$25*$AM832^6+WeightSDS!R$25*$AM832^5+WeightSDS!S$25*$AM832^4+WeightSDS!T$25*$AM832^3+WeightSDS!U$25*$AM832^2+WeightSDS!V$25*$AM832+WeightSDS!W$25,WeightSDS!M$27+WeightSDS!N$27/(1+EXP(WeightSDS!O$27+WeightSDS!P$27*$AM832)))),IF($AM832&lt;43.8,WeightSDS!M$29*$AM832^10+WeightSDS!N$29*$AM832^9+WeightSDS!O$29*$AM832^8+WeightSDS!P$29*$AM832^7+WeightSDS!Q$29*$AM832^6+WeightSDS!R$29*$AM832^5+WeightSDS!S$29*$AM832^4+WeightSDS!T$29*$AM832^3+WeightSDS!U$29*$AM832^2+WeightSDS!V$29*$AM832+WeightSDS!W$29-0.010431*(1-$AM832/210),IF($AM832&lt;123,WeightSDS!M$30*$AM832^10+WeightSDS!N$30*$AM832^9+WeightSDS!O$30*$AM832^8+WeightSDS!P$30*$AM832^7+WeightSDS!Q$30*$AM832^6+WeightSDS!R$30*$AM832^5+WeightSDS!S$30*$AM832^4+WeightSDS!T$30*$AM832^3+WeightSDS!U$30*$AM832^2+WeightSDS!V$30*$AM832+WeightSDS!W$30-0.010431*(1-1/$AM832),WeightSDS!M$32+WeightSDS!N$32/(1+EXP(WeightSDS!O$32+WeightSDS!P$32*$AM832))-0.010431*(1-$AM832/210))))</f>
        <v>2.9500001032655536</v>
      </c>
      <c r="AQ832" s="4">
        <f>IF(D832="M",IF($AM832&lt;162,WeightSDS!P$12*$AM832^7+WeightSDS!Q$12*$AM832^6+WeightSDS!R$12*$AM832^5+WeightSDS!S$12*$AM832^4+WeightSDS!T$12*$AM832^3+WeightSDS!U$12*$AM832^2+WeightSDS!V$12*$AM832+WeightSDS!W$12,WeightSDS!P$14*$AM832^7+WeightSDS!Q$14*$AM832^6+WeightSDS!R$14*$AM832^5+WeightSDS!S$14*$AM832^4+WeightSDS!T$14*$AM832^3+WeightSDS!U$14*$AM832^2+WeightSDS!V$14*$AM832+WeightSDS!W$14),IF($AM832&lt;156,WeightSDS!O$17*$AM832^8+WeightSDS!P$17*$AM832^7+WeightSDS!Q$17*$AM832^6+WeightSDS!R$17*$AM832^5+WeightSDS!S$17*$AM832^4+WeightSDS!T$17*$AM832^3+WeightSDS!U$17*$AM832^2+WeightSDS!V$17*$AM832+WeightSDS!W$17,IF($AM832&lt;186,WeightSDS!$U$18+(WeightSDS!$V$18-WeightSDS!$U$18)/24*($AM832-186)+WeightSDS!$W$18*(-$AM832+186)^2-0.005,WeightSDS!$U$18+(WeightSDS!$V$18-WeightSDS!$U$18)/24*($AM832-186)-0.005)))</f>
        <v>0.14604529399999999</v>
      </c>
      <c r="AT832" s="4">
        <f t="shared" si="259"/>
        <v>0.56299999999999994</v>
      </c>
      <c r="AU832" s="4">
        <f t="shared" si="260"/>
        <v>69</v>
      </c>
      <c r="AV832" s="4">
        <f t="shared" si="261"/>
        <v>0.51</v>
      </c>
    </row>
    <row r="833" spans="1:48" x14ac:dyDescent="0.15">
      <c r="A833" s="4"/>
      <c r="B833" s="21"/>
      <c r="C833" s="21"/>
      <c r="D833" s="21"/>
      <c r="E833" s="22"/>
      <c r="F833" s="22"/>
      <c r="G833" s="23"/>
      <c r="H833" s="23"/>
      <c r="I833" s="181"/>
      <c r="J833" s="8" t="str">
        <f t="shared" si="253"/>
        <v/>
      </c>
      <c r="K833" s="2" t="str">
        <f t="shared" si="262"/>
        <v/>
      </c>
      <c r="L833" s="2" t="str">
        <f t="shared" si="254"/>
        <v/>
      </c>
      <c r="M833" s="2" t="str">
        <f t="shared" si="263"/>
        <v/>
      </c>
      <c r="N833" s="2" t="str">
        <f t="shared" si="271"/>
        <v/>
      </c>
      <c r="O833" s="2" t="str">
        <f t="shared" si="264"/>
        <v/>
      </c>
      <c r="P833" s="8" t="str">
        <f t="shared" si="265"/>
        <v/>
      </c>
      <c r="Q833" s="8" t="str">
        <f t="shared" si="266"/>
        <v/>
      </c>
      <c r="R833" s="111" t="str">
        <f t="shared" si="267"/>
        <v/>
      </c>
      <c r="S833" s="44" t="str">
        <f t="shared" si="268"/>
        <v/>
      </c>
      <c r="T833" s="37" t="str">
        <f t="shared" si="269"/>
        <v/>
      </c>
      <c r="U833" s="44" t="str">
        <f t="shared" si="270"/>
        <v/>
      </c>
      <c r="V833" s="26"/>
      <c r="W833" s="26"/>
      <c r="X833" s="26"/>
      <c r="Y833" s="26"/>
      <c r="Z833" s="24"/>
      <c r="AA833" s="169">
        <f t="shared" si="255"/>
        <v>0</v>
      </c>
      <c r="AB833" s="4">
        <f t="shared" si="256"/>
        <v>0</v>
      </c>
      <c r="AC833" s="170">
        <f t="shared" si="273"/>
        <v>0</v>
      </c>
      <c r="AD833" s="58"/>
      <c r="AE833" s="58"/>
      <c r="AF833" s="58"/>
      <c r="AG833" s="59">
        <f t="shared" si="257"/>
        <v>9.0359999999999996</v>
      </c>
      <c r="AH833" s="59">
        <f t="shared" si="258"/>
        <v>-184.49199999999999</v>
      </c>
      <c r="AJ833" s="4">
        <f>IF(D833="M",IF(AM833&lt;78,BMILMS!$D$5*AM833^3+BMILMS!$E$5*AM833^2+BMILMS!$F$5*AM833+BMILMS!$G$5,IF(AM833&lt;150,BMILMS!$D$6*AM833^3+BMILMS!$E$6*AM833^2+BMILMS!$F$6*AM833+BMILMS!$G$6,BMILMS!$D$7*AM833^3+BMILMS!$E$7*AM833^2+BMILMS!$F$7*AM833+BMILMS!$G$7)),IF(AM833&lt;69,BMILMS!$D$9*AM833^3+BMILMS!$E$9*AM833^2+BMILMS!$F$9*AM833+BMILMS!$G$9,IF(AM833&lt;150,BMILMS!$D$10*AM833^3+BMILMS!$E$10*AM833^2+BMILMS!$F$10*AM833+BMILMS!$G$10,BMILMS!$D$11*AM833^3+BMILMS!$E$11*AM833^2+BMILMS!$F$11*AM833+BMILMS!$G$11)))</f>
        <v>0.79584630099999998</v>
      </c>
      <c r="AK833" s="4">
        <f>IF(D833="M",(IF(AM833&lt;2.5,BMILMS!$D$21*AM833^3+BMILMS!$E$21*AM833^2+BMILMS!$F$21*AM833+BMILMS!$G$21,IF(AM833&lt;9.5,BMILMS!$D$22*AM833^3+BMILMS!$E$22*AM833^2+BMILMS!$F$22*AM833+BMILMS!$G$22,IF(AM833&lt;26.75,BMILMS!$D$23*AM833^3+BMILMS!$E$23*AM833^2+BMILMS!$F$23*AM833+BMILMS!$G$23,IF(AM833&lt;90,BMILMS!$D$24*AM833^3+BMILMS!$E$24*AM833^2+BMILMS!$F$24*AM833+BMILMS!$G$24,BMILMS!$D$25*AM833^3+BMILMS!$E$25*AM833^2+BMILMS!$F$25*AM833+BMILMS!$G$25))))),(IF(AM833&lt;2.5,BMILMS!$D$27*AM833^3+BMILMS!$E$27*AM833^2+BMILMS!$F$27*AM833+BMILMS!$G$27,IF(AM833&lt;9.5,BMILMS!$D$28*AM833^3+BMILMS!$E$28*AM833^2+BMILMS!$F$28*AM833+BMILMS!$G$28,IF(AM833&lt;26.75,BMILMS!$D$29*AM833^3+BMILMS!$E$29*AM833^2+BMILMS!$F$29*AM833+BMILMS!$G$29,IF(AM833&lt;90,BMILMS!$D$30*AM833^3+BMILMS!$E$30*AM833^2+BMILMS!$F$30*AM833+BMILMS!$G$30,IF(AM833&lt;150,BMILMS!$D$31*AM833^3+BMILMS!$E$31*AM833^2+BMILMS!$F$31*AM833+BMILMS!$G$31,BMILMS!$D$32*AM833^3+BMILMS!$E$32*AM833^2+BMILMS!$F$32*AM833+BMILMS!$G$32)))))))</f>
        <v>12.568967990000001</v>
      </c>
      <c r="AL833" s="4">
        <f>IF(D833="M",(IF(AM833&lt;90,BMILMS!$D$14*AM833^3+BMILMS!$E$14*AM833^2+BMILMS!$F$14*AM833+BMILMS!$G$14,BMILMS!$D$15*AM833^3+BMILMS!$E$15*AM833^2+BMILMS!$F$15*AM833+BMILMS!$G$15)),(IF(AM833&lt;90,BMILMS!$D$17*AM833^3+BMILMS!$E$17*AM833^2+BMILMS!$F$17*AM833+BMILMS!$G$17,BMILMS!$D$18*AM833^3+BMILMS!$E$18*AM833^2+BMILMS!$F$18*AM833+BMILMS!$G$18)))</f>
        <v>8.8969350000000003E-2</v>
      </c>
      <c r="AM833" s="4">
        <f t="shared" si="272"/>
        <v>0</v>
      </c>
      <c r="AO833" s="56">
        <f>IF(D833="M",WeightSDS!P$5*$AM833^7+WeightSDS!Q$5*$AM833^6+WeightSDS!R$5*$AM833^5+WeightSDS!S$5*$AM833^4+WeightSDS!T$5*$AM833^3+WeightSDS!U$5*$AM833^2+WeightSDS!V$5*$AM833+WeightSDS!W$5,IF($AM833&lt;186,WeightSDS!P$8*$AM833^7+WeightSDS!Q$8*$AM833^6+WeightSDS!R$8*$AM833^5+WeightSDS!S$8*$AM833^4+WeightSDS!T$8*$AM833^3+WeightSDS!U$8*$AM833^2+WeightSDS!V$8*$AM833+WeightSDS!W$8,WeightSDS!$U$9+WeightSDS!$V$9*($AM833-WeightSDS!$W$9)))</f>
        <v>0.75407122999999998</v>
      </c>
      <c r="AP833" s="4">
        <f>IF(D833="M",IF($AM833&lt;45,WeightSDS!M$23*$AM833^10+WeightSDS!N$23*$AM833^9+WeightSDS!O$23*$AM833^8+WeightSDS!P$23*$AM833^7+WeightSDS!Q$23*$AM833^6+WeightSDS!R$23*$AM833^5+WeightSDS!S$23*$AM833^4+WeightSDS!T$23*$AM833^3+WeightSDS!U$23*$AM833^2+WeightSDS!V$23*$AM833+WeightSDS!W$23,IF($AM833&lt;153,WeightSDS!M$25*$AM833^10+WeightSDS!N$25*$AM833^9+WeightSDS!O$25*$AM833^8+WeightSDS!P$25*$AM833^7+WeightSDS!Q$25*$AM833^6+WeightSDS!R$25*$AM833^5+WeightSDS!S$25*$AM833^4+WeightSDS!T$25*$AM833^3+WeightSDS!U$25*$AM833^2+WeightSDS!V$25*$AM833+WeightSDS!W$25,WeightSDS!M$27+WeightSDS!N$27/(1+EXP(WeightSDS!O$27+WeightSDS!P$27*$AM833)))),IF($AM833&lt;43.8,WeightSDS!M$29*$AM833^10+WeightSDS!N$29*$AM833^9+WeightSDS!O$29*$AM833^8+WeightSDS!P$29*$AM833^7+WeightSDS!Q$29*$AM833^6+WeightSDS!R$29*$AM833^5+WeightSDS!S$29*$AM833^4+WeightSDS!T$29*$AM833^3+WeightSDS!U$29*$AM833^2+WeightSDS!V$29*$AM833+WeightSDS!W$29-0.010431*(1-$AM833/210),IF($AM833&lt;123,WeightSDS!M$30*$AM833^10+WeightSDS!N$30*$AM833^9+WeightSDS!O$30*$AM833^8+WeightSDS!P$30*$AM833^7+WeightSDS!Q$30*$AM833^6+WeightSDS!R$30*$AM833^5+WeightSDS!S$30*$AM833^4+WeightSDS!T$30*$AM833^3+WeightSDS!U$30*$AM833^2+WeightSDS!V$30*$AM833+WeightSDS!W$30-0.010431*(1-1/$AM833),WeightSDS!M$32+WeightSDS!N$32/(1+EXP(WeightSDS!O$32+WeightSDS!P$32*$AM833))-0.010431*(1-$AM833/210))))</f>
        <v>2.9500001032655536</v>
      </c>
      <c r="AQ833" s="4">
        <f>IF(D833="M",IF($AM833&lt;162,WeightSDS!P$12*$AM833^7+WeightSDS!Q$12*$AM833^6+WeightSDS!R$12*$AM833^5+WeightSDS!S$12*$AM833^4+WeightSDS!T$12*$AM833^3+WeightSDS!U$12*$AM833^2+WeightSDS!V$12*$AM833+WeightSDS!W$12,WeightSDS!P$14*$AM833^7+WeightSDS!Q$14*$AM833^6+WeightSDS!R$14*$AM833^5+WeightSDS!S$14*$AM833^4+WeightSDS!T$14*$AM833^3+WeightSDS!U$14*$AM833^2+WeightSDS!V$14*$AM833+WeightSDS!W$14),IF($AM833&lt;156,WeightSDS!O$17*$AM833^8+WeightSDS!P$17*$AM833^7+WeightSDS!Q$17*$AM833^6+WeightSDS!R$17*$AM833^5+WeightSDS!S$17*$AM833^4+WeightSDS!T$17*$AM833^3+WeightSDS!U$17*$AM833^2+WeightSDS!V$17*$AM833+WeightSDS!W$17,IF($AM833&lt;186,WeightSDS!$U$18+(WeightSDS!$V$18-WeightSDS!$U$18)/24*($AM833-186)+WeightSDS!$W$18*(-$AM833+186)^2-0.005,WeightSDS!$U$18+(WeightSDS!$V$18-WeightSDS!$U$18)/24*($AM833-186)-0.005)))</f>
        <v>0.14604529399999999</v>
      </c>
      <c r="AT833" s="4">
        <f t="shared" si="259"/>
        <v>0.56299999999999994</v>
      </c>
      <c r="AU833" s="4">
        <f t="shared" si="260"/>
        <v>69</v>
      </c>
      <c r="AV833" s="4">
        <f t="shared" si="261"/>
        <v>0.51</v>
      </c>
    </row>
    <row r="834" spans="1:48" x14ac:dyDescent="0.15">
      <c r="A834" s="4"/>
      <c r="B834" s="21"/>
      <c r="C834" s="21"/>
      <c r="D834" s="21"/>
      <c r="E834" s="22"/>
      <c r="F834" s="22"/>
      <c r="G834" s="23"/>
      <c r="H834" s="23"/>
      <c r="I834" s="181"/>
      <c r="J834" s="8" t="str">
        <f t="shared" si="253"/>
        <v/>
      </c>
      <c r="K834" s="2" t="str">
        <f t="shared" si="262"/>
        <v/>
      </c>
      <c r="L834" s="2" t="str">
        <f t="shared" si="254"/>
        <v/>
      </c>
      <c r="M834" s="2" t="str">
        <f t="shared" si="263"/>
        <v/>
      </c>
      <c r="N834" s="2" t="str">
        <f t="shared" si="271"/>
        <v/>
      </c>
      <c r="O834" s="2" t="str">
        <f t="shared" si="264"/>
        <v/>
      </c>
      <c r="P834" s="8" t="str">
        <f t="shared" si="265"/>
        <v/>
      </c>
      <c r="Q834" s="8" t="str">
        <f t="shared" si="266"/>
        <v/>
      </c>
      <c r="R834" s="111" t="str">
        <f t="shared" si="267"/>
        <v/>
      </c>
      <c r="S834" s="44" t="str">
        <f t="shared" si="268"/>
        <v/>
      </c>
      <c r="T834" s="37" t="str">
        <f t="shared" si="269"/>
        <v/>
      </c>
      <c r="U834" s="44" t="str">
        <f t="shared" si="270"/>
        <v/>
      </c>
      <c r="V834" s="26"/>
      <c r="W834" s="26"/>
      <c r="X834" s="26"/>
      <c r="Y834" s="26"/>
      <c r="Z834" s="24"/>
      <c r="AA834" s="169">
        <f t="shared" si="255"/>
        <v>0</v>
      </c>
      <c r="AB834" s="4">
        <f t="shared" si="256"/>
        <v>0</v>
      </c>
      <c r="AC834" s="170">
        <f t="shared" si="273"/>
        <v>0</v>
      </c>
      <c r="AD834" s="58"/>
      <c r="AE834" s="58"/>
      <c r="AF834" s="58"/>
      <c r="AG834" s="59">
        <f t="shared" si="257"/>
        <v>9.0359999999999996</v>
      </c>
      <c r="AH834" s="59">
        <f t="shared" si="258"/>
        <v>-184.49199999999999</v>
      </c>
      <c r="AJ834" s="4">
        <f>IF(D834="M",IF(AM834&lt;78,BMILMS!$D$5*AM834^3+BMILMS!$E$5*AM834^2+BMILMS!$F$5*AM834+BMILMS!$G$5,IF(AM834&lt;150,BMILMS!$D$6*AM834^3+BMILMS!$E$6*AM834^2+BMILMS!$F$6*AM834+BMILMS!$G$6,BMILMS!$D$7*AM834^3+BMILMS!$E$7*AM834^2+BMILMS!$F$7*AM834+BMILMS!$G$7)),IF(AM834&lt;69,BMILMS!$D$9*AM834^3+BMILMS!$E$9*AM834^2+BMILMS!$F$9*AM834+BMILMS!$G$9,IF(AM834&lt;150,BMILMS!$D$10*AM834^3+BMILMS!$E$10*AM834^2+BMILMS!$F$10*AM834+BMILMS!$G$10,BMILMS!$D$11*AM834^3+BMILMS!$E$11*AM834^2+BMILMS!$F$11*AM834+BMILMS!$G$11)))</f>
        <v>0.79584630099999998</v>
      </c>
      <c r="AK834" s="4">
        <f>IF(D834="M",(IF(AM834&lt;2.5,BMILMS!$D$21*AM834^3+BMILMS!$E$21*AM834^2+BMILMS!$F$21*AM834+BMILMS!$G$21,IF(AM834&lt;9.5,BMILMS!$D$22*AM834^3+BMILMS!$E$22*AM834^2+BMILMS!$F$22*AM834+BMILMS!$G$22,IF(AM834&lt;26.75,BMILMS!$D$23*AM834^3+BMILMS!$E$23*AM834^2+BMILMS!$F$23*AM834+BMILMS!$G$23,IF(AM834&lt;90,BMILMS!$D$24*AM834^3+BMILMS!$E$24*AM834^2+BMILMS!$F$24*AM834+BMILMS!$G$24,BMILMS!$D$25*AM834^3+BMILMS!$E$25*AM834^2+BMILMS!$F$25*AM834+BMILMS!$G$25))))),(IF(AM834&lt;2.5,BMILMS!$D$27*AM834^3+BMILMS!$E$27*AM834^2+BMILMS!$F$27*AM834+BMILMS!$G$27,IF(AM834&lt;9.5,BMILMS!$D$28*AM834^3+BMILMS!$E$28*AM834^2+BMILMS!$F$28*AM834+BMILMS!$G$28,IF(AM834&lt;26.75,BMILMS!$D$29*AM834^3+BMILMS!$E$29*AM834^2+BMILMS!$F$29*AM834+BMILMS!$G$29,IF(AM834&lt;90,BMILMS!$D$30*AM834^3+BMILMS!$E$30*AM834^2+BMILMS!$F$30*AM834+BMILMS!$G$30,IF(AM834&lt;150,BMILMS!$D$31*AM834^3+BMILMS!$E$31*AM834^2+BMILMS!$F$31*AM834+BMILMS!$G$31,BMILMS!$D$32*AM834^3+BMILMS!$E$32*AM834^2+BMILMS!$F$32*AM834+BMILMS!$G$32)))))))</f>
        <v>12.568967990000001</v>
      </c>
      <c r="AL834" s="4">
        <f>IF(D834="M",(IF(AM834&lt;90,BMILMS!$D$14*AM834^3+BMILMS!$E$14*AM834^2+BMILMS!$F$14*AM834+BMILMS!$G$14,BMILMS!$D$15*AM834^3+BMILMS!$E$15*AM834^2+BMILMS!$F$15*AM834+BMILMS!$G$15)),(IF(AM834&lt;90,BMILMS!$D$17*AM834^3+BMILMS!$E$17*AM834^2+BMILMS!$F$17*AM834+BMILMS!$G$17,BMILMS!$D$18*AM834^3+BMILMS!$E$18*AM834^2+BMILMS!$F$18*AM834+BMILMS!$G$18)))</f>
        <v>8.8969350000000003E-2</v>
      </c>
      <c r="AM834" s="4">
        <f t="shared" si="272"/>
        <v>0</v>
      </c>
      <c r="AO834" s="56">
        <f>IF(D834="M",WeightSDS!P$5*$AM834^7+WeightSDS!Q$5*$AM834^6+WeightSDS!R$5*$AM834^5+WeightSDS!S$5*$AM834^4+WeightSDS!T$5*$AM834^3+WeightSDS!U$5*$AM834^2+WeightSDS!V$5*$AM834+WeightSDS!W$5,IF($AM834&lt;186,WeightSDS!P$8*$AM834^7+WeightSDS!Q$8*$AM834^6+WeightSDS!R$8*$AM834^5+WeightSDS!S$8*$AM834^4+WeightSDS!T$8*$AM834^3+WeightSDS!U$8*$AM834^2+WeightSDS!V$8*$AM834+WeightSDS!W$8,WeightSDS!$U$9+WeightSDS!$V$9*($AM834-WeightSDS!$W$9)))</f>
        <v>0.75407122999999998</v>
      </c>
      <c r="AP834" s="4">
        <f>IF(D834="M",IF($AM834&lt;45,WeightSDS!M$23*$AM834^10+WeightSDS!N$23*$AM834^9+WeightSDS!O$23*$AM834^8+WeightSDS!P$23*$AM834^7+WeightSDS!Q$23*$AM834^6+WeightSDS!R$23*$AM834^5+WeightSDS!S$23*$AM834^4+WeightSDS!T$23*$AM834^3+WeightSDS!U$23*$AM834^2+WeightSDS!V$23*$AM834+WeightSDS!W$23,IF($AM834&lt;153,WeightSDS!M$25*$AM834^10+WeightSDS!N$25*$AM834^9+WeightSDS!O$25*$AM834^8+WeightSDS!P$25*$AM834^7+WeightSDS!Q$25*$AM834^6+WeightSDS!R$25*$AM834^5+WeightSDS!S$25*$AM834^4+WeightSDS!T$25*$AM834^3+WeightSDS!U$25*$AM834^2+WeightSDS!V$25*$AM834+WeightSDS!W$25,WeightSDS!M$27+WeightSDS!N$27/(1+EXP(WeightSDS!O$27+WeightSDS!P$27*$AM834)))),IF($AM834&lt;43.8,WeightSDS!M$29*$AM834^10+WeightSDS!N$29*$AM834^9+WeightSDS!O$29*$AM834^8+WeightSDS!P$29*$AM834^7+WeightSDS!Q$29*$AM834^6+WeightSDS!R$29*$AM834^5+WeightSDS!S$29*$AM834^4+WeightSDS!T$29*$AM834^3+WeightSDS!U$29*$AM834^2+WeightSDS!V$29*$AM834+WeightSDS!W$29-0.010431*(1-$AM834/210),IF($AM834&lt;123,WeightSDS!M$30*$AM834^10+WeightSDS!N$30*$AM834^9+WeightSDS!O$30*$AM834^8+WeightSDS!P$30*$AM834^7+WeightSDS!Q$30*$AM834^6+WeightSDS!R$30*$AM834^5+WeightSDS!S$30*$AM834^4+WeightSDS!T$30*$AM834^3+WeightSDS!U$30*$AM834^2+WeightSDS!V$30*$AM834+WeightSDS!W$30-0.010431*(1-1/$AM834),WeightSDS!M$32+WeightSDS!N$32/(1+EXP(WeightSDS!O$32+WeightSDS!P$32*$AM834))-0.010431*(1-$AM834/210))))</f>
        <v>2.9500001032655536</v>
      </c>
      <c r="AQ834" s="4">
        <f>IF(D834="M",IF($AM834&lt;162,WeightSDS!P$12*$AM834^7+WeightSDS!Q$12*$AM834^6+WeightSDS!R$12*$AM834^5+WeightSDS!S$12*$AM834^4+WeightSDS!T$12*$AM834^3+WeightSDS!U$12*$AM834^2+WeightSDS!V$12*$AM834+WeightSDS!W$12,WeightSDS!P$14*$AM834^7+WeightSDS!Q$14*$AM834^6+WeightSDS!R$14*$AM834^5+WeightSDS!S$14*$AM834^4+WeightSDS!T$14*$AM834^3+WeightSDS!U$14*$AM834^2+WeightSDS!V$14*$AM834+WeightSDS!W$14),IF($AM834&lt;156,WeightSDS!O$17*$AM834^8+WeightSDS!P$17*$AM834^7+WeightSDS!Q$17*$AM834^6+WeightSDS!R$17*$AM834^5+WeightSDS!S$17*$AM834^4+WeightSDS!T$17*$AM834^3+WeightSDS!U$17*$AM834^2+WeightSDS!V$17*$AM834+WeightSDS!W$17,IF($AM834&lt;186,WeightSDS!$U$18+(WeightSDS!$V$18-WeightSDS!$U$18)/24*($AM834-186)+WeightSDS!$W$18*(-$AM834+186)^2-0.005,WeightSDS!$U$18+(WeightSDS!$V$18-WeightSDS!$U$18)/24*($AM834-186)-0.005)))</f>
        <v>0.14604529399999999</v>
      </c>
      <c r="AT834" s="4">
        <f t="shared" si="259"/>
        <v>0.56299999999999994</v>
      </c>
      <c r="AU834" s="4">
        <f t="shared" si="260"/>
        <v>69</v>
      </c>
      <c r="AV834" s="4">
        <f t="shared" si="261"/>
        <v>0.51</v>
      </c>
    </row>
    <row r="835" spans="1:48" x14ac:dyDescent="0.15">
      <c r="A835" s="4"/>
      <c r="B835" s="21"/>
      <c r="C835" s="21"/>
      <c r="D835" s="21"/>
      <c r="E835" s="22"/>
      <c r="F835" s="22"/>
      <c r="G835" s="23"/>
      <c r="H835" s="23"/>
      <c r="I835" s="181"/>
      <c r="J835" s="8" t="str">
        <f t="shared" ref="J835:J898" si="274">IF(COUNTA(D835,E835,F835,G835)=4,IF(AA835+AB835/12&gt;17.583,"       *",(G835-(INDEX(IF(D835="F",Hfemalemean,Hmalemean),AB835+1,AA835+1)))/(INDEX(IF(D835="F",Hfemalesd,Hmalesd),AB835+1,AA835+1))),"")</f>
        <v/>
      </c>
      <c r="K835" s="2" t="str">
        <f t="shared" si="262"/>
        <v/>
      </c>
      <c r="L835" s="2" t="str">
        <f t="shared" ref="L835:L898" si="275">IF(COUNTA(D835,E835,F835,G835,H835)&lt;5,"",IF(T835&lt;6,"       *",IF(AA835+AB835/12&gt;=17.583,"       *",(H835-G835*INDEX(IF(D835="F",muratafemale,muratamale),AA835-4,1)-INDEX(IF(D835="F",muratafemale,muratamale),AA835-4,2))/(G835*INDEX(IF(D835="F",muratafemale,muratamale),AA835-4,1)+INDEX(IF(D835="F",muratafemale,muratamale),AA835-4,2))*100)))</f>
        <v/>
      </c>
      <c r="M835" s="2" t="str">
        <f t="shared" si="263"/>
        <v/>
      </c>
      <c r="N835" s="2" t="str">
        <f t="shared" si="271"/>
        <v/>
      </c>
      <c r="O835" s="2" t="str">
        <f t="shared" si="264"/>
        <v/>
      </c>
      <c r="P835" s="8" t="str">
        <f t="shared" si="265"/>
        <v/>
      </c>
      <c r="Q835" s="8" t="str">
        <f t="shared" si="266"/>
        <v/>
      </c>
      <c r="R835" s="111" t="str">
        <f t="shared" si="267"/>
        <v/>
      </c>
      <c r="S835" s="44" t="str">
        <f t="shared" si="268"/>
        <v/>
      </c>
      <c r="T835" s="37" t="str">
        <f t="shared" si="269"/>
        <v/>
      </c>
      <c r="U835" s="44" t="str">
        <f t="shared" si="270"/>
        <v/>
      </c>
      <c r="V835" s="26"/>
      <c r="W835" s="26"/>
      <c r="X835" s="26"/>
      <c r="Y835" s="26"/>
      <c r="Z835" s="24"/>
      <c r="AA835" s="169">
        <f t="shared" ref="AA835:AA898" si="276">DATEDIF(E835,F835,"Y")</f>
        <v>0</v>
      </c>
      <c r="AB835" s="4">
        <f t="shared" ref="AB835:AB898" si="277">DATEDIF(E835,F835,"YM")</f>
        <v>0</v>
      </c>
      <c r="AC835" s="170">
        <f t="shared" si="273"/>
        <v>0</v>
      </c>
      <c r="AD835" s="58"/>
      <c r="AE835" s="58"/>
      <c r="AF835" s="58"/>
      <c r="AG835" s="59">
        <f t="shared" ref="AG835:AG898" si="278">IF(D835="M",2.06*10^-3*G835^2-0.1166*G835+6.5273,2.49*10^-3*G835^2-0.1858*G835+9.036)</f>
        <v>9.0359999999999996</v>
      </c>
      <c r="AH835" s="59">
        <f t="shared" ref="AH835:AH898" si="279">((G835/100)^3*INDEX(itoOI,IF(D835="M",0,3)+IF(G835&lt;140,1,IF(G835&lt;=149,2,3)),1)+(G835/100)^2*INDEX(itoOI,IF(D835="M",0,3)+IF(G835&lt;140,1,IF(G835&lt;=149,2,3)),2)+(G835/100)*INDEX(itoOI,IF(D835="M",0,3)+IF(G835&lt;140,1,IF(G835&lt;=149,2,3)),3)+INDEX(itoOI,IF(D835="M",0,3)+IF(G835&lt;140,1,IF(G835&lt;=149,2,3)),4))</f>
        <v>-184.49199999999999</v>
      </c>
      <c r="AJ835" s="4">
        <f>IF(D835="M",IF(AM835&lt;78,BMILMS!$D$5*AM835^3+BMILMS!$E$5*AM835^2+BMILMS!$F$5*AM835+BMILMS!$G$5,IF(AM835&lt;150,BMILMS!$D$6*AM835^3+BMILMS!$E$6*AM835^2+BMILMS!$F$6*AM835+BMILMS!$G$6,BMILMS!$D$7*AM835^3+BMILMS!$E$7*AM835^2+BMILMS!$F$7*AM835+BMILMS!$G$7)),IF(AM835&lt;69,BMILMS!$D$9*AM835^3+BMILMS!$E$9*AM835^2+BMILMS!$F$9*AM835+BMILMS!$G$9,IF(AM835&lt;150,BMILMS!$D$10*AM835^3+BMILMS!$E$10*AM835^2+BMILMS!$F$10*AM835+BMILMS!$G$10,BMILMS!$D$11*AM835^3+BMILMS!$E$11*AM835^2+BMILMS!$F$11*AM835+BMILMS!$G$11)))</f>
        <v>0.79584630099999998</v>
      </c>
      <c r="AK835" s="4">
        <f>IF(D835="M",(IF(AM835&lt;2.5,BMILMS!$D$21*AM835^3+BMILMS!$E$21*AM835^2+BMILMS!$F$21*AM835+BMILMS!$G$21,IF(AM835&lt;9.5,BMILMS!$D$22*AM835^3+BMILMS!$E$22*AM835^2+BMILMS!$F$22*AM835+BMILMS!$G$22,IF(AM835&lt;26.75,BMILMS!$D$23*AM835^3+BMILMS!$E$23*AM835^2+BMILMS!$F$23*AM835+BMILMS!$G$23,IF(AM835&lt;90,BMILMS!$D$24*AM835^3+BMILMS!$E$24*AM835^2+BMILMS!$F$24*AM835+BMILMS!$G$24,BMILMS!$D$25*AM835^3+BMILMS!$E$25*AM835^2+BMILMS!$F$25*AM835+BMILMS!$G$25))))),(IF(AM835&lt;2.5,BMILMS!$D$27*AM835^3+BMILMS!$E$27*AM835^2+BMILMS!$F$27*AM835+BMILMS!$G$27,IF(AM835&lt;9.5,BMILMS!$D$28*AM835^3+BMILMS!$E$28*AM835^2+BMILMS!$F$28*AM835+BMILMS!$G$28,IF(AM835&lt;26.75,BMILMS!$D$29*AM835^3+BMILMS!$E$29*AM835^2+BMILMS!$F$29*AM835+BMILMS!$G$29,IF(AM835&lt;90,BMILMS!$D$30*AM835^3+BMILMS!$E$30*AM835^2+BMILMS!$F$30*AM835+BMILMS!$G$30,IF(AM835&lt;150,BMILMS!$D$31*AM835^3+BMILMS!$E$31*AM835^2+BMILMS!$F$31*AM835+BMILMS!$G$31,BMILMS!$D$32*AM835^3+BMILMS!$E$32*AM835^2+BMILMS!$F$32*AM835+BMILMS!$G$32)))))))</f>
        <v>12.568967990000001</v>
      </c>
      <c r="AL835" s="4">
        <f>IF(D835="M",(IF(AM835&lt;90,BMILMS!$D$14*AM835^3+BMILMS!$E$14*AM835^2+BMILMS!$F$14*AM835+BMILMS!$G$14,BMILMS!$D$15*AM835^3+BMILMS!$E$15*AM835^2+BMILMS!$F$15*AM835+BMILMS!$G$15)),(IF(AM835&lt;90,BMILMS!$D$17*AM835^3+BMILMS!$E$17*AM835^2+BMILMS!$F$17*AM835+BMILMS!$G$17,BMILMS!$D$18*AM835^3+BMILMS!$E$18*AM835^2+BMILMS!$F$18*AM835+BMILMS!$G$18)))</f>
        <v>8.8969350000000003E-2</v>
      </c>
      <c r="AM835" s="4">
        <f t="shared" si="272"/>
        <v>0</v>
      </c>
      <c r="AO835" s="56">
        <f>IF(D835="M",WeightSDS!P$5*$AM835^7+WeightSDS!Q$5*$AM835^6+WeightSDS!R$5*$AM835^5+WeightSDS!S$5*$AM835^4+WeightSDS!T$5*$AM835^3+WeightSDS!U$5*$AM835^2+WeightSDS!V$5*$AM835+WeightSDS!W$5,IF($AM835&lt;186,WeightSDS!P$8*$AM835^7+WeightSDS!Q$8*$AM835^6+WeightSDS!R$8*$AM835^5+WeightSDS!S$8*$AM835^4+WeightSDS!T$8*$AM835^3+WeightSDS!U$8*$AM835^2+WeightSDS!V$8*$AM835+WeightSDS!W$8,WeightSDS!$U$9+WeightSDS!$V$9*($AM835-WeightSDS!$W$9)))</f>
        <v>0.75407122999999998</v>
      </c>
      <c r="AP835" s="4">
        <f>IF(D835="M",IF($AM835&lt;45,WeightSDS!M$23*$AM835^10+WeightSDS!N$23*$AM835^9+WeightSDS!O$23*$AM835^8+WeightSDS!P$23*$AM835^7+WeightSDS!Q$23*$AM835^6+WeightSDS!R$23*$AM835^5+WeightSDS!S$23*$AM835^4+WeightSDS!T$23*$AM835^3+WeightSDS!U$23*$AM835^2+WeightSDS!V$23*$AM835+WeightSDS!W$23,IF($AM835&lt;153,WeightSDS!M$25*$AM835^10+WeightSDS!N$25*$AM835^9+WeightSDS!O$25*$AM835^8+WeightSDS!P$25*$AM835^7+WeightSDS!Q$25*$AM835^6+WeightSDS!R$25*$AM835^5+WeightSDS!S$25*$AM835^4+WeightSDS!T$25*$AM835^3+WeightSDS!U$25*$AM835^2+WeightSDS!V$25*$AM835+WeightSDS!W$25,WeightSDS!M$27+WeightSDS!N$27/(1+EXP(WeightSDS!O$27+WeightSDS!P$27*$AM835)))),IF($AM835&lt;43.8,WeightSDS!M$29*$AM835^10+WeightSDS!N$29*$AM835^9+WeightSDS!O$29*$AM835^8+WeightSDS!P$29*$AM835^7+WeightSDS!Q$29*$AM835^6+WeightSDS!R$29*$AM835^5+WeightSDS!S$29*$AM835^4+WeightSDS!T$29*$AM835^3+WeightSDS!U$29*$AM835^2+WeightSDS!V$29*$AM835+WeightSDS!W$29-0.010431*(1-$AM835/210),IF($AM835&lt;123,WeightSDS!M$30*$AM835^10+WeightSDS!N$30*$AM835^9+WeightSDS!O$30*$AM835^8+WeightSDS!P$30*$AM835^7+WeightSDS!Q$30*$AM835^6+WeightSDS!R$30*$AM835^5+WeightSDS!S$30*$AM835^4+WeightSDS!T$30*$AM835^3+WeightSDS!U$30*$AM835^2+WeightSDS!V$30*$AM835+WeightSDS!W$30-0.010431*(1-1/$AM835),WeightSDS!M$32+WeightSDS!N$32/(1+EXP(WeightSDS!O$32+WeightSDS!P$32*$AM835))-0.010431*(1-$AM835/210))))</f>
        <v>2.9500001032655536</v>
      </c>
      <c r="AQ835" s="4">
        <f>IF(D835="M",IF($AM835&lt;162,WeightSDS!P$12*$AM835^7+WeightSDS!Q$12*$AM835^6+WeightSDS!R$12*$AM835^5+WeightSDS!S$12*$AM835^4+WeightSDS!T$12*$AM835^3+WeightSDS!U$12*$AM835^2+WeightSDS!V$12*$AM835+WeightSDS!W$12,WeightSDS!P$14*$AM835^7+WeightSDS!Q$14*$AM835^6+WeightSDS!R$14*$AM835^5+WeightSDS!S$14*$AM835^4+WeightSDS!T$14*$AM835^3+WeightSDS!U$14*$AM835^2+WeightSDS!V$14*$AM835+WeightSDS!W$14),IF($AM835&lt;156,WeightSDS!O$17*$AM835^8+WeightSDS!P$17*$AM835^7+WeightSDS!Q$17*$AM835^6+WeightSDS!R$17*$AM835^5+WeightSDS!S$17*$AM835^4+WeightSDS!T$17*$AM835^3+WeightSDS!U$17*$AM835^2+WeightSDS!V$17*$AM835+WeightSDS!W$17,IF($AM835&lt;186,WeightSDS!$U$18+(WeightSDS!$V$18-WeightSDS!$U$18)/24*($AM835-186)+WeightSDS!$W$18*(-$AM835+186)^2-0.005,WeightSDS!$U$18+(WeightSDS!$V$18-WeightSDS!$U$18)/24*($AM835-186)-0.005)))</f>
        <v>0.14604529399999999</v>
      </c>
      <c r="AT835" s="4">
        <f t="shared" ref="AT835:AT898" si="280">INDEX(IF(D835="M",IGFmale, IGFfemale), AA835+1,1)</f>
        <v>0.56299999999999994</v>
      </c>
      <c r="AU835" s="4">
        <f t="shared" ref="AU835:AU898" si="281">INDEX(IF(D835="M",IGFmale, IGFfemale), AA835+1,2)</f>
        <v>69</v>
      </c>
      <c r="AV835" s="4">
        <f t="shared" ref="AV835:AV898" si="282">INDEX(IF(D835="M",IGFmale, IGFfemale), AA835+1,3)</f>
        <v>0.51</v>
      </c>
    </row>
    <row r="836" spans="1:48" x14ac:dyDescent="0.15">
      <c r="A836" s="4"/>
      <c r="B836" s="21"/>
      <c r="C836" s="21"/>
      <c r="D836" s="21"/>
      <c r="E836" s="22"/>
      <c r="F836" s="22"/>
      <c r="G836" s="23"/>
      <c r="H836" s="23"/>
      <c r="I836" s="181"/>
      <c r="J836" s="8" t="str">
        <f t="shared" si="274"/>
        <v/>
      </c>
      <c r="K836" s="2" t="str">
        <f t="shared" ref="K836:K899" si="283">IF(COUNTA(D836,E836,F836,G836,H836)=5,IF(T836&lt;1,"       *",IF(T836&gt;=6,"       *",IF(G836&gt;=120,"       *",IF(G836&lt;70,"       *",(H836-AG836)/AG836*100)))),"")</f>
        <v/>
      </c>
      <c r="L836" s="2" t="str">
        <f t="shared" si="275"/>
        <v/>
      </c>
      <c r="M836" s="2" t="str">
        <f t="shared" ref="M836:M899" si="284">IF(COUNTA(D836,E836,F836,G836,H836)=5,IF(G836&gt;=IF(D836="M",181,174),"*",IF(G836&lt;101,"       *",IF(T836&lt;6,"       *",IF(AA836+AB836/12&gt;=17.583,"*",(H836-AH836)/AH836*100)))),"")</f>
        <v/>
      </c>
      <c r="N836" s="2" t="str">
        <f t="shared" si="271"/>
        <v/>
      </c>
      <c r="O836" s="2" t="str">
        <f t="shared" ref="O836:O899" si="285">IF(COUNTA(D836,E836,F836,G836,H836)=5,IF(AA836+AB836/12&gt;17.583,"   *",NORMSDIST(((N836/AK836)^(AJ836)-1)/AJ836/AL836)*100),"")</f>
        <v/>
      </c>
      <c r="P836" s="8" t="str">
        <f t="shared" ref="P836:P899" si="286">IF(COUNTA(D836,E836,F836,G836,H836)=5,IF(AA836+AB836/12&gt;17.583,"   *",((N836/AK836)^(AJ836)-1)/AJ836/AL836),"")</f>
        <v/>
      </c>
      <c r="Q836" s="8" t="str">
        <f t="shared" ref="Q836:Q899" si="287">IF(COUNTA(D836,E836,F836,H836)=4,IF(AA836+AB836/12&gt;17.583,"   *",((H836/AP836)^(AO836)-1)/AO836/AQ836),"")</f>
        <v/>
      </c>
      <c r="R836" s="111" t="str">
        <f t="shared" ref="R836:R899" si="288">IF(COUNTA(D836,E836,F836,I836)=4,IF(AC836&gt;77,"*",NORMSDIST(((I836/AU836)^(AT836)-1)/AT836/AV836)*100),"")</f>
        <v/>
      </c>
      <c r="S836" s="44" t="str">
        <f t="shared" ref="S836:S899" si="289">IF(COUNTA(D836,E836,F836,I836)=4,IF(AC836&gt;77,"*",((I836/AU836)^(AT836)-1)/AT836/AV836),"")</f>
        <v/>
      </c>
      <c r="T836" s="37" t="str">
        <f t="shared" ref="T836:T899" si="290">IF(COUNTA(E836,F836)=2,AC836,"")</f>
        <v/>
      </c>
      <c r="U836" s="44" t="str">
        <f t="shared" ref="U836:U899" si="291">IF(COUNTA(E836,F836)=2,AA836&amp;"歳"&amp;AB836&amp;"か月","")</f>
        <v/>
      </c>
      <c r="V836" s="26"/>
      <c r="W836" s="26"/>
      <c r="X836" s="26"/>
      <c r="Y836" s="26"/>
      <c r="Z836" s="24"/>
      <c r="AA836" s="169">
        <f t="shared" si="276"/>
        <v>0</v>
      </c>
      <c r="AB836" s="4">
        <f t="shared" si="277"/>
        <v>0</v>
      </c>
      <c r="AC836" s="170">
        <f t="shared" si="273"/>
        <v>0</v>
      </c>
      <c r="AD836" s="58"/>
      <c r="AE836" s="58"/>
      <c r="AF836" s="58"/>
      <c r="AG836" s="59">
        <f t="shared" si="278"/>
        <v>9.0359999999999996</v>
      </c>
      <c r="AH836" s="59">
        <f t="shared" si="279"/>
        <v>-184.49199999999999</v>
      </c>
      <c r="AJ836" s="4">
        <f>IF(D836="M",IF(AM836&lt;78,BMILMS!$D$5*AM836^3+BMILMS!$E$5*AM836^2+BMILMS!$F$5*AM836+BMILMS!$G$5,IF(AM836&lt;150,BMILMS!$D$6*AM836^3+BMILMS!$E$6*AM836^2+BMILMS!$F$6*AM836+BMILMS!$G$6,BMILMS!$D$7*AM836^3+BMILMS!$E$7*AM836^2+BMILMS!$F$7*AM836+BMILMS!$G$7)),IF(AM836&lt;69,BMILMS!$D$9*AM836^3+BMILMS!$E$9*AM836^2+BMILMS!$F$9*AM836+BMILMS!$G$9,IF(AM836&lt;150,BMILMS!$D$10*AM836^3+BMILMS!$E$10*AM836^2+BMILMS!$F$10*AM836+BMILMS!$G$10,BMILMS!$D$11*AM836^3+BMILMS!$E$11*AM836^2+BMILMS!$F$11*AM836+BMILMS!$G$11)))</f>
        <v>0.79584630099999998</v>
      </c>
      <c r="AK836" s="4">
        <f>IF(D836="M",(IF(AM836&lt;2.5,BMILMS!$D$21*AM836^3+BMILMS!$E$21*AM836^2+BMILMS!$F$21*AM836+BMILMS!$G$21,IF(AM836&lt;9.5,BMILMS!$D$22*AM836^3+BMILMS!$E$22*AM836^2+BMILMS!$F$22*AM836+BMILMS!$G$22,IF(AM836&lt;26.75,BMILMS!$D$23*AM836^3+BMILMS!$E$23*AM836^2+BMILMS!$F$23*AM836+BMILMS!$G$23,IF(AM836&lt;90,BMILMS!$D$24*AM836^3+BMILMS!$E$24*AM836^2+BMILMS!$F$24*AM836+BMILMS!$G$24,BMILMS!$D$25*AM836^3+BMILMS!$E$25*AM836^2+BMILMS!$F$25*AM836+BMILMS!$G$25))))),(IF(AM836&lt;2.5,BMILMS!$D$27*AM836^3+BMILMS!$E$27*AM836^2+BMILMS!$F$27*AM836+BMILMS!$G$27,IF(AM836&lt;9.5,BMILMS!$D$28*AM836^3+BMILMS!$E$28*AM836^2+BMILMS!$F$28*AM836+BMILMS!$G$28,IF(AM836&lt;26.75,BMILMS!$D$29*AM836^3+BMILMS!$E$29*AM836^2+BMILMS!$F$29*AM836+BMILMS!$G$29,IF(AM836&lt;90,BMILMS!$D$30*AM836^3+BMILMS!$E$30*AM836^2+BMILMS!$F$30*AM836+BMILMS!$G$30,IF(AM836&lt;150,BMILMS!$D$31*AM836^3+BMILMS!$E$31*AM836^2+BMILMS!$F$31*AM836+BMILMS!$G$31,BMILMS!$D$32*AM836^3+BMILMS!$E$32*AM836^2+BMILMS!$F$32*AM836+BMILMS!$G$32)))))))</f>
        <v>12.568967990000001</v>
      </c>
      <c r="AL836" s="4">
        <f>IF(D836="M",(IF(AM836&lt;90,BMILMS!$D$14*AM836^3+BMILMS!$E$14*AM836^2+BMILMS!$F$14*AM836+BMILMS!$G$14,BMILMS!$D$15*AM836^3+BMILMS!$E$15*AM836^2+BMILMS!$F$15*AM836+BMILMS!$G$15)),(IF(AM836&lt;90,BMILMS!$D$17*AM836^3+BMILMS!$E$17*AM836^2+BMILMS!$F$17*AM836+BMILMS!$G$17,BMILMS!$D$18*AM836^3+BMILMS!$E$18*AM836^2+BMILMS!$F$18*AM836+BMILMS!$G$18)))</f>
        <v>8.8969350000000003E-2</v>
      </c>
      <c r="AM836" s="4">
        <f t="shared" si="272"/>
        <v>0</v>
      </c>
      <c r="AO836" s="56">
        <f>IF(D836="M",WeightSDS!P$5*$AM836^7+WeightSDS!Q$5*$AM836^6+WeightSDS!R$5*$AM836^5+WeightSDS!S$5*$AM836^4+WeightSDS!T$5*$AM836^3+WeightSDS!U$5*$AM836^2+WeightSDS!V$5*$AM836+WeightSDS!W$5,IF($AM836&lt;186,WeightSDS!P$8*$AM836^7+WeightSDS!Q$8*$AM836^6+WeightSDS!R$8*$AM836^5+WeightSDS!S$8*$AM836^4+WeightSDS!T$8*$AM836^3+WeightSDS!U$8*$AM836^2+WeightSDS!V$8*$AM836+WeightSDS!W$8,WeightSDS!$U$9+WeightSDS!$V$9*($AM836-WeightSDS!$W$9)))</f>
        <v>0.75407122999999998</v>
      </c>
      <c r="AP836" s="4">
        <f>IF(D836="M",IF($AM836&lt;45,WeightSDS!M$23*$AM836^10+WeightSDS!N$23*$AM836^9+WeightSDS!O$23*$AM836^8+WeightSDS!P$23*$AM836^7+WeightSDS!Q$23*$AM836^6+WeightSDS!R$23*$AM836^5+WeightSDS!S$23*$AM836^4+WeightSDS!T$23*$AM836^3+WeightSDS!U$23*$AM836^2+WeightSDS!V$23*$AM836+WeightSDS!W$23,IF($AM836&lt;153,WeightSDS!M$25*$AM836^10+WeightSDS!N$25*$AM836^9+WeightSDS!O$25*$AM836^8+WeightSDS!P$25*$AM836^7+WeightSDS!Q$25*$AM836^6+WeightSDS!R$25*$AM836^5+WeightSDS!S$25*$AM836^4+WeightSDS!T$25*$AM836^3+WeightSDS!U$25*$AM836^2+WeightSDS!V$25*$AM836+WeightSDS!W$25,WeightSDS!M$27+WeightSDS!N$27/(1+EXP(WeightSDS!O$27+WeightSDS!P$27*$AM836)))),IF($AM836&lt;43.8,WeightSDS!M$29*$AM836^10+WeightSDS!N$29*$AM836^9+WeightSDS!O$29*$AM836^8+WeightSDS!P$29*$AM836^7+WeightSDS!Q$29*$AM836^6+WeightSDS!R$29*$AM836^5+WeightSDS!S$29*$AM836^4+WeightSDS!T$29*$AM836^3+WeightSDS!U$29*$AM836^2+WeightSDS!V$29*$AM836+WeightSDS!W$29-0.010431*(1-$AM836/210),IF($AM836&lt;123,WeightSDS!M$30*$AM836^10+WeightSDS!N$30*$AM836^9+WeightSDS!O$30*$AM836^8+WeightSDS!P$30*$AM836^7+WeightSDS!Q$30*$AM836^6+WeightSDS!R$30*$AM836^5+WeightSDS!S$30*$AM836^4+WeightSDS!T$30*$AM836^3+WeightSDS!U$30*$AM836^2+WeightSDS!V$30*$AM836+WeightSDS!W$30-0.010431*(1-1/$AM836),WeightSDS!M$32+WeightSDS!N$32/(1+EXP(WeightSDS!O$32+WeightSDS!P$32*$AM836))-0.010431*(1-$AM836/210))))</f>
        <v>2.9500001032655536</v>
      </c>
      <c r="AQ836" s="4">
        <f>IF(D836="M",IF($AM836&lt;162,WeightSDS!P$12*$AM836^7+WeightSDS!Q$12*$AM836^6+WeightSDS!R$12*$AM836^5+WeightSDS!S$12*$AM836^4+WeightSDS!T$12*$AM836^3+WeightSDS!U$12*$AM836^2+WeightSDS!V$12*$AM836+WeightSDS!W$12,WeightSDS!P$14*$AM836^7+WeightSDS!Q$14*$AM836^6+WeightSDS!R$14*$AM836^5+WeightSDS!S$14*$AM836^4+WeightSDS!T$14*$AM836^3+WeightSDS!U$14*$AM836^2+WeightSDS!V$14*$AM836+WeightSDS!W$14),IF($AM836&lt;156,WeightSDS!O$17*$AM836^8+WeightSDS!P$17*$AM836^7+WeightSDS!Q$17*$AM836^6+WeightSDS!R$17*$AM836^5+WeightSDS!S$17*$AM836^4+WeightSDS!T$17*$AM836^3+WeightSDS!U$17*$AM836^2+WeightSDS!V$17*$AM836+WeightSDS!W$17,IF($AM836&lt;186,WeightSDS!$U$18+(WeightSDS!$V$18-WeightSDS!$U$18)/24*($AM836-186)+WeightSDS!$W$18*(-$AM836+186)^2-0.005,WeightSDS!$U$18+(WeightSDS!$V$18-WeightSDS!$U$18)/24*($AM836-186)-0.005)))</f>
        <v>0.14604529399999999</v>
      </c>
      <c r="AT836" s="4">
        <f t="shared" si="280"/>
        <v>0.56299999999999994</v>
      </c>
      <c r="AU836" s="4">
        <f t="shared" si="281"/>
        <v>69</v>
      </c>
      <c r="AV836" s="4">
        <f t="shared" si="282"/>
        <v>0.51</v>
      </c>
    </row>
    <row r="837" spans="1:48" x14ac:dyDescent="0.15">
      <c r="A837" s="4"/>
      <c r="B837" s="21"/>
      <c r="C837" s="21"/>
      <c r="D837" s="21"/>
      <c r="E837" s="22"/>
      <c r="F837" s="22"/>
      <c r="G837" s="23"/>
      <c r="H837" s="23"/>
      <c r="I837" s="181"/>
      <c r="J837" s="8" t="str">
        <f t="shared" si="274"/>
        <v/>
      </c>
      <c r="K837" s="2" t="str">
        <f t="shared" si="283"/>
        <v/>
      </c>
      <c r="L837" s="2" t="str">
        <f t="shared" si="275"/>
        <v/>
      </c>
      <c r="M837" s="2" t="str">
        <f t="shared" si="284"/>
        <v/>
      </c>
      <c r="N837" s="2" t="str">
        <f t="shared" si="271"/>
        <v/>
      </c>
      <c r="O837" s="2" t="str">
        <f t="shared" si="285"/>
        <v/>
      </c>
      <c r="P837" s="8" t="str">
        <f t="shared" si="286"/>
        <v/>
      </c>
      <c r="Q837" s="8" t="str">
        <f t="shared" si="287"/>
        <v/>
      </c>
      <c r="R837" s="111" t="str">
        <f t="shared" si="288"/>
        <v/>
      </c>
      <c r="S837" s="44" t="str">
        <f t="shared" si="289"/>
        <v/>
      </c>
      <c r="T837" s="37" t="str">
        <f t="shared" si="290"/>
        <v/>
      </c>
      <c r="U837" s="44" t="str">
        <f t="shared" si="291"/>
        <v/>
      </c>
      <c r="V837" s="26"/>
      <c r="W837" s="26"/>
      <c r="X837" s="26"/>
      <c r="Y837" s="26"/>
      <c r="Z837" s="24"/>
      <c r="AA837" s="169">
        <f t="shared" si="276"/>
        <v>0</v>
      </c>
      <c r="AB837" s="4">
        <f t="shared" si="277"/>
        <v>0</v>
      </c>
      <c r="AC837" s="170">
        <f t="shared" si="273"/>
        <v>0</v>
      </c>
      <c r="AD837" s="58"/>
      <c r="AE837" s="58"/>
      <c r="AF837" s="58"/>
      <c r="AG837" s="59">
        <f t="shared" si="278"/>
        <v>9.0359999999999996</v>
      </c>
      <c r="AH837" s="59">
        <f t="shared" si="279"/>
        <v>-184.49199999999999</v>
      </c>
      <c r="AJ837" s="4">
        <f>IF(D837="M",IF(AM837&lt;78,BMILMS!$D$5*AM837^3+BMILMS!$E$5*AM837^2+BMILMS!$F$5*AM837+BMILMS!$G$5,IF(AM837&lt;150,BMILMS!$D$6*AM837^3+BMILMS!$E$6*AM837^2+BMILMS!$F$6*AM837+BMILMS!$G$6,BMILMS!$D$7*AM837^3+BMILMS!$E$7*AM837^2+BMILMS!$F$7*AM837+BMILMS!$G$7)),IF(AM837&lt;69,BMILMS!$D$9*AM837^3+BMILMS!$E$9*AM837^2+BMILMS!$F$9*AM837+BMILMS!$G$9,IF(AM837&lt;150,BMILMS!$D$10*AM837^3+BMILMS!$E$10*AM837^2+BMILMS!$F$10*AM837+BMILMS!$G$10,BMILMS!$D$11*AM837^3+BMILMS!$E$11*AM837^2+BMILMS!$F$11*AM837+BMILMS!$G$11)))</f>
        <v>0.79584630099999998</v>
      </c>
      <c r="AK837" s="4">
        <f>IF(D837="M",(IF(AM837&lt;2.5,BMILMS!$D$21*AM837^3+BMILMS!$E$21*AM837^2+BMILMS!$F$21*AM837+BMILMS!$G$21,IF(AM837&lt;9.5,BMILMS!$D$22*AM837^3+BMILMS!$E$22*AM837^2+BMILMS!$F$22*AM837+BMILMS!$G$22,IF(AM837&lt;26.75,BMILMS!$D$23*AM837^3+BMILMS!$E$23*AM837^2+BMILMS!$F$23*AM837+BMILMS!$G$23,IF(AM837&lt;90,BMILMS!$D$24*AM837^3+BMILMS!$E$24*AM837^2+BMILMS!$F$24*AM837+BMILMS!$G$24,BMILMS!$D$25*AM837^3+BMILMS!$E$25*AM837^2+BMILMS!$F$25*AM837+BMILMS!$G$25))))),(IF(AM837&lt;2.5,BMILMS!$D$27*AM837^3+BMILMS!$E$27*AM837^2+BMILMS!$F$27*AM837+BMILMS!$G$27,IF(AM837&lt;9.5,BMILMS!$D$28*AM837^3+BMILMS!$E$28*AM837^2+BMILMS!$F$28*AM837+BMILMS!$G$28,IF(AM837&lt;26.75,BMILMS!$D$29*AM837^3+BMILMS!$E$29*AM837^2+BMILMS!$F$29*AM837+BMILMS!$G$29,IF(AM837&lt;90,BMILMS!$D$30*AM837^3+BMILMS!$E$30*AM837^2+BMILMS!$F$30*AM837+BMILMS!$G$30,IF(AM837&lt;150,BMILMS!$D$31*AM837^3+BMILMS!$E$31*AM837^2+BMILMS!$F$31*AM837+BMILMS!$G$31,BMILMS!$D$32*AM837^3+BMILMS!$E$32*AM837^2+BMILMS!$F$32*AM837+BMILMS!$G$32)))))))</f>
        <v>12.568967990000001</v>
      </c>
      <c r="AL837" s="4">
        <f>IF(D837="M",(IF(AM837&lt;90,BMILMS!$D$14*AM837^3+BMILMS!$E$14*AM837^2+BMILMS!$F$14*AM837+BMILMS!$G$14,BMILMS!$D$15*AM837^3+BMILMS!$E$15*AM837^2+BMILMS!$F$15*AM837+BMILMS!$G$15)),(IF(AM837&lt;90,BMILMS!$D$17*AM837^3+BMILMS!$E$17*AM837^2+BMILMS!$F$17*AM837+BMILMS!$G$17,BMILMS!$D$18*AM837^3+BMILMS!$E$18*AM837^2+BMILMS!$F$18*AM837+BMILMS!$G$18)))</f>
        <v>8.8969350000000003E-2</v>
      </c>
      <c r="AM837" s="4">
        <f t="shared" si="272"/>
        <v>0</v>
      </c>
      <c r="AO837" s="56">
        <f>IF(D837="M",WeightSDS!P$5*$AM837^7+WeightSDS!Q$5*$AM837^6+WeightSDS!R$5*$AM837^5+WeightSDS!S$5*$AM837^4+WeightSDS!T$5*$AM837^3+WeightSDS!U$5*$AM837^2+WeightSDS!V$5*$AM837+WeightSDS!W$5,IF($AM837&lt;186,WeightSDS!P$8*$AM837^7+WeightSDS!Q$8*$AM837^6+WeightSDS!R$8*$AM837^5+WeightSDS!S$8*$AM837^4+WeightSDS!T$8*$AM837^3+WeightSDS!U$8*$AM837^2+WeightSDS!V$8*$AM837+WeightSDS!W$8,WeightSDS!$U$9+WeightSDS!$V$9*($AM837-WeightSDS!$W$9)))</f>
        <v>0.75407122999999998</v>
      </c>
      <c r="AP837" s="4">
        <f>IF(D837="M",IF($AM837&lt;45,WeightSDS!M$23*$AM837^10+WeightSDS!N$23*$AM837^9+WeightSDS!O$23*$AM837^8+WeightSDS!P$23*$AM837^7+WeightSDS!Q$23*$AM837^6+WeightSDS!R$23*$AM837^5+WeightSDS!S$23*$AM837^4+WeightSDS!T$23*$AM837^3+WeightSDS!U$23*$AM837^2+WeightSDS!V$23*$AM837+WeightSDS!W$23,IF($AM837&lt;153,WeightSDS!M$25*$AM837^10+WeightSDS!N$25*$AM837^9+WeightSDS!O$25*$AM837^8+WeightSDS!P$25*$AM837^7+WeightSDS!Q$25*$AM837^6+WeightSDS!R$25*$AM837^5+WeightSDS!S$25*$AM837^4+WeightSDS!T$25*$AM837^3+WeightSDS!U$25*$AM837^2+WeightSDS!V$25*$AM837+WeightSDS!W$25,WeightSDS!M$27+WeightSDS!N$27/(1+EXP(WeightSDS!O$27+WeightSDS!P$27*$AM837)))),IF($AM837&lt;43.8,WeightSDS!M$29*$AM837^10+WeightSDS!N$29*$AM837^9+WeightSDS!O$29*$AM837^8+WeightSDS!P$29*$AM837^7+WeightSDS!Q$29*$AM837^6+WeightSDS!R$29*$AM837^5+WeightSDS!S$29*$AM837^4+WeightSDS!T$29*$AM837^3+WeightSDS!U$29*$AM837^2+WeightSDS!V$29*$AM837+WeightSDS!W$29-0.010431*(1-$AM837/210),IF($AM837&lt;123,WeightSDS!M$30*$AM837^10+WeightSDS!N$30*$AM837^9+WeightSDS!O$30*$AM837^8+WeightSDS!P$30*$AM837^7+WeightSDS!Q$30*$AM837^6+WeightSDS!R$30*$AM837^5+WeightSDS!S$30*$AM837^4+WeightSDS!T$30*$AM837^3+WeightSDS!U$30*$AM837^2+WeightSDS!V$30*$AM837+WeightSDS!W$30-0.010431*(1-1/$AM837),WeightSDS!M$32+WeightSDS!N$32/(1+EXP(WeightSDS!O$32+WeightSDS!P$32*$AM837))-0.010431*(1-$AM837/210))))</f>
        <v>2.9500001032655536</v>
      </c>
      <c r="AQ837" s="4">
        <f>IF(D837="M",IF($AM837&lt;162,WeightSDS!P$12*$AM837^7+WeightSDS!Q$12*$AM837^6+WeightSDS!R$12*$AM837^5+WeightSDS!S$12*$AM837^4+WeightSDS!T$12*$AM837^3+WeightSDS!U$12*$AM837^2+WeightSDS!V$12*$AM837+WeightSDS!W$12,WeightSDS!P$14*$AM837^7+WeightSDS!Q$14*$AM837^6+WeightSDS!R$14*$AM837^5+WeightSDS!S$14*$AM837^4+WeightSDS!T$14*$AM837^3+WeightSDS!U$14*$AM837^2+WeightSDS!V$14*$AM837+WeightSDS!W$14),IF($AM837&lt;156,WeightSDS!O$17*$AM837^8+WeightSDS!P$17*$AM837^7+WeightSDS!Q$17*$AM837^6+WeightSDS!R$17*$AM837^5+WeightSDS!S$17*$AM837^4+WeightSDS!T$17*$AM837^3+WeightSDS!U$17*$AM837^2+WeightSDS!V$17*$AM837+WeightSDS!W$17,IF($AM837&lt;186,WeightSDS!$U$18+(WeightSDS!$V$18-WeightSDS!$U$18)/24*($AM837-186)+WeightSDS!$W$18*(-$AM837+186)^2-0.005,WeightSDS!$U$18+(WeightSDS!$V$18-WeightSDS!$U$18)/24*($AM837-186)-0.005)))</f>
        <v>0.14604529399999999</v>
      </c>
      <c r="AT837" s="4">
        <f t="shared" si="280"/>
        <v>0.56299999999999994</v>
      </c>
      <c r="AU837" s="4">
        <f t="shared" si="281"/>
        <v>69</v>
      </c>
      <c r="AV837" s="4">
        <f t="shared" si="282"/>
        <v>0.51</v>
      </c>
    </row>
    <row r="838" spans="1:48" x14ac:dyDescent="0.15">
      <c r="A838" s="4"/>
      <c r="B838" s="21"/>
      <c r="C838" s="21"/>
      <c r="D838" s="21"/>
      <c r="E838" s="22"/>
      <c r="F838" s="22"/>
      <c r="G838" s="23"/>
      <c r="H838" s="23"/>
      <c r="I838" s="181"/>
      <c r="J838" s="8" t="str">
        <f t="shared" si="274"/>
        <v/>
      </c>
      <c r="K838" s="2" t="str">
        <f t="shared" si="283"/>
        <v/>
      </c>
      <c r="L838" s="2" t="str">
        <f t="shared" si="275"/>
        <v/>
      </c>
      <c r="M838" s="2" t="str">
        <f t="shared" si="284"/>
        <v/>
      </c>
      <c r="N838" s="2" t="str">
        <f t="shared" si="271"/>
        <v/>
      </c>
      <c r="O838" s="2" t="str">
        <f t="shared" si="285"/>
        <v/>
      </c>
      <c r="P838" s="8" t="str">
        <f t="shared" si="286"/>
        <v/>
      </c>
      <c r="Q838" s="8" t="str">
        <f t="shared" si="287"/>
        <v/>
      </c>
      <c r="R838" s="111" t="str">
        <f t="shared" si="288"/>
        <v/>
      </c>
      <c r="S838" s="44" t="str">
        <f t="shared" si="289"/>
        <v/>
      </c>
      <c r="T838" s="37" t="str">
        <f t="shared" si="290"/>
        <v/>
      </c>
      <c r="U838" s="44" t="str">
        <f t="shared" si="291"/>
        <v/>
      </c>
      <c r="V838" s="26"/>
      <c r="W838" s="26"/>
      <c r="X838" s="26"/>
      <c r="Y838" s="26"/>
      <c r="Z838" s="24"/>
      <c r="AA838" s="169">
        <f t="shared" si="276"/>
        <v>0</v>
      </c>
      <c r="AB838" s="4">
        <f t="shared" si="277"/>
        <v>0</v>
      </c>
      <c r="AC838" s="170">
        <f t="shared" si="273"/>
        <v>0</v>
      </c>
      <c r="AD838" s="58"/>
      <c r="AE838" s="58"/>
      <c r="AF838" s="58"/>
      <c r="AG838" s="59">
        <f t="shared" si="278"/>
        <v>9.0359999999999996</v>
      </c>
      <c r="AH838" s="59">
        <f t="shared" si="279"/>
        <v>-184.49199999999999</v>
      </c>
      <c r="AJ838" s="4">
        <f>IF(D838="M",IF(AM838&lt;78,BMILMS!$D$5*AM838^3+BMILMS!$E$5*AM838^2+BMILMS!$F$5*AM838+BMILMS!$G$5,IF(AM838&lt;150,BMILMS!$D$6*AM838^3+BMILMS!$E$6*AM838^2+BMILMS!$F$6*AM838+BMILMS!$G$6,BMILMS!$D$7*AM838^3+BMILMS!$E$7*AM838^2+BMILMS!$F$7*AM838+BMILMS!$G$7)),IF(AM838&lt;69,BMILMS!$D$9*AM838^3+BMILMS!$E$9*AM838^2+BMILMS!$F$9*AM838+BMILMS!$G$9,IF(AM838&lt;150,BMILMS!$D$10*AM838^3+BMILMS!$E$10*AM838^2+BMILMS!$F$10*AM838+BMILMS!$G$10,BMILMS!$D$11*AM838^3+BMILMS!$E$11*AM838^2+BMILMS!$F$11*AM838+BMILMS!$G$11)))</f>
        <v>0.79584630099999998</v>
      </c>
      <c r="AK838" s="4">
        <f>IF(D838="M",(IF(AM838&lt;2.5,BMILMS!$D$21*AM838^3+BMILMS!$E$21*AM838^2+BMILMS!$F$21*AM838+BMILMS!$G$21,IF(AM838&lt;9.5,BMILMS!$D$22*AM838^3+BMILMS!$E$22*AM838^2+BMILMS!$F$22*AM838+BMILMS!$G$22,IF(AM838&lt;26.75,BMILMS!$D$23*AM838^3+BMILMS!$E$23*AM838^2+BMILMS!$F$23*AM838+BMILMS!$G$23,IF(AM838&lt;90,BMILMS!$D$24*AM838^3+BMILMS!$E$24*AM838^2+BMILMS!$F$24*AM838+BMILMS!$G$24,BMILMS!$D$25*AM838^3+BMILMS!$E$25*AM838^2+BMILMS!$F$25*AM838+BMILMS!$G$25))))),(IF(AM838&lt;2.5,BMILMS!$D$27*AM838^3+BMILMS!$E$27*AM838^2+BMILMS!$F$27*AM838+BMILMS!$G$27,IF(AM838&lt;9.5,BMILMS!$D$28*AM838^3+BMILMS!$E$28*AM838^2+BMILMS!$F$28*AM838+BMILMS!$G$28,IF(AM838&lt;26.75,BMILMS!$D$29*AM838^3+BMILMS!$E$29*AM838^2+BMILMS!$F$29*AM838+BMILMS!$G$29,IF(AM838&lt;90,BMILMS!$D$30*AM838^3+BMILMS!$E$30*AM838^2+BMILMS!$F$30*AM838+BMILMS!$G$30,IF(AM838&lt;150,BMILMS!$D$31*AM838^3+BMILMS!$E$31*AM838^2+BMILMS!$F$31*AM838+BMILMS!$G$31,BMILMS!$D$32*AM838^3+BMILMS!$E$32*AM838^2+BMILMS!$F$32*AM838+BMILMS!$G$32)))))))</f>
        <v>12.568967990000001</v>
      </c>
      <c r="AL838" s="4">
        <f>IF(D838="M",(IF(AM838&lt;90,BMILMS!$D$14*AM838^3+BMILMS!$E$14*AM838^2+BMILMS!$F$14*AM838+BMILMS!$G$14,BMILMS!$D$15*AM838^3+BMILMS!$E$15*AM838^2+BMILMS!$F$15*AM838+BMILMS!$G$15)),(IF(AM838&lt;90,BMILMS!$D$17*AM838^3+BMILMS!$E$17*AM838^2+BMILMS!$F$17*AM838+BMILMS!$G$17,BMILMS!$D$18*AM838^3+BMILMS!$E$18*AM838^2+BMILMS!$F$18*AM838+BMILMS!$G$18)))</f>
        <v>8.8969350000000003E-2</v>
      </c>
      <c r="AM838" s="4">
        <f t="shared" si="272"/>
        <v>0</v>
      </c>
      <c r="AO838" s="56">
        <f>IF(D838="M",WeightSDS!P$5*$AM838^7+WeightSDS!Q$5*$AM838^6+WeightSDS!R$5*$AM838^5+WeightSDS!S$5*$AM838^4+WeightSDS!T$5*$AM838^3+WeightSDS!U$5*$AM838^2+WeightSDS!V$5*$AM838+WeightSDS!W$5,IF($AM838&lt;186,WeightSDS!P$8*$AM838^7+WeightSDS!Q$8*$AM838^6+WeightSDS!R$8*$AM838^5+WeightSDS!S$8*$AM838^4+WeightSDS!T$8*$AM838^3+WeightSDS!U$8*$AM838^2+WeightSDS!V$8*$AM838+WeightSDS!W$8,WeightSDS!$U$9+WeightSDS!$V$9*($AM838-WeightSDS!$W$9)))</f>
        <v>0.75407122999999998</v>
      </c>
      <c r="AP838" s="4">
        <f>IF(D838="M",IF($AM838&lt;45,WeightSDS!M$23*$AM838^10+WeightSDS!N$23*$AM838^9+WeightSDS!O$23*$AM838^8+WeightSDS!P$23*$AM838^7+WeightSDS!Q$23*$AM838^6+WeightSDS!R$23*$AM838^5+WeightSDS!S$23*$AM838^4+WeightSDS!T$23*$AM838^3+WeightSDS!U$23*$AM838^2+WeightSDS!V$23*$AM838+WeightSDS!W$23,IF($AM838&lt;153,WeightSDS!M$25*$AM838^10+WeightSDS!N$25*$AM838^9+WeightSDS!O$25*$AM838^8+WeightSDS!P$25*$AM838^7+WeightSDS!Q$25*$AM838^6+WeightSDS!R$25*$AM838^5+WeightSDS!S$25*$AM838^4+WeightSDS!T$25*$AM838^3+WeightSDS!U$25*$AM838^2+WeightSDS!V$25*$AM838+WeightSDS!W$25,WeightSDS!M$27+WeightSDS!N$27/(1+EXP(WeightSDS!O$27+WeightSDS!P$27*$AM838)))),IF($AM838&lt;43.8,WeightSDS!M$29*$AM838^10+WeightSDS!N$29*$AM838^9+WeightSDS!O$29*$AM838^8+WeightSDS!P$29*$AM838^7+WeightSDS!Q$29*$AM838^6+WeightSDS!R$29*$AM838^5+WeightSDS!S$29*$AM838^4+WeightSDS!T$29*$AM838^3+WeightSDS!U$29*$AM838^2+WeightSDS!V$29*$AM838+WeightSDS!W$29-0.010431*(1-$AM838/210),IF($AM838&lt;123,WeightSDS!M$30*$AM838^10+WeightSDS!N$30*$AM838^9+WeightSDS!O$30*$AM838^8+WeightSDS!P$30*$AM838^7+WeightSDS!Q$30*$AM838^6+WeightSDS!R$30*$AM838^5+WeightSDS!S$30*$AM838^4+WeightSDS!T$30*$AM838^3+WeightSDS!U$30*$AM838^2+WeightSDS!V$30*$AM838+WeightSDS!W$30-0.010431*(1-1/$AM838),WeightSDS!M$32+WeightSDS!N$32/(1+EXP(WeightSDS!O$32+WeightSDS!P$32*$AM838))-0.010431*(1-$AM838/210))))</f>
        <v>2.9500001032655536</v>
      </c>
      <c r="AQ838" s="4">
        <f>IF(D838="M",IF($AM838&lt;162,WeightSDS!P$12*$AM838^7+WeightSDS!Q$12*$AM838^6+WeightSDS!R$12*$AM838^5+WeightSDS!S$12*$AM838^4+WeightSDS!T$12*$AM838^3+WeightSDS!U$12*$AM838^2+WeightSDS!V$12*$AM838+WeightSDS!W$12,WeightSDS!P$14*$AM838^7+WeightSDS!Q$14*$AM838^6+WeightSDS!R$14*$AM838^5+WeightSDS!S$14*$AM838^4+WeightSDS!T$14*$AM838^3+WeightSDS!U$14*$AM838^2+WeightSDS!V$14*$AM838+WeightSDS!W$14),IF($AM838&lt;156,WeightSDS!O$17*$AM838^8+WeightSDS!P$17*$AM838^7+WeightSDS!Q$17*$AM838^6+WeightSDS!R$17*$AM838^5+WeightSDS!S$17*$AM838^4+WeightSDS!T$17*$AM838^3+WeightSDS!U$17*$AM838^2+WeightSDS!V$17*$AM838+WeightSDS!W$17,IF($AM838&lt;186,WeightSDS!$U$18+(WeightSDS!$V$18-WeightSDS!$U$18)/24*($AM838-186)+WeightSDS!$W$18*(-$AM838+186)^2-0.005,WeightSDS!$U$18+(WeightSDS!$V$18-WeightSDS!$U$18)/24*($AM838-186)-0.005)))</f>
        <v>0.14604529399999999</v>
      </c>
      <c r="AT838" s="4">
        <f t="shared" si="280"/>
        <v>0.56299999999999994</v>
      </c>
      <c r="AU838" s="4">
        <f t="shared" si="281"/>
        <v>69</v>
      </c>
      <c r="AV838" s="4">
        <f t="shared" si="282"/>
        <v>0.51</v>
      </c>
    </row>
    <row r="839" spans="1:48" x14ac:dyDescent="0.15">
      <c r="A839" s="4"/>
      <c r="B839" s="21"/>
      <c r="C839" s="21"/>
      <c r="D839" s="21"/>
      <c r="E839" s="22"/>
      <c r="F839" s="22"/>
      <c r="G839" s="23"/>
      <c r="H839" s="23"/>
      <c r="I839" s="181"/>
      <c r="J839" s="8" t="str">
        <f t="shared" si="274"/>
        <v/>
      </c>
      <c r="K839" s="2" t="str">
        <f t="shared" si="283"/>
        <v/>
      </c>
      <c r="L839" s="2" t="str">
        <f t="shared" si="275"/>
        <v/>
      </c>
      <c r="M839" s="2" t="str">
        <f t="shared" si="284"/>
        <v/>
      </c>
      <c r="N839" s="2" t="str">
        <f t="shared" si="271"/>
        <v/>
      </c>
      <c r="O839" s="2" t="str">
        <f t="shared" si="285"/>
        <v/>
      </c>
      <c r="P839" s="8" t="str">
        <f t="shared" si="286"/>
        <v/>
      </c>
      <c r="Q839" s="8" t="str">
        <f t="shared" si="287"/>
        <v/>
      </c>
      <c r="R839" s="111" t="str">
        <f t="shared" si="288"/>
        <v/>
      </c>
      <c r="S839" s="44" t="str">
        <f t="shared" si="289"/>
        <v/>
      </c>
      <c r="T839" s="37" t="str">
        <f t="shared" si="290"/>
        <v/>
      </c>
      <c r="U839" s="44" t="str">
        <f t="shared" si="291"/>
        <v/>
      </c>
      <c r="V839" s="26"/>
      <c r="W839" s="26"/>
      <c r="X839" s="26"/>
      <c r="Y839" s="26"/>
      <c r="Z839" s="24"/>
      <c r="AA839" s="169">
        <f t="shared" si="276"/>
        <v>0</v>
      </c>
      <c r="AB839" s="4">
        <f t="shared" si="277"/>
        <v>0</v>
      </c>
      <c r="AC839" s="170">
        <f t="shared" si="273"/>
        <v>0</v>
      </c>
      <c r="AD839" s="58"/>
      <c r="AE839" s="58"/>
      <c r="AF839" s="58"/>
      <c r="AG839" s="59">
        <f t="shared" si="278"/>
        <v>9.0359999999999996</v>
      </c>
      <c r="AH839" s="59">
        <f t="shared" si="279"/>
        <v>-184.49199999999999</v>
      </c>
      <c r="AJ839" s="4">
        <f>IF(D839="M",IF(AM839&lt;78,BMILMS!$D$5*AM839^3+BMILMS!$E$5*AM839^2+BMILMS!$F$5*AM839+BMILMS!$G$5,IF(AM839&lt;150,BMILMS!$D$6*AM839^3+BMILMS!$E$6*AM839^2+BMILMS!$F$6*AM839+BMILMS!$G$6,BMILMS!$D$7*AM839^3+BMILMS!$E$7*AM839^2+BMILMS!$F$7*AM839+BMILMS!$G$7)),IF(AM839&lt;69,BMILMS!$D$9*AM839^3+BMILMS!$E$9*AM839^2+BMILMS!$F$9*AM839+BMILMS!$G$9,IF(AM839&lt;150,BMILMS!$D$10*AM839^3+BMILMS!$E$10*AM839^2+BMILMS!$F$10*AM839+BMILMS!$G$10,BMILMS!$D$11*AM839^3+BMILMS!$E$11*AM839^2+BMILMS!$F$11*AM839+BMILMS!$G$11)))</f>
        <v>0.79584630099999998</v>
      </c>
      <c r="AK839" s="4">
        <f>IF(D839="M",(IF(AM839&lt;2.5,BMILMS!$D$21*AM839^3+BMILMS!$E$21*AM839^2+BMILMS!$F$21*AM839+BMILMS!$G$21,IF(AM839&lt;9.5,BMILMS!$D$22*AM839^3+BMILMS!$E$22*AM839^2+BMILMS!$F$22*AM839+BMILMS!$G$22,IF(AM839&lt;26.75,BMILMS!$D$23*AM839^3+BMILMS!$E$23*AM839^2+BMILMS!$F$23*AM839+BMILMS!$G$23,IF(AM839&lt;90,BMILMS!$D$24*AM839^3+BMILMS!$E$24*AM839^2+BMILMS!$F$24*AM839+BMILMS!$G$24,BMILMS!$D$25*AM839^3+BMILMS!$E$25*AM839^2+BMILMS!$F$25*AM839+BMILMS!$G$25))))),(IF(AM839&lt;2.5,BMILMS!$D$27*AM839^3+BMILMS!$E$27*AM839^2+BMILMS!$F$27*AM839+BMILMS!$G$27,IF(AM839&lt;9.5,BMILMS!$D$28*AM839^3+BMILMS!$E$28*AM839^2+BMILMS!$F$28*AM839+BMILMS!$G$28,IF(AM839&lt;26.75,BMILMS!$D$29*AM839^3+BMILMS!$E$29*AM839^2+BMILMS!$F$29*AM839+BMILMS!$G$29,IF(AM839&lt;90,BMILMS!$D$30*AM839^3+BMILMS!$E$30*AM839^2+BMILMS!$F$30*AM839+BMILMS!$G$30,IF(AM839&lt;150,BMILMS!$D$31*AM839^3+BMILMS!$E$31*AM839^2+BMILMS!$F$31*AM839+BMILMS!$G$31,BMILMS!$D$32*AM839^3+BMILMS!$E$32*AM839^2+BMILMS!$F$32*AM839+BMILMS!$G$32)))))))</f>
        <v>12.568967990000001</v>
      </c>
      <c r="AL839" s="4">
        <f>IF(D839="M",(IF(AM839&lt;90,BMILMS!$D$14*AM839^3+BMILMS!$E$14*AM839^2+BMILMS!$F$14*AM839+BMILMS!$G$14,BMILMS!$D$15*AM839^3+BMILMS!$E$15*AM839^2+BMILMS!$F$15*AM839+BMILMS!$G$15)),(IF(AM839&lt;90,BMILMS!$D$17*AM839^3+BMILMS!$E$17*AM839^2+BMILMS!$F$17*AM839+BMILMS!$G$17,BMILMS!$D$18*AM839^3+BMILMS!$E$18*AM839^2+BMILMS!$F$18*AM839+BMILMS!$G$18)))</f>
        <v>8.8969350000000003E-2</v>
      </c>
      <c r="AM839" s="4">
        <f t="shared" si="272"/>
        <v>0</v>
      </c>
      <c r="AO839" s="56">
        <f>IF(D839="M",WeightSDS!P$5*$AM839^7+WeightSDS!Q$5*$AM839^6+WeightSDS!R$5*$AM839^5+WeightSDS!S$5*$AM839^4+WeightSDS!T$5*$AM839^3+WeightSDS!U$5*$AM839^2+WeightSDS!V$5*$AM839+WeightSDS!W$5,IF($AM839&lt;186,WeightSDS!P$8*$AM839^7+WeightSDS!Q$8*$AM839^6+WeightSDS!R$8*$AM839^5+WeightSDS!S$8*$AM839^4+WeightSDS!T$8*$AM839^3+WeightSDS!U$8*$AM839^2+WeightSDS!V$8*$AM839+WeightSDS!W$8,WeightSDS!$U$9+WeightSDS!$V$9*($AM839-WeightSDS!$W$9)))</f>
        <v>0.75407122999999998</v>
      </c>
      <c r="AP839" s="4">
        <f>IF(D839="M",IF($AM839&lt;45,WeightSDS!M$23*$AM839^10+WeightSDS!N$23*$AM839^9+WeightSDS!O$23*$AM839^8+WeightSDS!P$23*$AM839^7+WeightSDS!Q$23*$AM839^6+WeightSDS!R$23*$AM839^5+WeightSDS!S$23*$AM839^4+WeightSDS!T$23*$AM839^3+WeightSDS!U$23*$AM839^2+WeightSDS!V$23*$AM839+WeightSDS!W$23,IF($AM839&lt;153,WeightSDS!M$25*$AM839^10+WeightSDS!N$25*$AM839^9+WeightSDS!O$25*$AM839^8+WeightSDS!P$25*$AM839^7+WeightSDS!Q$25*$AM839^6+WeightSDS!R$25*$AM839^5+WeightSDS!S$25*$AM839^4+WeightSDS!T$25*$AM839^3+WeightSDS!U$25*$AM839^2+WeightSDS!V$25*$AM839+WeightSDS!W$25,WeightSDS!M$27+WeightSDS!N$27/(1+EXP(WeightSDS!O$27+WeightSDS!P$27*$AM839)))),IF($AM839&lt;43.8,WeightSDS!M$29*$AM839^10+WeightSDS!N$29*$AM839^9+WeightSDS!O$29*$AM839^8+WeightSDS!P$29*$AM839^7+WeightSDS!Q$29*$AM839^6+WeightSDS!R$29*$AM839^5+WeightSDS!S$29*$AM839^4+WeightSDS!T$29*$AM839^3+WeightSDS!U$29*$AM839^2+WeightSDS!V$29*$AM839+WeightSDS!W$29-0.010431*(1-$AM839/210),IF($AM839&lt;123,WeightSDS!M$30*$AM839^10+WeightSDS!N$30*$AM839^9+WeightSDS!O$30*$AM839^8+WeightSDS!P$30*$AM839^7+WeightSDS!Q$30*$AM839^6+WeightSDS!R$30*$AM839^5+WeightSDS!S$30*$AM839^4+WeightSDS!T$30*$AM839^3+WeightSDS!U$30*$AM839^2+WeightSDS!V$30*$AM839+WeightSDS!W$30-0.010431*(1-1/$AM839),WeightSDS!M$32+WeightSDS!N$32/(1+EXP(WeightSDS!O$32+WeightSDS!P$32*$AM839))-0.010431*(1-$AM839/210))))</f>
        <v>2.9500001032655536</v>
      </c>
      <c r="AQ839" s="4">
        <f>IF(D839="M",IF($AM839&lt;162,WeightSDS!P$12*$AM839^7+WeightSDS!Q$12*$AM839^6+WeightSDS!R$12*$AM839^5+WeightSDS!S$12*$AM839^4+WeightSDS!T$12*$AM839^3+WeightSDS!U$12*$AM839^2+WeightSDS!V$12*$AM839+WeightSDS!W$12,WeightSDS!P$14*$AM839^7+WeightSDS!Q$14*$AM839^6+WeightSDS!R$14*$AM839^5+WeightSDS!S$14*$AM839^4+WeightSDS!T$14*$AM839^3+WeightSDS!U$14*$AM839^2+WeightSDS!V$14*$AM839+WeightSDS!W$14),IF($AM839&lt;156,WeightSDS!O$17*$AM839^8+WeightSDS!P$17*$AM839^7+WeightSDS!Q$17*$AM839^6+WeightSDS!R$17*$AM839^5+WeightSDS!S$17*$AM839^4+WeightSDS!T$17*$AM839^3+WeightSDS!U$17*$AM839^2+WeightSDS!V$17*$AM839+WeightSDS!W$17,IF($AM839&lt;186,WeightSDS!$U$18+(WeightSDS!$V$18-WeightSDS!$U$18)/24*($AM839-186)+WeightSDS!$W$18*(-$AM839+186)^2-0.005,WeightSDS!$U$18+(WeightSDS!$V$18-WeightSDS!$U$18)/24*($AM839-186)-0.005)))</f>
        <v>0.14604529399999999</v>
      </c>
      <c r="AT839" s="4">
        <f t="shared" si="280"/>
        <v>0.56299999999999994</v>
      </c>
      <c r="AU839" s="4">
        <f t="shared" si="281"/>
        <v>69</v>
      </c>
      <c r="AV839" s="4">
        <f t="shared" si="282"/>
        <v>0.51</v>
      </c>
    </row>
    <row r="840" spans="1:48" x14ac:dyDescent="0.15">
      <c r="A840" s="4"/>
      <c r="B840" s="21"/>
      <c r="C840" s="21"/>
      <c r="D840" s="21"/>
      <c r="E840" s="22"/>
      <c r="F840" s="22"/>
      <c r="G840" s="23"/>
      <c r="H840" s="23"/>
      <c r="I840" s="181"/>
      <c r="J840" s="8" t="str">
        <f t="shared" si="274"/>
        <v/>
      </c>
      <c r="K840" s="2" t="str">
        <f t="shared" si="283"/>
        <v/>
      </c>
      <c r="L840" s="2" t="str">
        <f t="shared" si="275"/>
        <v/>
      </c>
      <c r="M840" s="2" t="str">
        <f t="shared" si="284"/>
        <v/>
      </c>
      <c r="N840" s="2" t="str">
        <f t="shared" ref="N840:N903" si="292">IF(COUNTA(D840,E840,F840,G840,H840)=5,H840/G840^2*10000,"")</f>
        <v/>
      </c>
      <c r="O840" s="2" t="str">
        <f t="shared" si="285"/>
        <v/>
      </c>
      <c r="P840" s="8" t="str">
        <f t="shared" si="286"/>
        <v/>
      </c>
      <c r="Q840" s="8" t="str">
        <f t="shared" si="287"/>
        <v/>
      </c>
      <c r="R840" s="111" t="str">
        <f t="shared" si="288"/>
        <v/>
      </c>
      <c r="S840" s="44" t="str">
        <f t="shared" si="289"/>
        <v/>
      </c>
      <c r="T840" s="37" t="str">
        <f t="shared" si="290"/>
        <v/>
      </c>
      <c r="U840" s="44" t="str">
        <f t="shared" si="291"/>
        <v/>
      </c>
      <c r="V840" s="26"/>
      <c r="W840" s="26"/>
      <c r="X840" s="26"/>
      <c r="Y840" s="26"/>
      <c r="Z840" s="24"/>
      <c r="AA840" s="169">
        <f t="shared" si="276"/>
        <v>0</v>
      </c>
      <c r="AB840" s="4">
        <f t="shared" si="277"/>
        <v>0</v>
      </c>
      <c r="AC840" s="170">
        <f t="shared" si="273"/>
        <v>0</v>
      </c>
      <c r="AD840" s="58"/>
      <c r="AE840" s="58"/>
      <c r="AF840" s="58"/>
      <c r="AG840" s="59">
        <f t="shared" si="278"/>
        <v>9.0359999999999996</v>
      </c>
      <c r="AH840" s="59">
        <f t="shared" si="279"/>
        <v>-184.49199999999999</v>
      </c>
      <c r="AJ840" s="4">
        <f>IF(D840="M",IF(AM840&lt;78,BMILMS!$D$5*AM840^3+BMILMS!$E$5*AM840^2+BMILMS!$F$5*AM840+BMILMS!$G$5,IF(AM840&lt;150,BMILMS!$D$6*AM840^3+BMILMS!$E$6*AM840^2+BMILMS!$F$6*AM840+BMILMS!$G$6,BMILMS!$D$7*AM840^3+BMILMS!$E$7*AM840^2+BMILMS!$F$7*AM840+BMILMS!$G$7)),IF(AM840&lt;69,BMILMS!$D$9*AM840^3+BMILMS!$E$9*AM840^2+BMILMS!$F$9*AM840+BMILMS!$G$9,IF(AM840&lt;150,BMILMS!$D$10*AM840^3+BMILMS!$E$10*AM840^2+BMILMS!$F$10*AM840+BMILMS!$G$10,BMILMS!$D$11*AM840^3+BMILMS!$E$11*AM840^2+BMILMS!$F$11*AM840+BMILMS!$G$11)))</f>
        <v>0.79584630099999998</v>
      </c>
      <c r="AK840" s="4">
        <f>IF(D840="M",(IF(AM840&lt;2.5,BMILMS!$D$21*AM840^3+BMILMS!$E$21*AM840^2+BMILMS!$F$21*AM840+BMILMS!$G$21,IF(AM840&lt;9.5,BMILMS!$D$22*AM840^3+BMILMS!$E$22*AM840^2+BMILMS!$F$22*AM840+BMILMS!$G$22,IF(AM840&lt;26.75,BMILMS!$D$23*AM840^3+BMILMS!$E$23*AM840^2+BMILMS!$F$23*AM840+BMILMS!$G$23,IF(AM840&lt;90,BMILMS!$D$24*AM840^3+BMILMS!$E$24*AM840^2+BMILMS!$F$24*AM840+BMILMS!$G$24,BMILMS!$D$25*AM840^3+BMILMS!$E$25*AM840^2+BMILMS!$F$25*AM840+BMILMS!$G$25))))),(IF(AM840&lt;2.5,BMILMS!$D$27*AM840^3+BMILMS!$E$27*AM840^2+BMILMS!$F$27*AM840+BMILMS!$G$27,IF(AM840&lt;9.5,BMILMS!$D$28*AM840^3+BMILMS!$E$28*AM840^2+BMILMS!$F$28*AM840+BMILMS!$G$28,IF(AM840&lt;26.75,BMILMS!$D$29*AM840^3+BMILMS!$E$29*AM840^2+BMILMS!$F$29*AM840+BMILMS!$G$29,IF(AM840&lt;90,BMILMS!$D$30*AM840^3+BMILMS!$E$30*AM840^2+BMILMS!$F$30*AM840+BMILMS!$G$30,IF(AM840&lt;150,BMILMS!$D$31*AM840^3+BMILMS!$E$31*AM840^2+BMILMS!$F$31*AM840+BMILMS!$G$31,BMILMS!$D$32*AM840^3+BMILMS!$E$32*AM840^2+BMILMS!$F$32*AM840+BMILMS!$G$32)))))))</f>
        <v>12.568967990000001</v>
      </c>
      <c r="AL840" s="4">
        <f>IF(D840="M",(IF(AM840&lt;90,BMILMS!$D$14*AM840^3+BMILMS!$E$14*AM840^2+BMILMS!$F$14*AM840+BMILMS!$G$14,BMILMS!$D$15*AM840^3+BMILMS!$E$15*AM840^2+BMILMS!$F$15*AM840+BMILMS!$G$15)),(IF(AM840&lt;90,BMILMS!$D$17*AM840^3+BMILMS!$E$17*AM840^2+BMILMS!$F$17*AM840+BMILMS!$G$17,BMILMS!$D$18*AM840^3+BMILMS!$E$18*AM840^2+BMILMS!$F$18*AM840+BMILMS!$G$18)))</f>
        <v>8.8969350000000003E-2</v>
      </c>
      <c r="AM840" s="4">
        <f t="shared" ref="AM840:AM903" si="293">AA840*12+AB840</f>
        <v>0</v>
      </c>
      <c r="AO840" s="56">
        <f>IF(D840="M",WeightSDS!P$5*$AM840^7+WeightSDS!Q$5*$AM840^6+WeightSDS!R$5*$AM840^5+WeightSDS!S$5*$AM840^4+WeightSDS!T$5*$AM840^3+WeightSDS!U$5*$AM840^2+WeightSDS!V$5*$AM840+WeightSDS!W$5,IF($AM840&lt;186,WeightSDS!P$8*$AM840^7+WeightSDS!Q$8*$AM840^6+WeightSDS!R$8*$AM840^5+WeightSDS!S$8*$AM840^4+WeightSDS!T$8*$AM840^3+WeightSDS!U$8*$AM840^2+WeightSDS!V$8*$AM840+WeightSDS!W$8,WeightSDS!$U$9+WeightSDS!$V$9*($AM840-WeightSDS!$W$9)))</f>
        <v>0.75407122999999998</v>
      </c>
      <c r="AP840" s="4">
        <f>IF(D840="M",IF($AM840&lt;45,WeightSDS!M$23*$AM840^10+WeightSDS!N$23*$AM840^9+WeightSDS!O$23*$AM840^8+WeightSDS!P$23*$AM840^7+WeightSDS!Q$23*$AM840^6+WeightSDS!R$23*$AM840^5+WeightSDS!S$23*$AM840^4+WeightSDS!T$23*$AM840^3+WeightSDS!U$23*$AM840^2+WeightSDS!V$23*$AM840+WeightSDS!W$23,IF($AM840&lt;153,WeightSDS!M$25*$AM840^10+WeightSDS!N$25*$AM840^9+WeightSDS!O$25*$AM840^8+WeightSDS!P$25*$AM840^7+WeightSDS!Q$25*$AM840^6+WeightSDS!R$25*$AM840^5+WeightSDS!S$25*$AM840^4+WeightSDS!T$25*$AM840^3+WeightSDS!U$25*$AM840^2+WeightSDS!V$25*$AM840+WeightSDS!W$25,WeightSDS!M$27+WeightSDS!N$27/(1+EXP(WeightSDS!O$27+WeightSDS!P$27*$AM840)))),IF($AM840&lt;43.8,WeightSDS!M$29*$AM840^10+WeightSDS!N$29*$AM840^9+WeightSDS!O$29*$AM840^8+WeightSDS!P$29*$AM840^7+WeightSDS!Q$29*$AM840^6+WeightSDS!R$29*$AM840^5+WeightSDS!S$29*$AM840^4+WeightSDS!T$29*$AM840^3+WeightSDS!U$29*$AM840^2+WeightSDS!V$29*$AM840+WeightSDS!W$29-0.010431*(1-$AM840/210),IF($AM840&lt;123,WeightSDS!M$30*$AM840^10+WeightSDS!N$30*$AM840^9+WeightSDS!O$30*$AM840^8+WeightSDS!P$30*$AM840^7+WeightSDS!Q$30*$AM840^6+WeightSDS!R$30*$AM840^5+WeightSDS!S$30*$AM840^4+WeightSDS!T$30*$AM840^3+WeightSDS!U$30*$AM840^2+WeightSDS!V$30*$AM840+WeightSDS!W$30-0.010431*(1-1/$AM840),WeightSDS!M$32+WeightSDS!N$32/(1+EXP(WeightSDS!O$32+WeightSDS!P$32*$AM840))-0.010431*(1-$AM840/210))))</f>
        <v>2.9500001032655536</v>
      </c>
      <c r="AQ840" s="4">
        <f>IF(D840="M",IF($AM840&lt;162,WeightSDS!P$12*$AM840^7+WeightSDS!Q$12*$AM840^6+WeightSDS!R$12*$AM840^5+WeightSDS!S$12*$AM840^4+WeightSDS!T$12*$AM840^3+WeightSDS!U$12*$AM840^2+WeightSDS!V$12*$AM840+WeightSDS!W$12,WeightSDS!P$14*$AM840^7+WeightSDS!Q$14*$AM840^6+WeightSDS!R$14*$AM840^5+WeightSDS!S$14*$AM840^4+WeightSDS!T$14*$AM840^3+WeightSDS!U$14*$AM840^2+WeightSDS!V$14*$AM840+WeightSDS!W$14),IF($AM840&lt;156,WeightSDS!O$17*$AM840^8+WeightSDS!P$17*$AM840^7+WeightSDS!Q$17*$AM840^6+WeightSDS!R$17*$AM840^5+WeightSDS!S$17*$AM840^4+WeightSDS!T$17*$AM840^3+WeightSDS!U$17*$AM840^2+WeightSDS!V$17*$AM840+WeightSDS!W$17,IF($AM840&lt;186,WeightSDS!$U$18+(WeightSDS!$V$18-WeightSDS!$U$18)/24*($AM840-186)+WeightSDS!$W$18*(-$AM840+186)^2-0.005,WeightSDS!$U$18+(WeightSDS!$V$18-WeightSDS!$U$18)/24*($AM840-186)-0.005)))</f>
        <v>0.14604529399999999</v>
      </c>
      <c r="AT840" s="4">
        <f t="shared" si="280"/>
        <v>0.56299999999999994</v>
      </c>
      <c r="AU840" s="4">
        <f t="shared" si="281"/>
        <v>69</v>
      </c>
      <c r="AV840" s="4">
        <f t="shared" si="282"/>
        <v>0.51</v>
      </c>
    </row>
    <row r="841" spans="1:48" x14ac:dyDescent="0.15">
      <c r="A841" s="4"/>
      <c r="B841" s="21"/>
      <c r="C841" s="21"/>
      <c r="D841" s="21"/>
      <c r="E841" s="22"/>
      <c r="F841" s="22"/>
      <c r="G841" s="23"/>
      <c r="H841" s="23"/>
      <c r="I841" s="181"/>
      <c r="J841" s="8" t="str">
        <f t="shared" si="274"/>
        <v/>
      </c>
      <c r="K841" s="2" t="str">
        <f t="shared" si="283"/>
        <v/>
      </c>
      <c r="L841" s="2" t="str">
        <f t="shared" si="275"/>
        <v/>
      </c>
      <c r="M841" s="2" t="str">
        <f t="shared" si="284"/>
        <v/>
      </c>
      <c r="N841" s="2" t="str">
        <f t="shared" si="292"/>
        <v/>
      </c>
      <c r="O841" s="2" t="str">
        <f t="shared" si="285"/>
        <v/>
      </c>
      <c r="P841" s="8" t="str">
        <f t="shared" si="286"/>
        <v/>
      </c>
      <c r="Q841" s="8" t="str">
        <f t="shared" si="287"/>
        <v/>
      </c>
      <c r="R841" s="111" t="str">
        <f t="shared" si="288"/>
        <v/>
      </c>
      <c r="S841" s="44" t="str">
        <f t="shared" si="289"/>
        <v/>
      </c>
      <c r="T841" s="37" t="str">
        <f t="shared" si="290"/>
        <v/>
      </c>
      <c r="U841" s="44" t="str">
        <f t="shared" si="291"/>
        <v/>
      </c>
      <c r="V841" s="26"/>
      <c r="W841" s="26"/>
      <c r="X841" s="26"/>
      <c r="Y841" s="26"/>
      <c r="Z841" s="24"/>
      <c r="AA841" s="169">
        <f t="shared" si="276"/>
        <v>0</v>
      </c>
      <c r="AB841" s="4">
        <f t="shared" si="277"/>
        <v>0</v>
      </c>
      <c r="AC841" s="170">
        <f t="shared" si="273"/>
        <v>0</v>
      </c>
      <c r="AD841" s="58"/>
      <c r="AE841" s="58"/>
      <c r="AF841" s="58"/>
      <c r="AG841" s="59">
        <f t="shared" si="278"/>
        <v>9.0359999999999996</v>
      </c>
      <c r="AH841" s="59">
        <f t="shared" si="279"/>
        <v>-184.49199999999999</v>
      </c>
      <c r="AJ841" s="4">
        <f>IF(D841="M",IF(AM841&lt;78,BMILMS!$D$5*AM841^3+BMILMS!$E$5*AM841^2+BMILMS!$F$5*AM841+BMILMS!$G$5,IF(AM841&lt;150,BMILMS!$D$6*AM841^3+BMILMS!$E$6*AM841^2+BMILMS!$F$6*AM841+BMILMS!$G$6,BMILMS!$D$7*AM841^3+BMILMS!$E$7*AM841^2+BMILMS!$F$7*AM841+BMILMS!$G$7)),IF(AM841&lt;69,BMILMS!$D$9*AM841^3+BMILMS!$E$9*AM841^2+BMILMS!$F$9*AM841+BMILMS!$G$9,IF(AM841&lt;150,BMILMS!$D$10*AM841^3+BMILMS!$E$10*AM841^2+BMILMS!$F$10*AM841+BMILMS!$G$10,BMILMS!$D$11*AM841^3+BMILMS!$E$11*AM841^2+BMILMS!$F$11*AM841+BMILMS!$G$11)))</f>
        <v>0.79584630099999998</v>
      </c>
      <c r="AK841" s="4">
        <f>IF(D841="M",(IF(AM841&lt;2.5,BMILMS!$D$21*AM841^3+BMILMS!$E$21*AM841^2+BMILMS!$F$21*AM841+BMILMS!$G$21,IF(AM841&lt;9.5,BMILMS!$D$22*AM841^3+BMILMS!$E$22*AM841^2+BMILMS!$F$22*AM841+BMILMS!$G$22,IF(AM841&lt;26.75,BMILMS!$D$23*AM841^3+BMILMS!$E$23*AM841^2+BMILMS!$F$23*AM841+BMILMS!$G$23,IF(AM841&lt;90,BMILMS!$D$24*AM841^3+BMILMS!$E$24*AM841^2+BMILMS!$F$24*AM841+BMILMS!$G$24,BMILMS!$D$25*AM841^3+BMILMS!$E$25*AM841^2+BMILMS!$F$25*AM841+BMILMS!$G$25))))),(IF(AM841&lt;2.5,BMILMS!$D$27*AM841^3+BMILMS!$E$27*AM841^2+BMILMS!$F$27*AM841+BMILMS!$G$27,IF(AM841&lt;9.5,BMILMS!$D$28*AM841^3+BMILMS!$E$28*AM841^2+BMILMS!$F$28*AM841+BMILMS!$G$28,IF(AM841&lt;26.75,BMILMS!$D$29*AM841^3+BMILMS!$E$29*AM841^2+BMILMS!$F$29*AM841+BMILMS!$G$29,IF(AM841&lt;90,BMILMS!$D$30*AM841^3+BMILMS!$E$30*AM841^2+BMILMS!$F$30*AM841+BMILMS!$G$30,IF(AM841&lt;150,BMILMS!$D$31*AM841^3+BMILMS!$E$31*AM841^2+BMILMS!$F$31*AM841+BMILMS!$G$31,BMILMS!$D$32*AM841^3+BMILMS!$E$32*AM841^2+BMILMS!$F$32*AM841+BMILMS!$G$32)))))))</f>
        <v>12.568967990000001</v>
      </c>
      <c r="AL841" s="4">
        <f>IF(D841="M",(IF(AM841&lt;90,BMILMS!$D$14*AM841^3+BMILMS!$E$14*AM841^2+BMILMS!$F$14*AM841+BMILMS!$G$14,BMILMS!$D$15*AM841^3+BMILMS!$E$15*AM841^2+BMILMS!$F$15*AM841+BMILMS!$G$15)),(IF(AM841&lt;90,BMILMS!$D$17*AM841^3+BMILMS!$E$17*AM841^2+BMILMS!$F$17*AM841+BMILMS!$G$17,BMILMS!$D$18*AM841^3+BMILMS!$E$18*AM841^2+BMILMS!$F$18*AM841+BMILMS!$G$18)))</f>
        <v>8.8969350000000003E-2</v>
      </c>
      <c r="AM841" s="4">
        <f t="shared" si="293"/>
        <v>0</v>
      </c>
      <c r="AO841" s="56">
        <f>IF(D841="M",WeightSDS!P$5*$AM841^7+WeightSDS!Q$5*$AM841^6+WeightSDS!R$5*$AM841^5+WeightSDS!S$5*$AM841^4+WeightSDS!T$5*$AM841^3+WeightSDS!U$5*$AM841^2+WeightSDS!V$5*$AM841+WeightSDS!W$5,IF($AM841&lt;186,WeightSDS!P$8*$AM841^7+WeightSDS!Q$8*$AM841^6+WeightSDS!R$8*$AM841^5+WeightSDS!S$8*$AM841^4+WeightSDS!T$8*$AM841^3+WeightSDS!U$8*$AM841^2+WeightSDS!V$8*$AM841+WeightSDS!W$8,WeightSDS!$U$9+WeightSDS!$V$9*($AM841-WeightSDS!$W$9)))</f>
        <v>0.75407122999999998</v>
      </c>
      <c r="AP841" s="4">
        <f>IF(D841="M",IF($AM841&lt;45,WeightSDS!M$23*$AM841^10+WeightSDS!N$23*$AM841^9+WeightSDS!O$23*$AM841^8+WeightSDS!P$23*$AM841^7+WeightSDS!Q$23*$AM841^6+WeightSDS!R$23*$AM841^5+WeightSDS!S$23*$AM841^4+WeightSDS!T$23*$AM841^3+WeightSDS!U$23*$AM841^2+WeightSDS!V$23*$AM841+WeightSDS!W$23,IF($AM841&lt;153,WeightSDS!M$25*$AM841^10+WeightSDS!N$25*$AM841^9+WeightSDS!O$25*$AM841^8+WeightSDS!P$25*$AM841^7+WeightSDS!Q$25*$AM841^6+WeightSDS!R$25*$AM841^5+WeightSDS!S$25*$AM841^4+WeightSDS!T$25*$AM841^3+WeightSDS!U$25*$AM841^2+WeightSDS!V$25*$AM841+WeightSDS!W$25,WeightSDS!M$27+WeightSDS!N$27/(1+EXP(WeightSDS!O$27+WeightSDS!P$27*$AM841)))),IF($AM841&lt;43.8,WeightSDS!M$29*$AM841^10+WeightSDS!N$29*$AM841^9+WeightSDS!O$29*$AM841^8+WeightSDS!P$29*$AM841^7+WeightSDS!Q$29*$AM841^6+WeightSDS!R$29*$AM841^5+WeightSDS!S$29*$AM841^4+WeightSDS!T$29*$AM841^3+WeightSDS!U$29*$AM841^2+WeightSDS!V$29*$AM841+WeightSDS!W$29-0.010431*(1-$AM841/210),IF($AM841&lt;123,WeightSDS!M$30*$AM841^10+WeightSDS!N$30*$AM841^9+WeightSDS!O$30*$AM841^8+WeightSDS!P$30*$AM841^7+WeightSDS!Q$30*$AM841^6+WeightSDS!R$30*$AM841^5+WeightSDS!S$30*$AM841^4+WeightSDS!T$30*$AM841^3+WeightSDS!U$30*$AM841^2+WeightSDS!V$30*$AM841+WeightSDS!W$30-0.010431*(1-1/$AM841),WeightSDS!M$32+WeightSDS!N$32/(1+EXP(WeightSDS!O$32+WeightSDS!P$32*$AM841))-0.010431*(1-$AM841/210))))</f>
        <v>2.9500001032655536</v>
      </c>
      <c r="AQ841" s="4">
        <f>IF(D841="M",IF($AM841&lt;162,WeightSDS!P$12*$AM841^7+WeightSDS!Q$12*$AM841^6+WeightSDS!R$12*$AM841^5+WeightSDS!S$12*$AM841^4+WeightSDS!T$12*$AM841^3+WeightSDS!U$12*$AM841^2+WeightSDS!V$12*$AM841+WeightSDS!W$12,WeightSDS!P$14*$AM841^7+WeightSDS!Q$14*$AM841^6+WeightSDS!R$14*$AM841^5+WeightSDS!S$14*$AM841^4+WeightSDS!T$14*$AM841^3+WeightSDS!U$14*$AM841^2+WeightSDS!V$14*$AM841+WeightSDS!W$14),IF($AM841&lt;156,WeightSDS!O$17*$AM841^8+WeightSDS!P$17*$AM841^7+WeightSDS!Q$17*$AM841^6+WeightSDS!R$17*$AM841^5+WeightSDS!S$17*$AM841^4+WeightSDS!T$17*$AM841^3+WeightSDS!U$17*$AM841^2+WeightSDS!V$17*$AM841+WeightSDS!W$17,IF($AM841&lt;186,WeightSDS!$U$18+(WeightSDS!$V$18-WeightSDS!$U$18)/24*($AM841-186)+WeightSDS!$W$18*(-$AM841+186)^2-0.005,WeightSDS!$U$18+(WeightSDS!$V$18-WeightSDS!$U$18)/24*($AM841-186)-0.005)))</f>
        <v>0.14604529399999999</v>
      </c>
      <c r="AT841" s="4">
        <f t="shared" si="280"/>
        <v>0.56299999999999994</v>
      </c>
      <c r="AU841" s="4">
        <f t="shared" si="281"/>
        <v>69</v>
      </c>
      <c r="AV841" s="4">
        <f t="shared" si="282"/>
        <v>0.51</v>
      </c>
    </row>
    <row r="842" spans="1:48" x14ac:dyDescent="0.15">
      <c r="A842" s="4"/>
      <c r="B842" s="21"/>
      <c r="C842" s="21"/>
      <c r="D842" s="21"/>
      <c r="E842" s="22"/>
      <c r="F842" s="22"/>
      <c r="G842" s="23"/>
      <c r="H842" s="23"/>
      <c r="I842" s="181"/>
      <c r="J842" s="8" t="str">
        <f t="shared" si="274"/>
        <v/>
      </c>
      <c r="K842" s="2" t="str">
        <f t="shared" si="283"/>
        <v/>
      </c>
      <c r="L842" s="2" t="str">
        <f t="shared" si="275"/>
        <v/>
      </c>
      <c r="M842" s="2" t="str">
        <f t="shared" si="284"/>
        <v/>
      </c>
      <c r="N842" s="2" t="str">
        <f t="shared" si="292"/>
        <v/>
      </c>
      <c r="O842" s="2" t="str">
        <f t="shared" si="285"/>
        <v/>
      </c>
      <c r="P842" s="8" t="str">
        <f t="shared" si="286"/>
        <v/>
      </c>
      <c r="Q842" s="8" t="str">
        <f t="shared" si="287"/>
        <v/>
      </c>
      <c r="R842" s="111" t="str">
        <f t="shared" si="288"/>
        <v/>
      </c>
      <c r="S842" s="44" t="str">
        <f t="shared" si="289"/>
        <v/>
      </c>
      <c r="T842" s="37" t="str">
        <f t="shared" si="290"/>
        <v/>
      </c>
      <c r="U842" s="44" t="str">
        <f t="shared" si="291"/>
        <v/>
      </c>
      <c r="V842" s="26"/>
      <c r="W842" s="26"/>
      <c r="X842" s="26"/>
      <c r="Y842" s="26"/>
      <c r="Z842" s="24"/>
      <c r="AA842" s="169">
        <f t="shared" si="276"/>
        <v>0</v>
      </c>
      <c r="AB842" s="4">
        <f t="shared" si="277"/>
        <v>0</v>
      </c>
      <c r="AC842" s="170">
        <f t="shared" si="273"/>
        <v>0</v>
      </c>
      <c r="AD842" s="58"/>
      <c r="AE842" s="58"/>
      <c r="AF842" s="58"/>
      <c r="AG842" s="59">
        <f t="shared" si="278"/>
        <v>9.0359999999999996</v>
      </c>
      <c r="AH842" s="59">
        <f t="shared" si="279"/>
        <v>-184.49199999999999</v>
      </c>
      <c r="AJ842" s="4">
        <f>IF(D842="M",IF(AM842&lt;78,BMILMS!$D$5*AM842^3+BMILMS!$E$5*AM842^2+BMILMS!$F$5*AM842+BMILMS!$G$5,IF(AM842&lt;150,BMILMS!$D$6*AM842^3+BMILMS!$E$6*AM842^2+BMILMS!$F$6*AM842+BMILMS!$G$6,BMILMS!$D$7*AM842^3+BMILMS!$E$7*AM842^2+BMILMS!$F$7*AM842+BMILMS!$G$7)),IF(AM842&lt;69,BMILMS!$D$9*AM842^3+BMILMS!$E$9*AM842^2+BMILMS!$F$9*AM842+BMILMS!$G$9,IF(AM842&lt;150,BMILMS!$D$10*AM842^3+BMILMS!$E$10*AM842^2+BMILMS!$F$10*AM842+BMILMS!$G$10,BMILMS!$D$11*AM842^3+BMILMS!$E$11*AM842^2+BMILMS!$F$11*AM842+BMILMS!$G$11)))</f>
        <v>0.79584630099999998</v>
      </c>
      <c r="AK842" s="4">
        <f>IF(D842="M",(IF(AM842&lt;2.5,BMILMS!$D$21*AM842^3+BMILMS!$E$21*AM842^2+BMILMS!$F$21*AM842+BMILMS!$G$21,IF(AM842&lt;9.5,BMILMS!$D$22*AM842^3+BMILMS!$E$22*AM842^2+BMILMS!$F$22*AM842+BMILMS!$G$22,IF(AM842&lt;26.75,BMILMS!$D$23*AM842^3+BMILMS!$E$23*AM842^2+BMILMS!$F$23*AM842+BMILMS!$G$23,IF(AM842&lt;90,BMILMS!$D$24*AM842^3+BMILMS!$E$24*AM842^2+BMILMS!$F$24*AM842+BMILMS!$G$24,BMILMS!$D$25*AM842^3+BMILMS!$E$25*AM842^2+BMILMS!$F$25*AM842+BMILMS!$G$25))))),(IF(AM842&lt;2.5,BMILMS!$D$27*AM842^3+BMILMS!$E$27*AM842^2+BMILMS!$F$27*AM842+BMILMS!$G$27,IF(AM842&lt;9.5,BMILMS!$D$28*AM842^3+BMILMS!$E$28*AM842^2+BMILMS!$F$28*AM842+BMILMS!$G$28,IF(AM842&lt;26.75,BMILMS!$D$29*AM842^3+BMILMS!$E$29*AM842^2+BMILMS!$F$29*AM842+BMILMS!$G$29,IF(AM842&lt;90,BMILMS!$D$30*AM842^3+BMILMS!$E$30*AM842^2+BMILMS!$F$30*AM842+BMILMS!$G$30,IF(AM842&lt;150,BMILMS!$D$31*AM842^3+BMILMS!$E$31*AM842^2+BMILMS!$F$31*AM842+BMILMS!$G$31,BMILMS!$D$32*AM842^3+BMILMS!$E$32*AM842^2+BMILMS!$F$32*AM842+BMILMS!$G$32)))))))</f>
        <v>12.568967990000001</v>
      </c>
      <c r="AL842" s="4">
        <f>IF(D842="M",(IF(AM842&lt;90,BMILMS!$D$14*AM842^3+BMILMS!$E$14*AM842^2+BMILMS!$F$14*AM842+BMILMS!$G$14,BMILMS!$D$15*AM842^3+BMILMS!$E$15*AM842^2+BMILMS!$F$15*AM842+BMILMS!$G$15)),(IF(AM842&lt;90,BMILMS!$D$17*AM842^3+BMILMS!$E$17*AM842^2+BMILMS!$F$17*AM842+BMILMS!$G$17,BMILMS!$D$18*AM842^3+BMILMS!$E$18*AM842^2+BMILMS!$F$18*AM842+BMILMS!$G$18)))</f>
        <v>8.8969350000000003E-2</v>
      </c>
      <c r="AM842" s="4">
        <f t="shared" si="293"/>
        <v>0</v>
      </c>
      <c r="AO842" s="56">
        <f>IF(D842="M",WeightSDS!P$5*$AM842^7+WeightSDS!Q$5*$AM842^6+WeightSDS!R$5*$AM842^5+WeightSDS!S$5*$AM842^4+WeightSDS!T$5*$AM842^3+WeightSDS!U$5*$AM842^2+WeightSDS!V$5*$AM842+WeightSDS!W$5,IF($AM842&lt;186,WeightSDS!P$8*$AM842^7+WeightSDS!Q$8*$AM842^6+WeightSDS!R$8*$AM842^5+WeightSDS!S$8*$AM842^4+WeightSDS!T$8*$AM842^3+WeightSDS!U$8*$AM842^2+WeightSDS!V$8*$AM842+WeightSDS!W$8,WeightSDS!$U$9+WeightSDS!$V$9*($AM842-WeightSDS!$W$9)))</f>
        <v>0.75407122999999998</v>
      </c>
      <c r="AP842" s="4">
        <f>IF(D842="M",IF($AM842&lt;45,WeightSDS!M$23*$AM842^10+WeightSDS!N$23*$AM842^9+WeightSDS!O$23*$AM842^8+WeightSDS!P$23*$AM842^7+WeightSDS!Q$23*$AM842^6+WeightSDS!R$23*$AM842^5+WeightSDS!S$23*$AM842^4+WeightSDS!T$23*$AM842^3+WeightSDS!U$23*$AM842^2+WeightSDS!V$23*$AM842+WeightSDS!W$23,IF($AM842&lt;153,WeightSDS!M$25*$AM842^10+WeightSDS!N$25*$AM842^9+WeightSDS!O$25*$AM842^8+WeightSDS!P$25*$AM842^7+WeightSDS!Q$25*$AM842^6+WeightSDS!R$25*$AM842^5+WeightSDS!S$25*$AM842^4+WeightSDS!T$25*$AM842^3+WeightSDS!U$25*$AM842^2+WeightSDS!V$25*$AM842+WeightSDS!W$25,WeightSDS!M$27+WeightSDS!N$27/(1+EXP(WeightSDS!O$27+WeightSDS!P$27*$AM842)))),IF($AM842&lt;43.8,WeightSDS!M$29*$AM842^10+WeightSDS!N$29*$AM842^9+WeightSDS!O$29*$AM842^8+WeightSDS!P$29*$AM842^7+WeightSDS!Q$29*$AM842^6+WeightSDS!R$29*$AM842^5+WeightSDS!S$29*$AM842^4+WeightSDS!T$29*$AM842^3+WeightSDS!U$29*$AM842^2+WeightSDS!V$29*$AM842+WeightSDS!W$29-0.010431*(1-$AM842/210),IF($AM842&lt;123,WeightSDS!M$30*$AM842^10+WeightSDS!N$30*$AM842^9+WeightSDS!O$30*$AM842^8+WeightSDS!P$30*$AM842^7+WeightSDS!Q$30*$AM842^6+WeightSDS!R$30*$AM842^5+WeightSDS!S$30*$AM842^4+WeightSDS!T$30*$AM842^3+WeightSDS!U$30*$AM842^2+WeightSDS!V$30*$AM842+WeightSDS!W$30-0.010431*(1-1/$AM842),WeightSDS!M$32+WeightSDS!N$32/(1+EXP(WeightSDS!O$32+WeightSDS!P$32*$AM842))-0.010431*(1-$AM842/210))))</f>
        <v>2.9500001032655536</v>
      </c>
      <c r="AQ842" s="4">
        <f>IF(D842="M",IF($AM842&lt;162,WeightSDS!P$12*$AM842^7+WeightSDS!Q$12*$AM842^6+WeightSDS!R$12*$AM842^5+WeightSDS!S$12*$AM842^4+WeightSDS!T$12*$AM842^3+WeightSDS!U$12*$AM842^2+WeightSDS!V$12*$AM842+WeightSDS!W$12,WeightSDS!P$14*$AM842^7+WeightSDS!Q$14*$AM842^6+WeightSDS!R$14*$AM842^5+WeightSDS!S$14*$AM842^4+WeightSDS!T$14*$AM842^3+WeightSDS!U$14*$AM842^2+WeightSDS!V$14*$AM842+WeightSDS!W$14),IF($AM842&lt;156,WeightSDS!O$17*$AM842^8+WeightSDS!P$17*$AM842^7+WeightSDS!Q$17*$AM842^6+WeightSDS!R$17*$AM842^5+WeightSDS!S$17*$AM842^4+WeightSDS!T$17*$AM842^3+WeightSDS!U$17*$AM842^2+WeightSDS!V$17*$AM842+WeightSDS!W$17,IF($AM842&lt;186,WeightSDS!$U$18+(WeightSDS!$V$18-WeightSDS!$U$18)/24*($AM842-186)+WeightSDS!$W$18*(-$AM842+186)^2-0.005,WeightSDS!$U$18+(WeightSDS!$V$18-WeightSDS!$U$18)/24*($AM842-186)-0.005)))</f>
        <v>0.14604529399999999</v>
      </c>
      <c r="AT842" s="4">
        <f t="shared" si="280"/>
        <v>0.56299999999999994</v>
      </c>
      <c r="AU842" s="4">
        <f t="shared" si="281"/>
        <v>69</v>
      </c>
      <c r="AV842" s="4">
        <f t="shared" si="282"/>
        <v>0.51</v>
      </c>
    </row>
    <row r="843" spans="1:48" x14ac:dyDescent="0.15">
      <c r="A843" s="4"/>
      <c r="B843" s="21"/>
      <c r="C843" s="21"/>
      <c r="D843" s="21"/>
      <c r="E843" s="22"/>
      <c r="F843" s="22"/>
      <c r="G843" s="23"/>
      <c r="H843" s="23"/>
      <c r="I843" s="181"/>
      <c r="J843" s="8" t="str">
        <f t="shared" si="274"/>
        <v/>
      </c>
      <c r="K843" s="2" t="str">
        <f t="shared" si="283"/>
        <v/>
      </c>
      <c r="L843" s="2" t="str">
        <f t="shared" si="275"/>
        <v/>
      </c>
      <c r="M843" s="2" t="str">
        <f t="shared" si="284"/>
        <v/>
      </c>
      <c r="N843" s="2" t="str">
        <f t="shared" si="292"/>
        <v/>
      </c>
      <c r="O843" s="2" t="str">
        <f t="shared" si="285"/>
        <v/>
      </c>
      <c r="P843" s="8" t="str">
        <f t="shared" si="286"/>
        <v/>
      </c>
      <c r="Q843" s="8" t="str">
        <f t="shared" si="287"/>
        <v/>
      </c>
      <c r="R843" s="111" t="str">
        <f t="shared" si="288"/>
        <v/>
      </c>
      <c r="S843" s="44" t="str">
        <f t="shared" si="289"/>
        <v/>
      </c>
      <c r="T843" s="37" t="str">
        <f t="shared" si="290"/>
        <v/>
      </c>
      <c r="U843" s="44" t="str">
        <f t="shared" si="291"/>
        <v/>
      </c>
      <c r="V843" s="26"/>
      <c r="W843" s="26"/>
      <c r="X843" s="26"/>
      <c r="Y843" s="26"/>
      <c r="Z843" s="24"/>
      <c r="AA843" s="169">
        <f t="shared" si="276"/>
        <v>0</v>
      </c>
      <c r="AB843" s="4">
        <f t="shared" si="277"/>
        <v>0</v>
      </c>
      <c r="AC843" s="170">
        <f t="shared" si="273"/>
        <v>0</v>
      </c>
      <c r="AD843" s="58"/>
      <c r="AE843" s="58"/>
      <c r="AF843" s="58"/>
      <c r="AG843" s="59">
        <f t="shared" si="278"/>
        <v>9.0359999999999996</v>
      </c>
      <c r="AH843" s="59">
        <f t="shared" si="279"/>
        <v>-184.49199999999999</v>
      </c>
      <c r="AJ843" s="4">
        <f>IF(D843="M",IF(AM843&lt;78,BMILMS!$D$5*AM843^3+BMILMS!$E$5*AM843^2+BMILMS!$F$5*AM843+BMILMS!$G$5,IF(AM843&lt;150,BMILMS!$D$6*AM843^3+BMILMS!$E$6*AM843^2+BMILMS!$F$6*AM843+BMILMS!$G$6,BMILMS!$D$7*AM843^3+BMILMS!$E$7*AM843^2+BMILMS!$F$7*AM843+BMILMS!$G$7)),IF(AM843&lt;69,BMILMS!$D$9*AM843^3+BMILMS!$E$9*AM843^2+BMILMS!$F$9*AM843+BMILMS!$G$9,IF(AM843&lt;150,BMILMS!$D$10*AM843^3+BMILMS!$E$10*AM843^2+BMILMS!$F$10*AM843+BMILMS!$G$10,BMILMS!$D$11*AM843^3+BMILMS!$E$11*AM843^2+BMILMS!$F$11*AM843+BMILMS!$G$11)))</f>
        <v>0.79584630099999998</v>
      </c>
      <c r="AK843" s="4">
        <f>IF(D843="M",(IF(AM843&lt;2.5,BMILMS!$D$21*AM843^3+BMILMS!$E$21*AM843^2+BMILMS!$F$21*AM843+BMILMS!$G$21,IF(AM843&lt;9.5,BMILMS!$D$22*AM843^3+BMILMS!$E$22*AM843^2+BMILMS!$F$22*AM843+BMILMS!$G$22,IF(AM843&lt;26.75,BMILMS!$D$23*AM843^3+BMILMS!$E$23*AM843^2+BMILMS!$F$23*AM843+BMILMS!$G$23,IF(AM843&lt;90,BMILMS!$D$24*AM843^3+BMILMS!$E$24*AM843^2+BMILMS!$F$24*AM843+BMILMS!$G$24,BMILMS!$D$25*AM843^3+BMILMS!$E$25*AM843^2+BMILMS!$F$25*AM843+BMILMS!$G$25))))),(IF(AM843&lt;2.5,BMILMS!$D$27*AM843^3+BMILMS!$E$27*AM843^2+BMILMS!$F$27*AM843+BMILMS!$G$27,IF(AM843&lt;9.5,BMILMS!$D$28*AM843^3+BMILMS!$E$28*AM843^2+BMILMS!$F$28*AM843+BMILMS!$G$28,IF(AM843&lt;26.75,BMILMS!$D$29*AM843^3+BMILMS!$E$29*AM843^2+BMILMS!$F$29*AM843+BMILMS!$G$29,IF(AM843&lt;90,BMILMS!$D$30*AM843^3+BMILMS!$E$30*AM843^2+BMILMS!$F$30*AM843+BMILMS!$G$30,IF(AM843&lt;150,BMILMS!$D$31*AM843^3+BMILMS!$E$31*AM843^2+BMILMS!$F$31*AM843+BMILMS!$G$31,BMILMS!$D$32*AM843^3+BMILMS!$E$32*AM843^2+BMILMS!$F$32*AM843+BMILMS!$G$32)))))))</f>
        <v>12.568967990000001</v>
      </c>
      <c r="AL843" s="4">
        <f>IF(D843="M",(IF(AM843&lt;90,BMILMS!$D$14*AM843^3+BMILMS!$E$14*AM843^2+BMILMS!$F$14*AM843+BMILMS!$G$14,BMILMS!$D$15*AM843^3+BMILMS!$E$15*AM843^2+BMILMS!$F$15*AM843+BMILMS!$G$15)),(IF(AM843&lt;90,BMILMS!$D$17*AM843^3+BMILMS!$E$17*AM843^2+BMILMS!$F$17*AM843+BMILMS!$G$17,BMILMS!$D$18*AM843^3+BMILMS!$E$18*AM843^2+BMILMS!$F$18*AM843+BMILMS!$G$18)))</f>
        <v>8.8969350000000003E-2</v>
      </c>
      <c r="AM843" s="4">
        <f t="shared" si="293"/>
        <v>0</v>
      </c>
      <c r="AO843" s="56">
        <f>IF(D843="M",WeightSDS!P$5*$AM843^7+WeightSDS!Q$5*$AM843^6+WeightSDS!R$5*$AM843^5+WeightSDS!S$5*$AM843^4+WeightSDS!T$5*$AM843^3+WeightSDS!U$5*$AM843^2+WeightSDS!V$5*$AM843+WeightSDS!W$5,IF($AM843&lt;186,WeightSDS!P$8*$AM843^7+WeightSDS!Q$8*$AM843^6+WeightSDS!R$8*$AM843^5+WeightSDS!S$8*$AM843^4+WeightSDS!T$8*$AM843^3+WeightSDS!U$8*$AM843^2+WeightSDS!V$8*$AM843+WeightSDS!W$8,WeightSDS!$U$9+WeightSDS!$V$9*($AM843-WeightSDS!$W$9)))</f>
        <v>0.75407122999999998</v>
      </c>
      <c r="AP843" s="4">
        <f>IF(D843="M",IF($AM843&lt;45,WeightSDS!M$23*$AM843^10+WeightSDS!N$23*$AM843^9+WeightSDS!O$23*$AM843^8+WeightSDS!P$23*$AM843^7+WeightSDS!Q$23*$AM843^6+WeightSDS!R$23*$AM843^5+WeightSDS!S$23*$AM843^4+WeightSDS!T$23*$AM843^3+WeightSDS!U$23*$AM843^2+WeightSDS!V$23*$AM843+WeightSDS!W$23,IF($AM843&lt;153,WeightSDS!M$25*$AM843^10+WeightSDS!N$25*$AM843^9+WeightSDS!O$25*$AM843^8+WeightSDS!P$25*$AM843^7+WeightSDS!Q$25*$AM843^6+WeightSDS!R$25*$AM843^5+WeightSDS!S$25*$AM843^4+WeightSDS!T$25*$AM843^3+WeightSDS!U$25*$AM843^2+WeightSDS!V$25*$AM843+WeightSDS!W$25,WeightSDS!M$27+WeightSDS!N$27/(1+EXP(WeightSDS!O$27+WeightSDS!P$27*$AM843)))),IF($AM843&lt;43.8,WeightSDS!M$29*$AM843^10+WeightSDS!N$29*$AM843^9+WeightSDS!O$29*$AM843^8+WeightSDS!P$29*$AM843^7+WeightSDS!Q$29*$AM843^6+WeightSDS!R$29*$AM843^5+WeightSDS!S$29*$AM843^4+WeightSDS!T$29*$AM843^3+WeightSDS!U$29*$AM843^2+WeightSDS!V$29*$AM843+WeightSDS!W$29-0.010431*(1-$AM843/210),IF($AM843&lt;123,WeightSDS!M$30*$AM843^10+WeightSDS!N$30*$AM843^9+WeightSDS!O$30*$AM843^8+WeightSDS!P$30*$AM843^7+WeightSDS!Q$30*$AM843^6+WeightSDS!R$30*$AM843^5+WeightSDS!S$30*$AM843^4+WeightSDS!T$30*$AM843^3+WeightSDS!U$30*$AM843^2+WeightSDS!V$30*$AM843+WeightSDS!W$30-0.010431*(1-1/$AM843),WeightSDS!M$32+WeightSDS!N$32/(1+EXP(WeightSDS!O$32+WeightSDS!P$32*$AM843))-0.010431*(1-$AM843/210))))</f>
        <v>2.9500001032655536</v>
      </c>
      <c r="AQ843" s="4">
        <f>IF(D843="M",IF($AM843&lt;162,WeightSDS!P$12*$AM843^7+WeightSDS!Q$12*$AM843^6+WeightSDS!R$12*$AM843^5+WeightSDS!S$12*$AM843^4+WeightSDS!T$12*$AM843^3+WeightSDS!U$12*$AM843^2+WeightSDS!V$12*$AM843+WeightSDS!W$12,WeightSDS!P$14*$AM843^7+WeightSDS!Q$14*$AM843^6+WeightSDS!R$14*$AM843^5+WeightSDS!S$14*$AM843^4+WeightSDS!T$14*$AM843^3+WeightSDS!U$14*$AM843^2+WeightSDS!V$14*$AM843+WeightSDS!W$14),IF($AM843&lt;156,WeightSDS!O$17*$AM843^8+WeightSDS!P$17*$AM843^7+WeightSDS!Q$17*$AM843^6+WeightSDS!R$17*$AM843^5+WeightSDS!S$17*$AM843^4+WeightSDS!T$17*$AM843^3+WeightSDS!U$17*$AM843^2+WeightSDS!V$17*$AM843+WeightSDS!W$17,IF($AM843&lt;186,WeightSDS!$U$18+(WeightSDS!$V$18-WeightSDS!$U$18)/24*($AM843-186)+WeightSDS!$W$18*(-$AM843+186)^2-0.005,WeightSDS!$U$18+(WeightSDS!$V$18-WeightSDS!$U$18)/24*($AM843-186)-0.005)))</f>
        <v>0.14604529399999999</v>
      </c>
      <c r="AT843" s="4">
        <f t="shared" si="280"/>
        <v>0.56299999999999994</v>
      </c>
      <c r="AU843" s="4">
        <f t="shared" si="281"/>
        <v>69</v>
      </c>
      <c r="AV843" s="4">
        <f t="shared" si="282"/>
        <v>0.51</v>
      </c>
    </row>
    <row r="844" spans="1:48" x14ac:dyDescent="0.15">
      <c r="A844" s="4"/>
      <c r="B844" s="21"/>
      <c r="C844" s="21"/>
      <c r="D844" s="21"/>
      <c r="E844" s="22"/>
      <c r="F844" s="22"/>
      <c r="G844" s="23"/>
      <c r="H844" s="23"/>
      <c r="I844" s="181"/>
      <c r="J844" s="8" t="str">
        <f t="shared" si="274"/>
        <v/>
      </c>
      <c r="K844" s="2" t="str">
        <f t="shared" si="283"/>
        <v/>
      </c>
      <c r="L844" s="2" t="str">
        <f t="shared" si="275"/>
        <v/>
      </c>
      <c r="M844" s="2" t="str">
        <f t="shared" si="284"/>
        <v/>
      </c>
      <c r="N844" s="2" t="str">
        <f t="shared" si="292"/>
        <v/>
      </c>
      <c r="O844" s="2" t="str">
        <f t="shared" si="285"/>
        <v/>
      </c>
      <c r="P844" s="8" t="str">
        <f t="shared" si="286"/>
        <v/>
      </c>
      <c r="Q844" s="8" t="str">
        <f t="shared" si="287"/>
        <v/>
      </c>
      <c r="R844" s="111" t="str">
        <f t="shared" si="288"/>
        <v/>
      </c>
      <c r="S844" s="44" t="str">
        <f t="shared" si="289"/>
        <v/>
      </c>
      <c r="T844" s="37" t="str">
        <f t="shared" si="290"/>
        <v/>
      </c>
      <c r="U844" s="44" t="str">
        <f t="shared" si="291"/>
        <v/>
      </c>
      <c r="V844" s="26"/>
      <c r="W844" s="26"/>
      <c r="X844" s="26"/>
      <c r="Y844" s="26"/>
      <c r="Z844" s="24"/>
      <c r="AA844" s="169">
        <f t="shared" si="276"/>
        <v>0</v>
      </c>
      <c r="AB844" s="4">
        <f t="shared" si="277"/>
        <v>0</v>
      </c>
      <c r="AC844" s="170">
        <f t="shared" si="273"/>
        <v>0</v>
      </c>
      <c r="AD844" s="58"/>
      <c r="AE844" s="58"/>
      <c r="AF844" s="58"/>
      <c r="AG844" s="59">
        <f t="shared" si="278"/>
        <v>9.0359999999999996</v>
      </c>
      <c r="AH844" s="59">
        <f t="shared" si="279"/>
        <v>-184.49199999999999</v>
      </c>
      <c r="AJ844" s="4">
        <f>IF(D844="M",IF(AM844&lt;78,BMILMS!$D$5*AM844^3+BMILMS!$E$5*AM844^2+BMILMS!$F$5*AM844+BMILMS!$G$5,IF(AM844&lt;150,BMILMS!$D$6*AM844^3+BMILMS!$E$6*AM844^2+BMILMS!$F$6*AM844+BMILMS!$G$6,BMILMS!$D$7*AM844^3+BMILMS!$E$7*AM844^2+BMILMS!$F$7*AM844+BMILMS!$G$7)),IF(AM844&lt;69,BMILMS!$D$9*AM844^3+BMILMS!$E$9*AM844^2+BMILMS!$F$9*AM844+BMILMS!$G$9,IF(AM844&lt;150,BMILMS!$D$10*AM844^3+BMILMS!$E$10*AM844^2+BMILMS!$F$10*AM844+BMILMS!$G$10,BMILMS!$D$11*AM844^3+BMILMS!$E$11*AM844^2+BMILMS!$F$11*AM844+BMILMS!$G$11)))</f>
        <v>0.79584630099999998</v>
      </c>
      <c r="AK844" s="4">
        <f>IF(D844="M",(IF(AM844&lt;2.5,BMILMS!$D$21*AM844^3+BMILMS!$E$21*AM844^2+BMILMS!$F$21*AM844+BMILMS!$G$21,IF(AM844&lt;9.5,BMILMS!$D$22*AM844^3+BMILMS!$E$22*AM844^2+BMILMS!$F$22*AM844+BMILMS!$G$22,IF(AM844&lt;26.75,BMILMS!$D$23*AM844^3+BMILMS!$E$23*AM844^2+BMILMS!$F$23*AM844+BMILMS!$G$23,IF(AM844&lt;90,BMILMS!$D$24*AM844^3+BMILMS!$E$24*AM844^2+BMILMS!$F$24*AM844+BMILMS!$G$24,BMILMS!$D$25*AM844^3+BMILMS!$E$25*AM844^2+BMILMS!$F$25*AM844+BMILMS!$G$25))))),(IF(AM844&lt;2.5,BMILMS!$D$27*AM844^3+BMILMS!$E$27*AM844^2+BMILMS!$F$27*AM844+BMILMS!$G$27,IF(AM844&lt;9.5,BMILMS!$D$28*AM844^3+BMILMS!$E$28*AM844^2+BMILMS!$F$28*AM844+BMILMS!$G$28,IF(AM844&lt;26.75,BMILMS!$D$29*AM844^3+BMILMS!$E$29*AM844^2+BMILMS!$F$29*AM844+BMILMS!$G$29,IF(AM844&lt;90,BMILMS!$D$30*AM844^3+BMILMS!$E$30*AM844^2+BMILMS!$F$30*AM844+BMILMS!$G$30,IF(AM844&lt;150,BMILMS!$D$31*AM844^3+BMILMS!$E$31*AM844^2+BMILMS!$F$31*AM844+BMILMS!$G$31,BMILMS!$D$32*AM844^3+BMILMS!$E$32*AM844^2+BMILMS!$F$32*AM844+BMILMS!$G$32)))))))</f>
        <v>12.568967990000001</v>
      </c>
      <c r="AL844" s="4">
        <f>IF(D844="M",(IF(AM844&lt;90,BMILMS!$D$14*AM844^3+BMILMS!$E$14*AM844^2+BMILMS!$F$14*AM844+BMILMS!$G$14,BMILMS!$D$15*AM844^3+BMILMS!$E$15*AM844^2+BMILMS!$F$15*AM844+BMILMS!$G$15)),(IF(AM844&lt;90,BMILMS!$D$17*AM844^3+BMILMS!$E$17*AM844^2+BMILMS!$F$17*AM844+BMILMS!$G$17,BMILMS!$D$18*AM844^3+BMILMS!$E$18*AM844^2+BMILMS!$F$18*AM844+BMILMS!$G$18)))</f>
        <v>8.8969350000000003E-2</v>
      </c>
      <c r="AM844" s="4">
        <f t="shared" si="293"/>
        <v>0</v>
      </c>
      <c r="AO844" s="56">
        <f>IF(D844="M",WeightSDS!P$5*$AM844^7+WeightSDS!Q$5*$AM844^6+WeightSDS!R$5*$AM844^5+WeightSDS!S$5*$AM844^4+WeightSDS!T$5*$AM844^3+WeightSDS!U$5*$AM844^2+WeightSDS!V$5*$AM844+WeightSDS!W$5,IF($AM844&lt;186,WeightSDS!P$8*$AM844^7+WeightSDS!Q$8*$AM844^6+WeightSDS!R$8*$AM844^5+WeightSDS!S$8*$AM844^4+WeightSDS!T$8*$AM844^3+WeightSDS!U$8*$AM844^2+WeightSDS!V$8*$AM844+WeightSDS!W$8,WeightSDS!$U$9+WeightSDS!$V$9*($AM844-WeightSDS!$W$9)))</f>
        <v>0.75407122999999998</v>
      </c>
      <c r="AP844" s="4">
        <f>IF(D844="M",IF($AM844&lt;45,WeightSDS!M$23*$AM844^10+WeightSDS!N$23*$AM844^9+WeightSDS!O$23*$AM844^8+WeightSDS!P$23*$AM844^7+WeightSDS!Q$23*$AM844^6+WeightSDS!R$23*$AM844^5+WeightSDS!S$23*$AM844^4+WeightSDS!T$23*$AM844^3+WeightSDS!U$23*$AM844^2+WeightSDS!V$23*$AM844+WeightSDS!W$23,IF($AM844&lt;153,WeightSDS!M$25*$AM844^10+WeightSDS!N$25*$AM844^9+WeightSDS!O$25*$AM844^8+WeightSDS!P$25*$AM844^7+WeightSDS!Q$25*$AM844^6+WeightSDS!R$25*$AM844^5+WeightSDS!S$25*$AM844^4+WeightSDS!T$25*$AM844^3+WeightSDS!U$25*$AM844^2+WeightSDS!V$25*$AM844+WeightSDS!W$25,WeightSDS!M$27+WeightSDS!N$27/(1+EXP(WeightSDS!O$27+WeightSDS!P$27*$AM844)))),IF($AM844&lt;43.8,WeightSDS!M$29*$AM844^10+WeightSDS!N$29*$AM844^9+WeightSDS!O$29*$AM844^8+WeightSDS!P$29*$AM844^7+WeightSDS!Q$29*$AM844^6+WeightSDS!R$29*$AM844^5+WeightSDS!S$29*$AM844^4+WeightSDS!T$29*$AM844^3+WeightSDS!U$29*$AM844^2+WeightSDS!V$29*$AM844+WeightSDS!W$29-0.010431*(1-$AM844/210),IF($AM844&lt;123,WeightSDS!M$30*$AM844^10+WeightSDS!N$30*$AM844^9+WeightSDS!O$30*$AM844^8+WeightSDS!P$30*$AM844^7+WeightSDS!Q$30*$AM844^6+WeightSDS!R$30*$AM844^5+WeightSDS!S$30*$AM844^4+WeightSDS!T$30*$AM844^3+WeightSDS!U$30*$AM844^2+WeightSDS!V$30*$AM844+WeightSDS!W$30-0.010431*(1-1/$AM844),WeightSDS!M$32+WeightSDS!N$32/(1+EXP(WeightSDS!O$32+WeightSDS!P$32*$AM844))-0.010431*(1-$AM844/210))))</f>
        <v>2.9500001032655536</v>
      </c>
      <c r="AQ844" s="4">
        <f>IF(D844="M",IF($AM844&lt;162,WeightSDS!P$12*$AM844^7+WeightSDS!Q$12*$AM844^6+WeightSDS!R$12*$AM844^5+WeightSDS!S$12*$AM844^4+WeightSDS!T$12*$AM844^3+WeightSDS!U$12*$AM844^2+WeightSDS!V$12*$AM844+WeightSDS!W$12,WeightSDS!P$14*$AM844^7+WeightSDS!Q$14*$AM844^6+WeightSDS!R$14*$AM844^5+WeightSDS!S$14*$AM844^4+WeightSDS!T$14*$AM844^3+WeightSDS!U$14*$AM844^2+WeightSDS!V$14*$AM844+WeightSDS!W$14),IF($AM844&lt;156,WeightSDS!O$17*$AM844^8+WeightSDS!P$17*$AM844^7+WeightSDS!Q$17*$AM844^6+WeightSDS!R$17*$AM844^5+WeightSDS!S$17*$AM844^4+WeightSDS!T$17*$AM844^3+WeightSDS!U$17*$AM844^2+WeightSDS!V$17*$AM844+WeightSDS!W$17,IF($AM844&lt;186,WeightSDS!$U$18+(WeightSDS!$V$18-WeightSDS!$U$18)/24*($AM844-186)+WeightSDS!$W$18*(-$AM844+186)^2-0.005,WeightSDS!$U$18+(WeightSDS!$V$18-WeightSDS!$U$18)/24*($AM844-186)-0.005)))</f>
        <v>0.14604529399999999</v>
      </c>
      <c r="AT844" s="4">
        <f t="shared" si="280"/>
        <v>0.56299999999999994</v>
      </c>
      <c r="AU844" s="4">
        <f t="shared" si="281"/>
        <v>69</v>
      </c>
      <c r="AV844" s="4">
        <f t="shared" si="282"/>
        <v>0.51</v>
      </c>
    </row>
    <row r="845" spans="1:48" x14ac:dyDescent="0.15">
      <c r="A845" s="4"/>
      <c r="B845" s="21"/>
      <c r="C845" s="21"/>
      <c r="D845" s="21"/>
      <c r="E845" s="22"/>
      <c r="F845" s="22"/>
      <c r="G845" s="23"/>
      <c r="H845" s="23"/>
      <c r="I845" s="181"/>
      <c r="J845" s="8" t="str">
        <f t="shared" si="274"/>
        <v/>
      </c>
      <c r="K845" s="2" t="str">
        <f t="shared" si="283"/>
        <v/>
      </c>
      <c r="L845" s="2" t="str">
        <f t="shared" si="275"/>
        <v/>
      </c>
      <c r="M845" s="2" t="str">
        <f t="shared" si="284"/>
        <v/>
      </c>
      <c r="N845" s="2" t="str">
        <f t="shared" si="292"/>
        <v/>
      </c>
      <c r="O845" s="2" t="str">
        <f t="shared" si="285"/>
        <v/>
      </c>
      <c r="P845" s="8" t="str">
        <f t="shared" si="286"/>
        <v/>
      </c>
      <c r="Q845" s="8" t="str">
        <f t="shared" si="287"/>
        <v/>
      </c>
      <c r="R845" s="111" t="str">
        <f t="shared" si="288"/>
        <v/>
      </c>
      <c r="S845" s="44" t="str">
        <f t="shared" si="289"/>
        <v/>
      </c>
      <c r="T845" s="37" t="str">
        <f t="shared" si="290"/>
        <v/>
      </c>
      <c r="U845" s="44" t="str">
        <f t="shared" si="291"/>
        <v/>
      </c>
      <c r="V845" s="26"/>
      <c r="W845" s="26"/>
      <c r="X845" s="26"/>
      <c r="Y845" s="26"/>
      <c r="Z845" s="24"/>
      <c r="AA845" s="169">
        <f t="shared" si="276"/>
        <v>0</v>
      </c>
      <c r="AB845" s="4">
        <f t="shared" si="277"/>
        <v>0</v>
      </c>
      <c r="AC845" s="170">
        <f t="shared" si="273"/>
        <v>0</v>
      </c>
      <c r="AD845" s="58"/>
      <c r="AE845" s="58"/>
      <c r="AF845" s="58"/>
      <c r="AG845" s="59">
        <f t="shared" si="278"/>
        <v>9.0359999999999996</v>
      </c>
      <c r="AH845" s="59">
        <f t="shared" si="279"/>
        <v>-184.49199999999999</v>
      </c>
      <c r="AJ845" s="4">
        <f>IF(D845="M",IF(AM845&lt;78,BMILMS!$D$5*AM845^3+BMILMS!$E$5*AM845^2+BMILMS!$F$5*AM845+BMILMS!$G$5,IF(AM845&lt;150,BMILMS!$D$6*AM845^3+BMILMS!$E$6*AM845^2+BMILMS!$F$6*AM845+BMILMS!$G$6,BMILMS!$D$7*AM845^3+BMILMS!$E$7*AM845^2+BMILMS!$F$7*AM845+BMILMS!$G$7)),IF(AM845&lt;69,BMILMS!$D$9*AM845^3+BMILMS!$E$9*AM845^2+BMILMS!$F$9*AM845+BMILMS!$G$9,IF(AM845&lt;150,BMILMS!$D$10*AM845^3+BMILMS!$E$10*AM845^2+BMILMS!$F$10*AM845+BMILMS!$G$10,BMILMS!$D$11*AM845^3+BMILMS!$E$11*AM845^2+BMILMS!$F$11*AM845+BMILMS!$G$11)))</f>
        <v>0.79584630099999998</v>
      </c>
      <c r="AK845" s="4">
        <f>IF(D845="M",(IF(AM845&lt;2.5,BMILMS!$D$21*AM845^3+BMILMS!$E$21*AM845^2+BMILMS!$F$21*AM845+BMILMS!$G$21,IF(AM845&lt;9.5,BMILMS!$D$22*AM845^3+BMILMS!$E$22*AM845^2+BMILMS!$F$22*AM845+BMILMS!$G$22,IF(AM845&lt;26.75,BMILMS!$D$23*AM845^3+BMILMS!$E$23*AM845^2+BMILMS!$F$23*AM845+BMILMS!$G$23,IF(AM845&lt;90,BMILMS!$D$24*AM845^3+BMILMS!$E$24*AM845^2+BMILMS!$F$24*AM845+BMILMS!$G$24,BMILMS!$D$25*AM845^3+BMILMS!$E$25*AM845^2+BMILMS!$F$25*AM845+BMILMS!$G$25))))),(IF(AM845&lt;2.5,BMILMS!$D$27*AM845^3+BMILMS!$E$27*AM845^2+BMILMS!$F$27*AM845+BMILMS!$G$27,IF(AM845&lt;9.5,BMILMS!$D$28*AM845^3+BMILMS!$E$28*AM845^2+BMILMS!$F$28*AM845+BMILMS!$G$28,IF(AM845&lt;26.75,BMILMS!$D$29*AM845^3+BMILMS!$E$29*AM845^2+BMILMS!$F$29*AM845+BMILMS!$G$29,IF(AM845&lt;90,BMILMS!$D$30*AM845^3+BMILMS!$E$30*AM845^2+BMILMS!$F$30*AM845+BMILMS!$G$30,IF(AM845&lt;150,BMILMS!$D$31*AM845^3+BMILMS!$E$31*AM845^2+BMILMS!$F$31*AM845+BMILMS!$G$31,BMILMS!$D$32*AM845^3+BMILMS!$E$32*AM845^2+BMILMS!$F$32*AM845+BMILMS!$G$32)))))))</f>
        <v>12.568967990000001</v>
      </c>
      <c r="AL845" s="4">
        <f>IF(D845="M",(IF(AM845&lt;90,BMILMS!$D$14*AM845^3+BMILMS!$E$14*AM845^2+BMILMS!$F$14*AM845+BMILMS!$G$14,BMILMS!$D$15*AM845^3+BMILMS!$E$15*AM845^2+BMILMS!$F$15*AM845+BMILMS!$G$15)),(IF(AM845&lt;90,BMILMS!$D$17*AM845^3+BMILMS!$E$17*AM845^2+BMILMS!$F$17*AM845+BMILMS!$G$17,BMILMS!$D$18*AM845^3+BMILMS!$E$18*AM845^2+BMILMS!$F$18*AM845+BMILMS!$G$18)))</f>
        <v>8.8969350000000003E-2</v>
      </c>
      <c r="AM845" s="4">
        <f t="shared" si="293"/>
        <v>0</v>
      </c>
      <c r="AO845" s="56">
        <f>IF(D845="M",WeightSDS!P$5*$AM845^7+WeightSDS!Q$5*$AM845^6+WeightSDS!R$5*$AM845^5+WeightSDS!S$5*$AM845^4+WeightSDS!T$5*$AM845^3+WeightSDS!U$5*$AM845^2+WeightSDS!V$5*$AM845+WeightSDS!W$5,IF($AM845&lt;186,WeightSDS!P$8*$AM845^7+WeightSDS!Q$8*$AM845^6+WeightSDS!R$8*$AM845^5+WeightSDS!S$8*$AM845^4+WeightSDS!T$8*$AM845^3+WeightSDS!U$8*$AM845^2+WeightSDS!V$8*$AM845+WeightSDS!W$8,WeightSDS!$U$9+WeightSDS!$V$9*($AM845-WeightSDS!$W$9)))</f>
        <v>0.75407122999999998</v>
      </c>
      <c r="AP845" s="4">
        <f>IF(D845="M",IF($AM845&lt;45,WeightSDS!M$23*$AM845^10+WeightSDS!N$23*$AM845^9+WeightSDS!O$23*$AM845^8+WeightSDS!P$23*$AM845^7+WeightSDS!Q$23*$AM845^6+WeightSDS!R$23*$AM845^5+WeightSDS!S$23*$AM845^4+WeightSDS!T$23*$AM845^3+WeightSDS!U$23*$AM845^2+WeightSDS!V$23*$AM845+WeightSDS!W$23,IF($AM845&lt;153,WeightSDS!M$25*$AM845^10+WeightSDS!N$25*$AM845^9+WeightSDS!O$25*$AM845^8+WeightSDS!P$25*$AM845^7+WeightSDS!Q$25*$AM845^6+WeightSDS!R$25*$AM845^5+WeightSDS!S$25*$AM845^4+WeightSDS!T$25*$AM845^3+WeightSDS!U$25*$AM845^2+WeightSDS!V$25*$AM845+WeightSDS!W$25,WeightSDS!M$27+WeightSDS!N$27/(1+EXP(WeightSDS!O$27+WeightSDS!P$27*$AM845)))),IF($AM845&lt;43.8,WeightSDS!M$29*$AM845^10+WeightSDS!N$29*$AM845^9+WeightSDS!O$29*$AM845^8+WeightSDS!P$29*$AM845^7+WeightSDS!Q$29*$AM845^6+WeightSDS!R$29*$AM845^5+WeightSDS!S$29*$AM845^4+WeightSDS!T$29*$AM845^3+WeightSDS!U$29*$AM845^2+WeightSDS!V$29*$AM845+WeightSDS!W$29-0.010431*(1-$AM845/210),IF($AM845&lt;123,WeightSDS!M$30*$AM845^10+WeightSDS!N$30*$AM845^9+WeightSDS!O$30*$AM845^8+WeightSDS!P$30*$AM845^7+WeightSDS!Q$30*$AM845^6+WeightSDS!R$30*$AM845^5+WeightSDS!S$30*$AM845^4+WeightSDS!T$30*$AM845^3+WeightSDS!U$30*$AM845^2+WeightSDS!V$30*$AM845+WeightSDS!W$30-0.010431*(1-1/$AM845),WeightSDS!M$32+WeightSDS!N$32/(1+EXP(WeightSDS!O$32+WeightSDS!P$32*$AM845))-0.010431*(1-$AM845/210))))</f>
        <v>2.9500001032655536</v>
      </c>
      <c r="AQ845" s="4">
        <f>IF(D845="M",IF($AM845&lt;162,WeightSDS!P$12*$AM845^7+WeightSDS!Q$12*$AM845^6+WeightSDS!R$12*$AM845^5+WeightSDS!S$12*$AM845^4+WeightSDS!T$12*$AM845^3+WeightSDS!U$12*$AM845^2+WeightSDS!V$12*$AM845+WeightSDS!W$12,WeightSDS!P$14*$AM845^7+WeightSDS!Q$14*$AM845^6+WeightSDS!R$14*$AM845^5+WeightSDS!S$14*$AM845^4+WeightSDS!T$14*$AM845^3+WeightSDS!U$14*$AM845^2+WeightSDS!V$14*$AM845+WeightSDS!W$14),IF($AM845&lt;156,WeightSDS!O$17*$AM845^8+WeightSDS!P$17*$AM845^7+WeightSDS!Q$17*$AM845^6+WeightSDS!R$17*$AM845^5+WeightSDS!S$17*$AM845^4+WeightSDS!T$17*$AM845^3+WeightSDS!U$17*$AM845^2+WeightSDS!V$17*$AM845+WeightSDS!W$17,IF($AM845&lt;186,WeightSDS!$U$18+(WeightSDS!$V$18-WeightSDS!$U$18)/24*($AM845-186)+WeightSDS!$W$18*(-$AM845+186)^2-0.005,WeightSDS!$U$18+(WeightSDS!$V$18-WeightSDS!$U$18)/24*($AM845-186)-0.005)))</f>
        <v>0.14604529399999999</v>
      </c>
      <c r="AT845" s="4">
        <f t="shared" si="280"/>
        <v>0.56299999999999994</v>
      </c>
      <c r="AU845" s="4">
        <f t="shared" si="281"/>
        <v>69</v>
      </c>
      <c r="AV845" s="4">
        <f t="shared" si="282"/>
        <v>0.51</v>
      </c>
    </row>
    <row r="846" spans="1:48" x14ac:dyDescent="0.15">
      <c r="A846" s="4"/>
      <c r="B846" s="21"/>
      <c r="C846" s="21"/>
      <c r="D846" s="21"/>
      <c r="E846" s="22"/>
      <c r="F846" s="22"/>
      <c r="G846" s="23"/>
      <c r="H846" s="23"/>
      <c r="I846" s="181"/>
      <c r="J846" s="8" t="str">
        <f t="shared" si="274"/>
        <v/>
      </c>
      <c r="K846" s="2" t="str">
        <f t="shared" si="283"/>
        <v/>
      </c>
      <c r="L846" s="2" t="str">
        <f t="shared" si="275"/>
        <v/>
      </c>
      <c r="M846" s="2" t="str">
        <f t="shared" si="284"/>
        <v/>
      </c>
      <c r="N846" s="2" t="str">
        <f t="shared" si="292"/>
        <v/>
      </c>
      <c r="O846" s="2" t="str">
        <f t="shared" si="285"/>
        <v/>
      </c>
      <c r="P846" s="8" t="str">
        <f t="shared" si="286"/>
        <v/>
      </c>
      <c r="Q846" s="8" t="str">
        <f t="shared" si="287"/>
        <v/>
      </c>
      <c r="R846" s="111" t="str">
        <f t="shared" si="288"/>
        <v/>
      </c>
      <c r="S846" s="44" t="str">
        <f t="shared" si="289"/>
        <v/>
      </c>
      <c r="T846" s="37" t="str">
        <f t="shared" si="290"/>
        <v/>
      </c>
      <c r="U846" s="44" t="str">
        <f t="shared" si="291"/>
        <v/>
      </c>
      <c r="V846" s="26"/>
      <c r="W846" s="26"/>
      <c r="X846" s="26"/>
      <c r="Y846" s="26"/>
      <c r="Z846" s="24"/>
      <c r="AA846" s="169">
        <f t="shared" si="276"/>
        <v>0</v>
      </c>
      <c r="AB846" s="4">
        <f t="shared" si="277"/>
        <v>0</v>
      </c>
      <c r="AC846" s="170">
        <f t="shared" si="273"/>
        <v>0</v>
      </c>
      <c r="AD846" s="58"/>
      <c r="AE846" s="58"/>
      <c r="AF846" s="58"/>
      <c r="AG846" s="59">
        <f t="shared" si="278"/>
        <v>9.0359999999999996</v>
      </c>
      <c r="AH846" s="59">
        <f t="shared" si="279"/>
        <v>-184.49199999999999</v>
      </c>
      <c r="AJ846" s="4">
        <f>IF(D846="M",IF(AM846&lt;78,BMILMS!$D$5*AM846^3+BMILMS!$E$5*AM846^2+BMILMS!$F$5*AM846+BMILMS!$G$5,IF(AM846&lt;150,BMILMS!$D$6*AM846^3+BMILMS!$E$6*AM846^2+BMILMS!$F$6*AM846+BMILMS!$G$6,BMILMS!$D$7*AM846^3+BMILMS!$E$7*AM846^2+BMILMS!$F$7*AM846+BMILMS!$G$7)),IF(AM846&lt;69,BMILMS!$D$9*AM846^3+BMILMS!$E$9*AM846^2+BMILMS!$F$9*AM846+BMILMS!$G$9,IF(AM846&lt;150,BMILMS!$D$10*AM846^3+BMILMS!$E$10*AM846^2+BMILMS!$F$10*AM846+BMILMS!$G$10,BMILMS!$D$11*AM846^3+BMILMS!$E$11*AM846^2+BMILMS!$F$11*AM846+BMILMS!$G$11)))</f>
        <v>0.79584630099999998</v>
      </c>
      <c r="AK846" s="4">
        <f>IF(D846="M",(IF(AM846&lt;2.5,BMILMS!$D$21*AM846^3+BMILMS!$E$21*AM846^2+BMILMS!$F$21*AM846+BMILMS!$G$21,IF(AM846&lt;9.5,BMILMS!$D$22*AM846^3+BMILMS!$E$22*AM846^2+BMILMS!$F$22*AM846+BMILMS!$G$22,IF(AM846&lt;26.75,BMILMS!$D$23*AM846^3+BMILMS!$E$23*AM846^2+BMILMS!$F$23*AM846+BMILMS!$G$23,IF(AM846&lt;90,BMILMS!$D$24*AM846^3+BMILMS!$E$24*AM846^2+BMILMS!$F$24*AM846+BMILMS!$G$24,BMILMS!$D$25*AM846^3+BMILMS!$E$25*AM846^2+BMILMS!$F$25*AM846+BMILMS!$G$25))))),(IF(AM846&lt;2.5,BMILMS!$D$27*AM846^3+BMILMS!$E$27*AM846^2+BMILMS!$F$27*AM846+BMILMS!$G$27,IF(AM846&lt;9.5,BMILMS!$D$28*AM846^3+BMILMS!$E$28*AM846^2+BMILMS!$F$28*AM846+BMILMS!$G$28,IF(AM846&lt;26.75,BMILMS!$D$29*AM846^3+BMILMS!$E$29*AM846^2+BMILMS!$F$29*AM846+BMILMS!$G$29,IF(AM846&lt;90,BMILMS!$D$30*AM846^3+BMILMS!$E$30*AM846^2+BMILMS!$F$30*AM846+BMILMS!$G$30,IF(AM846&lt;150,BMILMS!$D$31*AM846^3+BMILMS!$E$31*AM846^2+BMILMS!$F$31*AM846+BMILMS!$G$31,BMILMS!$D$32*AM846^3+BMILMS!$E$32*AM846^2+BMILMS!$F$32*AM846+BMILMS!$G$32)))))))</f>
        <v>12.568967990000001</v>
      </c>
      <c r="AL846" s="4">
        <f>IF(D846="M",(IF(AM846&lt;90,BMILMS!$D$14*AM846^3+BMILMS!$E$14*AM846^2+BMILMS!$F$14*AM846+BMILMS!$G$14,BMILMS!$D$15*AM846^3+BMILMS!$E$15*AM846^2+BMILMS!$F$15*AM846+BMILMS!$G$15)),(IF(AM846&lt;90,BMILMS!$D$17*AM846^3+BMILMS!$E$17*AM846^2+BMILMS!$F$17*AM846+BMILMS!$G$17,BMILMS!$D$18*AM846^3+BMILMS!$E$18*AM846^2+BMILMS!$F$18*AM846+BMILMS!$G$18)))</f>
        <v>8.8969350000000003E-2</v>
      </c>
      <c r="AM846" s="4">
        <f t="shared" si="293"/>
        <v>0</v>
      </c>
      <c r="AO846" s="56">
        <f>IF(D846="M",WeightSDS!P$5*$AM846^7+WeightSDS!Q$5*$AM846^6+WeightSDS!R$5*$AM846^5+WeightSDS!S$5*$AM846^4+WeightSDS!T$5*$AM846^3+WeightSDS!U$5*$AM846^2+WeightSDS!V$5*$AM846+WeightSDS!W$5,IF($AM846&lt;186,WeightSDS!P$8*$AM846^7+WeightSDS!Q$8*$AM846^6+WeightSDS!R$8*$AM846^5+WeightSDS!S$8*$AM846^4+WeightSDS!T$8*$AM846^3+WeightSDS!U$8*$AM846^2+WeightSDS!V$8*$AM846+WeightSDS!W$8,WeightSDS!$U$9+WeightSDS!$V$9*($AM846-WeightSDS!$W$9)))</f>
        <v>0.75407122999999998</v>
      </c>
      <c r="AP846" s="4">
        <f>IF(D846="M",IF($AM846&lt;45,WeightSDS!M$23*$AM846^10+WeightSDS!N$23*$AM846^9+WeightSDS!O$23*$AM846^8+WeightSDS!P$23*$AM846^7+WeightSDS!Q$23*$AM846^6+WeightSDS!R$23*$AM846^5+WeightSDS!S$23*$AM846^4+WeightSDS!T$23*$AM846^3+WeightSDS!U$23*$AM846^2+WeightSDS!V$23*$AM846+WeightSDS!W$23,IF($AM846&lt;153,WeightSDS!M$25*$AM846^10+WeightSDS!N$25*$AM846^9+WeightSDS!O$25*$AM846^8+WeightSDS!P$25*$AM846^7+WeightSDS!Q$25*$AM846^6+WeightSDS!R$25*$AM846^5+WeightSDS!S$25*$AM846^4+WeightSDS!T$25*$AM846^3+WeightSDS!U$25*$AM846^2+WeightSDS!V$25*$AM846+WeightSDS!W$25,WeightSDS!M$27+WeightSDS!N$27/(1+EXP(WeightSDS!O$27+WeightSDS!P$27*$AM846)))),IF($AM846&lt;43.8,WeightSDS!M$29*$AM846^10+WeightSDS!N$29*$AM846^9+WeightSDS!O$29*$AM846^8+WeightSDS!P$29*$AM846^7+WeightSDS!Q$29*$AM846^6+WeightSDS!R$29*$AM846^5+WeightSDS!S$29*$AM846^4+WeightSDS!T$29*$AM846^3+WeightSDS!U$29*$AM846^2+WeightSDS!V$29*$AM846+WeightSDS!W$29-0.010431*(1-$AM846/210),IF($AM846&lt;123,WeightSDS!M$30*$AM846^10+WeightSDS!N$30*$AM846^9+WeightSDS!O$30*$AM846^8+WeightSDS!P$30*$AM846^7+WeightSDS!Q$30*$AM846^6+WeightSDS!R$30*$AM846^5+WeightSDS!S$30*$AM846^4+WeightSDS!T$30*$AM846^3+WeightSDS!U$30*$AM846^2+WeightSDS!V$30*$AM846+WeightSDS!W$30-0.010431*(1-1/$AM846),WeightSDS!M$32+WeightSDS!N$32/(1+EXP(WeightSDS!O$32+WeightSDS!P$32*$AM846))-0.010431*(1-$AM846/210))))</f>
        <v>2.9500001032655536</v>
      </c>
      <c r="AQ846" s="4">
        <f>IF(D846="M",IF($AM846&lt;162,WeightSDS!P$12*$AM846^7+WeightSDS!Q$12*$AM846^6+WeightSDS!R$12*$AM846^5+WeightSDS!S$12*$AM846^4+WeightSDS!T$12*$AM846^3+WeightSDS!U$12*$AM846^2+WeightSDS!V$12*$AM846+WeightSDS!W$12,WeightSDS!P$14*$AM846^7+WeightSDS!Q$14*$AM846^6+WeightSDS!R$14*$AM846^5+WeightSDS!S$14*$AM846^4+WeightSDS!T$14*$AM846^3+WeightSDS!U$14*$AM846^2+WeightSDS!V$14*$AM846+WeightSDS!W$14),IF($AM846&lt;156,WeightSDS!O$17*$AM846^8+WeightSDS!P$17*$AM846^7+WeightSDS!Q$17*$AM846^6+WeightSDS!R$17*$AM846^5+WeightSDS!S$17*$AM846^4+WeightSDS!T$17*$AM846^3+WeightSDS!U$17*$AM846^2+WeightSDS!V$17*$AM846+WeightSDS!W$17,IF($AM846&lt;186,WeightSDS!$U$18+(WeightSDS!$V$18-WeightSDS!$U$18)/24*($AM846-186)+WeightSDS!$W$18*(-$AM846+186)^2-0.005,WeightSDS!$U$18+(WeightSDS!$V$18-WeightSDS!$U$18)/24*($AM846-186)-0.005)))</f>
        <v>0.14604529399999999</v>
      </c>
      <c r="AT846" s="4">
        <f t="shared" si="280"/>
        <v>0.56299999999999994</v>
      </c>
      <c r="AU846" s="4">
        <f t="shared" si="281"/>
        <v>69</v>
      </c>
      <c r="AV846" s="4">
        <f t="shared" si="282"/>
        <v>0.51</v>
      </c>
    </row>
    <row r="847" spans="1:48" x14ac:dyDescent="0.15">
      <c r="A847" s="4"/>
      <c r="B847" s="21"/>
      <c r="C847" s="21"/>
      <c r="D847" s="21"/>
      <c r="E847" s="22"/>
      <c r="F847" s="22"/>
      <c r="G847" s="23"/>
      <c r="H847" s="23"/>
      <c r="I847" s="181"/>
      <c r="J847" s="8" t="str">
        <f t="shared" si="274"/>
        <v/>
      </c>
      <c r="K847" s="2" t="str">
        <f t="shared" si="283"/>
        <v/>
      </c>
      <c r="L847" s="2" t="str">
        <f t="shared" si="275"/>
        <v/>
      </c>
      <c r="M847" s="2" t="str">
        <f t="shared" si="284"/>
        <v/>
      </c>
      <c r="N847" s="2" t="str">
        <f t="shared" si="292"/>
        <v/>
      </c>
      <c r="O847" s="2" t="str">
        <f t="shared" si="285"/>
        <v/>
      </c>
      <c r="P847" s="8" t="str">
        <f t="shared" si="286"/>
        <v/>
      </c>
      <c r="Q847" s="8" t="str">
        <f t="shared" si="287"/>
        <v/>
      </c>
      <c r="R847" s="111" t="str">
        <f t="shared" si="288"/>
        <v/>
      </c>
      <c r="S847" s="44" t="str">
        <f t="shared" si="289"/>
        <v/>
      </c>
      <c r="T847" s="37" t="str">
        <f t="shared" si="290"/>
        <v/>
      </c>
      <c r="U847" s="44" t="str">
        <f t="shared" si="291"/>
        <v/>
      </c>
      <c r="V847" s="26"/>
      <c r="W847" s="26"/>
      <c r="X847" s="26"/>
      <c r="Y847" s="26"/>
      <c r="Z847" s="24"/>
      <c r="AA847" s="169">
        <f t="shared" si="276"/>
        <v>0</v>
      </c>
      <c r="AB847" s="4">
        <f t="shared" si="277"/>
        <v>0</v>
      </c>
      <c r="AC847" s="170">
        <f t="shared" si="273"/>
        <v>0</v>
      </c>
      <c r="AD847" s="58"/>
      <c r="AE847" s="58"/>
      <c r="AF847" s="58"/>
      <c r="AG847" s="59">
        <f t="shared" si="278"/>
        <v>9.0359999999999996</v>
      </c>
      <c r="AH847" s="59">
        <f t="shared" si="279"/>
        <v>-184.49199999999999</v>
      </c>
      <c r="AJ847" s="4">
        <f>IF(D847="M",IF(AM847&lt;78,BMILMS!$D$5*AM847^3+BMILMS!$E$5*AM847^2+BMILMS!$F$5*AM847+BMILMS!$G$5,IF(AM847&lt;150,BMILMS!$D$6*AM847^3+BMILMS!$E$6*AM847^2+BMILMS!$F$6*AM847+BMILMS!$G$6,BMILMS!$D$7*AM847^3+BMILMS!$E$7*AM847^2+BMILMS!$F$7*AM847+BMILMS!$G$7)),IF(AM847&lt;69,BMILMS!$D$9*AM847^3+BMILMS!$E$9*AM847^2+BMILMS!$F$9*AM847+BMILMS!$G$9,IF(AM847&lt;150,BMILMS!$D$10*AM847^3+BMILMS!$E$10*AM847^2+BMILMS!$F$10*AM847+BMILMS!$G$10,BMILMS!$D$11*AM847^3+BMILMS!$E$11*AM847^2+BMILMS!$F$11*AM847+BMILMS!$G$11)))</f>
        <v>0.79584630099999998</v>
      </c>
      <c r="AK847" s="4">
        <f>IF(D847="M",(IF(AM847&lt;2.5,BMILMS!$D$21*AM847^3+BMILMS!$E$21*AM847^2+BMILMS!$F$21*AM847+BMILMS!$G$21,IF(AM847&lt;9.5,BMILMS!$D$22*AM847^3+BMILMS!$E$22*AM847^2+BMILMS!$F$22*AM847+BMILMS!$G$22,IF(AM847&lt;26.75,BMILMS!$D$23*AM847^3+BMILMS!$E$23*AM847^2+BMILMS!$F$23*AM847+BMILMS!$G$23,IF(AM847&lt;90,BMILMS!$D$24*AM847^3+BMILMS!$E$24*AM847^2+BMILMS!$F$24*AM847+BMILMS!$G$24,BMILMS!$D$25*AM847^3+BMILMS!$E$25*AM847^2+BMILMS!$F$25*AM847+BMILMS!$G$25))))),(IF(AM847&lt;2.5,BMILMS!$D$27*AM847^3+BMILMS!$E$27*AM847^2+BMILMS!$F$27*AM847+BMILMS!$G$27,IF(AM847&lt;9.5,BMILMS!$D$28*AM847^3+BMILMS!$E$28*AM847^2+BMILMS!$F$28*AM847+BMILMS!$G$28,IF(AM847&lt;26.75,BMILMS!$D$29*AM847^3+BMILMS!$E$29*AM847^2+BMILMS!$F$29*AM847+BMILMS!$G$29,IF(AM847&lt;90,BMILMS!$D$30*AM847^3+BMILMS!$E$30*AM847^2+BMILMS!$F$30*AM847+BMILMS!$G$30,IF(AM847&lt;150,BMILMS!$D$31*AM847^3+BMILMS!$E$31*AM847^2+BMILMS!$F$31*AM847+BMILMS!$G$31,BMILMS!$D$32*AM847^3+BMILMS!$E$32*AM847^2+BMILMS!$F$32*AM847+BMILMS!$G$32)))))))</f>
        <v>12.568967990000001</v>
      </c>
      <c r="AL847" s="4">
        <f>IF(D847="M",(IF(AM847&lt;90,BMILMS!$D$14*AM847^3+BMILMS!$E$14*AM847^2+BMILMS!$F$14*AM847+BMILMS!$G$14,BMILMS!$D$15*AM847^3+BMILMS!$E$15*AM847^2+BMILMS!$F$15*AM847+BMILMS!$G$15)),(IF(AM847&lt;90,BMILMS!$D$17*AM847^3+BMILMS!$E$17*AM847^2+BMILMS!$F$17*AM847+BMILMS!$G$17,BMILMS!$D$18*AM847^3+BMILMS!$E$18*AM847^2+BMILMS!$F$18*AM847+BMILMS!$G$18)))</f>
        <v>8.8969350000000003E-2</v>
      </c>
      <c r="AM847" s="4">
        <f t="shared" si="293"/>
        <v>0</v>
      </c>
      <c r="AO847" s="56">
        <f>IF(D847="M",WeightSDS!P$5*$AM847^7+WeightSDS!Q$5*$AM847^6+WeightSDS!R$5*$AM847^5+WeightSDS!S$5*$AM847^4+WeightSDS!T$5*$AM847^3+WeightSDS!U$5*$AM847^2+WeightSDS!V$5*$AM847+WeightSDS!W$5,IF($AM847&lt;186,WeightSDS!P$8*$AM847^7+WeightSDS!Q$8*$AM847^6+WeightSDS!R$8*$AM847^5+WeightSDS!S$8*$AM847^4+WeightSDS!T$8*$AM847^3+WeightSDS!U$8*$AM847^2+WeightSDS!V$8*$AM847+WeightSDS!W$8,WeightSDS!$U$9+WeightSDS!$V$9*($AM847-WeightSDS!$W$9)))</f>
        <v>0.75407122999999998</v>
      </c>
      <c r="AP847" s="4">
        <f>IF(D847="M",IF($AM847&lt;45,WeightSDS!M$23*$AM847^10+WeightSDS!N$23*$AM847^9+WeightSDS!O$23*$AM847^8+WeightSDS!P$23*$AM847^7+WeightSDS!Q$23*$AM847^6+WeightSDS!R$23*$AM847^5+WeightSDS!S$23*$AM847^4+WeightSDS!T$23*$AM847^3+WeightSDS!U$23*$AM847^2+WeightSDS!V$23*$AM847+WeightSDS!W$23,IF($AM847&lt;153,WeightSDS!M$25*$AM847^10+WeightSDS!N$25*$AM847^9+WeightSDS!O$25*$AM847^8+WeightSDS!P$25*$AM847^7+WeightSDS!Q$25*$AM847^6+WeightSDS!R$25*$AM847^5+WeightSDS!S$25*$AM847^4+WeightSDS!T$25*$AM847^3+WeightSDS!U$25*$AM847^2+WeightSDS!V$25*$AM847+WeightSDS!W$25,WeightSDS!M$27+WeightSDS!N$27/(1+EXP(WeightSDS!O$27+WeightSDS!P$27*$AM847)))),IF($AM847&lt;43.8,WeightSDS!M$29*$AM847^10+WeightSDS!N$29*$AM847^9+WeightSDS!O$29*$AM847^8+WeightSDS!P$29*$AM847^7+WeightSDS!Q$29*$AM847^6+WeightSDS!R$29*$AM847^5+WeightSDS!S$29*$AM847^4+WeightSDS!T$29*$AM847^3+WeightSDS!U$29*$AM847^2+WeightSDS!V$29*$AM847+WeightSDS!W$29-0.010431*(1-$AM847/210),IF($AM847&lt;123,WeightSDS!M$30*$AM847^10+WeightSDS!N$30*$AM847^9+WeightSDS!O$30*$AM847^8+WeightSDS!P$30*$AM847^7+WeightSDS!Q$30*$AM847^6+WeightSDS!R$30*$AM847^5+WeightSDS!S$30*$AM847^4+WeightSDS!T$30*$AM847^3+WeightSDS!U$30*$AM847^2+WeightSDS!V$30*$AM847+WeightSDS!W$30-0.010431*(1-1/$AM847),WeightSDS!M$32+WeightSDS!N$32/(1+EXP(WeightSDS!O$32+WeightSDS!P$32*$AM847))-0.010431*(1-$AM847/210))))</f>
        <v>2.9500001032655536</v>
      </c>
      <c r="AQ847" s="4">
        <f>IF(D847="M",IF($AM847&lt;162,WeightSDS!P$12*$AM847^7+WeightSDS!Q$12*$AM847^6+WeightSDS!R$12*$AM847^5+WeightSDS!S$12*$AM847^4+WeightSDS!T$12*$AM847^3+WeightSDS!U$12*$AM847^2+WeightSDS!V$12*$AM847+WeightSDS!W$12,WeightSDS!P$14*$AM847^7+WeightSDS!Q$14*$AM847^6+WeightSDS!R$14*$AM847^5+WeightSDS!S$14*$AM847^4+WeightSDS!T$14*$AM847^3+WeightSDS!U$14*$AM847^2+WeightSDS!V$14*$AM847+WeightSDS!W$14),IF($AM847&lt;156,WeightSDS!O$17*$AM847^8+WeightSDS!P$17*$AM847^7+WeightSDS!Q$17*$AM847^6+WeightSDS!R$17*$AM847^5+WeightSDS!S$17*$AM847^4+WeightSDS!T$17*$AM847^3+WeightSDS!U$17*$AM847^2+WeightSDS!V$17*$AM847+WeightSDS!W$17,IF($AM847&lt;186,WeightSDS!$U$18+(WeightSDS!$V$18-WeightSDS!$U$18)/24*($AM847-186)+WeightSDS!$W$18*(-$AM847+186)^2-0.005,WeightSDS!$U$18+(WeightSDS!$V$18-WeightSDS!$U$18)/24*($AM847-186)-0.005)))</f>
        <v>0.14604529399999999</v>
      </c>
      <c r="AT847" s="4">
        <f t="shared" si="280"/>
        <v>0.56299999999999994</v>
      </c>
      <c r="AU847" s="4">
        <f t="shared" si="281"/>
        <v>69</v>
      </c>
      <c r="AV847" s="4">
        <f t="shared" si="282"/>
        <v>0.51</v>
      </c>
    </row>
    <row r="848" spans="1:48" x14ac:dyDescent="0.15">
      <c r="A848" s="4"/>
      <c r="B848" s="21"/>
      <c r="C848" s="21"/>
      <c r="D848" s="21"/>
      <c r="E848" s="22"/>
      <c r="F848" s="22"/>
      <c r="G848" s="23"/>
      <c r="H848" s="23"/>
      <c r="I848" s="181"/>
      <c r="J848" s="8" t="str">
        <f t="shared" si="274"/>
        <v/>
      </c>
      <c r="K848" s="2" t="str">
        <f t="shared" si="283"/>
        <v/>
      </c>
      <c r="L848" s="2" t="str">
        <f t="shared" si="275"/>
        <v/>
      </c>
      <c r="M848" s="2" t="str">
        <f t="shared" si="284"/>
        <v/>
      </c>
      <c r="N848" s="2" t="str">
        <f t="shared" si="292"/>
        <v/>
      </c>
      <c r="O848" s="2" t="str">
        <f t="shared" si="285"/>
        <v/>
      </c>
      <c r="P848" s="8" t="str">
        <f t="shared" si="286"/>
        <v/>
      </c>
      <c r="Q848" s="8" t="str">
        <f t="shared" si="287"/>
        <v/>
      </c>
      <c r="R848" s="111" t="str">
        <f t="shared" si="288"/>
        <v/>
      </c>
      <c r="S848" s="44" t="str">
        <f t="shared" si="289"/>
        <v/>
      </c>
      <c r="T848" s="37" t="str">
        <f t="shared" si="290"/>
        <v/>
      </c>
      <c r="U848" s="44" t="str">
        <f t="shared" si="291"/>
        <v/>
      </c>
      <c r="V848" s="26"/>
      <c r="W848" s="26"/>
      <c r="X848" s="26"/>
      <c r="Y848" s="26"/>
      <c r="Z848" s="24"/>
      <c r="AA848" s="169">
        <f t="shared" si="276"/>
        <v>0</v>
      </c>
      <c r="AB848" s="4">
        <f t="shared" si="277"/>
        <v>0</v>
      </c>
      <c r="AC848" s="170">
        <f t="shared" si="273"/>
        <v>0</v>
      </c>
      <c r="AD848" s="58"/>
      <c r="AE848" s="58"/>
      <c r="AF848" s="58"/>
      <c r="AG848" s="59">
        <f t="shared" si="278"/>
        <v>9.0359999999999996</v>
      </c>
      <c r="AH848" s="59">
        <f t="shared" si="279"/>
        <v>-184.49199999999999</v>
      </c>
      <c r="AJ848" s="4">
        <f>IF(D848="M",IF(AM848&lt;78,BMILMS!$D$5*AM848^3+BMILMS!$E$5*AM848^2+BMILMS!$F$5*AM848+BMILMS!$G$5,IF(AM848&lt;150,BMILMS!$D$6*AM848^3+BMILMS!$E$6*AM848^2+BMILMS!$F$6*AM848+BMILMS!$G$6,BMILMS!$D$7*AM848^3+BMILMS!$E$7*AM848^2+BMILMS!$F$7*AM848+BMILMS!$G$7)),IF(AM848&lt;69,BMILMS!$D$9*AM848^3+BMILMS!$E$9*AM848^2+BMILMS!$F$9*AM848+BMILMS!$G$9,IF(AM848&lt;150,BMILMS!$D$10*AM848^3+BMILMS!$E$10*AM848^2+BMILMS!$F$10*AM848+BMILMS!$G$10,BMILMS!$D$11*AM848^3+BMILMS!$E$11*AM848^2+BMILMS!$F$11*AM848+BMILMS!$G$11)))</f>
        <v>0.79584630099999998</v>
      </c>
      <c r="AK848" s="4">
        <f>IF(D848="M",(IF(AM848&lt;2.5,BMILMS!$D$21*AM848^3+BMILMS!$E$21*AM848^2+BMILMS!$F$21*AM848+BMILMS!$G$21,IF(AM848&lt;9.5,BMILMS!$D$22*AM848^3+BMILMS!$E$22*AM848^2+BMILMS!$F$22*AM848+BMILMS!$G$22,IF(AM848&lt;26.75,BMILMS!$D$23*AM848^3+BMILMS!$E$23*AM848^2+BMILMS!$F$23*AM848+BMILMS!$G$23,IF(AM848&lt;90,BMILMS!$D$24*AM848^3+BMILMS!$E$24*AM848^2+BMILMS!$F$24*AM848+BMILMS!$G$24,BMILMS!$D$25*AM848^3+BMILMS!$E$25*AM848^2+BMILMS!$F$25*AM848+BMILMS!$G$25))))),(IF(AM848&lt;2.5,BMILMS!$D$27*AM848^3+BMILMS!$E$27*AM848^2+BMILMS!$F$27*AM848+BMILMS!$G$27,IF(AM848&lt;9.5,BMILMS!$D$28*AM848^3+BMILMS!$E$28*AM848^2+BMILMS!$F$28*AM848+BMILMS!$G$28,IF(AM848&lt;26.75,BMILMS!$D$29*AM848^3+BMILMS!$E$29*AM848^2+BMILMS!$F$29*AM848+BMILMS!$G$29,IF(AM848&lt;90,BMILMS!$D$30*AM848^3+BMILMS!$E$30*AM848^2+BMILMS!$F$30*AM848+BMILMS!$G$30,IF(AM848&lt;150,BMILMS!$D$31*AM848^3+BMILMS!$E$31*AM848^2+BMILMS!$F$31*AM848+BMILMS!$G$31,BMILMS!$D$32*AM848^3+BMILMS!$E$32*AM848^2+BMILMS!$F$32*AM848+BMILMS!$G$32)))))))</f>
        <v>12.568967990000001</v>
      </c>
      <c r="AL848" s="4">
        <f>IF(D848="M",(IF(AM848&lt;90,BMILMS!$D$14*AM848^3+BMILMS!$E$14*AM848^2+BMILMS!$F$14*AM848+BMILMS!$G$14,BMILMS!$D$15*AM848^3+BMILMS!$E$15*AM848^2+BMILMS!$F$15*AM848+BMILMS!$G$15)),(IF(AM848&lt;90,BMILMS!$D$17*AM848^3+BMILMS!$E$17*AM848^2+BMILMS!$F$17*AM848+BMILMS!$G$17,BMILMS!$D$18*AM848^3+BMILMS!$E$18*AM848^2+BMILMS!$F$18*AM848+BMILMS!$G$18)))</f>
        <v>8.8969350000000003E-2</v>
      </c>
      <c r="AM848" s="4">
        <f t="shared" si="293"/>
        <v>0</v>
      </c>
      <c r="AO848" s="56">
        <f>IF(D848="M",WeightSDS!P$5*$AM848^7+WeightSDS!Q$5*$AM848^6+WeightSDS!R$5*$AM848^5+WeightSDS!S$5*$AM848^4+WeightSDS!T$5*$AM848^3+WeightSDS!U$5*$AM848^2+WeightSDS!V$5*$AM848+WeightSDS!W$5,IF($AM848&lt;186,WeightSDS!P$8*$AM848^7+WeightSDS!Q$8*$AM848^6+WeightSDS!R$8*$AM848^5+WeightSDS!S$8*$AM848^4+WeightSDS!T$8*$AM848^3+WeightSDS!U$8*$AM848^2+WeightSDS!V$8*$AM848+WeightSDS!W$8,WeightSDS!$U$9+WeightSDS!$V$9*($AM848-WeightSDS!$W$9)))</f>
        <v>0.75407122999999998</v>
      </c>
      <c r="AP848" s="4">
        <f>IF(D848="M",IF($AM848&lt;45,WeightSDS!M$23*$AM848^10+WeightSDS!N$23*$AM848^9+WeightSDS!O$23*$AM848^8+WeightSDS!P$23*$AM848^7+WeightSDS!Q$23*$AM848^6+WeightSDS!R$23*$AM848^5+WeightSDS!S$23*$AM848^4+WeightSDS!T$23*$AM848^3+WeightSDS!U$23*$AM848^2+WeightSDS!V$23*$AM848+WeightSDS!W$23,IF($AM848&lt;153,WeightSDS!M$25*$AM848^10+WeightSDS!N$25*$AM848^9+WeightSDS!O$25*$AM848^8+WeightSDS!P$25*$AM848^7+WeightSDS!Q$25*$AM848^6+WeightSDS!R$25*$AM848^5+WeightSDS!S$25*$AM848^4+WeightSDS!T$25*$AM848^3+WeightSDS!U$25*$AM848^2+WeightSDS!V$25*$AM848+WeightSDS!W$25,WeightSDS!M$27+WeightSDS!N$27/(1+EXP(WeightSDS!O$27+WeightSDS!P$27*$AM848)))),IF($AM848&lt;43.8,WeightSDS!M$29*$AM848^10+WeightSDS!N$29*$AM848^9+WeightSDS!O$29*$AM848^8+WeightSDS!P$29*$AM848^7+WeightSDS!Q$29*$AM848^6+WeightSDS!R$29*$AM848^5+WeightSDS!S$29*$AM848^4+WeightSDS!T$29*$AM848^3+WeightSDS!U$29*$AM848^2+WeightSDS!V$29*$AM848+WeightSDS!W$29-0.010431*(1-$AM848/210),IF($AM848&lt;123,WeightSDS!M$30*$AM848^10+WeightSDS!N$30*$AM848^9+WeightSDS!O$30*$AM848^8+WeightSDS!P$30*$AM848^7+WeightSDS!Q$30*$AM848^6+WeightSDS!R$30*$AM848^5+WeightSDS!S$30*$AM848^4+WeightSDS!T$30*$AM848^3+WeightSDS!U$30*$AM848^2+WeightSDS!V$30*$AM848+WeightSDS!W$30-0.010431*(1-1/$AM848),WeightSDS!M$32+WeightSDS!N$32/(1+EXP(WeightSDS!O$32+WeightSDS!P$32*$AM848))-0.010431*(1-$AM848/210))))</f>
        <v>2.9500001032655536</v>
      </c>
      <c r="AQ848" s="4">
        <f>IF(D848="M",IF($AM848&lt;162,WeightSDS!P$12*$AM848^7+WeightSDS!Q$12*$AM848^6+WeightSDS!R$12*$AM848^5+WeightSDS!S$12*$AM848^4+WeightSDS!T$12*$AM848^3+WeightSDS!U$12*$AM848^2+WeightSDS!V$12*$AM848+WeightSDS!W$12,WeightSDS!P$14*$AM848^7+WeightSDS!Q$14*$AM848^6+WeightSDS!R$14*$AM848^5+WeightSDS!S$14*$AM848^4+WeightSDS!T$14*$AM848^3+WeightSDS!U$14*$AM848^2+WeightSDS!V$14*$AM848+WeightSDS!W$14),IF($AM848&lt;156,WeightSDS!O$17*$AM848^8+WeightSDS!P$17*$AM848^7+WeightSDS!Q$17*$AM848^6+WeightSDS!R$17*$AM848^5+WeightSDS!S$17*$AM848^4+WeightSDS!T$17*$AM848^3+WeightSDS!U$17*$AM848^2+WeightSDS!V$17*$AM848+WeightSDS!W$17,IF($AM848&lt;186,WeightSDS!$U$18+(WeightSDS!$V$18-WeightSDS!$U$18)/24*($AM848-186)+WeightSDS!$W$18*(-$AM848+186)^2-0.005,WeightSDS!$U$18+(WeightSDS!$V$18-WeightSDS!$U$18)/24*($AM848-186)-0.005)))</f>
        <v>0.14604529399999999</v>
      </c>
      <c r="AT848" s="4">
        <f t="shared" si="280"/>
        <v>0.56299999999999994</v>
      </c>
      <c r="AU848" s="4">
        <f t="shared" si="281"/>
        <v>69</v>
      </c>
      <c r="AV848" s="4">
        <f t="shared" si="282"/>
        <v>0.51</v>
      </c>
    </row>
    <row r="849" spans="1:48" x14ac:dyDescent="0.15">
      <c r="A849" s="4"/>
      <c r="B849" s="21"/>
      <c r="C849" s="21"/>
      <c r="D849" s="21"/>
      <c r="E849" s="22"/>
      <c r="F849" s="22"/>
      <c r="G849" s="23"/>
      <c r="H849" s="23"/>
      <c r="I849" s="181"/>
      <c r="J849" s="8" t="str">
        <f t="shared" si="274"/>
        <v/>
      </c>
      <c r="K849" s="2" t="str">
        <f t="shared" si="283"/>
        <v/>
      </c>
      <c r="L849" s="2" t="str">
        <f t="shared" si="275"/>
        <v/>
      </c>
      <c r="M849" s="2" t="str">
        <f t="shared" si="284"/>
        <v/>
      </c>
      <c r="N849" s="2" t="str">
        <f t="shared" si="292"/>
        <v/>
      </c>
      <c r="O849" s="2" t="str">
        <f t="shared" si="285"/>
        <v/>
      </c>
      <c r="P849" s="8" t="str">
        <f t="shared" si="286"/>
        <v/>
      </c>
      <c r="Q849" s="8" t="str">
        <f t="shared" si="287"/>
        <v/>
      </c>
      <c r="R849" s="111" t="str">
        <f t="shared" si="288"/>
        <v/>
      </c>
      <c r="S849" s="44" t="str">
        <f t="shared" si="289"/>
        <v/>
      </c>
      <c r="T849" s="37" t="str">
        <f t="shared" si="290"/>
        <v/>
      </c>
      <c r="U849" s="44" t="str">
        <f t="shared" si="291"/>
        <v/>
      </c>
      <c r="V849" s="26"/>
      <c r="W849" s="26"/>
      <c r="X849" s="26"/>
      <c r="Y849" s="26"/>
      <c r="Z849" s="24"/>
      <c r="AA849" s="169">
        <f t="shared" si="276"/>
        <v>0</v>
      </c>
      <c r="AB849" s="4">
        <f t="shared" si="277"/>
        <v>0</v>
      </c>
      <c r="AC849" s="170">
        <f t="shared" si="273"/>
        <v>0</v>
      </c>
      <c r="AD849" s="58"/>
      <c r="AE849" s="58"/>
      <c r="AF849" s="58"/>
      <c r="AG849" s="59">
        <f t="shared" si="278"/>
        <v>9.0359999999999996</v>
      </c>
      <c r="AH849" s="59">
        <f t="shared" si="279"/>
        <v>-184.49199999999999</v>
      </c>
      <c r="AJ849" s="4">
        <f>IF(D849="M",IF(AM849&lt;78,BMILMS!$D$5*AM849^3+BMILMS!$E$5*AM849^2+BMILMS!$F$5*AM849+BMILMS!$G$5,IF(AM849&lt;150,BMILMS!$D$6*AM849^3+BMILMS!$E$6*AM849^2+BMILMS!$F$6*AM849+BMILMS!$G$6,BMILMS!$D$7*AM849^3+BMILMS!$E$7*AM849^2+BMILMS!$F$7*AM849+BMILMS!$G$7)),IF(AM849&lt;69,BMILMS!$D$9*AM849^3+BMILMS!$E$9*AM849^2+BMILMS!$F$9*AM849+BMILMS!$G$9,IF(AM849&lt;150,BMILMS!$D$10*AM849^3+BMILMS!$E$10*AM849^2+BMILMS!$F$10*AM849+BMILMS!$G$10,BMILMS!$D$11*AM849^3+BMILMS!$E$11*AM849^2+BMILMS!$F$11*AM849+BMILMS!$G$11)))</f>
        <v>0.79584630099999998</v>
      </c>
      <c r="AK849" s="4">
        <f>IF(D849="M",(IF(AM849&lt;2.5,BMILMS!$D$21*AM849^3+BMILMS!$E$21*AM849^2+BMILMS!$F$21*AM849+BMILMS!$G$21,IF(AM849&lt;9.5,BMILMS!$D$22*AM849^3+BMILMS!$E$22*AM849^2+BMILMS!$F$22*AM849+BMILMS!$G$22,IF(AM849&lt;26.75,BMILMS!$D$23*AM849^3+BMILMS!$E$23*AM849^2+BMILMS!$F$23*AM849+BMILMS!$G$23,IF(AM849&lt;90,BMILMS!$D$24*AM849^3+BMILMS!$E$24*AM849^2+BMILMS!$F$24*AM849+BMILMS!$G$24,BMILMS!$D$25*AM849^3+BMILMS!$E$25*AM849^2+BMILMS!$F$25*AM849+BMILMS!$G$25))))),(IF(AM849&lt;2.5,BMILMS!$D$27*AM849^3+BMILMS!$E$27*AM849^2+BMILMS!$F$27*AM849+BMILMS!$G$27,IF(AM849&lt;9.5,BMILMS!$D$28*AM849^3+BMILMS!$E$28*AM849^2+BMILMS!$F$28*AM849+BMILMS!$G$28,IF(AM849&lt;26.75,BMILMS!$D$29*AM849^3+BMILMS!$E$29*AM849^2+BMILMS!$F$29*AM849+BMILMS!$G$29,IF(AM849&lt;90,BMILMS!$D$30*AM849^3+BMILMS!$E$30*AM849^2+BMILMS!$F$30*AM849+BMILMS!$G$30,IF(AM849&lt;150,BMILMS!$D$31*AM849^3+BMILMS!$E$31*AM849^2+BMILMS!$F$31*AM849+BMILMS!$G$31,BMILMS!$D$32*AM849^3+BMILMS!$E$32*AM849^2+BMILMS!$F$32*AM849+BMILMS!$G$32)))))))</f>
        <v>12.568967990000001</v>
      </c>
      <c r="AL849" s="4">
        <f>IF(D849="M",(IF(AM849&lt;90,BMILMS!$D$14*AM849^3+BMILMS!$E$14*AM849^2+BMILMS!$F$14*AM849+BMILMS!$G$14,BMILMS!$D$15*AM849^3+BMILMS!$E$15*AM849^2+BMILMS!$F$15*AM849+BMILMS!$G$15)),(IF(AM849&lt;90,BMILMS!$D$17*AM849^3+BMILMS!$E$17*AM849^2+BMILMS!$F$17*AM849+BMILMS!$G$17,BMILMS!$D$18*AM849^3+BMILMS!$E$18*AM849^2+BMILMS!$F$18*AM849+BMILMS!$G$18)))</f>
        <v>8.8969350000000003E-2</v>
      </c>
      <c r="AM849" s="4">
        <f t="shared" si="293"/>
        <v>0</v>
      </c>
      <c r="AO849" s="56">
        <f>IF(D849="M",WeightSDS!P$5*$AM849^7+WeightSDS!Q$5*$AM849^6+WeightSDS!R$5*$AM849^5+WeightSDS!S$5*$AM849^4+WeightSDS!T$5*$AM849^3+WeightSDS!U$5*$AM849^2+WeightSDS!V$5*$AM849+WeightSDS!W$5,IF($AM849&lt;186,WeightSDS!P$8*$AM849^7+WeightSDS!Q$8*$AM849^6+WeightSDS!R$8*$AM849^5+WeightSDS!S$8*$AM849^4+WeightSDS!T$8*$AM849^3+WeightSDS!U$8*$AM849^2+WeightSDS!V$8*$AM849+WeightSDS!W$8,WeightSDS!$U$9+WeightSDS!$V$9*($AM849-WeightSDS!$W$9)))</f>
        <v>0.75407122999999998</v>
      </c>
      <c r="AP849" s="4">
        <f>IF(D849="M",IF($AM849&lt;45,WeightSDS!M$23*$AM849^10+WeightSDS!N$23*$AM849^9+WeightSDS!O$23*$AM849^8+WeightSDS!P$23*$AM849^7+WeightSDS!Q$23*$AM849^6+WeightSDS!R$23*$AM849^5+WeightSDS!S$23*$AM849^4+WeightSDS!T$23*$AM849^3+WeightSDS!U$23*$AM849^2+WeightSDS!V$23*$AM849+WeightSDS!W$23,IF($AM849&lt;153,WeightSDS!M$25*$AM849^10+WeightSDS!N$25*$AM849^9+WeightSDS!O$25*$AM849^8+WeightSDS!P$25*$AM849^7+WeightSDS!Q$25*$AM849^6+WeightSDS!R$25*$AM849^5+WeightSDS!S$25*$AM849^4+WeightSDS!T$25*$AM849^3+WeightSDS!U$25*$AM849^2+WeightSDS!V$25*$AM849+WeightSDS!W$25,WeightSDS!M$27+WeightSDS!N$27/(1+EXP(WeightSDS!O$27+WeightSDS!P$27*$AM849)))),IF($AM849&lt;43.8,WeightSDS!M$29*$AM849^10+WeightSDS!N$29*$AM849^9+WeightSDS!O$29*$AM849^8+WeightSDS!P$29*$AM849^7+WeightSDS!Q$29*$AM849^6+WeightSDS!R$29*$AM849^5+WeightSDS!S$29*$AM849^4+WeightSDS!T$29*$AM849^3+WeightSDS!U$29*$AM849^2+WeightSDS!V$29*$AM849+WeightSDS!W$29-0.010431*(1-$AM849/210),IF($AM849&lt;123,WeightSDS!M$30*$AM849^10+WeightSDS!N$30*$AM849^9+WeightSDS!O$30*$AM849^8+WeightSDS!P$30*$AM849^7+WeightSDS!Q$30*$AM849^6+WeightSDS!R$30*$AM849^5+WeightSDS!S$30*$AM849^4+WeightSDS!T$30*$AM849^3+WeightSDS!U$30*$AM849^2+WeightSDS!V$30*$AM849+WeightSDS!W$30-0.010431*(1-1/$AM849),WeightSDS!M$32+WeightSDS!N$32/(1+EXP(WeightSDS!O$32+WeightSDS!P$32*$AM849))-0.010431*(1-$AM849/210))))</f>
        <v>2.9500001032655536</v>
      </c>
      <c r="AQ849" s="4">
        <f>IF(D849="M",IF($AM849&lt;162,WeightSDS!P$12*$AM849^7+WeightSDS!Q$12*$AM849^6+WeightSDS!R$12*$AM849^5+WeightSDS!S$12*$AM849^4+WeightSDS!T$12*$AM849^3+WeightSDS!U$12*$AM849^2+WeightSDS!V$12*$AM849+WeightSDS!W$12,WeightSDS!P$14*$AM849^7+WeightSDS!Q$14*$AM849^6+WeightSDS!R$14*$AM849^5+WeightSDS!S$14*$AM849^4+WeightSDS!T$14*$AM849^3+WeightSDS!U$14*$AM849^2+WeightSDS!V$14*$AM849+WeightSDS!W$14),IF($AM849&lt;156,WeightSDS!O$17*$AM849^8+WeightSDS!P$17*$AM849^7+WeightSDS!Q$17*$AM849^6+WeightSDS!R$17*$AM849^5+WeightSDS!S$17*$AM849^4+WeightSDS!T$17*$AM849^3+WeightSDS!U$17*$AM849^2+WeightSDS!V$17*$AM849+WeightSDS!W$17,IF($AM849&lt;186,WeightSDS!$U$18+(WeightSDS!$V$18-WeightSDS!$U$18)/24*($AM849-186)+WeightSDS!$W$18*(-$AM849+186)^2-0.005,WeightSDS!$U$18+(WeightSDS!$V$18-WeightSDS!$U$18)/24*($AM849-186)-0.005)))</f>
        <v>0.14604529399999999</v>
      </c>
      <c r="AT849" s="4">
        <f t="shared" si="280"/>
        <v>0.56299999999999994</v>
      </c>
      <c r="AU849" s="4">
        <f t="shared" si="281"/>
        <v>69</v>
      </c>
      <c r="AV849" s="4">
        <f t="shared" si="282"/>
        <v>0.51</v>
      </c>
    </row>
    <row r="850" spans="1:48" x14ac:dyDescent="0.15">
      <c r="A850" s="4"/>
      <c r="B850" s="21"/>
      <c r="C850" s="21"/>
      <c r="D850" s="21"/>
      <c r="E850" s="22"/>
      <c r="F850" s="22"/>
      <c r="G850" s="23"/>
      <c r="H850" s="23"/>
      <c r="I850" s="181"/>
      <c r="J850" s="8" t="str">
        <f t="shared" si="274"/>
        <v/>
      </c>
      <c r="K850" s="2" t="str">
        <f t="shared" si="283"/>
        <v/>
      </c>
      <c r="L850" s="2" t="str">
        <f t="shared" si="275"/>
        <v/>
      </c>
      <c r="M850" s="2" t="str">
        <f t="shared" si="284"/>
        <v/>
      </c>
      <c r="N850" s="2" t="str">
        <f t="shared" si="292"/>
        <v/>
      </c>
      <c r="O850" s="2" t="str">
        <f t="shared" si="285"/>
        <v/>
      </c>
      <c r="P850" s="8" t="str">
        <f t="shared" si="286"/>
        <v/>
      </c>
      <c r="Q850" s="8" t="str">
        <f t="shared" si="287"/>
        <v/>
      </c>
      <c r="R850" s="111" t="str">
        <f t="shared" si="288"/>
        <v/>
      </c>
      <c r="S850" s="44" t="str">
        <f t="shared" si="289"/>
        <v/>
      </c>
      <c r="T850" s="37" t="str">
        <f t="shared" si="290"/>
        <v/>
      </c>
      <c r="U850" s="44" t="str">
        <f t="shared" si="291"/>
        <v/>
      </c>
      <c r="V850" s="26"/>
      <c r="W850" s="26"/>
      <c r="X850" s="26"/>
      <c r="Y850" s="26"/>
      <c r="Z850" s="24"/>
      <c r="AA850" s="169">
        <f t="shared" si="276"/>
        <v>0</v>
      </c>
      <c r="AB850" s="4">
        <f t="shared" si="277"/>
        <v>0</v>
      </c>
      <c r="AC850" s="170">
        <f t="shared" si="273"/>
        <v>0</v>
      </c>
      <c r="AD850" s="58"/>
      <c r="AE850" s="58"/>
      <c r="AF850" s="58"/>
      <c r="AG850" s="59">
        <f t="shared" si="278"/>
        <v>9.0359999999999996</v>
      </c>
      <c r="AH850" s="59">
        <f t="shared" si="279"/>
        <v>-184.49199999999999</v>
      </c>
      <c r="AJ850" s="4">
        <f>IF(D850="M",IF(AM850&lt;78,BMILMS!$D$5*AM850^3+BMILMS!$E$5*AM850^2+BMILMS!$F$5*AM850+BMILMS!$G$5,IF(AM850&lt;150,BMILMS!$D$6*AM850^3+BMILMS!$E$6*AM850^2+BMILMS!$F$6*AM850+BMILMS!$G$6,BMILMS!$D$7*AM850^3+BMILMS!$E$7*AM850^2+BMILMS!$F$7*AM850+BMILMS!$G$7)),IF(AM850&lt;69,BMILMS!$D$9*AM850^3+BMILMS!$E$9*AM850^2+BMILMS!$F$9*AM850+BMILMS!$G$9,IF(AM850&lt;150,BMILMS!$D$10*AM850^3+BMILMS!$E$10*AM850^2+BMILMS!$F$10*AM850+BMILMS!$G$10,BMILMS!$D$11*AM850^3+BMILMS!$E$11*AM850^2+BMILMS!$F$11*AM850+BMILMS!$G$11)))</f>
        <v>0.79584630099999998</v>
      </c>
      <c r="AK850" s="4">
        <f>IF(D850="M",(IF(AM850&lt;2.5,BMILMS!$D$21*AM850^3+BMILMS!$E$21*AM850^2+BMILMS!$F$21*AM850+BMILMS!$G$21,IF(AM850&lt;9.5,BMILMS!$D$22*AM850^3+BMILMS!$E$22*AM850^2+BMILMS!$F$22*AM850+BMILMS!$G$22,IF(AM850&lt;26.75,BMILMS!$D$23*AM850^3+BMILMS!$E$23*AM850^2+BMILMS!$F$23*AM850+BMILMS!$G$23,IF(AM850&lt;90,BMILMS!$D$24*AM850^3+BMILMS!$E$24*AM850^2+BMILMS!$F$24*AM850+BMILMS!$G$24,BMILMS!$D$25*AM850^3+BMILMS!$E$25*AM850^2+BMILMS!$F$25*AM850+BMILMS!$G$25))))),(IF(AM850&lt;2.5,BMILMS!$D$27*AM850^3+BMILMS!$E$27*AM850^2+BMILMS!$F$27*AM850+BMILMS!$G$27,IF(AM850&lt;9.5,BMILMS!$D$28*AM850^3+BMILMS!$E$28*AM850^2+BMILMS!$F$28*AM850+BMILMS!$G$28,IF(AM850&lt;26.75,BMILMS!$D$29*AM850^3+BMILMS!$E$29*AM850^2+BMILMS!$F$29*AM850+BMILMS!$G$29,IF(AM850&lt;90,BMILMS!$D$30*AM850^3+BMILMS!$E$30*AM850^2+BMILMS!$F$30*AM850+BMILMS!$G$30,IF(AM850&lt;150,BMILMS!$D$31*AM850^3+BMILMS!$E$31*AM850^2+BMILMS!$F$31*AM850+BMILMS!$G$31,BMILMS!$D$32*AM850^3+BMILMS!$E$32*AM850^2+BMILMS!$F$32*AM850+BMILMS!$G$32)))))))</f>
        <v>12.568967990000001</v>
      </c>
      <c r="AL850" s="4">
        <f>IF(D850="M",(IF(AM850&lt;90,BMILMS!$D$14*AM850^3+BMILMS!$E$14*AM850^2+BMILMS!$F$14*AM850+BMILMS!$G$14,BMILMS!$D$15*AM850^3+BMILMS!$E$15*AM850^2+BMILMS!$F$15*AM850+BMILMS!$G$15)),(IF(AM850&lt;90,BMILMS!$D$17*AM850^3+BMILMS!$E$17*AM850^2+BMILMS!$F$17*AM850+BMILMS!$G$17,BMILMS!$D$18*AM850^3+BMILMS!$E$18*AM850^2+BMILMS!$F$18*AM850+BMILMS!$G$18)))</f>
        <v>8.8969350000000003E-2</v>
      </c>
      <c r="AM850" s="4">
        <f t="shared" si="293"/>
        <v>0</v>
      </c>
      <c r="AO850" s="56">
        <f>IF(D850="M",WeightSDS!P$5*$AM850^7+WeightSDS!Q$5*$AM850^6+WeightSDS!R$5*$AM850^5+WeightSDS!S$5*$AM850^4+WeightSDS!T$5*$AM850^3+WeightSDS!U$5*$AM850^2+WeightSDS!V$5*$AM850+WeightSDS!W$5,IF($AM850&lt;186,WeightSDS!P$8*$AM850^7+WeightSDS!Q$8*$AM850^6+WeightSDS!R$8*$AM850^5+WeightSDS!S$8*$AM850^4+WeightSDS!T$8*$AM850^3+WeightSDS!U$8*$AM850^2+WeightSDS!V$8*$AM850+WeightSDS!W$8,WeightSDS!$U$9+WeightSDS!$V$9*($AM850-WeightSDS!$W$9)))</f>
        <v>0.75407122999999998</v>
      </c>
      <c r="AP850" s="4">
        <f>IF(D850="M",IF($AM850&lt;45,WeightSDS!M$23*$AM850^10+WeightSDS!N$23*$AM850^9+WeightSDS!O$23*$AM850^8+WeightSDS!P$23*$AM850^7+WeightSDS!Q$23*$AM850^6+WeightSDS!R$23*$AM850^5+WeightSDS!S$23*$AM850^4+WeightSDS!T$23*$AM850^3+WeightSDS!U$23*$AM850^2+WeightSDS!V$23*$AM850+WeightSDS!W$23,IF($AM850&lt;153,WeightSDS!M$25*$AM850^10+WeightSDS!N$25*$AM850^9+WeightSDS!O$25*$AM850^8+WeightSDS!P$25*$AM850^7+WeightSDS!Q$25*$AM850^6+WeightSDS!R$25*$AM850^5+WeightSDS!S$25*$AM850^4+WeightSDS!T$25*$AM850^3+WeightSDS!U$25*$AM850^2+WeightSDS!V$25*$AM850+WeightSDS!W$25,WeightSDS!M$27+WeightSDS!N$27/(1+EXP(WeightSDS!O$27+WeightSDS!P$27*$AM850)))),IF($AM850&lt;43.8,WeightSDS!M$29*$AM850^10+WeightSDS!N$29*$AM850^9+WeightSDS!O$29*$AM850^8+WeightSDS!P$29*$AM850^7+WeightSDS!Q$29*$AM850^6+WeightSDS!R$29*$AM850^5+WeightSDS!S$29*$AM850^4+WeightSDS!T$29*$AM850^3+WeightSDS!U$29*$AM850^2+WeightSDS!V$29*$AM850+WeightSDS!W$29-0.010431*(1-$AM850/210),IF($AM850&lt;123,WeightSDS!M$30*$AM850^10+WeightSDS!N$30*$AM850^9+WeightSDS!O$30*$AM850^8+WeightSDS!P$30*$AM850^7+WeightSDS!Q$30*$AM850^6+WeightSDS!R$30*$AM850^5+WeightSDS!S$30*$AM850^4+WeightSDS!T$30*$AM850^3+WeightSDS!U$30*$AM850^2+WeightSDS!V$30*$AM850+WeightSDS!W$30-0.010431*(1-1/$AM850),WeightSDS!M$32+WeightSDS!N$32/(1+EXP(WeightSDS!O$32+WeightSDS!P$32*$AM850))-0.010431*(1-$AM850/210))))</f>
        <v>2.9500001032655536</v>
      </c>
      <c r="AQ850" s="4">
        <f>IF(D850="M",IF($AM850&lt;162,WeightSDS!P$12*$AM850^7+WeightSDS!Q$12*$AM850^6+WeightSDS!R$12*$AM850^5+WeightSDS!S$12*$AM850^4+WeightSDS!T$12*$AM850^3+WeightSDS!U$12*$AM850^2+WeightSDS!V$12*$AM850+WeightSDS!W$12,WeightSDS!P$14*$AM850^7+WeightSDS!Q$14*$AM850^6+WeightSDS!R$14*$AM850^5+WeightSDS!S$14*$AM850^4+WeightSDS!T$14*$AM850^3+WeightSDS!U$14*$AM850^2+WeightSDS!V$14*$AM850+WeightSDS!W$14),IF($AM850&lt;156,WeightSDS!O$17*$AM850^8+WeightSDS!P$17*$AM850^7+WeightSDS!Q$17*$AM850^6+WeightSDS!R$17*$AM850^5+WeightSDS!S$17*$AM850^4+WeightSDS!T$17*$AM850^3+WeightSDS!U$17*$AM850^2+WeightSDS!V$17*$AM850+WeightSDS!W$17,IF($AM850&lt;186,WeightSDS!$U$18+(WeightSDS!$V$18-WeightSDS!$U$18)/24*($AM850-186)+WeightSDS!$W$18*(-$AM850+186)^2-0.005,WeightSDS!$U$18+(WeightSDS!$V$18-WeightSDS!$U$18)/24*($AM850-186)-0.005)))</f>
        <v>0.14604529399999999</v>
      </c>
      <c r="AT850" s="4">
        <f t="shared" si="280"/>
        <v>0.56299999999999994</v>
      </c>
      <c r="AU850" s="4">
        <f t="shared" si="281"/>
        <v>69</v>
      </c>
      <c r="AV850" s="4">
        <f t="shared" si="282"/>
        <v>0.51</v>
      </c>
    </row>
    <row r="851" spans="1:48" x14ac:dyDescent="0.15">
      <c r="A851" s="4"/>
      <c r="B851" s="21"/>
      <c r="C851" s="21"/>
      <c r="D851" s="21"/>
      <c r="E851" s="22"/>
      <c r="F851" s="22"/>
      <c r="G851" s="23"/>
      <c r="H851" s="23"/>
      <c r="I851" s="181"/>
      <c r="J851" s="8" t="str">
        <f t="shared" si="274"/>
        <v/>
      </c>
      <c r="K851" s="2" t="str">
        <f t="shared" si="283"/>
        <v/>
      </c>
      <c r="L851" s="2" t="str">
        <f t="shared" si="275"/>
        <v/>
      </c>
      <c r="M851" s="2" t="str">
        <f t="shared" si="284"/>
        <v/>
      </c>
      <c r="N851" s="2" t="str">
        <f t="shared" si="292"/>
        <v/>
      </c>
      <c r="O851" s="2" t="str">
        <f t="shared" si="285"/>
        <v/>
      </c>
      <c r="P851" s="8" t="str">
        <f t="shared" si="286"/>
        <v/>
      </c>
      <c r="Q851" s="8" t="str">
        <f t="shared" si="287"/>
        <v/>
      </c>
      <c r="R851" s="111" t="str">
        <f t="shared" si="288"/>
        <v/>
      </c>
      <c r="S851" s="44" t="str">
        <f t="shared" si="289"/>
        <v/>
      </c>
      <c r="T851" s="37" t="str">
        <f t="shared" si="290"/>
        <v/>
      </c>
      <c r="U851" s="44" t="str">
        <f t="shared" si="291"/>
        <v/>
      </c>
      <c r="V851" s="26"/>
      <c r="W851" s="26"/>
      <c r="X851" s="26"/>
      <c r="Y851" s="26"/>
      <c r="Z851" s="24"/>
      <c r="AA851" s="169">
        <f t="shared" si="276"/>
        <v>0</v>
      </c>
      <c r="AB851" s="4">
        <f t="shared" si="277"/>
        <v>0</v>
      </c>
      <c r="AC851" s="170">
        <f t="shared" si="273"/>
        <v>0</v>
      </c>
      <c r="AD851" s="58"/>
      <c r="AE851" s="58"/>
      <c r="AF851" s="58"/>
      <c r="AG851" s="59">
        <f t="shared" si="278"/>
        <v>9.0359999999999996</v>
      </c>
      <c r="AH851" s="59">
        <f t="shared" si="279"/>
        <v>-184.49199999999999</v>
      </c>
      <c r="AJ851" s="4">
        <f>IF(D851="M",IF(AM851&lt;78,BMILMS!$D$5*AM851^3+BMILMS!$E$5*AM851^2+BMILMS!$F$5*AM851+BMILMS!$G$5,IF(AM851&lt;150,BMILMS!$D$6*AM851^3+BMILMS!$E$6*AM851^2+BMILMS!$F$6*AM851+BMILMS!$G$6,BMILMS!$D$7*AM851^3+BMILMS!$E$7*AM851^2+BMILMS!$F$7*AM851+BMILMS!$G$7)),IF(AM851&lt;69,BMILMS!$D$9*AM851^3+BMILMS!$E$9*AM851^2+BMILMS!$F$9*AM851+BMILMS!$G$9,IF(AM851&lt;150,BMILMS!$D$10*AM851^3+BMILMS!$E$10*AM851^2+BMILMS!$F$10*AM851+BMILMS!$G$10,BMILMS!$D$11*AM851^3+BMILMS!$E$11*AM851^2+BMILMS!$F$11*AM851+BMILMS!$G$11)))</f>
        <v>0.79584630099999998</v>
      </c>
      <c r="AK851" s="4">
        <f>IF(D851="M",(IF(AM851&lt;2.5,BMILMS!$D$21*AM851^3+BMILMS!$E$21*AM851^2+BMILMS!$F$21*AM851+BMILMS!$G$21,IF(AM851&lt;9.5,BMILMS!$D$22*AM851^3+BMILMS!$E$22*AM851^2+BMILMS!$F$22*AM851+BMILMS!$G$22,IF(AM851&lt;26.75,BMILMS!$D$23*AM851^3+BMILMS!$E$23*AM851^2+BMILMS!$F$23*AM851+BMILMS!$G$23,IF(AM851&lt;90,BMILMS!$D$24*AM851^3+BMILMS!$E$24*AM851^2+BMILMS!$F$24*AM851+BMILMS!$G$24,BMILMS!$D$25*AM851^3+BMILMS!$E$25*AM851^2+BMILMS!$F$25*AM851+BMILMS!$G$25))))),(IF(AM851&lt;2.5,BMILMS!$D$27*AM851^3+BMILMS!$E$27*AM851^2+BMILMS!$F$27*AM851+BMILMS!$G$27,IF(AM851&lt;9.5,BMILMS!$D$28*AM851^3+BMILMS!$E$28*AM851^2+BMILMS!$F$28*AM851+BMILMS!$G$28,IF(AM851&lt;26.75,BMILMS!$D$29*AM851^3+BMILMS!$E$29*AM851^2+BMILMS!$F$29*AM851+BMILMS!$G$29,IF(AM851&lt;90,BMILMS!$D$30*AM851^3+BMILMS!$E$30*AM851^2+BMILMS!$F$30*AM851+BMILMS!$G$30,IF(AM851&lt;150,BMILMS!$D$31*AM851^3+BMILMS!$E$31*AM851^2+BMILMS!$F$31*AM851+BMILMS!$G$31,BMILMS!$D$32*AM851^3+BMILMS!$E$32*AM851^2+BMILMS!$F$32*AM851+BMILMS!$G$32)))))))</f>
        <v>12.568967990000001</v>
      </c>
      <c r="AL851" s="4">
        <f>IF(D851="M",(IF(AM851&lt;90,BMILMS!$D$14*AM851^3+BMILMS!$E$14*AM851^2+BMILMS!$F$14*AM851+BMILMS!$G$14,BMILMS!$D$15*AM851^3+BMILMS!$E$15*AM851^2+BMILMS!$F$15*AM851+BMILMS!$G$15)),(IF(AM851&lt;90,BMILMS!$D$17*AM851^3+BMILMS!$E$17*AM851^2+BMILMS!$F$17*AM851+BMILMS!$G$17,BMILMS!$D$18*AM851^3+BMILMS!$E$18*AM851^2+BMILMS!$F$18*AM851+BMILMS!$G$18)))</f>
        <v>8.8969350000000003E-2</v>
      </c>
      <c r="AM851" s="4">
        <f t="shared" si="293"/>
        <v>0</v>
      </c>
      <c r="AO851" s="56">
        <f>IF(D851="M",WeightSDS!P$5*$AM851^7+WeightSDS!Q$5*$AM851^6+WeightSDS!R$5*$AM851^5+WeightSDS!S$5*$AM851^4+WeightSDS!T$5*$AM851^3+WeightSDS!U$5*$AM851^2+WeightSDS!V$5*$AM851+WeightSDS!W$5,IF($AM851&lt;186,WeightSDS!P$8*$AM851^7+WeightSDS!Q$8*$AM851^6+WeightSDS!R$8*$AM851^5+WeightSDS!S$8*$AM851^4+WeightSDS!T$8*$AM851^3+WeightSDS!U$8*$AM851^2+WeightSDS!V$8*$AM851+WeightSDS!W$8,WeightSDS!$U$9+WeightSDS!$V$9*($AM851-WeightSDS!$W$9)))</f>
        <v>0.75407122999999998</v>
      </c>
      <c r="AP851" s="4">
        <f>IF(D851="M",IF($AM851&lt;45,WeightSDS!M$23*$AM851^10+WeightSDS!N$23*$AM851^9+WeightSDS!O$23*$AM851^8+WeightSDS!P$23*$AM851^7+WeightSDS!Q$23*$AM851^6+WeightSDS!R$23*$AM851^5+WeightSDS!S$23*$AM851^4+WeightSDS!T$23*$AM851^3+WeightSDS!U$23*$AM851^2+WeightSDS!V$23*$AM851+WeightSDS!W$23,IF($AM851&lt;153,WeightSDS!M$25*$AM851^10+WeightSDS!N$25*$AM851^9+WeightSDS!O$25*$AM851^8+WeightSDS!P$25*$AM851^7+WeightSDS!Q$25*$AM851^6+WeightSDS!R$25*$AM851^5+WeightSDS!S$25*$AM851^4+WeightSDS!T$25*$AM851^3+WeightSDS!U$25*$AM851^2+WeightSDS!V$25*$AM851+WeightSDS!W$25,WeightSDS!M$27+WeightSDS!N$27/(1+EXP(WeightSDS!O$27+WeightSDS!P$27*$AM851)))),IF($AM851&lt;43.8,WeightSDS!M$29*$AM851^10+WeightSDS!N$29*$AM851^9+WeightSDS!O$29*$AM851^8+WeightSDS!P$29*$AM851^7+WeightSDS!Q$29*$AM851^6+WeightSDS!R$29*$AM851^5+WeightSDS!S$29*$AM851^4+WeightSDS!T$29*$AM851^3+WeightSDS!U$29*$AM851^2+WeightSDS!V$29*$AM851+WeightSDS!W$29-0.010431*(1-$AM851/210),IF($AM851&lt;123,WeightSDS!M$30*$AM851^10+WeightSDS!N$30*$AM851^9+WeightSDS!O$30*$AM851^8+WeightSDS!P$30*$AM851^7+WeightSDS!Q$30*$AM851^6+WeightSDS!R$30*$AM851^5+WeightSDS!S$30*$AM851^4+WeightSDS!T$30*$AM851^3+WeightSDS!U$30*$AM851^2+WeightSDS!V$30*$AM851+WeightSDS!W$30-0.010431*(1-1/$AM851),WeightSDS!M$32+WeightSDS!N$32/(1+EXP(WeightSDS!O$32+WeightSDS!P$32*$AM851))-0.010431*(1-$AM851/210))))</f>
        <v>2.9500001032655536</v>
      </c>
      <c r="AQ851" s="4">
        <f>IF(D851="M",IF($AM851&lt;162,WeightSDS!P$12*$AM851^7+WeightSDS!Q$12*$AM851^6+WeightSDS!R$12*$AM851^5+WeightSDS!S$12*$AM851^4+WeightSDS!T$12*$AM851^3+WeightSDS!U$12*$AM851^2+WeightSDS!V$12*$AM851+WeightSDS!W$12,WeightSDS!P$14*$AM851^7+WeightSDS!Q$14*$AM851^6+WeightSDS!R$14*$AM851^5+WeightSDS!S$14*$AM851^4+WeightSDS!T$14*$AM851^3+WeightSDS!U$14*$AM851^2+WeightSDS!V$14*$AM851+WeightSDS!W$14),IF($AM851&lt;156,WeightSDS!O$17*$AM851^8+WeightSDS!P$17*$AM851^7+WeightSDS!Q$17*$AM851^6+WeightSDS!R$17*$AM851^5+WeightSDS!S$17*$AM851^4+WeightSDS!T$17*$AM851^3+WeightSDS!U$17*$AM851^2+WeightSDS!V$17*$AM851+WeightSDS!W$17,IF($AM851&lt;186,WeightSDS!$U$18+(WeightSDS!$V$18-WeightSDS!$U$18)/24*($AM851-186)+WeightSDS!$W$18*(-$AM851+186)^2-0.005,WeightSDS!$U$18+(WeightSDS!$V$18-WeightSDS!$U$18)/24*($AM851-186)-0.005)))</f>
        <v>0.14604529399999999</v>
      </c>
      <c r="AT851" s="4">
        <f t="shared" si="280"/>
        <v>0.56299999999999994</v>
      </c>
      <c r="AU851" s="4">
        <f t="shared" si="281"/>
        <v>69</v>
      </c>
      <c r="AV851" s="4">
        <f t="shared" si="282"/>
        <v>0.51</v>
      </c>
    </row>
    <row r="852" spans="1:48" x14ac:dyDescent="0.15">
      <c r="A852" s="4"/>
      <c r="B852" s="21"/>
      <c r="C852" s="21"/>
      <c r="D852" s="21"/>
      <c r="E852" s="22"/>
      <c r="F852" s="22"/>
      <c r="G852" s="23"/>
      <c r="H852" s="23"/>
      <c r="I852" s="181"/>
      <c r="J852" s="8" t="str">
        <f t="shared" si="274"/>
        <v/>
      </c>
      <c r="K852" s="2" t="str">
        <f t="shared" si="283"/>
        <v/>
      </c>
      <c r="L852" s="2" t="str">
        <f t="shared" si="275"/>
        <v/>
      </c>
      <c r="M852" s="2" t="str">
        <f t="shared" si="284"/>
        <v/>
      </c>
      <c r="N852" s="2" t="str">
        <f t="shared" si="292"/>
        <v/>
      </c>
      <c r="O852" s="2" t="str">
        <f t="shared" si="285"/>
        <v/>
      </c>
      <c r="P852" s="8" t="str">
        <f t="shared" si="286"/>
        <v/>
      </c>
      <c r="Q852" s="8" t="str">
        <f t="shared" si="287"/>
        <v/>
      </c>
      <c r="R852" s="111" t="str">
        <f t="shared" si="288"/>
        <v/>
      </c>
      <c r="S852" s="44" t="str">
        <f t="shared" si="289"/>
        <v/>
      </c>
      <c r="T852" s="37" t="str">
        <f t="shared" si="290"/>
        <v/>
      </c>
      <c r="U852" s="44" t="str">
        <f t="shared" si="291"/>
        <v/>
      </c>
      <c r="V852" s="26"/>
      <c r="W852" s="26"/>
      <c r="X852" s="26"/>
      <c r="Y852" s="26"/>
      <c r="Z852" s="24"/>
      <c r="AA852" s="169">
        <f t="shared" si="276"/>
        <v>0</v>
      </c>
      <c r="AB852" s="4">
        <f t="shared" si="277"/>
        <v>0</v>
      </c>
      <c r="AC852" s="170">
        <f t="shared" si="273"/>
        <v>0</v>
      </c>
      <c r="AD852" s="58"/>
      <c r="AE852" s="58"/>
      <c r="AF852" s="58"/>
      <c r="AG852" s="59">
        <f t="shared" si="278"/>
        <v>9.0359999999999996</v>
      </c>
      <c r="AH852" s="59">
        <f t="shared" si="279"/>
        <v>-184.49199999999999</v>
      </c>
      <c r="AJ852" s="4">
        <f>IF(D852="M",IF(AM852&lt;78,BMILMS!$D$5*AM852^3+BMILMS!$E$5*AM852^2+BMILMS!$F$5*AM852+BMILMS!$G$5,IF(AM852&lt;150,BMILMS!$D$6*AM852^3+BMILMS!$E$6*AM852^2+BMILMS!$F$6*AM852+BMILMS!$G$6,BMILMS!$D$7*AM852^3+BMILMS!$E$7*AM852^2+BMILMS!$F$7*AM852+BMILMS!$G$7)),IF(AM852&lt;69,BMILMS!$D$9*AM852^3+BMILMS!$E$9*AM852^2+BMILMS!$F$9*AM852+BMILMS!$G$9,IF(AM852&lt;150,BMILMS!$D$10*AM852^3+BMILMS!$E$10*AM852^2+BMILMS!$F$10*AM852+BMILMS!$G$10,BMILMS!$D$11*AM852^3+BMILMS!$E$11*AM852^2+BMILMS!$F$11*AM852+BMILMS!$G$11)))</f>
        <v>0.79584630099999998</v>
      </c>
      <c r="AK852" s="4">
        <f>IF(D852="M",(IF(AM852&lt;2.5,BMILMS!$D$21*AM852^3+BMILMS!$E$21*AM852^2+BMILMS!$F$21*AM852+BMILMS!$G$21,IF(AM852&lt;9.5,BMILMS!$D$22*AM852^3+BMILMS!$E$22*AM852^2+BMILMS!$F$22*AM852+BMILMS!$G$22,IF(AM852&lt;26.75,BMILMS!$D$23*AM852^3+BMILMS!$E$23*AM852^2+BMILMS!$F$23*AM852+BMILMS!$G$23,IF(AM852&lt;90,BMILMS!$D$24*AM852^3+BMILMS!$E$24*AM852^2+BMILMS!$F$24*AM852+BMILMS!$G$24,BMILMS!$D$25*AM852^3+BMILMS!$E$25*AM852^2+BMILMS!$F$25*AM852+BMILMS!$G$25))))),(IF(AM852&lt;2.5,BMILMS!$D$27*AM852^3+BMILMS!$E$27*AM852^2+BMILMS!$F$27*AM852+BMILMS!$G$27,IF(AM852&lt;9.5,BMILMS!$D$28*AM852^3+BMILMS!$E$28*AM852^2+BMILMS!$F$28*AM852+BMILMS!$G$28,IF(AM852&lt;26.75,BMILMS!$D$29*AM852^3+BMILMS!$E$29*AM852^2+BMILMS!$F$29*AM852+BMILMS!$G$29,IF(AM852&lt;90,BMILMS!$D$30*AM852^3+BMILMS!$E$30*AM852^2+BMILMS!$F$30*AM852+BMILMS!$G$30,IF(AM852&lt;150,BMILMS!$D$31*AM852^3+BMILMS!$E$31*AM852^2+BMILMS!$F$31*AM852+BMILMS!$G$31,BMILMS!$D$32*AM852^3+BMILMS!$E$32*AM852^2+BMILMS!$F$32*AM852+BMILMS!$G$32)))))))</f>
        <v>12.568967990000001</v>
      </c>
      <c r="AL852" s="4">
        <f>IF(D852="M",(IF(AM852&lt;90,BMILMS!$D$14*AM852^3+BMILMS!$E$14*AM852^2+BMILMS!$F$14*AM852+BMILMS!$G$14,BMILMS!$D$15*AM852^3+BMILMS!$E$15*AM852^2+BMILMS!$F$15*AM852+BMILMS!$G$15)),(IF(AM852&lt;90,BMILMS!$D$17*AM852^3+BMILMS!$E$17*AM852^2+BMILMS!$F$17*AM852+BMILMS!$G$17,BMILMS!$D$18*AM852^3+BMILMS!$E$18*AM852^2+BMILMS!$F$18*AM852+BMILMS!$G$18)))</f>
        <v>8.8969350000000003E-2</v>
      </c>
      <c r="AM852" s="4">
        <f t="shared" si="293"/>
        <v>0</v>
      </c>
      <c r="AO852" s="56">
        <f>IF(D852="M",WeightSDS!P$5*$AM852^7+WeightSDS!Q$5*$AM852^6+WeightSDS!R$5*$AM852^5+WeightSDS!S$5*$AM852^4+WeightSDS!T$5*$AM852^3+WeightSDS!U$5*$AM852^2+WeightSDS!V$5*$AM852+WeightSDS!W$5,IF($AM852&lt;186,WeightSDS!P$8*$AM852^7+WeightSDS!Q$8*$AM852^6+WeightSDS!R$8*$AM852^5+WeightSDS!S$8*$AM852^4+WeightSDS!T$8*$AM852^3+WeightSDS!U$8*$AM852^2+WeightSDS!V$8*$AM852+WeightSDS!W$8,WeightSDS!$U$9+WeightSDS!$V$9*($AM852-WeightSDS!$W$9)))</f>
        <v>0.75407122999999998</v>
      </c>
      <c r="AP852" s="4">
        <f>IF(D852="M",IF($AM852&lt;45,WeightSDS!M$23*$AM852^10+WeightSDS!N$23*$AM852^9+WeightSDS!O$23*$AM852^8+WeightSDS!P$23*$AM852^7+WeightSDS!Q$23*$AM852^6+WeightSDS!R$23*$AM852^5+WeightSDS!S$23*$AM852^4+WeightSDS!T$23*$AM852^3+WeightSDS!U$23*$AM852^2+WeightSDS!V$23*$AM852+WeightSDS!W$23,IF($AM852&lt;153,WeightSDS!M$25*$AM852^10+WeightSDS!N$25*$AM852^9+WeightSDS!O$25*$AM852^8+WeightSDS!P$25*$AM852^7+WeightSDS!Q$25*$AM852^6+WeightSDS!R$25*$AM852^5+WeightSDS!S$25*$AM852^4+WeightSDS!T$25*$AM852^3+WeightSDS!U$25*$AM852^2+WeightSDS!V$25*$AM852+WeightSDS!W$25,WeightSDS!M$27+WeightSDS!N$27/(1+EXP(WeightSDS!O$27+WeightSDS!P$27*$AM852)))),IF($AM852&lt;43.8,WeightSDS!M$29*$AM852^10+WeightSDS!N$29*$AM852^9+WeightSDS!O$29*$AM852^8+WeightSDS!P$29*$AM852^7+WeightSDS!Q$29*$AM852^6+WeightSDS!R$29*$AM852^5+WeightSDS!S$29*$AM852^4+WeightSDS!T$29*$AM852^3+WeightSDS!U$29*$AM852^2+WeightSDS!V$29*$AM852+WeightSDS!W$29-0.010431*(1-$AM852/210),IF($AM852&lt;123,WeightSDS!M$30*$AM852^10+WeightSDS!N$30*$AM852^9+WeightSDS!O$30*$AM852^8+WeightSDS!P$30*$AM852^7+WeightSDS!Q$30*$AM852^6+WeightSDS!R$30*$AM852^5+WeightSDS!S$30*$AM852^4+WeightSDS!T$30*$AM852^3+WeightSDS!U$30*$AM852^2+WeightSDS!V$30*$AM852+WeightSDS!W$30-0.010431*(1-1/$AM852),WeightSDS!M$32+WeightSDS!N$32/(1+EXP(WeightSDS!O$32+WeightSDS!P$32*$AM852))-0.010431*(1-$AM852/210))))</f>
        <v>2.9500001032655536</v>
      </c>
      <c r="AQ852" s="4">
        <f>IF(D852="M",IF($AM852&lt;162,WeightSDS!P$12*$AM852^7+WeightSDS!Q$12*$AM852^6+WeightSDS!R$12*$AM852^5+WeightSDS!S$12*$AM852^4+WeightSDS!T$12*$AM852^3+WeightSDS!U$12*$AM852^2+WeightSDS!V$12*$AM852+WeightSDS!W$12,WeightSDS!P$14*$AM852^7+WeightSDS!Q$14*$AM852^6+WeightSDS!R$14*$AM852^5+WeightSDS!S$14*$AM852^4+WeightSDS!T$14*$AM852^3+WeightSDS!U$14*$AM852^2+WeightSDS!V$14*$AM852+WeightSDS!W$14),IF($AM852&lt;156,WeightSDS!O$17*$AM852^8+WeightSDS!P$17*$AM852^7+WeightSDS!Q$17*$AM852^6+WeightSDS!R$17*$AM852^5+WeightSDS!S$17*$AM852^4+WeightSDS!T$17*$AM852^3+WeightSDS!U$17*$AM852^2+WeightSDS!V$17*$AM852+WeightSDS!W$17,IF($AM852&lt;186,WeightSDS!$U$18+(WeightSDS!$V$18-WeightSDS!$U$18)/24*($AM852-186)+WeightSDS!$W$18*(-$AM852+186)^2-0.005,WeightSDS!$U$18+(WeightSDS!$V$18-WeightSDS!$U$18)/24*($AM852-186)-0.005)))</f>
        <v>0.14604529399999999</v>
      </c>
      <c r="AT852" s="4">
        <f t="shared" si="280"/>
        <v>0.56299999999999994</v>
      </c>
      <c r="AU852" s="4">
        <f t="shared" si="281"/>
        <v>69</v>
      </c>
      <c r="AV852" s="4">
        <f t="shared" si="282"/>
        <v>0.51</v>
      </c>
    </row>
    <row r="853" spans="1:48" x14ac:dyDescent="0.15">
      <c r="A853" s="4"/>
      <c r="B853" s="21"/>
      <c r="C853" s="21"/>
      <c r="D853" s="21"/>
      <c r="E853" s="22"/>
      <c r="F853" s="22"/>
      <c r="G853" s="23"/>
      <c r="H853" s="23"/>
      <c r="I853" s="181"/>
      <c r="J853" s="8" t="str">
        <f t="shared" si="274"/>
        <v/>
      </c>
      <c r="K853" s="2" t="str">
        <f t="shared" si="283"/>
        <v/>
      </c>
      <c r="L853" s="2" t="str">
        <f t="shared" si="275"/>
        <v/>
      </c>
      <c r="M853" s="2" t="str">
        <f t="shared" si="284"/>
        <v/>
      </c>
      <c r="N853" s="2" t="str">
        <f t="shared" si="292"/>
        <v/>
      </c>
      <c r="O853" s="2" t="str">
        <f t="shared" si="285"/>
        <v/>
      </c>
      <c r="P853" s="8" t="str">
        <f t="shared" si="286"/>
        <v/>
      </c>
      <c r="Q853" s="8" t="str">
        <f t="shared" si="287"/>
        <v/>
      </c>
      <c r="R853" s="111" t="str">
        <f t="shared" si="288"/>
        <v/>
      </c>
      <c r="S853" s="44" t="str">
        <f t="shared" si="289"/>
        <v/>
      </c>
      <c r="T853" s="37" t="str">
        <f t="shared" si="290"/>
        <v/>
      </c>
      <c r="U853" s="44" t="str">
        <f t="shared" si="291"/>
        <v/>
      </c>
      <c r="V853" s="26"/>
      <c r="W853" s="26"/>
      <c r="X853" s="26"/>
      <c r="Y853" s="26"/>
      <c r="Z853" s="24"/>
      <c r="AA853" s="169">
        <f t="shared" si="276"/>
        <v>0</v>
      </c>
      <c r="AB853" s="4">
        <f t="shared" si="277"/>
        <v>0</v>
      </c>
      <c r="AC853" s="170">
        <f t="shared" si="273"/>
        <v>0</v>
      </c>
      <c r="AD853" s="58"/>
      <c r="AE853" s="58"/>
      <c r="AF853" s="58"/>
      <c r="AG853" s="59">
        <f t="shared" si="278"/>
        <v>9.0359999999999996</v>
      </c>
      <c r="AH853" s="59">
        <f t="shared" si="279"/>
        <v>-184.49199999999999</v>
      </c>
      <c r="AJ853" s="4">
        <f>IF(D853="M",IF(AM853&lt;78,BMILMS!$D$5*AM853^3+BMILMS!$E$5*AM853^2+BMILMS!$F$5*AM853+BMILMS!$G$5,IF(AM853&lt;150,BMILMS!$D$6*AM853^3+BMILMS!$E$6*AM853^2+BMILMS!$F$6*AM853+BMILMS!$G$6,BMILMS!$D$7*AM853^3+BMILMS!$E$7*AM853^2+BMILMS!$F$7*AM853+BMILMS!$G$7)),IF(AM853&lt;69,BMILMS!$D$9*AM853^3+BMILMS!$E$9*AM853^2+BMILMS!$F$9*AM853+BMILMS!$G$9,IF(AM853&lt;150,BMILMS!$D$10*AM853^3+BMILMS!$E$10*AM853^2+BMILMS!$F$10*AM853+BMILMS!$G$10,BMILMS!$D$11*AM853^3+BMILMS!$E$11*AM853^2+BMILMS!$F$11*AM853+BMILMS!$G$11)))</f>
        <v>0.79584630099999998</v>
      </c>
      <c r="AK853" s="4">
        <f>IF(D853="M",(IF(AM853&lt;2.5,BMILMS!$D$21*AM853^3+BMILMS!$E$21*AM853^2+BMILMS!$F$21*AM853+BMILMS!$G$21,IF(AM853&lt;9.5,BMILMS!$D$22*AM853^3+BMILMS!$E$22*AM853^2+BMILMS!$F$22*AM853+BMILMS!$G$22,IF(AM853&lt;26.75,BMILMS!$D$23*AM853^3+BMILMS!$E$23*AM853^2+BMILMS!$F$23*AM853+BMILMS!$G$23,IF(AM853&lt;90,BMILMS!$D$24*AM853^3+BMILMS!$E$24*AM853^2+BMILMS!$F$24*AM853+BMILMS!$G$24,BMILMS!$D$25*AM853^3+BMILMS!$E$25*AM853^2+BMILMS!$F$25*AM853+BMILMS!$G$25))))),(IF(AM853&lt;2.5,BMILMS!$D$27*AM853^3+BMILMS!$E$27*AM853^2+BMILMS!$F$27*AM853+BMILMS!$G$27,IF(AM853&lt;9.5,BMILMS!$D$28*AM853^3+BMILMS!$E$28*AM853^2+BMILMS!$F$28*AM853+BMILMS!$G$28,IF(AM853&lt;26.75,BMILMS!$D$29*AM853^3+BMILMS!$E$29*AM853^2+BMILMS!$F$29*AM853+BMILMS!$G$29,IF(AM853&lt;90,BMILMS!$D$30*AM853^3+BMILMS!$E$30*AM853^2+BMILMS!$F$30*AM853+BMILMS!$G$30,IF(AM853&lt;150,BMILMS!$D$31*AM853^3+BMILMS!$E$31*AM853^2+BMILMS!$F$31*AM853+BMILMS!$G$31,BMILMS!$D$32*AM853^3+BMILMS!$E$32*AM853^2+BMILMS!$F$32*AM853+BMILMS!$G$32)))))))</f>
        <v>12.568967990000001</v>
      </c>
      <c r="AL853" s="4">
        <f>IF(D853="M",(IF(AM853&lt;90,BMILMS!$D$14*AM853^3+BMILMS!$E$14*AM853^2+BMILMS!$F$14*AM853+BMILMS!$G$14,BMILMS!$D$15*AM853^3+BMILMS!$E$15*AM853^2+BMILMS!$F$15*AM853+BMILMS!$G$15)),(IF(AM853&lt;90,BMILMS!$D$17*AM853^3+BMILMS!$E$17*AM853^2+BMILMS!$F$17*AM853+BMILMS!$G$17,BMILMS!$D$18*AM853^3+BMILMS!$E$18*AM853^2+BMILMS!$F$18*AM853+BMILMS!$G$18)))</f>
        <v>8.8969350000000003E-2</v>
      </c>
      <c r="AM853" s="4">
        <f t="shared" si="293"/>
        <v>0</v>
      </c>
      <c r="AO853" s="56">
        <f>IF(D853="M",WeightSDS!P$5*$AM853^7+WeightSDS!Q$5*$AM853^6+WeightSDS!R$5*$AM853^5+WeightSDS!S$5*$AM853^4+WeightSDS!T$5*$AM853^3+WeightSDS!U$5*$AM853^2+WeightSDS!V$5*$AM853+WeightSDS!W$5,IF($AM853&lt;186,WeightSDS!P$8*$AM853^7+WeightSDS!Q$8*$AM853^6+WeightSDS!R$8*$AM853^5+WeightSDS!S$8*$AM853^4+WeightSDS!T$8*$AM853^3+WeightSDS!U$8*$AM853^2+WeightSDS!V$8*$AM853+WeightSDS!W$8,WeightSDS!$U$9+WeightSDS!$V$9*($AM853-WeightSDS!$W$9)))</f>
        <v>0.75407122999999998</v>
      </c>
      <c r="AP853" s="4">
        <f>IF(D853="M",IF($AM853&lt;45,WeightSDS!M$23*$AM853^10+WeightSDS!N$23*$AM853^9+WeightSDS!O$23*$AM853^8+WeightSDS!P$23*$AM853^7+WeightSDS!Q$23*$AM853^6+WeightSDS!R$23*$AM853^5+WeightSDS!S$23*$AM853^4+WeightSDS!T$23*$AM853^3+WeightSDS!U$23*$AM853^2+WeightSDS!V$23*$AM853+WeightSDS!W$23,IF($AM853&lt;153,WeightSDS!M$25*$AM853^10+WeightSDS!N$25*$AM853^9+WeightSDS!O$25*$AM853^8+WeightSDS!P$25*$AM853^7+WeightSDS!Q$25*$AM853^6+WeightSDS!R$25*$AM853^5+WeightSDS!S$25*$AM853^4+WeightSDS!T$25*$AM853^3+WeightSDS!U$25*$AM853^2+WeightSDS!V$25*$AM853+WeightSDS!W$25,WeightSDS!M$27+WeightSDS!N$27/(1+EXP(WeightSDS!O$27+WeightSDS!P$27*$AM853)))),IF($AM853&lt;43.8,WeightSDS!M$29*$AM853^10+WeightSDS!N$29*$AM853^9+WeightSDS!O$29*$AM853^8+WeightSDS!P$29*$AM853^7+WeightSDS!Q$29*$AM853^6+WeightSDS!R$29*$AM853^5+WeightSDS!S$29*$AM853^4+WeightSDS!T$29*$AM853^3+WeightSDS!U$29*$AM853^2+WeightSDS!V$29*$AM853+WeightSDS!W$29-0.010431*(1-$AM853/210),IF($AM853&lt;123,WeightSDS!M$30*$AM853^10+WeightSDS!N$30*$AM853^9+WeightSDS!O$30*$AM853^8+WeightSDS!P$30*$AM853^7+WeightSDS!Q$30*$AM853^6+WeightSDS!R$30*$AM853^5+WeightSDS!S$30*$AM853^4+WeightSDS!T$30*$AM853^3+WeightSDS!U$30*$AM853^2+WeightSDS!V$30*$AM853+WeightSDS!W$30-0.010431*(1-1/$AM853),WeightSDS!M$32+WeightSDS!N$32/(1+EXP(WeightSDS!O$32+WeightSDS!P$32*$AM853))-0.010431*(1-$AM853/210))))</f>
        <v>2.9500001032655536</v>
      </c>
      <c r="AQ853" s="4">
        <f>IF(D853="M",IF($AM853&lt;162,WeightSDS!P$12*$AM853^7+WeightSDS!Q$12*$AM853^6+WeightSDS!R$12*$AM853^5+WeightSDS!S$12*$AM853^4+WeightSDS!T$12*$AM853^3+WeightSDS!U$12*$AM853^2+WeightSDS!V$12*$AM853+WeightSDS!W$12,WeightSDS!P$14*$AM853^7+WeightSDS!Q$14*$AM853^6+WeightSDS!R$14*$AM853^5+WeightSDS!S$14*$AM853^4+WeightSDS!T$14*$AM853^3+WeightSDS!U$14*$AM853^2+WeightSDS!V$14*$AM853+WeightSDS!W$14),IF($AM853&lt;156,WeightSDS!O$17*$AM853^8+WeightSDS!P$17*$AM853^7+WeightSDS!Q$17*$AM853^6+WeightSDS!R$17*$AM853^5+WeightSDS!S$17*$AM853^4+WeightSDS!T$17*$AM853^3+WeightSDS!U$17*$AM853^2+WeightSDS!V$17*$AM853+WeightSDS!W$17,IF($AM853&lt;186,WeightSDS!$U$18+(WeightSDS!$V$18-WeightSDS!$U$18)/24*($AM853-186)+WeightSDS!$W$18*(-$AM853+186)^2-0.005,WeightSDS!$U$18+(WeightSDS!$V$18-WeightSDS!$U$18)/24*($AM853-186)-0.005)))</f>
        <v>0.14604529399999999</v>
      </c>
      <c r="AT853" s="4">
        <f t="shared" si="280"/>
        <v>0.56299999999999994</v>
      </c>
      <c r="AU853" s="4">
        <f t="shared" si="281"/>
        <v>69</v>
      </c>
      <c r="AV853" s="4">
        <f t="shared" si="282"/>
        <v>0.51</v>
      </c>
    </row>
    <row r="854" spans="1:48" x14ac:dyDescent="0.15">
      <c r="A854" s="4"/>
      <c r="B854" s="21"/>
      <c r="C854" s="21"/>
      <c r="D854" s="21"/>
      <c r="E854" s="22"/>
      <c r="F854" s="22"/>
      <c r="G854" s="23"/>
      <c r="H854" s="23"/>
      <c r="I854" s="181"/>
      <c r="J854" s="8" t="str">
        <f t="shared" si="274"/>
        <v/>
      </c>
      <c r="K854" s="2" t="str">
        <f t="shared" si="283"/>
        <v/>
      </c>
      <c r="L854" s="2" t="str">
        <f t="shared" si="275"/>
        <v/>
      </c>
      <c r="M854" s="2" t="str">
        <f t="shared" si="284"/>
        <v/>
      </c>
      <c r="N854" s="2" t="str">
        <f t="shared" si="292"/>
        <v/>
      </c>
      <c r="O854" s="2" t="str">
        <f t="shared" si="285"/>
        <v/>
      </c>
      <c r="P854" s="8" t="str">
        <f t="shared" si="286"/>
        <v/>
      </c>
      <c r="Q854" s="8" t="str">
        <f t="shared" si="287"/>
        <v/>
      </c>
      <c r="R854" s="111" t="str">
        <f t="shared" si="288"/>
        <v/>
      </c>
      <c r="S854" s="44" t="str">
        <f t="shared" si="289"/>
        <v/>
      </c>
      <c r="T854" s="37" t="str">
        <f t="shared" si="290"/>
        <v/>
      </c>
      <c r="U854" s="44" t="str">
        <f t="shared" si="291"/>
        <v/>
      </c>
      <c r="V854" s="26"/>
      <c r="W854" s="26"/>
      <c r="X854" s="26"/>
      <c r="Y854" s="26"/>
      <c r="Z854" s="24"/>
      <c r="AA854" s="169">
        <f t="shared" si="276"/>
        <v>0</v>
      </c>
      <c r="AB854" s="4">
        <f t="shared" si="277"/>
        <v>0</v>
      </c>
      <c r="AC854" s="170">
        <f t="shared" si="273"/>
        <v>0</v>
      </c>
      <c r="AD854" s="58"/>
      <c r="AE854" s="58"/>
      <c r="AF854" s="58"/>
      <c r="AG854" s="59">
        <f t="shared" si="278"/>
        <v>9.0359999999999996</v>
      </c>
      <c r="AH854" s="59">
        <f t="shared" si="279"/>
        <v>-184.49199999999999</v>
      </c>
      <c r="AJ854" s="4">
        <f>IF(D854="M",IF(AM854&lt;78,BMILMS!$D$5*AM854^3+BMILMS!$E$5*AM854^2+BMILMS!$F$5*AM854+BMILMS!$G$5,IF(AM854&lt;150,BMILMS!$D$6*AM854^3+BMILMS!$E$6*AM854^2+BMILMS!$F$6*AM854+BMILMS!$G$6,BMILMS!$D$7*AM854^3+BMILMS!$E$7*AM854^2+BMILMS!$F$7*AM854+BMILMS!$G$7)),IF(AM854&lt;69,BMILMS!$D$9*AM854^3+BMILMS!$E$9*AM854^2+BMILMS!$F$9*AM854+BMILMS!$G$9,IF(AM854&lt;150,BMILMS!$D$10*AM854^3+BMILMS!$E$10*AM854^2+BMILMS!$F$10*AM854+BMILMS!$G$10,BMILMS!$D$11*AM854^3+BMILMS!$E$11*AM854^2+BMILMS!$F$11*AM854+BMILMS!$G$11)))</f>
        <v>0.79584630099999998</v>
      </c>
      <c r="AK854" s="4">
        <f>IF(D854="M",(IF(AM854&lt;2.5,BMILMS!$D$21*AM854^3+BMILMS!$E$21*AM854^2+BMILMS!$F$21*AM854+BMILMS!$G$21,IF(AM854&lt;9.5,BMILMS!$D$22*AM854^3+BMILMS!$E$22*AM854^2+BMILMS!$F$22*AM854+BMILMS!$G$22,IF(AM854&lt;26.75,BMILMS!$D$23*AM854^3+BMILMS!$E$23*AM854^2+BMILMS!$F$23*AM854+BMILMS!$G$23,IF(AM854&lt;90,BMILMS!$D$24*AM854^3+BMILMS!$E$24*AM854^2+BMILMS!$F$24*AM854+BMILMS!$G$24,BMILMS!$D$25*AM854^3+BMILMS!$E$25*AM854^2+BMILMS!$F$25*AM854+BMILMS!$G$25))))),(IF(AM854&lt;2.5,BMILMS!$D$27*AM854^3+BMILMS!$E$27*AM854^2+BMILMS!$F$27*AM854+BMILMS!$G$27,IF(AM854&lt;9.5,BMILMS!$D$28*AM854^3+BMILMS!$E$28*AM854^2+BMILMS!$F$28*AM854+BMILMS!$G$28,IF(AM854&lt;26.75,BMILMS!$D$29*AM854^3+BMILMS!$E$29*AM854^2+BMILMS!$F$29*AM854+BMILMS!$G$29,IF(AM854&lt;90,BMILMS!$D$30*AM854^3+BMILMS!$E$30*AM854^2+BMILMS!$F$30*AM854+BMILMS!$G$30,IF(AM854&lt;150,BMILMS!$D$31*AM854^3+BMILMS!$E$31*AM854^2+BMILMS!$F$31*AM854+BMILMS!$G$31,BMILMS!$D$32*AM854^3+BMILMS!$E$32*AM854^2+BMILMS!$F$32*AM854+BMILMS!$G$32)))))))</f>
        <v>12.568967990000001</v>
      </c>
      <c r="AL854" s="4">
        <f>IF(D854="M",(IF(AM854&lt;90,BMILMS!$D$14*AM854^3+BMILMS!$E$14*AM854^2+BMILMS!$F$14*AM854+BMILMS!$G$14,BMILMS!$D$15*AM854^3+BMILMS!$E$15*AM854^2+BMILMS!$F$15*AM854+BMILMS!$G$15)),(IF(AM854&lt;90,BMILMS!$D$17*AM854^3+BMILMS!$E$17*AM854^2+BMILMS!$F$17*AM854+BMILMS!$G$17,BMILMS!$D$18*AM854^3+BMILMS!$E$18*AM854^2+BMILMS!$F$18*AM854+BMILMS!$G$18)))</f>
        <v>8.8969350000000003E-2</v>
      </c>
      <c r="AM854" s="4">
        <f t="shared" si="293"/>
        <v>0</v>
      </c>
      <c r="AO854" s="56">
        <f>IF(D854="M",WeightSDS!P$5*$AM854^7+WeightSDS!Q$5*$AM854^6+WeightSDS!R$5*$AM854^5+WeightSDS!S$5*$AM854^4+WeightSDS!T$5*$AM854^3+WeightSDS!U$5*$AM854^2+WeightSDS!V$5*$AM854+WeightSDS!W$5,IF($AM854&lt;186,WeightSDS!P$8*$AM854^7+WeightSDS!Q$8*$AM854^6+WeightSDS!R$8*$AM854^5+WeightSDS!S$8*$AM854^4+WeightSDS!T$8*$AM854^3+WeightSDS!U$8*$AM854^2+WeightSDS!V$8*$AM854+WeightSDS!W$8,WeightSDS!$U$9+WeightSDS!$V$9*($AM854-WeightSDS!$W$9)))</f>
        <v>0.75407122999999998</v>
      </c>
      <c r="AP854" s="4">
        <f>IF(D854="M",IF($AM854&lt;45,WeightSDS!M$23*$AM854^10+WeightSDS!N$23*$AM854^9+WeightSDS!O$23*$AM854^8+WeightSDS!P$23*$AM854^7+WeightSDS!Q$23*$AM854^6+WeightSDS!R$23*$AM854^5+WeightSDS!S$23*$AM854^4+WeightSDS!T$23*$AM854^3+WeightSDS!U$23*$AM854^2+WeightSDS!V$23*$AM854+WeightSDS!W$23,IF($AM854&lt;153,WeightSDS!M$25*$AM854^10+WeightSDS!N$25*$AM854^9+WeightSDS!O$25*$AM854^8+WeightSDS!P$25*$AM854^7+WeightSDS!Q$25*$AM854^6+WeightSDS!R$25*$AM854^5+WeightSDS!S$25*$AM854^4+WeightSDS!T$25*$AM854^3+WeightSDS!U$25*$AM854^2+WeightSDS!V$25*$AM854+WeightSDS!W$25,WeightSDS!M$27+WeightSDS!N$27/(1+EXP(WeightSDS!O$27+WeightSDS!P$27*$AM854)))),IF($AM854&lt;43.8,WeightSDS!M$29*$AM854^10+WeightSDS!N$29*$AM854^9+WeightSDS!O$29*$AM854^8+WeightSDS!P$29*$AM854^7+WeightSDS!Q$29*$AM854^6+WeightSDS!R$29*$AM854^5+WeightSDS!S$29*$AM854^4+WeightSDS!T$29*$AM854^3+WeightSDS!U$29*$AM854^2+WeightSDS!V$29*$AM854+WeightSDS!W$29-0.010431*(1-$AM854/210),IF($AM854&lt;123,WeightSDS!M$30*$AM854^10+WeightSDS!N$30*$AM854^9+WeightSDS!O$30*$AM854^8+WeightSDS!P$30*$AM854^7+WeightSDS!Q$30*$AM854^6+WeightSDS!R$30*$AM854^5+WeightSDS!S$30*$AM854^4+WeightSDS!T$30*$AM854^3+WeightSDS!U$30*$AM854^2+WeightSDS!V$30*$AM854+WeightSDS!W$30-0.010431*(1-1/$AM854),WeightSDS!M$32+WeightSDS!N$32/(1+EXP(WeightSDS!O$32+WeightSDS!P$32*$AM854))-0.010431*(1-$AM854/210))))</f>
        <v>2.9500001032655536</v>
      </c>
      <c r="AQ854" s="4">
        <f>IF(D854="M",IF($AM854&lt;162,WeightSDS!P$12*$AM854^7+WeightSDS!Q$12*$AM854^6+WeightSDS!R$12*$AM854^5+WeightSDS!S$12*$AM854^4+WeightSDS!T$12*$AM854^3+WeightSDS!U$12*$AM854^2+WeightSDS!V$12*$AM854+WeightSDS!W$12,WeightSDS!P$14*$AM854^7+WeightSDS!Q$14*$AM854^6+WeightSDS!R$14*$AM854^5+WeightSDS!S$14*$AM854^4+WeightSDS!T$14*$AM854^3+WeightSDS!U$14*$AM854^2+WeightSDS!V$14*$AM854+WeightSDS!W$14),IF($AM854&lt;156,WeightSDS!O$17*$AM854^8+WeightSDS!P$17*$AM854^7+WeightSDS!Q$17*$AM854^6+WeightSDS!R$17*$AM854^5+WeightSDS!S$17*$AM854^4+WeightSDS!T$17*$AM854^3+WeightSDS!U$17*$AM854^2+WeightSDS!V$17*$AM854+WeightSDS!W$17,IF($AM854&lt;186,WeightSDS!$U$18+(WeightSDS!$V$18-WeightSDS!$U$18)/24*($AM854-186)+WeightSDS!$W$18*(-$AM854+186)^2-0.005,WeightSDS!$U$18+(WeightSDS!$V$18-WeightSDS!$U$18)/24*($AM854-186)-0.005)))</f>
        <v>0.14604529399999999</v>
      </c>
      <c r="AT854" s="4">
        <f t="shared" si="280"/>
        <v>0.56299999999999994</v>
      </c>
      <c r="AU854" s="4">
        <f t="shared" si="281"/>
        <v>69</v>
      </c>
      <c r="AV854" s="4">
        <f t="shared" si="282"/>
        <v>0.51</v>
      </c>
    </row>
    <row r="855" spans="1:48" x14ac:dyDescent="0.15">
      <c r="A855" s="4"/>
      <c r="B855" s="21"/>
      <c r="C855" s="21"/>
      <c r="D855" s="21"/>
      <c r="E855" s="22"/>
      <c r="F855" s="22"/>
      <c r="G855" s="23"/>
      <c r="H855" s="23"/>
      <c r="I855" s="181"/>
      <c r="J855" s="8" t="str">
        <f t="shared" si="274"/>
        <v/>
      </c>
      <c r="K855" s="2" t="str">
        <f t="shared" si="283"/>
        <v/>
      </c>
      <c r="L855" s="2" t="str">
        <f t="shared" si="275"/>
        <v/>
      </c>
      <c r="M855" s="2" t="str">
        <f t="shared" si="284"/>
        <v/>
      </c>
      <c r="N855" s="2" t="str">
        <f t="shared" si="292"/>
        <v/>
      </c>
      <c r="O855" s="2" t="str">
        <f t="shared" si="285"/>
        <v/>
      </c>
      <c r="P855" s="8" t="str">
        <f t="shared" si="286"/>
        <v/>
      </c>
      <c r="Q855" s="8" t="str">
        <f t="shared" si="287"/>
        <v/>
      </c>
      <c r="R855" s="111" t="str">
        <f t="shared" si="288"/>
        <v/>
      </c>
      <c r="S855" s="44" t="str">
        <f t="shared" si="289"/>
        <v/>
      </c>
      <c r="T855" s="37" t="str">
        <f t="shared" si="290"/>
        <v/>
      </c>
      <c r="U855" s="44" t="str">
        <f t="shared" si="291"/>
        <v/>
      </c>
      <c r="V855" s="26"/>
      <c r="W855" s="26"/>
      <c r="X855" s="26"/>
      <c r="Y855" s="26"/>
      <c r="Z855" s="24"/>
      <c r="AA855" s="169">
        <f t="shared" si="276"/>
        <v>0</v>
      </c>
      <c r="AB855" s="4">
        <f t="shared" si="277"/>
        <v>0</v>
      </c>
      <c r="AC855" s="170">
        <f t="shared" si="273"/>
        <v>0</v>
      </c>
      <c r="AD855" s="58"/>
      <c r="AE855" s="58"/>
      <c r="AF855" s="58"/>
      <c r="AG855" s="59">
        <f t="shared" si="278"/>
        <v>9.0359999999999996</v>
      </c>
      <c r="AH855" s="59">
        <f t="shared" si="279"/>
        <v>-184.49199999999999</v>
      </c>
      <c r="AJ855" s="4">
        <f>IF(D855="M",IF(AM855&lt;78,BMILMS!$D$5*AM855^3+BMILMS!$E$5*AM855^2+BMILMS!$F$5*AM855+BMILMS!$G$5,IF(AM855&lt;150,BMILMS!$D$6*AM855^3+BMILMS!$E$6*AM855^2+BMILMS!$F$6*AM855+BMILMS!$G$6,BMILMS!$D$7*AM855^3+BMILMS!$E$7*AM855^2+BMILMS!$F$7*AM855+BMILMS!$G$7)),IF(AM855&lt;69,BMILMS!$D$9*AM855^3+BMILMS!$E$9*AM855^2+BMILMS!$F$9*AM855+BMILMS!$G$9,IF(AM855&lt;150,BMILMS!$D$10*AM855^3+BMILMS!$E$10*AM855^2+BMILMS!$F$10*AM855+BMILMS!$G$10,BMILMS!$D$11*AM855^3+BMILMS!$E$11*AM855^2+BMILMS!$F$11*AM855+BMILMS!$G$11)))</f>
        <v>0.79584630099999998</v>
      </c>
      <c r="AK855" s="4">
        <f>IF(D855="M",(IF(AM855&lt;2.5,BMILMS!$D$21*AM855^3+BMILMS!$E$21*AM855^2+BMILMS!$F$21*AM855+BMILMS!$G$21,IF(AM855&lt;9.5,BMILMS!$D$22*AM855^3+BMILMS!$E$22*AM855^2+BMILMS!$F$22*AM855+BMILMS!$G$22,IF(AM855&lt;26.75,BMILMS!$D$23*AM855^3+BMILMS!$E$23*AM855^2+BMILMS!$F$23*AM855+BMILMS!$G$23,IF(AM855&lt;90,BMILMS!$D$24*AM855^3+BMILMS!$E$24*AM855^2+BMILMS!$F$24*AM855+BMILMS!$G$24,BMILMS!$D$25*AM855^3+BMILMS!$E$25*AM855^2+BMILMS!$F$25*AM855+BMILMS!$G$25))))),(IF(AM855&lt;2.5,BMILMS!$D$27*AM855^3+BMILMS!$E$27*AM855^2+BMILMS!$F$27*AM855+BMILMS!$G$27,IF(AM855&lt;9.5,BMILMS!$D$28*AM855^3+BMILMS!$E$28*AM855^2+BMILMS!$F$28*AM855+BMILMS!$G$28,IF(AM855&lt;26.75,BMILMS!$D$29*AM855^3+BMILMS!$E$29*AM855^2+BMILMS!$F$29*AM855+BMILMS!$G$29,IF(AM855&lt;90,BMILMS!$D$30*AM855^3+BMILMS!$E$30*AM855^2+BMILMS!$F$30*AM855+BMILMS!$G$30,IF(AM855&lt;150,BMILMS!$D$31*AM855^3+BMILMS!$E$31*AM855^2+BMILMS!$F$31*AM855+BMILMS!$G$31,BMILMS!$D$32*AM855^3+BMILMS!$E$32*AM855^2+BMILMS!$F$32*AM855+BMILMS!$G$32)))))))</f>
        <v>12.568967990000001</v>
      </c>
      <c r="AL855" s="4">
        <f>IF(D855="M",(IF(AM855&lt;90,BMILMS!$D$14*AM855^3+BMILMS!$E$14*AM855^2+BMILMS!$F$14*AM855+BMILMS!$G$14,BMILMS!$D$15*AM855^3+BMILMS!$E$15*AM855^2+BMILMS!$F$15*AM855+BMILMS!$G$15)),(IF(AM855&lt;90,BMILMS!$D$17*AM855^3+BMILMS!$E$17*AM855^2+BMILMS!$F$17*AM855+BMILMS!$G$17,BMILMS!$D$18*AM855^3+BMILMS!$E$18*AM855^2+BMILMS!$F$18*AM855+BMILMS!$G$18)))</f>
        <v>8.8969350000000003E-2</v>
      </c>
      <c r="AM855" s="4">
        <f t="shared" si="293"/>
        <v>0</v>
      </c>
      <c r="AO855" s="56">
        <f>IF(D855="M",WeightSDS!P$5*$AM855^7+WeightSDS!Q$5*$AM855^6+WeightSDS!R$5*$AM855^5+WeightSDS!S$5*$AM855^4+WeightSDS!T$5*$AM855^3+WeightSDS!U$5*$AM855^2+WeightSDS!V$5*$AM855+WeightSDS!W$5,IF($AM855&lt;186,WeightSDS!P$8*$AM855^7+WeightSDS!Q$8*$AM855^6+WeightSDS!R$8*$AM855^5+WeightSDS!S$8*$AM855^4+WeightSDS!T$8*$AM855^3+WeightSDS!U$8*$AM855^2+WeightSDS!V$8*$AM855+WeightSDS!W$8,WeightSDS!$U$9+WeightSDS!$V$9*($AM855-WeightSDS!$W$9)))</f>
        <v>0.75407122999999998</v>
      </c>
      <c r="AP855" s="4">
        <f>IF(D855="M",IF($AM855&lt;45,WeightSDS!M$23*$AM855^10+WeightSDS!N$23*$AM855^9+WeightSDS!O$23*$AM855^8+WeightSDS!P$23*$AM855^7+WeightSDS!Q$23*$AM855^6+WeightSDS!R$23*$AM855^5+WeightSDS!S$23*$AM855^4+WeightSDS!T$23*$AM855^3+WeightSDS!U$23*$AM855^2+WeightSDS!V$23*$AM855+WeightSDS!W$23,IF($AM855&lt;153,WeightSDS!M$25*$AM855^10+WeightSDS!N$25*$AM855^9+WeightSDS!O$25*$AM855^8+WeightSDS!P$25*$AM855^7+WeightSDS!Q$25*$AM855^6+WeightSDS!R$25*$AM855^5+WeightSDS!S$25*$AM855^4+WeightSDS!T$25*$AM855^3+WeightSDS!U$25*$AM855^2+WeightSDS!V$25*$AM855+WeightSDS!W$25,WeightSDS!M$27+WeightSDS!N$27/(1+EXP(WeightSDS!O$27+WeightSDS!P$27*$AM855)))),IF($AM855&lt;43.8,WeightSDS!M$29*$AM855^10+WeightSDS!N$29*$AM855^9+WeightSDS!O$29*$AM855^8+WeightSDS!P$29*$AM855^7+WeightSDS!Q$29*$AM855^6+WeightSDS!R$29*$AM855^5+WeightSDS!S$29*$AM855^4+WeightSDS!T$29*$AM855^3+WeightSDS!U$29*$AM855^2+WeightSDS!V$29*$AM855+WeightSDS!W$29-0.010431*(1-$AM855/210),IF($AM855&lt;123,WeightSDS!M$30*$AM855^10+WeightSDS!N$30*$AM855^9+WeightSDS!O$30*$AM855^8+WeightSDS!P$30*$AM855^7+WeightSDS!Q$30*$AM855^6+WeightSDS!R$30*$AM855^5+WeightSDS!S$30*$AM855^4+WeightSDS!T$30*$AM855^3+WeightSDS!U$30*$AM855^2+WeightSDS!V$30*$AM855+WeightSDS!W$30-0.010431*(1-1/$AM855),WeightSDS!M$32+WeightSDS!N$32/(1+EXP(WeightSDS!O$32+WeightSDS!P$32*$AM855))-0.010431*(1-$AM855/210))))</f>
        <v>2.9500001032655536</v>
      </c>
      <c r="AQ855" s="4">
        <f>IF(D855="M",IF($AM855&lt;162,WeightSDS!P$12*$AM855^7+WeightSDS!Q$12*$AM855^6+WeightSDS!R$12*$AM855^5+WeightSDS!S$12*$AM855^4+WeightSDS!T$12*$AM855^3+WeightSDS!U$12*$AM855^2+WeightSDS!V$12*$AM855+WeightSDS!W$12,WeightSDS!P$14*$AM855^7+WeightSDS!Q$14*$AM855^6+WeightSDS!R$14*$AM855^5+WeightSDS!S$14*$AM855^4+WeightSDS!T$14*$AM855^3+WeightSDS!U$14*$AM855^2+WeightSDS!V$14*$AM855+WeightSDS!W$14),IF($AM855&lt;156,WeightSDS!O$17*$AM855^8+WeightSDS!P$17*$AM855^7+WeightSDS!Q$17*$AM855^6+WeightSDS!R$17*$AM855^5+WeightSDS!S$17*$AM855^4+WeightSDS!T$17*$AM855^3+WeightSDS!U$17*$AM855^2+WeightSDS!V$17*$AM855+WeightSDS!W$17,IF($AM855&lt;186,WeightSDS!$U$18+(WeightSDS!$V$18-WeightSDS!$U$18)/24*($AM855-186)+WeightSDS!$W$18*(-$AM855+186)^2-0.005,WeightSDS!$U$18+(WeightSDS!$V$18-WeightSDS!$U$18)/24*($AM855-186)-0.005)))</f>
        <v>0.14604529399999999</v>
      </c>
      <c r="AT855" s="4">
        <f t="shared" si="280"/>
        <v>0.56299999999999994</v>
      </c>
      <c r="AU855" s="4">
        <f t="shared" si="281"/>
        <v>69</v>
      </c>
      <c r="AV855" s="4">
        <f t="shared" si="282"/>
        <v>0.51</v>
      </c>
    </row>
    <row r="856" spans="1:48" x14ac:dyDescent="0.15">
      <c r="A856" s="4"/>
      <c r="B856" s="21"/>
      <c r="C856" s="21"/>
      <c r="D856" s="21"/>
      <c r="E856" s="22"/>
      <c r="F856" s="22"/>
      <c r="G856" s="23"/>
      <c r="H856" s="23"/>
      <c r="I856" s="181"/>
      <c r="J856" s="8" t="str">
        <f t="shared" si="274"/>
        <v/>
      </c>
      <c r="K856" s="2" t="str">
        <f t="shared" si="283"/>
        <v/>
      </c>
      <c r="L856" s="2" t="str">
        <f t="shared" si="275"/>
        <v/>
      </c>
      <c r="M856" s="2" t="str">
        <f t="shared" si="284"/>
        <v/>
      </c>
      <c r="N856" s="2" t="str">
        <f t="shared" si="292"/>
        <v/>
      </c>
      <c r="O856" s="2" t="str">
        <f t="shared" si="285"/>
        <v/>
      </c>
      <c r="P856" s="8" t="str">
        <f t="shared" si="286"/>
        <v/>
      </c>
      <c r="Q856" s="8" t="str">
        <f t="shared" si="287"/>
        <v/>
      </c>
      <c r="R856" s="111" t="str">
        <f t="shared" si="288"/>
        <v/>
      </c>
      <c r="S856" s="44" t="str">
        <f t="shared" si="289"/>
        <v/>
      </c>
      <c r="T856" s="37" t="str">
        <f t="shared" si="290"/>
        <v/>
      </c>
      <c r="U856" s="44" t="str">
        <f t="shared" si="291"/>
        <v/>
      </c>
      <c r="V856" s="26"/>
      <c r="W856" s="26"/>
      <c r="X856" s="26"/>
      <c r="Y856" s="26"/>
      <c r="Z856" s="24"/>
      <c r="AA856" s="169">
        <f t="shared" si="276"/>
        <v>0</v>
      </c>
      <c r="AB856" s="4">
        <f t="shared" si="277"/>
        <v>0</v>
      </c>
      <c r="AC856" s="170">
        <f t="shared" si="273"/>
        <v>0</v>
      </c>
      <c r="AD856" s="58"/>
      <c r="AE856" s="58"/>
      <c r="AF856" s="58"/>
      <c r="AG856" s="59">
        <f t="shared" si="278"/>
        <v>9.0359999999999996</v>
      </c>
      <c r="AH856" s="59">
        <f t="shared" si="279"/>
        <v>-184.49199999999999</v>
      </c>
      <c r="AJ856" s="4">
        <f>IF(D856="M",IF(AM856&lt;78,BMILMS!$D$5*AM856^3+BMILMS!$E$5*AM856^2+BMILMS!$F$5*AM856+BMILMS!$G$5,IF(AM856&lt;150,BMILMS!$D$6*AM856^3+BMILMS!$E$6*AM856^2+BMILMS!$F$6*AM856+BMILMS!$G$6,BMILMS!$D$7*AM856^3+BMILMS!$E$7*AM856^2+BMILMS!$F$7*AM856+BMILMS!$G$7)),IF(AM856&lt;69,BMILMS!$D$9*AM856^3+BMILMS!$E$9*AM856^2+BMILMS!$F$9*AM856+BMILMS!$G$9,IF(AM856&lt;150,BMILMS!$D$10*AM856^3+BMILMS!$E$10*AM856^2+BMILMS!$F$10*AM856+BMILMS!$G$10,BMILMS!$D$11*AM856^3+BMILMS!$E$11*AM856^2+BMILMS!$F$11*AM856+BMILMS!$G$11)))</f>
        <v>0.79584630099999998</v>
      </c>
      <c r="AK856" s="4">
        <f>IF(D856="M",(IF(AM856&lt;2.5,BMILMS!$D$21*AM856^3+BMILMS!$E$21*AM856^2+BMILMS!$F$21*AM856+BMILMS!$G$21,IF(AM856&lt;9.5,BMILMS!$D$22*AM856^3+BMILMS!$E$22*AM856^2+BMILMS!$F$22*AM856+BMILMS!$G$22,IF(AM856&lt;26.75,BMILMS!$D$23*AM856^3+BMILMS!$E$23*AM856^2+BMILMS!$F$23*AM856+BMILMS!$G$23,IF(AM856&lt;90,BMILMS!$D$24*AM856^3+BMILMS!$E$24*AM856^2+BMILMS!$F$24*AM856+BMILMS!$G$24,BMILMS!$D$25*AM856^3+BMILMS!$E$25*AM856^2+BMILMS!$F$25*AM856+BMILMS!$G$25))))),(IF(AM856&lt;2.5,BMILMS!$D$27*AM856^3+BMILMS!$E$27*AM856^2+BMILMS!$F$27*AM856+BMILMS!$G$27,IF(AM856&lt;9.5,BMILMS!$D$28*AM856^3+BMILMS!$E$28*AM856^2+BMILMS!$F$28*AM856+BMILMS!$G$28,IF(AM856&lt;26.75,BMILMS!$D$29*AM856^3+BMILMS!$E$29*AM856^2+BMILMS!$F$29*AM856+BMILMS!$G$29,IF(AM856&lt;90,BMILMS!$D$30*AM856^3+BMILMS!$E$30*AM856^2+BMILMS!$F$30*AM856+BMILMS!$G$30,IF(AM856&lt;150,BMILMS!$D$31*AM856^3+BMILMS!$E$31*AM856^2+BMILMS!$F$31*AM856+BMILMS!$G$31,BMILMS!$D$32*AM856^3+BMILMS!$E$32*AM856^2+BMILMS!$F$32*AM856+BMILMS!$G$32)))))))</f>
        <v>12.568967990000001</v>
      </c>
      <c r="AL856" s="4">
        <f>IF(D856="M",(IF(AM856&lt;90,BMILMS!$D$14*AM856^3+BMILMS!$E$14*AM856^2+BMILMS!$F$14*AM856+BMILMS!$G$14,BMILMS!$D$15*AM856^3+BMILMS!$E$15*AM856^2+BMILMS!$F$15*AM856+BMILMS!$G$15)),(IF(AM856&lt;90,BMILMS!$D$17*AM856^3+BMILMS!$E$17*AM856^2+BMILMS!$F$17*AM856+BMILMS!$G$17,BMILMS!$D$18*AM856^3+BMILMS!$E$18*AM856^2+BMILMS!$F$18*AM856+BMILMS!$G$18)))</f>
        <v>8.8969350000000003E-2</v>
      </c>
      <c r="AM856" s="4">
        <f t="shared" si="293"/>
        <v>0</v>
      </c>
      <c r="AO856" s="56">
        <f>IF(D856="M",WeightSDS!P$5*$AM856^7+WeightSDS!Q$5*$AM856^6+WeightSDS!R$5*$AM856^5+WeightSDS!S$5*$AM856^4+WeightSDS!T$5*$AM856^3+WeightSDS!U$5*$AM856^2+WeightSDS!V$5*$AM856+WeightSDS!W$5,IF($AM856&lt;186,WeightSDS!P$8*$AM856^7+WeightSDS!Q$8*$AM856^6+WeightSDS!R$8*$AM856^5+WeightSDS!S$8*$AM856^4+WeightSDS!T$8*$AM856^3+WeightSDS!U$8*$AM856^2+WeightSDS!V$8*$AM856+WeightSDS!W$8,WeightSDS!$U$9+WeightSDS!$V$9*($AM856-WeightSDS!$W$9)))</f>
        <v>0.75407122999999998</v>
      </c>
      <c r="AP856" s="4">
        <f>IF(D856="M",IF($AM856&lt;45,WeightSDS!M$23*$AM856^10+WeightSDS!N$23*$AM856^9+WeightSDS!O$23*$AM856^8+WeightSDS!P$23*$AM856^7+WeightSDS!Q$23*$AM856^6+WeightSDS!R$23*$AM856^5+WeightSDS!S$23*$AM856^4+WeightSDS!T$23*$AM856^3+WeightSDS!U$23*$AM856^2+WeightSDS!V$23*$AM856+WeightSDS!W$23,IF($AM856&lt;153,WeightSDS!M$25*$AM856^10+WeightSDS!N$25*$AM856^9+WeightSDS!O$25*$AM856^8+WeightSDS!P$25*$AM856^7+WeightSDS!Q$25*$AM856^6+WeightSDS!R$25*$AM856^5+WeightSDS!S$25*$AM856^4+WeightSDS!T$25*$AM856^3+WeightSDS!U$25*$AM856^2+WeightSDS!V$25*$AM856+WeightSDS!W$25,WeightSDS!M$27+WeightSDS!N$27/(1+EXP(WeightSDS!O$27+WeightSDS!P$27*$AM856)))),IF($AM856&lt;43.8,WeightSDS!M$29*$AM856^10+WeightSDS!N$29*$AM856^9+WeightSDS!O$29*$AM856^8+WeightSDS!P$29*$AM856^7+WeightSDS!Q$29*$AM856^6+WeightSDS!R$29*$AM856^5+WeightSDS!S$29*$AM856^4+WeightSDS!T$29*$AM856^3+WeightSDS!U$29*$AM856^2+WeightSDS!V$29*$AM856+WeightSDS!W$29-0.010431*(1-$AM856/210),IF($AM856&lt;123,WeightSDS!M$30*$AM856^10+WeightSDS!N$30*$AM856^9+WeightSDS!O$30*$AM856^8+WeightSDS!P$30*$AM856^7+WeightSDS!Q$30*$AM856^6+WeightSDS!R$30*$AM856^5+WeightSDS!S$30*$AM856^4+WeightSDS!T$30*$AM856^3+WeightSDS!U$30*$AM856^2+WeightSDS!V$30*$AM856+WeightSDS!W$30-0.010431*(1-1/$AM856),WeightSDS!M$32+WeightSDS!N$32/(1+EXP(WeightSDS!O$32+WeightSDS!P$32*$AM856))-0.010431*(1-$AM856/210))))</f>
        <v>2.9500001032655536</v>
      </c>
      <c r="AQ856" s="4">
        <f>IF(D856="M",IF($AM856&lt;162,WeightSDS!P$12*$AM856^7+WeightSDS!Q$12*$AM856^6+WeightSDS!R$12*$AM856^5+WeightSDS!S$12*$AM856^4+WeightSDS!T$12*$AM856^3+WeightSDS!U$12*$AM856^2+WeightSDS!V$12*$AM856+WeightSDS!W$12,WeightSDS!P$14*$AM856^7+WeightSDS!Q$14*$AM856^6+WeightSDS!R$14*$AM856^5+WeightSDS!S$14*$AM856^4+WeightSDS!T$14*$AM856^3+WeightSDS!U$14*$AM856^2+WeightSDS!V$14*$AM856+WeightSDS!W$14),IF($AM856&lt;156,WeightSDS!O$17*$AM856^8+WeightSDS!P$17*$AM856^7+WeightSDS!Q$17*$AM856^6+WeightSDS!R$17*$AM856^5+WeightSDS!S$17*$AM856^4+WeightSDS!T$17*$AM856^3+WeightSDS!U$17*$AM856^2+WeightSDS!V$17*$AM856+WeightSDS!W$17,IF($AM856&lt;186,WeightSDS!$U$18+(WeightSDS!$V$18-WeightSDS!$U$18)/24*($AM856-186)+WeightSDS!$W$18*(-$AM856+186)^2-0.005,WeightSDS!$U$18+(WeightSDS!$V$18-WeightSDS!$U$18)/24*($AM856-186)-0.005)))</f>
        <v>0.14604529399999999</v>
      </c>
      <c r="AT856" s="4">
        <f t="shared" si="280"/>
        <v>0.56299999999999994</v>
      </c>
      <c r="AU856" s="4">
        <f t="shared" si="281"/>
        <v>69</v>
      </c>
      <c r="AV856" s="4">
        <f t="shared" si="282"/>
        <v>0.51</v>
      </c>
    </row>
    <row r="857" spans="1:48" x14ac:dyDescent="0.15">
      <c r="A857" s="4"/>
      <c r="B857" s="21"/>
      <c r="C857" s="21"/>
      <c r="D857" s="21"/>
      <c r="E857" s="22"/>
      <c r="F857" s="22"/>
      <c r="G857" s="23"/>
      <c r="H857" s="23"/>
      <c r="I857" s="181"/>
      <c r="J857" s="8" t="str">
        <f t="shared" si="274"/>
        <v/>
      </c>
      <c r="K857" s="2" t="str">
        <f t="shared" si="283"/>
        <v/>
      </c>
      <c r="L857" s="2" t="str">
        <f t="shared" si="275"/>
        <v/>
      </c>
      <c r="M857" s="2" t="str">
        <f t="shared" si="284"/>
        <v/>
      </c>
      <c r="N857" s="2" t="str">
        <f t="shared" si="292"/>
        <v/>
      </c>
      <c r="O857" s="2" t="str">
        <f t="shared" si="285"/>
        <v/>
      </c>
      <c r="P857" s="8" t="str">
        <f t="shared" si="286"/>
        <v/>
      </c>
      <c r="Q857" s="8" t="str">
        <f t="shared" si="287"/>
        <v/>
      </c>
      <c r="R857" s="111" t="str">
        <f t="shared" si="288"/>
        <v/>
      </c>
      <c r="S857" s="44" t="str">
        <f t="shared" si="289"/>
        <v/>
      </c>
      <c r="T857" s="37" t="str">
        <f t="shared" si="290"/>
        <v/>
      </c>
      <c r="U857" s="44" t="str">
        <f t="shared" si="291"/>
        <v/>
      </c>
      <c r="V857" s="26"/>
      <c r="W857" s="26"/>
      <c r="X857" s="26"/>
      <c r="Y857" s="26"/>
      <c r="Z857" s="24"/>
      <c r="AA857" s="169">
        <f t="shared" si="276"/>
        <v>0</v>
      </c>
      <c r="AB857" s="4">
        <f t="shared" si="277"/>
        <v>0</v>
      </c>
      <c r="AC857" s="170">
        <f t="shared" si="273"/>
        <v>0</v>
      </c>
      <c r="AD857" s="58"/>
      <c r="AE857" s="58"/>
      <c r="AF857" s="58"/>
      <c r="AG857" s="59">
        <f t="shared" si="278"/>
        <v>9.0359999999999996</v>
      </c>
      <c r="AH857" s="59">
        <f t="shared" si="279"/>
        <v>-184.49199999999999</v>
      </c>
      <c r="AJ857" s="4">
        <f>IF(D857="M",IF(AM857&lt;78,BMILMS!$D$5*AM857^3+BMILMS!$E$5*AM857^2+BMILMS!$F$5*AM857+BMILMS!$G$5,IF(AM857&lt;150,BMILMS!$D$6*AM857^3+BMILMS!$E$6*AM857^2+BMILMS!$F$6*AM857+BMILMS!$G$6,BMILMS!$D$7*AM857^3+BMILMS!$E$7*AM857^2+BMILMS!$F$7*AM857+BMILMS!$G$7)),IF(AM857&lt;69,BMILMS!$D$9*AM857^3+BMILMS!$E$9*AM857^2+BMILMS!$F$9*AM857+BMILMS!$G$9,IF(AM857&lt;150,BMILMS!$D$10*AM857^3+BMILMS!$E$10*AM857^2+BMILMS!$F$10*AM857+BMILMS!$G$10,BMILMS!$D$11*AM857^3+BMILMS!$E$11*AM857^2+BMILMS!$F$11*AM857+BMILMS!$G$11)))</f>
        <v>0.79584630099999998</v>
      </c>
      <c r="AK857" s="4">
        <f>IF(D857="M",(IF(AM857&lt;2.5,BMILMS!$D$21*AM857^3+BMILMS!$E$21*AM857^2+BMILMS!$F$21*AM857+BMILMS!$G$21,IF(AM857&lt;9.5,BMILMS!$D$22*AM857^3+BMILMS!$E$22*AM857^2+BMILMS!$F$22*AM857+BMILMS!$G$22,IF(AM857&lt;26.75,BMILMS!$D$23*AM857^3+BMILMS!$E$23*AM857^2+BMILMS!$F$23*AM857+BMILMS!$G$23,IF(AM857&lt;90,BMILMS!$D$24*AM857^3+BMILMS!$E$24*AM857^2+BMILMS!$F$24*AM857+BMILMS!$G$24,BMILMS!$D$25*AM857^3+BMILMS!$E$25*AM857^2+BMILMS!$F$25*AM857+BMILMS!$G$25))))),(IF(AM857&lt;2.5,BMILMS!$D$27*AM857^3+BMILMS!$E$27*AM857^2+BMILMS!$F$27*AM857+BMILMS!$G$27,IF(AM857&lt;9.5,BMILMS!$D$28*AM857^3+BMILMS!$E$28*AM857^2+BMILMS!$F$28*AM857+BMILMS!$G$28,IF(AM857&lt;26.75,BMILMS!$D$29*AM857^3+BMILMS!$E$29*AM857^2+BMILMS!$F$29*AM857+BMILMS!$G$29,IF(AM857&lt;90,BMILMS!$D$30*AM857^3+BMILMS!$E$30*AM857^2+BMILMS!$F$30*AM857+BMILMS!$G$30,IF(AM857&lt;150,BMILMS!$D$31*AM857^3+BMILMS!$E$31*AM857^2+BMILMS!$F$31*AM857+BMILMS!$G$31,BMILMS!$D$32*AM857^3+BMILMS!$E$32*AM857^2+BMILMS!$F$32*AM857+BMILMS!$G$32)))))))</f>
        <v>12.568967990000001</v>
      </c>
      <c r="AL857" s="4">
        <f>IF(D857="M",(IF(AM857&lt;90,BMILMS!$D$14*AM857^3+BMILMS!$E$14*AM857^2+BMILMS!$F$14*AM857+BMILMS!$G$14,BMILMS!$D$15*AM857^3+BMILMS!$E$15*AM857^2+BMILMS!$F$15*AM857+BMILMS!$G$15)),(IF(AM857&lt;90,BMILMS!$D$17*AM857^3+BMILMS!$E$17*AM857^2+BMILMS!$F$17*AM857+BMILMS!$G$17,BMILMS!$D$18*AM857^3+BMILMS!$E$18*AM857^2+BMILMS!$F$18*AM857+BMILMS!$G$18)))</f>
        <v>8.8969350000000003E-2</v>
      </c>
      <c r="AM857" s="4">
        <f t="shared" si="293"/>
        <v>0</v>
      </c>
      <c r="AO857" s="56">
        <f>IF(D857="M",WeightSDS!P$5*$AM857^7+WeightSDS!Q$5*$AM857^6+WeightSDS!R$5*$AM857^5+WeightSDS!S$5*$AM857^4+WeightSDS!T$5*$AM857^3+WeightSDS!U$5*$AM857^2+WeightSDS!V$5*$AM857+WeightSDS!W$5,IF($AM857&lt;186,WeightSDS!P$8*$AM857^7+WeightSDS!Q$8*$AM857^6+WeightSDS!R$8*$AM857^5+WeightSDS!S$8*$AM857^4+WeightSDS!T$8*$AM857^3+WeightSDS!U$8*$AM857^2+WeightSDS!V$8*$AM857+WeightSDS!W$8,WeightSDS!$U$9+WeightSDS!$V$9*($AM857-WeightSDS!$W$9)))</f>
        <v>0.75407122999999998</v>
      </c>
      <c r="AP857" s="4">
        <f>IF(D857="M",IF($AM857&lt;45,WeightSDS!M$23*$AM857^10+WeightSDS!N$23*$AM857^9+WeightSDS!O$23*$AM857^8+WeightSDS!P$23*$AM857^7+WeightSDS!Q$23*$AM857^6+WeightSDS!R$23*$AM857^5+WeightSDS!S$23*$AM857^4+WeightSDS!T$23*$AM857^3+WeightSDS!U$23*$AM857^2+WeightSDS!V$23*$AM857+WeightSDS!W$23,IF($AM857&lt;153,WeightSDS!M$25*$AM857^10+WeightSDS!N$25*$AM857^9+WeightSDS!O$25*$AM857^8+WeightSDS!P$25*$AM857^7+WeightSDS!Q$25*$AM857^6+WeightSDS!R$25*$AM857^5+WeightSDS!S$25*$AM857^4+WeightSDS!T$25*$AM857^3+WeightSDS!U$25*$AM857^2+WeightSDS!V$25*$AM857+WeightSDS!W$25,WeightSDS!M$27+WeightSDS!N$27/(1+EXP(WeightSDS!O$27+WeightSDS!P$27*$AM857)))),IF($AM857&lt;43.8,WeightSDS!M$29*$AM857^10+WeightSDS!N$29*$AM857^9+WeightSDS!O$29*$AM857^8+WeightSDS!P$29*$AM857^7+WeightSDS!Q$29*$AM857^6+WeightSDS!R$29*$AM857^5+WeightSDS!S$29*$AM857^4+WeightSDS!T$29*$AM857^3+WeightSDS!U$29*$AM857^2+WeightSDS!V$29*$AM857+WeightSDS!W$29-0.010431*(1-$AM857/210),IF($AM857&lt;123,WeightSDS!M$30*$AM857^10+WeightSDS!N$30*$AM857^9+WeightSDS!O$30*$AM857^8+WeightSDS!P$30*$AM857^7+WeightSDS!Q$30*$AM857^6+WeightSDS!R$30*$AM857^5+WeightSDS!S$30*$AM857^4+WeightSDS!T$30*$AM857^3+WeightSDS!U$30*$AM857^2+WeightSDS!V$30*$AM857+WeightSDS!W$30-0.010431*(1-1/$AM857),WeightSDS!M$32+WeightSDS!N$32/(1+EXP(WeightSDS!O$32+WeightSDS!P$32*$AM857))-0.010431*(1-$AM857/210))))</f>
        <v>2.9500001032655536</v>
      </c>
      <c r="AQ857" s="4">
        <f>IF(D857="M",IF($AM857&lt;162,WeightSDS!P$12*$AM857^7+WeightSDS!Q$12*$AM857^6+WeightSDS!R$12*$AM857^5+WeightSDS!S$12*$AM857^4+WeightSDS!T$12*$AM857^3+WeightSDS!U$12*$AM857^2+WeightSDS!V$12*$AM857+WeightSDS!W$12,WeightSDS!P$14*$AM857^7+WeightSDS!Q$14*$AM857^6+WeightSDS!R$14*$AM857^5+WeightSDS!S$14*$AM857^4+WeightSDS!T$14*$AM857^3+WeightSDS!U$14*$AM857^2+WeightSDS!V$14*$AM857+WeightSDS!W$14),IF($AM857&lt;156,WeightSDS!O$17*$AM857^8+WeightSDS!P$17*$AM857^7+WeightSDS!Q$17*$AM857^6+WeightSDS!R$17*$AM857^5+WeightSDS!S$17*$AM857^4+WeightSDS!T$17*$AM857^3+WeightSDS!U$17*$AM857^2+WeightSDS!V$17*$AM857+WeightSDS!W$17,IF($AM857&lt;186,WeightSDS!$U$18+(WeightSDS!$V$18-WeightSDS!$U$18)/24*($AM857-186)+WeightSDS!$W$18*(-$AM857+186)^2-0.005,WeightSDS!$U$18+(WeightSDS!$V$18-WeightSDS!$U$18)/24*($AM857-186)-0.005)))</f>
        <v>0.14604529399999999</v>
      </c>
      <c r="AT857" s="4">
        <f t="shared" si="280"/>
        <v>0.56299999999999994</v>
      </c>
      <c r="AU857" s="4">
        <f t="shared" si="281"/>
        <v>69</v>
      </c>
      <c r="AV857" s="4">
        <f t="shared" si="282"/>
        <v>0.51</v>
      </c>
    </row>
    <row r="858" spans="1:48" x14ac:dyDescent="0.15">
      <c r="A858" s="4"/>
      <c r="B858" s="21"/>
      <c r="C858" s="21"/>
      <c r="D858" s="21"/>
      <c r="E858" s="22"/>
      <c r="F858" s="22"/>
      <c r="G858" s="23"/>
      <c r="H858" s="23"/>
      <c r="I858" s="181"/>
      <c r="J858" s="8" t="str">
        <f t="shared" si="274"/>
        <v/>
      </c>
      <c r="K858" s="2" t="str">
        <f t="shared" si="283"/>
        <v/>
      </c>
      <c r="L858" s="2" t="str">
        <f t="shared" si="275"/>
        <v/>
      </c>
      <c r="M858" s="2" t="str">
        <f t="shared" si="284"/>
        <v/>
      </c>
      <c r="N858" s="2" t="str">
        <f t="shared" si="292"/>
        <v/>
      </c>
      <c r="O858" s="2" t="str">
        <f t="shared" si="285"/>
        <v/>
      </c>
      <c r="P858" s="8" t="str">
        <f t="shared" si="286"/>
        <v/>
      </c>
      <c r="Q858" s="8" t="str">
        <f t="shared" si="287"/>
        <v/>
      </c>
      <c r="R858" s="111" t="str">
        <f t="shared" si="288"/>
        <v/>
      </c>
      <c r="S858" s="44" t="str">
        <f t="shared" si="289"/>
        <v/>
      </c>
      <c r="T858" s="37" t="str">
        <f t="shared" si="290"/>
        <v/>
      </c>
      <c r="U858" s="44" t="str">
        <f t="shared" si="291"/>
        <v/>
      </c>
      <c r="V858" s="26"/>
      <c r="W858" s="26"/>
      <c r="X858" s="26"/>
      <c r="Y858" s="26"/>
      <c r="Z858" s="24"/>
      <c r="AA858" s="169">
        <f t="shared" si="276"/>
        <v>0</v>
      </c>
      <c r="AB858" s="4">
        <f t="shared" si="277"/>
        <v>0</v>
      </c>
      <c r="AC858" s="170">
        <f t="shared" si="273"/>
        <v>0</v>
      </c>
      <c r="AD858" s="58"/>
      <c r="AE858" s="58"/>
      <c r="AF858" s="58"/>
      <c r="AG858" s="59">
        <f t="shared" si="278"/>
        <v>9.0359999999999996</v>
      </c>
      <c r="AH858" s="59">
        <f t="shared" si="279"/>
        <v>-184.49199999999999</v>
      </c>
      <c r="AJ858" s="4">
        <f>IF(D858="M",IF(AM858&lt;78,BMILMS!$D$5*AM858^3+BMILMS!$E$5*AM858^2+BMILMS!$F$5*AM858+BMILMS!$G$5,IF(AM858&lt;150,BMILMS!$D$6*AM858^3+BMILMS!$E$6*AM858^2+BMILMS!$F$6*AM858+BMILMS!$G$6,BMILMS!$D$7*AM858^3+BMILMS!$E$7*AM858^2+BMILMS!$F$7*AM858+BMILMS!$G$7)),IF(AM858&lt;69,BMILMS!$D$9*AM858^3+BMILMS!$E$9*AM858^2+BMILMS!$F$9*AM858+BMILMS!$G$9,IF(AM858&lt;150,BMILMS!$D$10*AM858^3+BMILMS!$E$10*AM858^2+BMILMS!$F$10*AM858+BMILMS!$G$10,BMILMS!$D$11*AM858^3+BMILMS!$E$11*AM858^2+BMILMS!$F$11*AM858+BMILMS!$G$11)))</f>
        <v>0.79584630099999998</v>
      </c>
      <c r="AK858" s="4">
        <f>IF(D858="M",(IF(AM858&lt;2.5,BMILMS!$D$21*AM858^3+BMILMS!$E$21*AM858^2+BMILMS!$F$21*AM858+BMILMS!$G$21,IF(AM858&lt;9.5,BMILMS!$D$22*AM858^3+BMILMS!$E$22*AM858^2+BMILMS!$F$22*AM858+BMILMS!$G$22,IF(AM858&lt;26.75,BMILMS!$D$23*AM858^3+BMILMS!$E$23*AM858^2+BMILMS!$F$23*AM858+BMILMS!$G$23,IF(AM858&lt;90,BMILMS!$D$24*AM858^3+BMILMS!$E$24*AM858^2+BMILMS!$F$24*AM858+BMILMS!$G$24,BMILMS!$D$25*AM858^3+BMILMS!$E$25*AM858^2+BMILMS!$F$25*AM858+BMILMS!$G$25))))),(IF(AM858&lt;2.5,BMILMS!$D$27*AM858^3+BMILMS!$E$27*AM858^2+BMILMS!$F$27*AM858+BMILMS!$G$27,IF(AM858&lt;9.5,BMILMS!$D$28*AM858^3+BMILMS!$E$28*AM858^2+BMILMS!$F$28*AM858+BMILMS!$G$28,IF(AM858&lt;26.75,BMILMS!$D$29*AM858^3+BMILMS!$E$29*AM858^2+BMILMS!$F$29*AM858+BMILMS!$G$29,IF(AM858&lt;90,BMILMS!$D$30*AM858^3+BMILMS!$E$30*AM858^2+BMILMS!$F$30*AM858+BMILMS!$G$30,IF(AM858&lt;150,BMILMS!$D$31*AM858^3+BMILMS!$E$31*AM858^2+BMILMS!$F$31*AM858+BMILMS!$G$31,BMILMS!$D$32*AM858^3+BMILMS!$E$32*AM858^2+BMILMS!$F$32*AM858+BMILMS!$G$32)))))))</f>
        <v>12.568967990000001</v>
      </c>
      <c r="AL858" s="4">
        <f>IF(D858="M",(IF(AM858&lt;90,BMILMS!$D$14*AM858^3+BMILMS!$E$14*AM858^2+BMILMS!$F$14*AM858+BMILMS!$G$14,BMILMS!$D$15*AM858^3+BMILMS!$E$15*AM858^2+BMILMS!$F$15*AM858+BMILMS!$G$15)),(IF(AM858&lt;90,BMILMS!$D$17*AM858^3+BMILMS!$E$17*AM858^2+BMILMS!$F$17*AM858+BMILMS!$G$17,BMILMS!$D$18*AM858^3+BMILMS!$E$18*AM858^2+BMILMS!$F$18*AM858+BMILMS!$G$18)))</f>
        <v>8.8969350000000003E-2</v>
      </c>
      <c r="AM858" s="4">
        <f t="shared" si="293"/>
        <v>0</v>
      </c>
      <c r="AO858" s="56">
        <f>IF(D858="M",WeightSDS!P$5*$AM858^7+WeightSDS!Q$5*$AM858^6+WeightSDS!R$5*$AM858^5+WeightSDS!S$5*$AM858^4+WeightSDS!T$5*$AM858^3+WeightSDS!U$5*$AM858^2+WeightSDS!V$5*$AM858+WeightSDS!W$5,IF($AM858&lt;186,WeightSDS!P$8*$AM858^7+WeightSDS!Q$8*$AM858^6+WeightSDS!R$8*$AM858^5+WeightSDS!S$8*$AM858^4+WeightSDS!T$8*$AM858^3+WeightSDS!U$8*$AM858^2+WeightSDS!V$8*$AM858+WeightSDS!W$8,WeightSDS!$U$9+WeightSDS!$V$9*($AM858-WeightSDS!$W$9)))</f>
        <v>0.75407122999999998</v>
      </c>
      <c r="AP858" s="4">
        <f>IF(D858="M",IF($AM858&lt;45,WeightSDS!M$23*$AM858^10+WeightSDS!N$23*$AM858^9+WeightSDS!O$23*$AM858^8+WeightSDS!P$23*$AM858^7+WeightSDS!Q$23*$AM858^6+WeightSDS!R$23*$AM858^5+WeightSDS!S$23*$AM858^4+WeightSDS!T$23*$AM858^3+WeightSDS!U$23*$AM858^2+WeightSDS!V$23*$AM858+WeightSDS!W$23,IF($AM858&lt;153,WeightSDS!M$25*$AM858^10+WeightSDS!N$25*$AM858^9+WeightSDS!O$25*$AM858^8+WeightSDS!P$25*$AM858^7+WeightSDS!Q$25*$AM858^6+WeightSDS!R$25*$AM858^5+WeightSDS!S$25*$AM858^4+WeightSDS!T$25*$AM858^3+WeightSDS!U$25*$AM858^2+WeightSDS!V$25*$AM858+WeightSDS!W$25,WeightSDS!M$27+WeightSDS!N$27/(1+EXP(WeightSDS!O$27+WeightSDS!P$27*$AM858)))),IF($AM858&lt;43.8,WeightSDS!M$29*$AM858^10+WeightSDS!N$29*$AM858^9+WeightSDS!O$29*$AM858^8+WeightSDS!P$29*$AM858^7+WeightSDS!Q$29*$AM858^6+WeightSDS!R$29*$AM858^5+WeightSDS!S$29*$AM858^4+WeightSDS!T$29*$AM858^3+WeightSDS!U$29*$AM858^2+WeightSDS!V$29*$AM858+WeightSDS!W$29-0.010431*(1-$AM858/210),IF($AM858&lt;123,WeightSDS!M$30*$AM858^10+WeightSDS!N$30*$AM858^9+WeightSDS!O$30*$AM858^8+WeightSDS!P$30*$AM858^7+WeightSDS!Q$30*$AM858^6+WeightSDS!R$30*$AM858^5+WeightSDS!S$30*$AM858^4+WeightSDS!T$30*$AM858^3+WeightSDS!U$30*$AM858^2+WeightSDS!V$30*$AM858+WeightSDS!W$30-0.010431*(1-1/$AM858),WeightSDS!M$32+WeightSDS!N$32/(1+EXP(WeightSDS!O$32+WeightSDS!P$32*$AM858))-0.010431*(1-$AM858/210))))</f>
        <v>2.9500001032655536</v>
      </c>
      <c r="AQ858" s="4">
        <f>IF(D858="M",IF($AM858&lt;162,WeightSDS!P$12*$AM858^7+WeightSDS!Q$12*$AM858^6+WeightSDS!R$12*$AM858^5+WeightSDS!S$12*$AM858^4+WeightSDS!T$12*$AM858^3+WeightSDS!U$12*$AM858^2+WeightSDS!V$12*$AM858+WeightSDS!W$12,WeightSDS!P$14*$AM858^7+WeightSDS!Q$14*$AM858^6+WeightSDS!R$14*$AM858^5+WeightSDS!S$14*$AM858^4+WeightSDS!T$14*$AM858^3+WeightSDS!U$14*$AM858^2+WeightSDS!V$14*$AM858+WeightSDS!W$14),IF($AM858&lt;156,WeightSDS!O$17*$AM858^8+WeightSDS!P$17*$AM858^7+WeightSDS!Q$17*$AM858^6+WeightSDS!R$17*$AM858^5+WeightSDS!S$17*$AM858^4+WeightSDS!T$17*$AM858^3+WeightSDS!U$17*$AM858^2+WeightSDS!V$17*$AM858+WeightSDS!W$17,IF($AM858&lt;186,WeightSDS!$U$18+(WeightSDS!$V$18-WeightSDS!$U$18)/24*($AM858-186)+WeightSDS!$W$18*(-$AM858+186)^2-0.005,WeightSDS!$U$18+(WeightSDS!$V$18-WeightSDS!$U$18)/24*($AM858-186)-0.005)))</f>
        <v>0.14604529399999999</v>
      </c>
      <c r="AT858" s="4">
        <f t="shared" si="280"/>
        <v>0.56299999999999994</v>
      </c>
      <c r="AU858" s="4">
        <f t="shared" si="281"/>
        <v>69</v>
      </c>
      <c r="AV858" s="4">
        <f t="shared" si="282"/>
        <v>0.51</v>
      </c>
    </row>
    <row r="859" spans="1:48" x14ac:dyDescent="0.15">
      <c r="A859" s="4"/>
      <c r="B859" s="21"/>
      <c r="C859" s="21"/>
      <c r="D859" s="21"/>
      <c r="E859" s="22"/>
      <c r="F859" s="22"/>
      <c r="G859" s="23"/>
      <c r="H859" s="23"/>
      <c r="I859" s="181"/>
      <c r="J859" s="8" t="str">
        <f t="shared" si="274"/>
        <v/>
      </c>
      <c r="K859" s="2" t="str">
        <f t="shared" si="283"/>
        <v/>
      </c>
      <c r="L859" s="2" t="str">
        <f t="shared" si="275"/>
        <v/>
      </c>
      <c r="M859" s="2" t="str">
        <f t="shared" si="284"/>
        <v/>
      </c>
      <c r="N859" s="2" t="str">
        <f t="shared" si="292"/>
        <v/>
      </c>
      <c r="O859" s="2" t="str">
        <f t="shared" si="285"/>
        <v/>
      </c>
      <c r="P859" s="8" t="str">
        <f t="shared" si="286"/>
        <v/>
      </c>
      <c r="Q859" s="8" t="str">
        <f t="shared" si="287"/>
        <v/>
      </c>
      <c r="R859" s="111" t="str">
        <f t="shared" si="288"/>
        <v/>
      </c>
      <c r="S859" s="44" t="str">
        <f t="shared" si="289"/>
        <v/>
      </c>
      <c r="T859" s="37" t="str">
        <f t="shared" si="290"/>
        <v/>
      </c>
      <c r="U859" s="44" t="str">
        <f t="shared" si="291"/>
        <v/>
      </c>
      <c r="V859" s="26"/>
      <c r="W859" s="26"/>
      <c r="X859" s="26"/>
      <c r="Y859" s="26"/>
      <c r="Z859" s="24"/>
      <c r="AA859" s="169">
        <f t="shared" si="276"/>
        <v>0</v>
      </c>
      <c r="AB859" s="4">
        <f t="shared" si="277"/>
        <v>0</v>
      </c>
      <c r="AC859" s="170">
        <f t="shared" si="273"/>
        <v>0</v>
      </c>
      <c r="AD859" s="58"/>
      <c r="AE859" s="58"/>
      <c r="AF859" s="58"/>
      <c r="AG859" s="59">
        <f t="shared" si="278"/>
        <v>9.0359999999999996</v>
      </c>
      <c r="AH859" s="59">
        <f t="shared" si="279"/>
        <v>-184.49199999999999</v>
      </c>
      <c r="AJ859" s="4">
        <f>IF(D859="M",IF(AM859&lt;78,BMILMS!$D$5*AM859^3+BMILMS!$E$5*AM859^2+BMILMS!$F$5*AM859+BMILMS!$G$5,IF(AM859&lt;150,BMILMS!$D$6*AM859^3+BMILMS!$E$6*AM859^2+BMILMS!$F$6*AM859+BMILMS!$G$6,BMILMS!$D$7*AM859^3+BMILMS!$E$7*AM859^2+BMILMS!$F$7*AM859+BMILMS!$G$7)),IF(AM859&lt;69,BMILMS!$D$9*AM859^3+BMILMS!$E$9*AM859^2+BMILMS!$F$9*AM859+BMILMS!$G$9,IF(AM859&lt;150,BMILMS!$D$10*AM859^3+BMILMS!$E$10*AM859^2+BMILMS!$F$10*AM859+BMILMS!$G$10,BMILMS!$D$11*AM859^3+BMILMS!$E$11*AM859^2+BMILMS!$F$11*AM859+BMILMS!$G$11)))</f>
        <v>0.79584630099999998</v>
      </c>
      <c r="AK859" s="4">
        <f>IF(D859="M",(IF(AM859&lt;2.5,BMILMS!$D$21*AM859^3+BMILMS!$E$21*AM859^2+BMILMS!$F$21*AM859+BMILMS!$G$21,IF(AM859&lt;9.5,BMILMS!$D$22*AM859^3+BMILMS!$E$22*AM859^2+BMILMS!$F$22*AM859+BMILMS!$G$22,IF(AM859&lt;26.75,BMILMS!$D$23*AM859^3+BMILMS!$E$23*AM859^2+BMILMS!$F$23*AM859+BMILMS!$G$23,IF(AM859&lt;90,BMILMS!$D$24*AM859^3+BMILMS!$E$24*AM859^2+BMILMS!$F$24*AM859+BMILMS!$G$24,BMILMS!$D$25*AM859^3+BMILMS!$E$25*AM859^2+BMILMS!$F$25*AM859+BMILMS!$G$25))))),(IF(AM859&lt;2.5,BMILMS!$D$27*AM859^3+BMILMS!$E$27*AM859^2+BMILMS!$F$27*AM859+BMILMS!$G$27,IF(AM859&lt;9.5,BMILMS!$D$28*AM859^3+BMILMS!$E$28*AM859^2+BMILMS!$F$28*AM859+BMILMS!$G$28,IF(AM859&lt;26.75,BMILMS!$D$29*AM859^3+BMILMS!$E$29*AM859^2+BMILMS!$F$29*AM859+BMILMS!$G$29,IF(AM859&lt;90,BMILMS!$D$30*AM859^3+BMILMS!$E$30*AM859^2+BMILMS!$F$30*AM859+BMILMS!$G$30,IF(AM859&lt;150,BMILMS!$D$31*AM859^3+BMILMS!$E$31*AM859^2+BMILMS!$F$31*AM859+BMILMS!$G$31,BMILMS!$D$32*AM859^3+BMILMS!$E$32*AM859^2+BMILMS!$F$32*AM859+BMILMS!$G$32)))))))</f>
        <v>12.568967990000001</v>
      </c>
      <c r="AL859" s="4">
        <f>IF(D859="M",(IF(AM859&lt;90,BMILMS!$D$14*AM859^3+BMILMS!$E$14*AM859^2+BMILMS!$F$14*AM859+BMILMS!$G$14,BMILMS!$D$15*AM859^3+BMILMS!$E$15*AM859^2+BMILMS!$F$15*AM859+BMILMS!$G$15)),(IF(AM859&lt;90,BMILMS!$D$17*AM859^3+BMILMS!$E$17*AM859^2+BMILMS!$F$17*AM859+BMILMS!$G$17,BMILMS!$D$18*AM859^3+BMILMS!$E$18*AM859^2+BMILMS!$F$18*AM859+BMILMS!$G$18)))</f>
        <v>8.8969350000000003E-2</v>
      </c>
      <c r="AM859" s="4">
        <f t="shared" si="293"/>
        <v>0</v>
      </c>
      <c r="AO859" s="56">
        <f>IF(D859="M",WeightSDS!P$5*$AM859^7+WeightSDS!Q$5*$AM859^6+WeightSDS!R$5*$AM859^5+WeightSDS!S$5*$AM859^4+WeightSDS!T$5*$AM859^3+WeightSDS!U$5*$AM859^2+WeightSDS!V$5*$AM859+WeightSDS!W$5,IF($AM859&lt;186,WeightSDS!P$8*$AM859^7+WeightSDS!Q$8*$AM859^6+WeightSDS!R$8*$AM859^5+WeightSDS!S$8*$AM859^4+WeightSDS!T$8*$AM859^3+WeightSDS!U$8*$AM859^2+WeightSDS!V$8*$AM859+WeightSDS!W$8,WeightSDS!$U$9+WeightSDS!$V$9*($AM859-WeightSDS!$W$9)))</f>
        <v>0.75407122999999998</v>
      </c>
      <c r="AP859" s="4">
        <f>IF(D859="M",IF($AM859&lt;45,WeightSDS!M$23*$AM859^10+WeightSDS!N$23*$AM859^9+WeightSDS!O$23*$AM859^8+WeightSDS!P$23*$AM859^7+WeightSDS!Q$23*$AM859^6+WeightSDS!R$23*$AM859^5+WeightSDS!S$23*$AM859^4+WeightSDS!T$23*$AM859^3+WeightSDS!U$23*$AM859^2+WeightSDS!V$23*$AM859+WeightSDS!W$23,IF($AM859&lt;153,WeightSDS!M$25*$AM859^10+WeightSDS!N$25*$AM859^9+WeightSDS!O$25*$AM859^8+WeightSDS!P$25*$AM859^7+WeightSDS!Q$25*$AM859^6+WeightSDS!R$25*$AM859^5+WeightSDS!S$25*$AM859^4+WeightSDS!T$25*$AM859^3+WeightSDS!U$25*$AM859^2+WeightSDS!V$25*$AM859+WeightSDS!W$25,WeightSDS!M$27+WeightSDS!N$27/(1+EXP(WeightSDS!O$27+WeightSDS!P$27*$AM859)))),IF($AM859&lt;43.8,WeightSDS!M$29*$AM859^10+WeightSDS!N$29*$AM859^9+WeightSDS!O$29*$AM859^8+WeightSDS!P$29*$AM859^7+WeightSDS!Q$29*$AM859^6+WeightSDS!R$29*$AM859^5+WeightSDS!S$29*$AM859^4+WeightSDS!T$29*$AM859^3+WeightSDS!U$29*$AM859^2+WeightSDS!V$29*$AM859+WeightSDS!W$29-0.010431*(1-$AM859/210),IF($AM859&lt;123,WeightSDS!M$30*$AM859^10+WeightSDS!N$30*$AM859^9+WeightSDS!O$30*$AM859^8+WeightSDS!P$30*$AM859^7+WeightSDS!Q$30*$AM859^6+WeightSDS!R$30*$AM859^5+WeightSDS!S$30*$AM859^4+WeightSDS!T$30*$AM859^3+WeightSDS!U$30*$AM859^2+WeightSDS!V$30*$AM859+WeightSDS!W$30-0.010431*(1-1/$AM859),WeightSDS!M$32+WeightSDS!N$32/(1+EXP(WeightSDS!O$32+WeightSDS!P$32*$AM859))-0.010431*(1-$AM859/210))))</f>
        <v>2.9500001032655536</v>
      </c>
      <c r="AQ859" s="4">
        <f>IF(D859="M",IF($AM859&lt;162,WeightSDS!P$12*$AM859^7+WeightSDS!Q$12*$AM859^6+WeightSDS!R$12*$AM859^5+WeightSDS!S$12*$AM859^4+WeightSDS!T$12*$AM859^3+WeightSDS!U$12*$AM859^2+WeightSDS!V$12*$AM859+WeightSDS!W$12,WeightSDS!P$14*$AM859^7+WeightSDS!Q$14*$AM859^6+WeightSDS!R$14*$AM859^5+WeightSDS!S$14*$AM859^4+WeightSDS!T$14*$AM859^3+WeightSDS!U$14*$AM859^2+WeightSDS!V$14*$AM859+WeightSDS!W$14),IF($AM859&lt;156,WeightSDS!O$17*$AM859^8+WeightSDS!P$17*$AM859^7+WeightSDS!Q$17*$AM859^6+WeightSDS!R$17*$AM859^5+WeightSDS!S$17*$AM859^4+WeightSDS!T$17*$AM859^3+WeightSDS!U$17*$AM859^2+WeightSDS!V$17*$AM859+WeightSDS!W$17,IF($AM859&lt;186,WeightSDS!$U$18+(WeightSDS!$V$18-WeightSDS!$U$18)/24*($AM859-186)+WeightSDS!$W$18*(-$AM859+186)^2-0.005,WeightSDS!$U$18+(WeightSDS!$V$18-WeightSDS!$U$18)/24*($AM859-186)-0.005)))</f>
        <v>0.14604529399999999</v>
      </c>
      <c r="AT859" s="4">
        <f t="shared" si="280"/>
        <v>0.56299999999999994</v>
      </c>
      <c r="AU859" s="4">
        <f t="shared" si="281"/>
        <v>69</v>
      </c>
      <c r="AV859" s="4">
        <f t="shared" si="282"/>
        <v>0.51</v>
      </c>
    </row>
    <row r="860" spans="1:48" x14ac:dyDescent="0.15">
      <c r="A860" s="4"/>
      <c r="B860" s="21"/>
      <c r="C860" s="21"/>
      <c r="D860" s="21"/>
      <c r="E860" s="22"/>
      <c r="F860" s="22"/>
      <c r="G860" s="23"/>
      <c r="H860" s="23"/>
      <c r="I860" s="181"/>
      <c r="J860" s="8" t="str">
        <f t="shared" si="274"/>
        <v/>
      </c>
      <c r="K860" s="2" t="str">
        <f t="shared" si="283"/>
        <v/>
      </c>
      <c r="L860" s="2" t="str">
        <f t="shared" si="275"/>
        <v/>
      </c>
      <c r="M860" s="2" t="str">
        <f t="shared" si="284"/>
        <v/>
      </c>
      <c r="N860" s="2" t="str">
        <f t="shared" si="292"/>
        <v/>
      </c>
      <c r="O860" s="2" t="str">
        <f t="shared" si="285"/>
        <v/>
      </c>
      <c r="P860" s="8" t="str">
        <f t="shared" si="286"/>
        <v/>
      </c>
      <c r="Q860" s="8" t="str">
        <f t="shared" si="287"/>
        <v/>
      </c>
      <c r="R860" s="111" t="str">
        <f t="shared" si="288"/>
        <v/>
      </c>
      <c r="S860" s="44" t="str">
        <f t="shared" si="289"/>
        <v/>
      </c>
      <c r="T860" s="37" t="str">
        <f t="shared" si="290"/>
        <v/>
      </c>
      <c r="U860" s="44" t="str">
        <f t="shared" si="291"/>
        <v/>
      </c>
      <c r="V860" s="26"/>
      <c r="W860" s="26"/>
      <c r="X860" s="26"/>
      <c r="Y860" s="26"/>
      <c r="Z860" s="24"/>
      <c r="AA860" s="169">
        <f t="shared" si="276"/>
        <v>0</v>
      </c>
      <c r="AB860" s="4">
        <f t="shared" si="277"/>
        <v>0</v>
      </c>
      <c r="AC860" s="170">
        <f t="shared" si="273"/>
        <v>0</v>
      </c>
      <c r="AD860" s="58"/>
      <c r="AE860" s="58"/>
      <c r="AF860" s="58"/>
      <c r="AG860" s="59">
        <f t="shared" si="278"/>
        <v>9.0359999999999996</v>
      </c>
      <c r="AH860" s="59">
        <f t="shared" si="279"/>
        <v>-184.49199999999999</v>
      </c>
      <c r="AJ860" s="4">
        <f>IF(D860="M",IF(AM860&lt;78,BMILMS!$D$5*AM860^3+BMILMS!$E$5*AM860^2+BMILMS!$F$5*AM860+BMILMS!$G$5,IF(AM860&lt;150,BMILMS!$D$6*AM860^3+BMILMS!$E$6*AM860^2+BMILMS!$F$6*AM860+BMILMS!$G$6,BMILMS!$D$7*AM860^3+BMILMS!$E$7*AM860^2+BMILMS!$F$7*AM860+BMILMS!$G$7)),IF(AM860&lt;69,BMILMS!$D$9*AM860^3+BMILMS!$E$9*AM860^2+BMILMS!$F$9*AM860+BMILMS!$G$9,IF(AM860&lt;150,BMILMS!$D$10*AM860^3+BMILMS!$E$10*AM860^2+BMILMS!$F$10*AM860+BMILMS!$G$10,BMILMS!$D$11*AM860^3+BMILMS!$E$11*AM860^2+BMILMS!$F$11*AM860+BMILMS!$G$11)))</f>
        <v>0.79584630099999998</v>
      </c>
      <c r="AK860" s="4">
        <f>IF(D860="M",(IF(AM860&lt;2.5,BMILMS!$D$21*AM860^3+BMILMS!$E$21*AM860^2+BMILMS!$F$21*AM860+BMILMS!$G$21,IF(AM860&lt;9.5,BMILMS!$D$22*AM860^3+BMILMS!$E$22*AM860^2+BMILMS!$F$22*AM860+BMILMS!$G$22,IF(AM860&lt;26.75,BMILMS!$D$23*AM860^3+BMILMS!$E$23*AM860^2+BMILMS!$F$23*AM860+BMILMS!$G$23,IF(AM860&lt;90,BMILMS!$D$24*AM860^3+BMILMS!$E$24*AM860^2+BMILMS!$F$24*AM860+BMILMS!$G$24,BMILMS!$D$25*AM860^3+BMILMS!$E$25*AM860^2+BMILMS!$F$25*AM860+BMILMS!$G$25))))),(IF(AM860&lt;2.5,BMILMS!$D$27*AM860^3+BMILMS!$E$27*AM860^2+BMILMS!$F$27*AM860+BMILMS!$G$27,IF(AM860&lt;9.5,BMILMS!$D$28*AM860^3+BMILMS!$E$28*AM860^2+BMILMS!$F$28*AM860+BMILMS!$G$28,IF(AM860&lt;26.75,BMILMS!$D$29*AM860^3+BMILMS!$E$29*AM860^2+BMILMS!$F$29*AM860+BMILMS!$G$29,IF(AM860&lt;90,BMILMS!$D$30*AM860^3+BMILMS!$E$30*AM860^2+BMILMS!$F$30*AM860+BMILMS!$G$30,IF(AM860&lt;150,BMILMS!$D$31*AM860^3+BMILMS!$E$31*AM860^2+BMILMS!$F$31*AM860+BMILMS!$G$31,BMILMS!$D$32*AM860^3+BMILMS!$E$32*AM860^2+BMILMS!$F$32*AM860+BMILMS!$G$32)))))))</f>
        <v>12.568967990000001</v>
      </c>
      <c r="AL860" s="4">
        <f>IF(D860="M",(IF(AM860&lt;90,BMILMS!$D$14*AM860^3+BMILMS!$E$14*AM860^2+BMILMS!$F$14*AM860+BMILMS!$G$14,BMILMS!$D$15*AM860^3+BMILMS!$E$15*AM860^2+BMILMS!$F$15*AM860+BMILMS!$G$15)),(IF(AM860&lt;90,BMILMS!$D$17*AM860^3+BMILMS!$E$17*AM860^2+BMILMS!$F$17*AM860+BMILMS!$G$17,BMILMS!$D$18*AM860^3+BMILMS!$E$18*AM860^2+BMILMS!$F$18*AM860+BMILMS!$G$18)))</f>
        <v>8.8969350000000003E-2</v>
      </c>
      <c r="AM860" s="4">
        <f t="shared" si="293"/>
        <v>0</v>
      </c>
      <c r="AO860" s="56">
        <f>IF(D860="M",WeightSDS!P$5*$AM860^7+WeightSDS!Q$5*$AM860^6+WeightSDS!R$5*$AM860^5+WeightSDS!S$5*$AM860^4+WeightSDS!T$5*$AM860^3+WeightSDS!U$5*$AM860^2+WeightSDS!V$5*$AM860+WeightSDS!W$5,IF($AM860&lt;186,WeightSDS!P$8*$AM860^7+WeightSDS!Q$8*$AM860^6+WeightSDS!R$8*$AM860^5+WeightSDS!S$8*$AM860^4+WeightSDS!T$8*$AM860^3+WeightSDS!U$8*$AM860^2+WeightSDS!V$8*$AM860+WeightSDS!W$8,WeightSDS!$U$9+WeightSDS!$V$9*($AM860-WeightSDS!$W$9)))</f>
        <v>0.75407122999999998</v>
      </c>
      <c r="AP860" s="4">
        <f>IF(D860="M",IF($AM860&lt;45,WeightSDS!M$23*$AM860^10+WeightSDS!N$23*$AM860^9+WeightSDS!O$23*$AM860^8+WeightSDS!P$23*$AM860^7+WeightSDS!Q$23*$AM860^6+WeightSDS!R$23*$AM860^5+WeightSDS!S$23*$AM860^4+WeightSDS!T$23*$AM860^3+WeightSDS!U$23*$AM860^2+WeightSDS!V$23*$AM860+WeightSDS!W$23,IF($AM860&lt;153,WeightSDS!M$25*$AM860^10+WeightSDS!N$25*$AM860^9+WeightSDS!O$25*$AM860^8+WeightSDS!P$25*$AM860^7+WeightSDS!Q$25*$AM860^6+WeightSDS!R$25*$AM860^5+WeightSDS!S$25*$AM860^4+WeightSDS!T$25*$AM860^3+WeightSDS!U$25*$AM860^2+WeightSDS!V$25*$AM860+WeightSDS!W$25,WeightSDS!M$27+WeightSDS!N$27/(1+EXP(WeightSDS!O$27+WeightSDS!P$27*$AM860)))),IF($AM860&lt;43.8,WeightSDS!M$29*$AM860^10+WeightSDS!N$29*$AM860^9+WeightSDS!O$29*$AM860^8+WeightSDS!P$29*$AM860^7+WeightSDS!Q$29*$AM860^6+WeightSDS!R$29*$AM860^5+WeightSDS!S$29*$AM860^4+WeightSDS!T$29*$AM860^3+WeightSDS!U$29*$AM860^2+WeightSDS!V$29*$AM860+WeightSDS!W$29-0.010431*(1-$AM860/210),IF($AM860&lt;123,WeightSDS!M$30*$AM860^10+WeightSDS!N$30*$AM860^9+WeightSDS!O$30*$AM860^8+WeightSDS!P$30*$AM860^7+WeightSDS!Q$30*$AM860^6+WeightSDS!R$30*$AM860^5+WeightSDS!S$30*$AM860^4+WeightSDS!T$30*$AM860^3+WeightSDS!U$30*$AM860^2+WeightSDS!V$30*$AM860+WeightSDS!W$30-0.010431*(1-1/$AM860),WeightSDS!M$32+WeightSDS!N$32/(1+EXP(WeightSDS!O$32+WeightSDS!P$32*$AM860))-0.010431*(1-$AM860/210))))</f>
        <v>2.9500001032655536</v>
      </c>
      <c r="AQ860" s="4">
        <f>IF(D860="M",IF($AM860&lt;162,WeightSDS!P$12*$AM860^7+WeightSDS!Q$12*$AM860^6+WeightSDS!R$12*$AM860^5+WeightSDS!S$12*$AM860^4+WeightSDS!T$12*$AM860^3+WeightSDS!U$12*$AM860^2+WeightSDS!V$12*$AM860+WeightSDS!W$12,WeightSDS!P$14*$AM860^7+WeightSDS!Q$14*$AM860^6+WeightSDS!R$14*$AM860^5+WeightSDS!S$14*$AM860^4+WeightSDS!T$14*$AM860^3+WeightSDS!U$14*$AM860^2+WeightSDS!V$14*$AM860+WeightSDS!W$14),IF($AM860&lt;156,WeightSDS!O$17*$AM860^8+WeightSDS!P$17*$AM860^7+WeightSDS!Q$17*$AM860^6+WeightSDS!R$17*$AM860^5+WeightSDS!S$17*$AM860^4+WeightSDS!T$17*$AM860^3+WeightSDS!U$17*$AM860^2+WeightSDS!V$17*$AM860+WeightSDS!W$17,IF($AM860&lt;186,WeightSDS!$U$18+(WeightSDS!$V$18-WeightSDS!$U$18)/24*($AM860-186)+WeightSDS!$W$18*(-$AM860+186)^2-0.005,WeightSDS!$U$18+(WeightSDS!$V$18-WeightSDS!$U$18)/24*($AM860-186)-0.005)))</f>
        <v>0.14604529399999999</v>
      </c>
      <c r="AT860" s="4">
        <f t="shared" si="280"/>
        <v>0.56299999999999994</v>
      </c>
      <c r="AU860" s="4">
        <f t="shared" si="281"/>
        <v>69</v>
      </c>
      <c r="AV860" s="4">
        <f t="shared" si="282"/>
        <v>0.51</v>
      </c>
    </row>
    <row r="861" spans="1:48" x14ac:dyDescent="0.15">
      <c r="A861" s="4"/>
      <c r="B861" s="21"/>
      <c r="C861" s="21"/>
      <c r="D861" s="21"/>
      <c r="E861" s="22"/>
      <c r="F861" s="22"/>
      <c r="G861" s="23"/>
      <c r="H861" s="23"/>
      <c r="I861" s="181"/>
      <c r="J861" s="8" t="str">
        <f t="shared" si="274"/>
        <v/>
      </c>
      <c r="K861" s="2" t="str">
        <f t="shared" si="283"/>
        <v/>
      </c>
      <c r="L861" s="2" t="str">
        <f t="shared" si="275"/>
        <v/>
      </c>
      <c r="M861" s="2" t="str">
        <f t="shared" si="284"/>
        <v/>
      </c>
      <c r="N861" s="2" t="str">
        <f t="shared" si="292"/>
        <v/>
      </c>
      <c r="O861" s="2" t="str">
        <f t="shared" si="285"/>
        <v/>
      </c>
      <c r="P861" s="8" t="str">
        <f t="shared" si="286"/>
        <v/>
      </c>
      <c r="Q861" s="8" t="str">
        <f t="shared" si="287"/>
        <v/>
      </c>
      <c r="R861" s="111" t="str">
        <f t="shared" si="288"/>
        <v/>
      </c>
      <c r="S861" s="44" t="str">
        <f t="shared" si="289"/>
        <v/>
      </c>
      <c r="T861" s="37" t="str">
        <f t="shared" si="290"/>
        <v/>
      </c>
      <c r="U861" s="44" t="str">
        <f t="shared" si="291"/>
        <v/>
      </c>
      <c r="V861" s="26"/>
      <c r="W861" s="26"/>
      <c r="X861" s="26"/>
      <c r="Y861" s="26"/>
      <c r="Z861" s="24"/>
      <c r="AA861" s="169">
        <f t="shared" si="276"/>
        <v>0</v>
      </c>
      <c r="AB861" s="4">
        <f t="shared" si="277"/>
        <v>0</v>
      </c>
      <c r="AC861" s="170">
        <f t="shared" si="273"/>
        <v>0</v>
      </c>
      <c r="AD861" s="58"/>
      <c r="AE861" s="58"/>
      <c r="AF861" s="58"/>
      <c r="AG861" s="59">
        <f t="shared" si="278"/>
        <v>9.0359999999999996</v>
      </c>
      <c r="AH861" s="59">
        <f t="shared" si="279"/>
        <v>-184.49199999999999</v>
      </c>
      <c r="AJ861" s="4">
        <f>IF(D861="M",IF(AM861&lt;78,BMILMS!$D$5*AM861^3+BMILMS!$E$5*AM861^2+BMILMS!$F$5*AM861+BMILMS!$G$5,IF(AM861&lt;150,BMILMS!$D$6*AM861^3+BMILMS!$E$6*AM861^2+BMILMS!$F$6*AM861+BMILMS!$G$6,BMILMS!$D$7*AM861^3+BMILMS!$E$7*AM861^2+BMILMS!$F$7*AM861+BMILMS!$G$7)),IF(AM861&lt;69,BMILMS!$D$9*AM861^3+BMILMS!$E$9*AM861^2+BMILMS!$F$9*AM861+BMILMS!$G$9,IF(AM861&lt;150,BMILMS!$D$10*AM861^3+BMILMS!$E$10*AM861^2+BMILMS!$F$10*AM861+BMILMS!$G$10,BMILMS!$D$11*AM861^3+BMILMS!$E$11*AM861^2+BMILMS!$F$11*AM861+BMILMS!$G$11)))</f>
        <v>0.79584630099999998</v>
      </c>
      <c r="AK861" s="4">
        <f>IF(D861="M",(IF(AM861&lt;2.5,BMILMS!$D$21*AM861^3+BMILMS!$E$21*AM861^2+BMILMS!$F$21*AM861+BMILMS!$G$21,IF(AM861&lt;9.5,BMILMS!$D$22*AM861^3+BMILMS!$E$22*AM861^2+BMILMS!$F$22*AM861+BMILMS!$G$22,IF(AM861&lt;26.75,BMILMS!$D$23*AM861^3+BMILMS!$E$23*AM861^2+BMILMS!$F$23*AM861+BMILMS!$G$23,IF(AM861&lt;90,BMILMS!$D$24*AM861^3+BMILMS!$E$24*AM861^2+BMILMS!$F$24*AM861+BMILMS!$G$24,BMILMS!$D$25*AM861^3+BMILMS!$E$25*AM861^2+BMILMS!$F$25*AM861+BMILMS!$G$25))))),(IF(AM861&lt;2.5,BMILMS!$D$27*AM861^3+BMILMS!$E$27*AM861^2+BMILMS!$F$27*AM861+BMILMS!$G$27,IF(AM861&lt;9.5,BMILMS!$D$28*AM861^3+BMILMS!$E$28*AM861^2+BMILMS!$F$28*AM861+BMILMS!$G$28,IF(AM861&lt;26.75,BMILMS!$D$29*AM861^3+BMILMS!$E$29*AM861^2+BMILMS!$F$29*AM861+BMILMS!$G$29,IF(AM861&lt;90,BMILMS!$D$30*AM861^3+BMILMS!$E$30*AM861^2+BMILMS!$F$30*AM861+BMILMS!$G$30,IF(AM861&lt;150,BMILMS!$D$31*AM861^3+BMILMS!$E$31*AM861^2+BMILMS!$F$31*AM861+BMILMS!$G$31,BMILMS!$D$32*AM861^3+BMILMS!$E$32*AM861^2+BMILMS!$F$32*AM861+BMILMS!$G$32)))))))</f>
        <v>12.568967990000001</v>
      </c>
      <c r="AL861" s="4">
        <f>IF(D861="M",(IF(AM861&lt;90,BMILMS!$D$14*AM861^3+BMILMS!$E$14*AM861^2+BMILMS!$F$14*AM861+BMILMS!$G$14,BMILMS!$D$15*AM861^3+BMILMS!$E$15*AM861^2+BMILMS!$F$15*AM861+BMILMS!$G$15)),(IF(AM861&lt;90,BMILMS!$D$17*AM861^3+BMILMS!$E$17*AM861^2+BMILMS!$F$17*AM861+BMILMS!$G$17,BMILMS!$D$18*AM861^3+BMILMS!$E$18*AM861^2+BMILMS!$F$18*AM861+BMILMS!$G$18)))</f>
        <v>8.8969350000000003E-2</v>
      </c>
      <c r="AM861" s="4">
        <f t="shared" si="293"/>
        <v>0</v>
      </c>
      <c r="AO861" s="56">
        <f>IF(D861="M",WeightSDS!P$5*$AM861^7+WeightSDS!Q$5*$AM861^6+WeightSDS!R$5*$AM861^5+WeightSDS!S$5*$AM861^4+WeightSDS!T$5*$AM861^3+WeightSDS!U$5*$AM861^2+WeightSDS!V$5*$AM861+WeightSDS!W$5,IF($AM861&lt;186,WeightSDS!P$8*$AM861^7+WeightSDS!Q$8*$AM861^6+WeightSDS!R$8*$AM861^5+WeightSDS!S$8*$AM861^4+WeightSDS!T$8*$AM861^3+WeightSDS!U$8*$AM861^2+WeightSDS!V$8*$AM861+WeightSDS!W$8,WeightSDS!$U$9+WeightSDS!$V$9*($AM861-WeightSDS!$W$9)))</f>
        <v>0.75407122999999998</v>
      </c>
      <c r="AP861" s="4">
        <f>IF(D861="M",IF($AM861&lt;45,WeightSDS!M$23*$AM861^10+WeightSDS!N$23*$AM861^9+WeightSDS!O$23*$AM861^8+WeightSDS!P$23*$AM861^7+WeightSDS!Q$23*$AM861^6+WeightSDS!R$23*$AM861^5+WeightSDS!S$23*$AM861^4+WeightSDS!T$23*$AM861^3+WeightSDS!U$23*$AM861^2+WeightSDS!V$23*$AM861+WeightSDS!W$23,IF($AM861&lt;153,WeightSDS!M$25*$AM861^10+WeightSDS!N$25*$AM861^9+WeightSDS!O$25*$AM861^8+WeightSDS!P$25*$AM861^7+WeightSDS!Q$25*$AM861^6+WeightSDS!R$25*$AM861^5+WeightSDS!S$25*$AM861^4+WeightSDS!T$25*$AM861^3+WeightSDS!U$25*$AM861^2+WeightSDS!V$25*$AM861+WeightSDS!W$25,WeightSDS!M$27+WeightSDS!N$27/(1+EXP(WeightSDS!O$27+WeightSDS!P$27*$AM861)))),IF($AM861&lt;43.8,WeightSDS!M$29*$AM861^10+WeightSDS!N$29*$AM861^9+WeightSDS!O$29*$AM861^8+WeightSDS!P$29*$AM861^7+WeightSDS!Q$29*$AM861^6+WeightSDS!R$29*$AM861^5+WeightSDS!S$29*$AM861^4+WeightSDS!T$29*$AM861^3+WeightSDS!U$29*$AM861^2+WeightSDS!V$29*$AM861+WeightSDS!W$29-0.010431*(1-$AM861/210),IF($AM861&lt;123,WeightSDS!M$30*$AM861^10+WeightSDS!N$30*$AM861^9+WeightSDS!O$30*$AM861^8+WeightSDS!P$30*$AM861^7+WeightSDS!Q$30*$AM861^6+WeightSDS!R$30*$AM861^5+WeightSDS!S$30*$AM861^4+WeightSDS!T$30*$AM861^3+WeightSDS!U$30*$AM861^2+WeightSDS!V$30*$AM861+WeightSDS!W$30-0.010431*(1-1/$AM861),WeightSDS!M$32+WeightSDS!N$32/(1+EXP(WeightSDS!O$32+WeightSDS!P$32*$AM861))-0.010431*(1-$AM861/210))))</f>
        <v>2.9500001032655536</v>
      </c>
      <c r="AQ861" s="4">
        <f>IF(D861="M",IF($AM861&lt;162,WeightSDS!P$12*$AM861^7+WeightSDS!Q$12*$AM861^6+WeightSDS!R$12*$AM861^5+WeightSDS!S$12*$AM861^4+WeightSDS!T$12*$AM861^3+WeightSDS!U$12*$AM861^2+WeightSDS!V$12*$AM861+WeightSDS!W$12,WeightSDS!P$14*$AM861^7+WeightSDS!Q$14*$AM861^6+WeightSDS!R$14*$AM861^5+WeightSDS!S$14*$AM861^4+WeightSDS!T$14*$AM861^3+WeightSDS!U$14*$AM861^2+WeightSDS!V$14*$AM861+WeightSDS!W$14),IF($AM861&lt;156,WeightSDS!O$17*$AM861^8+WeightSDS!P$17*$AM861^7+WeightSDS!Q$17*$AM861^6+WeightSDS!R$17*$AM861^5+WeightSDS!S$17*$AM861^4+WeightSDS!T$17*$AM861^3+WeightSDS!U$17*$AM861^2+WeightSDS!V$17*$AM861+WeightSDS!W$17,IF($AM861&lt;186,WeightSDS!$U$18+(WeightSDS!$V$18-WeightSDS!$U$18)/24*($AM861-186)+WeightSDS!$W$18*(-$AM861+186)^2-0.005,WeightSDS!$U$18+(WeightSDS!$V$18-WeightSDS!$U$18)/24*($AM861-186)-0.005)))</f>
        <v>0.14604529399999999</v>
      </c>
      <c r="AT861" s="4">
        <f t="shared" si="280"/>
        <v>0.56299999999999994</v>
      </c>
      <c r="AU861" s="4">
        <f t="shared" si="281"/>
        <v>69</v>
      </c>
      <c r="AV861" s="4">
        <f t="shared" si="282"/>
        <v>0.51</v>
      </c>
    </row>
    <row r="862" spans="1:48" x14ac:dyDescent="0.15">
      <c r="A862" s="4"/>
      <c r="B862" s="21"/>
      <c r="C862" s="21"/>
      <c r="D862" s="21"/>
      <c r="E862" s="22"/>
      <c r="F862" s="22"/>
      <c r="G862" s="23"/>
      <c r="H862" s="23"/>
      <c r="I862" s="181"/>
      <c r="J862" s="8" t="str">
        <f t="shared" si="274"/>
        <v/>
      </c>
      <c r="K862" s="2" t="str">
        <f t="shared" si="283"/>
        <v/>
      </c>
      <c r="L862" s="2" t="str">
        <f t="shared" si="275"/>
        <v/>
      </c>
      <c r="M862" s="2" t="str">
        <f t="shared" si="284"/>
        <v/>
      </c>
      <c r="N862" s="2" t="str">
        <f t="shared" si="292"/>
        <v/>
      </c>
      <c r="O862" s="2" t="str">
        <f t="shared" si="285"/>
        <v/>
      </c>
      <c r="P862" s="8" t="str">
        <f t="shared" si="286"/>
        <v/>
      </c>
      <c r="Q862" s="8" t="str">
        <f t="shared" si="287"/>
        <v/>
      </c>
      <c r="R862" s="111" t="str">
        <f t="shared" si="288"/>
        <v/>
      </c>
      <c r="S862" s="44" t="str">
        <f t="shared" si="289"/>
        <v/>
      </c>
      <c r="T862" s="37" t="str">
        <f t="shared" si="290"/>
        <v/>
      </c>
      <c r="U862" s="44" t="str">
        <f t="shared" si="291"/>
        <v/>
      </c>
      <c r="V862" s="26"/>
      <c r="W862" s="26"/>
      <c r="X862" s="26"/>
      <c r="Y862" s="26"/>
      <c r="Z862" s="24"/>
      <c r="AA862" s="169">
        <f t="shared" si="276"/>
        <v>0</v>
      </c>
      <c r="AB862" s="4">
        <f t="shared" si="277"/>
        <v>0</v>
      </c>
      <c r="AC862" s="170">
        <f t="shared" ref="AC862:AC925" si="294">DATEDIF(E862,F862,"Y")+(F862-(DATE(YEAR(E862)+DATEDIF(E862,F862,"Y"),MONTH(E862),DAY(E862))))/(365+IF(MOD(YEAR((DATE(YEAR(F862)-1,MONTH(E862),DAY(E862)))),4)=0,IF((DATE(YEAR(F862)-1,MONTH(E862),DAY(E862)))&gt;DATE(YEAR((DATE(YEAR(F862)-1,MONTH(E862),DAY(E862)))),2,29),0,1),0)+IF(MOD(YEAR(F862),4)=0,IF(F862&gt;DATE(YEAR(F862),2,29),1,0),0))</f>
        <v>0</v>
      </c>
      <c r="AD862" s="58"/>
      <c r="AE862" s="58"/>
      <c r="AF862" s="58"/>
      <c r="AG862" s="59">
        <f t="shared" si="278"/>
        <v>9.0359999999999996</v>
      </c>
      <c r="AH862" s="59">
        <f t="shared" si="279"/>
        <v>-184.49199999999999</v>
      </c>
      <c r="AJ862" s="4">
        <f>IF(D862="M",IF(AM862&lt;78,BMILMS!$D$5*AM862^3+BMILMS!$E$5*AM862^2+BMILMS!$F$5*AM862+BMILMS!$G$5,IF(AM862&lt;150,BMILMS!$D$6*AM862^3+BMILMS!$E$6*AM862^2+BMILMS!$F$6*AM862+BMILMS!$G$6,BMILMS!$D$7*AM862^3+BMILMS!$E$7*AM862^2+BMILMS!$F$7*AM862+BMILMS!$G$7)),IF(AM862&lt;69,BMILMS!$D$9*AM862^3+BMILMS!$E$9*AM862^2+BMILMS!$F$9*AM862+BMILMS!$G$9,IF(AM862&lt;150,BMILMS!$D$10*AM862^3+BMILMS!$E$10*AM862^2+BMILMS!$F$10*AM862+BMILMS!$G$10,BMILMS!$D$11*AM862^3+BMILMS!$E$11*AM862^2+BMILMS!$F$11*AM862+BMILMS!$G$11)))</f>
        <v>0.79584630099999998</v>
      </c>
      <c r="AK862" s="4">
        <f>IF(D862="M",(IF(AM862&lt;2.5,BMILMS!$D$21*AM862^3+BMILMS!$E$21*AM862^2+BMILMS!$F$21*AM862+BMILMS!$G$21,IF(AM862&lt;9.5,BMILMS!$D$22*AM862^3+BMILMS!$E$22*AM862^2+BMILMS!$F$22*AM862+BMILMS!$G$22,IF(AM862&lt;26.75,BMILMS!$D$23*AM862^3+BMILMS!$E$23*AM862^2+BMILMS!$F$23*AM862+BMILMS!$G$23,IF(AM862&lt;90,BMILMS!$D$24*AM862^3+BMILMS!$E$24*AM862^2+BMILMS!$F$24*AM862+BMILMS!$G$24,BMILMS!$D$25*AM862^3+BMILMS!$E$25*AM862^2+BMILMS!$F$25*AM862+BMILMS!$G$25))))),(IF(AM862&lt;2.5,BMILMS!$D$27*AM862^3+BMILMS!$E$27*AM862^2+BMILMS!$F$27*AM862+BMILMS!$G$27,IF(AM862&lt;9.5,BMILMS!$D$28*AM862^3+BMILMS!$E$28*AM862^2+BMILMS!$F$28*AM862+BMILMS!$G$28,IF(AM862&lt;26.75,BMILMS!$D$29*AM862^3+BMILMS!$E$29*AM862^2+BMILMS!$F$29*AM862+BMILMS!$G$29,IF(AM862&lt;90,BMILMS!$D$30*AM862^3+BMILMS!$E$30*AM862^2+BMILMS!$F$30*AM862+BMILMS!$G$30,IF(AM862&lt;150,BMILMS!$D$31*AM862^3+BMILMS!$E$31*AM862^2+BMILMS!$F$31*AM862+BMILMS!$G$31,BMILMS!$D$32*AM862^3+BMILMS!$E$32*AM862^2+BMILMS!$F$32*AM862+BMILMS!$G$32)))))))</f>
        <v>12.568967990000001</v>
      </c>
      <c r="AL862" s="4">
        <f>IF(D862="M",(IF(AM862&lt;90,BMILMS!$D$14*AM862^3+BMILMS!$E$14*AM862^2+BMILMS!$F$14*AM862+BMILMS!$G$14,BMILMS!$D$15*AM862^3+BMILMS!$E$15*AM862^2+BMILMS!$F$15*AM862+BMILMS!$G$15)),(IF(AM862&lt;90,BMILMS!$D$17*AM862^3+BMILMS!$E$17*AM862^2+BMILMS!$F$17*AM862+BMILMS!$G$17,BMILMS!$D$18*AM862^3+BMILMS!$E$18*AM862^2+BMILMS!$F$18*AM862+BMILMS!$G$18)))</f>
        <v>8.8969350000000003E-2</v>
      </c>
      <c r="AM862" s="4">
        <f t="shared" si="293"/>
        <v>0</v>
      </c>
      <c r="AO862" s="56">
        <f>IF(D862="M",WeightSDS!P$5*$AM862^7+WeightSDS!Q$5*$AM862^6+WeightSDS!R$5*$AM862^5+WeightSDS!S$5*$AM862^4+WeightSDS!T$5*$AM862^3+WeightSDS!U$5*$AM862^2+WeightSDS!V$5*$AM862+WeightSDS!W$5,IF($AM862&lt;186,WeightSDS!P$8*$AM862^7+WeightSDS!Q$8*$AM862^6+WeightSDS!R$8*$AM862^5+WeightSDS!S$8*$AM862^4+WeightSDS!T$8*$AM862^3+WeightSDS!U$8*$AM862^2+WeightSDS!V$8*$AM862+WeightSDS!W$8,WeightSDS!$U$9+WeightSDS!$V$9*($AM862-WeightSDS!$W$9)))</f>
        <v>0.75407122999999998</v>
      </c>
      <c r="AP862" s="4">
        <f>IF(D862="M",IF($AM862&lt;45,WeightSDS!M$23*$AM862^10+WeightSDS!N$23*$AM862^9+WeightSDS!O$23*$AM862^8+WeightSDS!P$23*$AM862^7+WeightSDS!Q$23*$AM862^6+WeightSDS!R$23*$AM862^5+WeightSDS!S$23*$AM862^4+WeightSDS!T$23*$AM862^3+WeightSDS!U$23*$AM862^2+WeightSDS!V$23*$AM862+WeightSDS!W$23,IF($AM862&lt;153,WeightSDS!M$25*$AM862^10+WeightSDS!N$25*$AM862^9+WeightSDS!O$25*$AM862^8+WeightSDS!P$25*$AM862^7+WeightSDS!Q$25*$AM862^6+WeightSDS!R$25*$AM862^5+WeightSDS!S$25*$AM862^4+WeightSDS!T$25*$AM862^3+WeightSDS!U$25*$AM862^2+WeightSDS!V$25*$AM862+WeightSDS!W$25,WeightSDS!M$27+WeightSDS!N$27/(1+EXP(WeightSDS!O$27+WeightSDS!P$27*$AM862)))),IF($AM862&lt;43.8,WeightSDS!M$29*$AM862^10+WeightSDS!N$29*$AM862^9+WeightSDS!O$29*$AM862^8+WeightSDS!P$29*$AM862^7+WeightSDS!Q$29*$AM862^6+WeightSDS!R$29*$AM862^5+WeightSDS!S$29*$AM862^4+WeightSDS!T$29*$AM862^3+WeightSDS!U$29*$AM862^2+WeightSDS!V$29*$AM862+WeightSDS!W$29-0.010431*(1-$AM862/210),IF($AM862&lt;123,WeightSDS!M$30*$AM862^10+WeightSDS!N$30*$AM862^9+WeightSDS!O$30*$AM862^8+WeightSDS!P$30*$AM862^7+WeightSDS!Q$30*$AM862^6+WeightSDS!R$30*$AM862^5+WeightSDS!S$30*$AM862^4+WeightSDS!T$30*$AM862^3+WeightSDS!U$30*$AM862^2+WeightSDS!V$30*$AM862+WeightSDS!W$30-0.010431*(1-1/$AM862),WeightSDS!M$32+WeightSDS!N$32/(1+EXP(WeightSDS!O$32+WeightSDS!P$32*$AM862))-0.010431*(1-$AM862/210))))</f>
        <v>2.9500001032655536</v>
      </c>
      <c r="AQ862" s="4">
        <f>IF(D862="M",IF($AM862&lt;162,WeightSDS!P$12*$AM862^7+WeightSDS!Q$12*$AM862^6+WeightSDS!R$12*$AM862^5+WeightSDS!S$12*$AM862^4+WeightSDS!T$12*$AM862^3+WeightSDS!U$12*$AM862^2+WeightSDS!V$12*$AM862+WeightSDS!W$12,WeightSDS!P$14*$AM862^7+WeightSDS!Q$14*$AM862^6+WeightSDS!R$14*$AM862^5+WeightSDS!S$14*$AM862^4+WeightSDS!T$14*$AM862^3+WeightSDS!U$14*$AM862^2+WeightSDS!V$14*$AM862+WeightSDS!W$14),IF($AM862&lt;156,WeightSDS!O$17*$AM862^8+WeightSDS!P$17*$AM862^7+WeightSDS!Q$17*$AM862^6+WeightSDS!R$17*$AM862^5+WeightSDS!S$17*$AM862^4+WeightSDS!T$17*$AM862^3+WeightSDS!U$17*$AM862^2+WeightSDS!V$17*$AM862+WeightSDS!W$17,IF($AM862&lt;186,WeightSDS!$U$18+(WeightSDS!$V$18-WeightSDS!$U$18)/24*($AM862-186)+WeightSDS!$W$18*(-$AM862+186)^2-0.005,WeightSDS!$U$18+(WeightSDS!$V$18-WeightSDS!$U$18)/24*($AM862-186)-0.005)))</f>
        <v>0.14604529399999999</v>
      </c>
      <c r="AT862" s="4">
        <f t="shared" si="280"/>
        <v>0.56299999999999994</v>
      </c>
      <c r="AU862" s="4">
        <f t="shared" si="281"/>
        <v>69</v>
      </c>
      <c r="AV862" s="4">
        <f t="shared" si="282"/>
        <v>0.51</v>
      </c>
    </row>
    <row r="863" spans="1:48" x14ac:dyDescent="0.15">
      <c r="A863" s="4"/>
      <c r="B863" s="21"/>
      <c r="C863" s="21"/>
      <c r="D863" s="21"/>
      <c r="E863" s="22"/>
      <c r="F863" s="22"/>
      <c r="G863" s="23"/>
      <c r="H863" s="23"/>
      <c r="I863" s="181"/>
      <c r="J863" s="8" t="str">
        <f t="shared" si="274"/>
        <v/>
      </c>
      <c r="K863" s="2" t="str">
        <f t="shared" si="283"/>
        <v/>
      </c>
      <c r="L863" s="2" t="str">
        <f t="shared" si="275"/>
        <v/>
      </c>
      <c r="M863" s="2" t="str">
        <f t="shared" si="284"/>
        <v/>
      </c>
      <c r="N863" s="2" t="str">
        <f t="shared" si="292"/>
        <v/>
      </c>
      <c r="O863" s="2" t="str">
        <f t="shared" si="285"/>
        <v/>
      </c>
      <c r="P863" s="8" t="str">
        <f t="shared" si="286"/>
        <v/>
      </c>
      <c r="Q863" s="8" t="str">
        <f t="shared" si="287"/>
        <v/>
      </c>
      <c r="R863" s="111" t="str">
        <f t="shared" si="288"/>
        <v/>
      </c>
      <c r="S863" s="44" t="str">
        <f t="shared" si="289"/>
        <v/>
      </c>
      <c r="T863" s="37" t="str">
        <f t="shared" si="290"/>
        <v/>
      </c>
      <c r="U863" s="44" t="str">
        <f t="shared" si="291"/>
        <v/>
      </c>
      <c r="V863" s="26"/>
      <c r="W863" s="26"/>
      <c r="X863" s="26"/>
      <c r="Y863" s="26"/>
      <c r="Z863" s="24"/>
      <c r="AA863" s="169">
        <f t="shared" si="276"/>
        <v>0</v>
      </c>
      <c r="AB863" s="4">
        <f t="shared" si="277"/>
        <v>0</v>
      </c>
      <c r="AC863" s="170">
        <f t="shared" si="294"/>
        <v>0</v>
      </c>
      <c r="AD863" s="58"/>
      <c r="AE863" s="58"/>
      <c r="AF863" s="58"/>
      <c r="AG863" s="59">
        <f t="shared" si="278"/>
        <v>9.0359999999999996</v>
      </c>
      <c r="AH863" s="59">
        <f t="shared" si="279"/>
        <v>-184.49199999999999</v>
      </c>
      <c r="AJ863" s="4">
        <f>IF(D863="M",IF(AM863&lt;78,BMILMS!$D$5*AM863^3+BMILMS!$E$5*AM863^2+BMILMS!$F$5*AM863+BMILMS!$G$5,IF(AM863&lt;150,BMILMS!$D$6*AM863^3+BMILMS!$E$6*AM863^2+BMILMS!$F$6*AM863+BMILMS!$G$6,BMILMS!$D$7*AM863^3+BMILMS!$E$7*AM863^2+BMILMS!$F$7*AM863+BMILMS!$G$7)),IF(AM863&lt;69,BMILMS!$D$9*AM863^3+BMILMS!$E$9*AM863^2+BMILMS!$F$9*AM863+BMILMS!$G$9,IF(AM863&lt;150,BMILMS!$D$10*AM863^3+BMILMS!$E$10*AM863^2+BMILMS!$F$10*AM863+BMILMS!$G$10,BMILMS!$D$11*AM863^3+BMILMS!$E$11*AM863^2+BMILMS!$F$11*AM863+BMILMS!$G$11)))</f>
        <v>0.79584630099999998</v>
      </c>
      <c r="AK863" s="4">
        <f>IF(D863="M",(IF(AM863&lt;2.5,BMILMS!$D$21*AM863^3+BMILMS!$E$21*AM863^2+BMILMS!$F$21*AM863+BMILMS!$G$21,IF(AM863&lt;9.5,BMILMS!$D$22*AM863^3+BMILMS!$E$22*AM863^2+BMILMS!$F$22*AM863+BMILMS!$G$22,IF(AM863&lt;26.75,BMILMS!$D$23*AM863^3+BMILMS!$E$23*AM863^2+BMILMS!$F$23*AM863+BMILMS!$G$23,IF(AM863&lt;90,BMILMS!$D$24*AM863^3+BMILMS!$E$24*AM863^2+BMILMS!$F$24*AM863+BMILMS!$G$24,BMILMS!$D$25*AM863^3+BMILMS!$E$25*AM863^2+BMILMS!$F$25*AM863+BMILMS!$G$25))))),(IF(AM863&lt;2.5,BMILMS!$D$27*AM863^3+BMILMS!$E$27*AM863^2+BMILMS!$F$27*AM863+BMILMS!$G$27,IF(AM863&lt;9.5,BMILMS!$D$28*AM863^3+BMILMS!$E$28*AM863^2+BMILMS!$F$28*AM863+BMILMS!$G$28,IF(AM863&lt;26.75,BMILMS!$D$29*AM863^3+BMILMS!$E$29*AM863^2+BMILMS!$F$29*AM863+BMILMS!$G$29,IF(AM863&lt;90,BMILMS!$D$30*AM863^3+BMILMS!$E$30*AM863^2+BMILMS!$F$30*AM863+BMILMS!$G$30,IF(AM863&lt;150,BMILMS!$D$31*AM863^3+BMILMS!$E$31*AM863^2+BMILMS!$F$31*AM863+BMILMS!$G$31,BMILMS!$D$32*AM863^3+BMILMS!$E$32*AM863^2+BMILMS!$F$32*AM863+BMILMS!$G$32)))))))</f>
        <v>12.568967990000001</v>
      </c>
      <c r="AL863" s="4">
        <f>IF(D863="M",(IF(AM863&lt;90,BMILMS!$D$14*AM863^3+BMILMS!$E$14*AM863^2+BMILMS!$F$14*AM863+BMILMS!$G$14,BMILMS!$D$15*AM863^3+BMILMS!$E$15*AM863^2+BMILMS!$F$15*AM863+BMILMS!$G$15)),(IF(AM863&lt;90,BMILMS!$D$17*AM863^3+BMILMS!$E$17*AM863^2+BMILMS!$F$17*AM863+BMILMS!$G$17,BMILMS!$D$18*AM863^3+BMILMS!$E$18*AM863^2+BMILMS!$F$18*AM863+BMILMS!$G$18)))</f>
        <v>8.8969350000000003E-2</v>
      </c>
      <c r="AM863" s="4">
        <f t="shared" si="293"/>
        <v>0</v>
      </c>
      <c r="AO863" s="56">
        <f>IF(D863="M",WeightSDS!P$5*$AM863^7+WeightSDS!Q$5*$AM863^6+WeightSDS!R$5*$AM863^5+WeightSDS!S$5*$AM863^4+WeightSDS!T$5*$AM863^3+WeightSDS!U$5*$AM863^2+WeightSDS!V$5*$AM863+WeightSDS!W$5,IF($AM863&lt;186,WeightSDS!P$8*$AM863^7+WeightSDS!Q$8*$AM863^6+WeightSDS!R$8*$AM863^5+WeightSDS!S$8*$AM863^4+WeightSDS!T$8*$AM863^3+WeightSDS!U$8*$AM863^2+WeightSDS!V$8*$AM863+WeightSDS!W$8,WeightSDS!$U$9+WeightSDS!$V$9*($AM863-WeightSDS!$W$9)))</f>
        <v>0.75407122999999998</v>
      </c>
      <c r="AP863" s="4">
        <f>IF(D863="M",IF($AM863&lt;45,WeightSDS!M$23*$AM863^10+WeightSDS!N$23*$AM863^9+WeightSDS!O$23*$AM863^8+WeightSDS!P$23*$AM863^7+WeightSDS!Q$23*$AM863^6+WeightSDS!R$23*$AM863^5+WeightSDS!S$23*$AM863^4+WeightSDS!T$23*$AM863^3+WeightSDS!U$23*$AM863^2+WeightSDS!V$23*$AM863+WeightSDS!W$23,IF($AM863&lt;153,WeightSDS!M$25*$AM863^10+WeightSDS!N$25*$AM863^9+WeightSDS!O$25*$AM863^8+WeightSDS!P$25*$AM863^7+WeightSDS!Q$25*$AM863^6+WeightSDS!R$25*$AM863^5+WeightSDS!S$25*$AM863^4+WeightSDS!T$25*$AM863^3+WeightSDS!U$25*$AM863^2+WeightSDS!V$25*$AM863+WeightSDS!W$25,WeightSDS!M$27+WeightSDS!N$27/(1+EXP(WeightSDS!O$27+WeightSDS!P$27*$AM863)))),IF($AM863&lt;43.8,WeightSDS!M$29*$AM863^10+WeightSDS!N$29*$AM863^9+WeightSDS!O$29*$AM863^8+WeightSDS!P$29*$AM863^7+WeightSDS!Q$29*$AM863^6+WeightSDS!R$29*$AM863^5+WeightSDS!S$29*$AM863^4+WeightSDS!T$29*$AM863^3+WeightSDS!U$29*$AM863^2+WeightSDS!V$29*$AM863+WeightSDS!W$29-0.010431*(1-$AM863/210),IF($AM863&lt;123,WeightSDS!M$30*$AM863^10+WeightSDS!N$30*$AM863^9+WeightSDS!O$30*$AM863^8+WeightSDS!P$30*$AM863^7+WeightSDS!Q$30*$AM863^6+WeightSDS!R$30*$AM863^5+WeightSDS!S$30*$AM863^4+WeightSDS!T$30*$AM863^3+WeightSDS!U$30*$AM863^2+WeightSDS!V$30*$AM863+WeightSDS!W$30-0.010431*(1-1/$AM863),WeightSDS!M$32+WeightSDS!N$32/(1+EXP(WeightSDS!O$32+WeightSDS!P$32*$AM863))-0.010431*(1-$AM863/210))))</f>
        <v>2.9500001032655536</v>
      </c>
      <c r="AQ863" s="4">
        <f>IF(D863="M",IF($AM863&lt;162,WeightSDS!P$12*$AM863^7+WeightSDS!Q$12*$AM863^6+WeightSDS!R$12*$AM863^5+WeightSDS!S$12*$AM863^4+WeightSDS!T$12*$AM863^3+WeightSDS!U$12*$AM863^2+WeightSDS!V$12*$AM863+WeightSDS!W$12,WeightSDS!P$14*$AM863^7+WeightSDS!Q$14*$AM863^6+WeightSDS!R$14*$AM863^5+WeightSDS!S$14*$AM863^4+WeightSDS!T$14*$AM863^3+WeightSDS!U$14*$AM863^2+WeightSDS!V$14*$AM863+WeightSDS!W$14),IF($AM863&lt;156,WeightSDS!O$17*$AM863^8+WeightSDS!P$17*$AM863^7+WeightSDS!Q$17*$AM863^6+WeightSDS!R$17*$AM863^5+WeightSDS!S$17*$AM863^4+WeightSDS!T$17*$AM863^3+WeightSDS!U$17*$AM863^2+WeightSDS!V$17*$AM863+WeightSDS!W$17,IF($AM863&lt;186,WeightSDS!$U$18+(WeightSDS!$V$18-WeightSDS!$U$18)/24*($AM863-186)+WeightSDS!$W$18*(-$AM863+186)^2-0.005,WeightSDS!$U$18+(WeightSDS!$V$18-WeightSDS!$U$18)/24*($AM863-186)-0.005)))</f>
        <v>0.14604529399999999</v>
      </c>
      <c r="AT863" s="4">
        <f t="shared" si="280"/>
        <v>0.56299999999999994</v>
      </c>
      <c r="AU863" s="4">
        <f t="shared" si="281"/>
        <v>69</v>
      </c>
      <c r="AV863" s="4">
        <f t="shared" si="282"/>
        <v>0.51</v>
      </c>
    </row>
    <row r="864" spans="1:48" x14ac:dyDescent="0.15">
      <c r="A864" s="4"/>
      <c r="B864" s="21"/>
      <c r="C864" s="21"/>
      <c r="D864" s="21"/>
      <c r="E864" s="22"/>
      <c r="F864" s="22"/>
      <c r="G864" s="23"/>
      <c r="H864" s="23"/>
      <c r="I864" s="181"/>
      <c r="J864" s="8" t="str">
        <f t="shared" si="274"/>
        <v/>
      </c>
      <c r="K864" s="2" t="str">
        <f t="shared" si="283"/>
        <v/>
      </c>
      <c r="L864" s="2" t="str">
        <f t="shared" si="275"/>
        <v/>
      </c>
      <c r="M864" s="2" t="str">
        <f t="shared" si="284"/>
        <v/>
      </c>
      <c r="N864" s="2" t="str">
        <f t="shared" si="292"/>
        <v/>
      </c>
      <c r="O864" s="2" t="str">
        <f t="shared" si="285"/>
        <v/>
      </c>
      <c r="P864" s="8" t="str">
        <f t="shared" si="286"/>
        <v/>
      </c>
      <c r="Q864" s="8" t="str">
        <f t="shared" si="287"/>
        <v/>
      </c>
      <c r="R864" s="111" t="str">
        <f t="shared" si="288"/>
        <v/>
      </c>
      <c r="S864" s="44" t="str">
        <f t="shared" si="289"/>
        <v/>
      </c>
      <c r="T864" s="37" t="str">
        <f t="shared" si="290"/>
        <v/>
      </c>
      <c r="U864" s="44" t="str">
        <f t="shared" si="291"/>
        <v/>
      </c>
      <c r="V864" s="26"/>
      <c r="W864" s="26"/>
      <c r="X864" s="26"/>
      <c r="Y864" s="26"/>
      <c r="Z864" s="24"/>
      <c r="AA864" s="169">
        <f t="shared" si="276"/>
        <v>0</v>
      </c>
      <c r="AB864" s="4">
        <f t="shared" si="277"/>
        <v>0</v>
      </c>
      <c r="AC864" s="170">
        <f t="shared" si="294"/>
        <v>0</v>
      </c>
      <c r="AD864" s="58"/>
      <c r="AE864" s="58"/>
      <c r="AF864" s="58"/>
      <c r="AG864" s="59">
        <f t="shared" si="278"/>
        <v>9.0359999999999996</v>
      </c>
      <c r="AH864" s="59">
        <f t="shared" si="279"/>
        <v>-184.49199999999999</v>
      </c>
      <c r="AJ864" s="4">
        <f>IF(D864="M",IF(AM864&lt;78,BMILMS!$D$5*AM864^3+BMILMS!$E$5*AM864^2+BMILMS!$F$5*AM864+BMILMS!$G$5,IF(AM864&lt;150,BMILMS!$D$6*AM864^3+BMILMS!$E$6*AM864^2+BMILMS!$F$6*AM864+BMILMS!$G$6,BMILMS!$D$7*AM864^3+BMILMS!$E$7*AM864^2+BMILMS!$F$7*AM864+BMILMS!$G$7)),IF(AM864&lt;69,BMILMS!$D$9*AM864^3+BMILMS!$E$9*AM864^2+BMILMS!$F$9*AM864+BMILMS!$G$9,IF(AM864&lt;150,BMILMS!$D$10*AM864^3+BMILMS!$E$10*AM864^2+BMILMS!$F$10*AM864+BMILMS!$G$10,BMILMS!$D$11*AM864^3+BMILMS!$E$11*AM864^2+BMILMS!$F$11*AM864+BMILMS!$G$11)))</f>
        <v>0.79584630099999998</v>
      </c>
      <c r="AK864" s="4">
        <f>IF(D864="M",(IF(AM864&lt;2.5,BMILMS!$D$21*AM864^3+BMILMS!$E$21*AM864^2+BMILMS!$F$21*AM864+BMILMS!$G$21,IF(AM864&lt;9.5,BMILMS!$D$22*AM864^3+BMILMS!$E$22*AM864^2+BMILMS!$F$22*AM864+BMILMS!$G$22,IF(AM864&lt;26.75,BMILMS!$D$23*AM864^3+BMILMS!$E$23*AM864^2+BMILMS!$F$23*AM864+BMILMS!$G$23,IF(AM864&lt;90,BMILMS!$D$24*AM864^3+BMILMS!$E$24*AM864^2+BMILMS!$F$24*AM864+BMILMS!$G$24,BMILMS!$D$25*AM864^3+BMILMS!$E$25*AM864^2+BMILMS!$F$25*AM864+BMILMS!$G$25))))),(IF(AM864&lt;2.5,BMILMS!$D$27*AM864^3+BMILMS!$E$27*AM864^2+BMILMS!$F$27*AM864+BMILMS!$G$27,IF(AM864&lt;9.5,BMILMS!$D$28*AM864^3+BMILMS!$E$28*AM864^2+BMILMS!$F$28*AM864+BMILMS!$G$28,IF(AM864&lt;26.75,BMILMS!$D$29*AM864^3+BMILMS!$E$29*AM864^2+BMILMS!$F$29*AM864+BMILMS!$G$29,IF(AM864&lt;90,BMILMS!$D$30*AM864^3+BMILMS!$E$30*AM864^2+BMILMS!$F$30*AM864+BMILMS!$G$30,IF(AM864&lt;150,BMILMS!$D$31*AM864^3+BMILMS!$E$31*AM864^2+BMILMS!$F$31*AM864+BMILMS!$G$31,BMILMS!$D$32*AM864^3+BMILMS!$E$32*AM864^2+BMILMS!$F$32*AM864+BMILMS!$G$32)))))))</f>
        <v>12.568967990000001</v>
      </c>
      <c r="AL864" s="4">
        <f>IF(D864="M",(IF(AM864&lt;90,BMILMS!$D$14*AM864^3+BMILMS!$E$14*AM864^2+BMILMS!$F$14*AM864+BMILMS!$G$14,BMILMS!$D$15*AM864^3+BMILMS!$E$15*AM864^2+BMILMS!$F$15*AM864+BMILMS!$G$15)),(IF(AM864&lt;90,BMILMS!$D$17*AM864^3+BMILMS!$E$17*AM864^2+BMILMS!$F$17*AM864+BMILMS!$G$17,BMILMS!$D$18*AM864^3+BMILMS!$E$18*AM864^2+BMILMS!$F$18*AM864+BMILMS!$G$18)))</f>
        <v>8.8969350000000003E-2</v>
      </c>
      <c r="AM864" s="4">
        <f t="shared" si="293"/>
        <v>0</v>
      </c>
      <c r="AO864" s="56">
        <f>IF(D864="M",WeightSDS!P$5*$AM864^7+WeightSDS!Q$5*$AM864^6+WeightSDS!R$5*$AM864^5+WeightSDS!S$5*$AM864^4+WeightSDS!T$5*$AM864^3+WeightSDS!U$5*$AM864^2+WeightSDS!V$5*$AM864+WeightSDS!W$5,IF($AM864&lt;186,WeightSDS!P$8*$AM864^7+WeightSDS!Q$8*$AM864^6+WeightSDS!R$8*$AM864^5+WeightSDS!S$8*$AM864^4+WeightSDS!T$8*$AM864^3+WeightSDS!U$8*$AM864^2+WeightSDS!V$8*$AM864+WeightSDS!W$8,WeightSDS!$U$9+WeightSDS!$V$9*($AM864-WeightSDS!$W$9)))</f>
        <v>0.75407122999999998</v>
      </c>
      <c r="AP864" s="4">
        <f>IF(D864="M",IF($AM864&lt;45,WeightSDS!M$23*$AM864^10+WeightSDS!N$23*$AM864^9+WeightSDS!O$23*$AM864^8+WeightSDS!P$23*$AM864^7+WeightSDS!Q$23*$AM864^6+WeightSDS!R$23*$AM864^5+WeightSDS!S$23*$AM864^4+WeightSDS!T$23*$AM864^3+WeightSDS!U$23*$AM864^2+WeightSDS!V$23*$AM864+WeightSDS!W$23,IF($AM864&lt;153,WeightSDS!M$25*$AM864^10+WeightSDS!N$25*$AM864^9+WeightSDS!O$25*$AM864^8+WeightSDS!P$25*$AM864^7+WeightSDS!Q$25*$AM864^6+WeightSDS!R$25*$AM864^5+WeightSDS!S$25*$AM864^4+WeightSDS!T$25*$AM864^3+WeightSDS!U$25*$AM864^2+WeightSDS!V$25*$AM864+WeightSDS!W$25,WeightSDS!M$27+WeightSDS!N$27/(1+EXP(WeightSDS!O$27+WeightSDS!P$27*$AM864)))),IF($AM864&lt;43.8,WeightSDS!M$29*$AM864^10+WeightSDS!N$29*$AM864^9+WeightSDS!O$29*$AM864^8+WeightSDS!P$29*$AM864^7+WeightSDS!Q$29*$AM864^6+WeightSDS!R$29*$AM864^5+WeightSDS!S$29*$AM864^4+WeightSDS!T$29*$AM864^3+WeightSDS!U$29*$AM864^2+WeightSDS!V$29*$AM864+WeightSDS!W$29-0.010431*(1-$AM864/210),IF($AM864&lt;123,WeightSDS!M$30*$AM864^10+WeightSDS!N$30*$AM864^9+WeightSDS!O$30*$AM864^8+WeightSDS!P$30*$AM864^7+WeightSDS!Q$30*$AM864^6+WeightSDS!R$30*$AM864^5+WeightSDS!S$30*$AM864^4+WeightSDS!T$30*$AM864^3+WeightSDS!U$30*$AM864^2+WeightSDS!V$30*$AM864+WeightSDS!W$30-0.010431*(1-1/$AM864),WeightSDS!M$32+WeightSDS!N$32/(1+EXP(WeightSDS!O$32+WeightSDS!P$32*$AM864))-0.010431*(1-$AM864/210))))</f>
        <v>2.9500001032655536</v>
      </c>
      <c r="AQ864" s="4">
        <f>IF(D864="M",IF($AM864&lt;162,WeightSDS!P$12*$AM864^7+WeightSDS!Q$12*$AM864^6+WeightSDS!R$12*$AM864^5+WeightSDS!S$12*$AM864^4+WeightSDS!T$12*$AM864^3+WeightSDS!U$12*$AM864^2+WeightSDS!V$12*$AM864+WeightSDS!W$12,WeightSDS!P$14*$AM864^7+WeightSDS!Q$14*$AM864^6+WeightSDS!R$14*$AM864^5+WeightSDS!S$14*$AM864^4+WeightSDS!T$14*$AM864^3+WeightSDS!U$14*$AM864^2+WeightSDS!V$14*$AM864+WeightSDS!W$14),IF($AM864&lt;156,WeightSDS!O$17*$AM864^8+WeightSDS!P$17*$AM864^7+WeightSDS!Q$17*$AM864^6+WeightSDS!R$17*$AM864^5+WeightSDS!S$17*$AM864^4+WeightSDS!T$17*$AM864^3+WeightSDS!U$17*$AM864^2+WeightSDS!V$17*$AM864+WeightSDS!W$17,IF($AM864&lt;186,WeightSDS!$U$18+(WeightSDS!$V$18-WeightSDS!$U$18)/24*($AM864-186)+WeightSDS!$W$18*(-$AM864+186)^2-0.005,WeightSDS!$U$18+(WeightSDS!$V$18-WeightSDS!$U$18)/24*($AM864-186)-0.005)))</f>
        <v>0.14604529399999999</v>
      </c>
      <c r="AT864" s="4">
        <f t="shared" si="280"/>
        <v>0.56299999999999994</v>
      </c>
      <c r="AU864" s="4">
        <f t="shared" si="281"/>
        <v>69</v>
      </c>
      <c r="AV864" s="4">
        <f t="shared" si="282"/>
        <v>0.51</v>
      </c>
    </row>
    <row r="865" spans="1:48" x14ac:dyDescent="0.15">
      <c r="A865" s="4"/>
      <c r="B865" s="21"/>
      <c r="C865" s="21"/>
      <c r="D865" s="21"/>
      <c r="E865" s="22"/>
      <c r="F865" s="22"/>
      <c r="G865" s="23"/>
      <c r="H865" s="23"/>
      <c r="I865" s="181"/>
      <c r="J865" s="8" t="str">
        <f t="shared" si="274"/>
        <v/>
      </c>
      <c r="K865" s="2" t="str">
        <f t="shared" si="283"/>
        <v/>
      </c>
      <c r="L865" s="2" t="str">
        <f t="shared" si="275"/>
        <v/>
      </c>
      <c r="M865" s="2" t="str">
        <f t="shared" si="284"/>
        <v/>
      </c>
      <c r="N865" s="2" t="str">
        <f t="shared" si="292"/>
        <v/>
      </c>
      <c r="O865" s="2" t="str">
        <f t="shared" si="285"/>
        <v/>
      </c>
      <c r="P865" s="8" t="str">
        <f t="shared" si="286"/>
        <v/>
      </c>
      <c r="Q865" s="8" t="str">
        <f t="shared" si="287"/>
        <v/>
      </c>
      <c r="R865" s="111" t="str">
        <f t="shared" si="288"/>
        <v/>
      </c>
      <c r="S865" s="44" t="str">
        <f t="shared" si="289"/>
        <v/>
      </c>
      <c r="T865" s="37" t="str">
        <f t="shared" si="290"/>
        <v/>
      </c>
      <c r="U865" s="44" t="str">
        <f t="shared" si="291"/>
        <v/>
      </c>
      <c r="V865" s="26"/>
      <c r="W865" s="26"/>
      <c r="X865" s="26"/>
      <c r="Y865" s="26"/>
      <c r="Z865" s="24"/>
      <c r="AA865" s="169">
        <f t="shared" si="276"/>
        <v>0</v>
      </c>
      <c r="AB865" s="4">
        <f t="shared" si="277"/>
        <v>0</v>
      </c>
      <c r="AC865" s="170">
        <f t="shared" si="294"/>
        <v>0</v>
      </c>
      <c r="AD865" s="58"/>
      <c r="AE865" s="58"/>
      <c r="AF865" s="58"/>
      <c r="AG865" s="59">
        <f t="shared" si="278"/>
        <v>9.0359999999999996</v>
      </c>
      <c r="AH865" s="59">
        <f t="shared" si="279"/>
        <v>-184.49199999999999</v>
      </c>
      <c r="AJ865" s="4">
        <f>IF(D865="M",IF(AM865&lt;78,BMILMS!$D$5*AM865^3+BMILMS!$E$5*AM865^2+BMILMS!$F$5*AM865+BMILMS!$G$5,IF(AM865&lt;150,BMILMS!$D$6*AM865^3+BMILMS!$E$6*AM865^2+BMILMS!$F$6*AM865+BMILMS!$G$6,BMILMS!$D$7*AM865^3+BMILMS!$E$7*AM865^2+BMILMS!$F$7*AM865+BMILMS!$G$7)),IF(AM865&lt;69,BMILMS!$D$9*AM865^3+BMILMS!$E$9*AM865^2+BMILMS!$F$9*AM865+BMILMS!$G$9,IF(AM865&lt;150,BMILMS!$D$10*AM865^3+BMILMS!$E$10*AM865^2+BMILMS!$F$10*AM865+BMILMS!$G$10,BMILMS!$D$11*AM865^3+BMILMS!$E$11*AM865^2+BMILMS!$F$11*AM865+BMILMS!$G$11)))</f>
        <v>0.79584630099999998</v>
      </c>
      <c r="AK865" s="4">
        <f>IF(D865="M",(IF(AM865&lt;2.5,BMILMS!$D$21*AM865^3+BMILMS!$E$21*AM865^2+BMILMS!$F$21*AM865+BMILMS!$G$21,IF(AM865&lt;9.5,BMILMS!$D$22*AM865^3+BMILMS!$E$22*AM865^2+BMILMS!$F$22*AM865+BMILMS!$G$22,IF(AM865&lt;26.75,BMILMS!$D$23*AM865^3+BMILMS!$E$23*AM865^2+BMILMS!$F$23*AM865+BMILMS!$G$23,IF(AM865&lt;90,BMILMS!$D$24*AM865^3+BMILMS!$E$24*AM865^2+BMILMS!$F$24*AM865+BMILMS!$G$24,BMILMS!$D$25*AM865^3+BMILMS!$E$25*AM865^2+BMILMS!$F$25*AM865+BMILMS!$G$25))))),(IF(AM865&lt;2.5,BMILMS!$D$27*AM865^3+BMILMS!$E$27*AM865^2+BMILMS!$F$27*AM865+BMILMS!$G$27,IF(AM865&lt;9.5,BMILMS!$D$28*AM865^3+BMILMS!$E$28*AM865^2+BMILMS!$F$28*AM865+BMILMS!$G$28,IF(AM865&lt;26.75,BMILMS!$D$29*AM865^3+BMILMS!$E$29*AM865^2+BMILMS!$F$29*AM865+BMILMS!$G$29,IF(AM865&lt;90,BMILMS!$D$30*AM865^3+BMILMS!$E$30*AM865^2+BMILMS!$F$30*AM865+BMILMS!$G$30,IF(AM865&lt;150,BMILMS!$D$31*AM865^3+BMILMS!$E$31*AM865^2+BMILMS!$F$31*AM865+BMILMS!$G$31,BMILMS!$D$32*AM865^3+BMILMS!$E$32*AM865^2+BMILMS!$F$32*AM865+BMILMS!$G$32)))))))</f>
        <v>12.568967990000001</v>
      </c>
      <c r="AL865" s="4">
        <f>IF(D865="M",(IF(AM865&lt;90,BMILMS!$D$14*AM865^3+BMILMS!$E$14*AM865^2+BMILMS!$F$14*AM865+BMILMS!$G$14,BMILMS!$D$15*AM865^3+BMILMS!$E$15*AM865^2+BMILMS!$F$15*AM865+BMILMS!$G$15)),(IF(AM865&lt;90,BMILMS!$D$17*AM865^3+BMILMS!$E$17*AM865^2+BMILMS!$F$17*AM865+BMILMS!$G$17,BMILMS!$D$18*AM865^3+BMILMS!$E$18*AM865^2+BMILMS!$F$18*AM865+BMILMS!$G$18)))</f>
        <v>8.8969350000000003E-2</v>
      </c>
      <c r="AM865" s="4">
        <f t="shared" si="293"/>
        <v>0</v>
      </c>
      <c r="AO865" s="56">
        <f>IF(D865="M",WeightSDS!P$5*$AM865^7+WeightSDS!Q$5*$AM865^6+WeightSDS!R$5*$AM865^5+WeightSDS!S$5*$AM865^4+WeightSDS!T$5*$AM865^3+WeightSDS!U$5*$AM865^2+WeightSDS!V$5*$AM865+WeightSDS!W$5,IF($AM865&lt;186,WeightSDS!P$8*$AM865^7+WeightSDS!Q$8*$AM865^6+WeightSDS!R$8*$AM865^5+WeightSDS!S$8*$AM865^4+WeightSDS!T$8*$AM865^3+WeightSDS!U$8*$AM865^2+WeightSDS!V$8*$AM865+WeightSDS!W$8,WeightSDS!$U$9+WeightSDS!$V$9*($AM865-WeightSDS!$W$9)))</f>
        <v>0.75407122999999998</v>
      </c>
      <c r="AP865" s="4">
        <f>IF(D865="M",IF($AM865&lt;45,WeightSDS!M$23*$AM865^10+WeightSDS!N$23*$AM865^9+WeightSDS!O$23*$AM865^8+WeightSDS!P$23*$AM865^7+WeightSDS!Q$23*$AM865^6+WeightSDS!R$23*$AM865^5+WeightSDS!S$23*$AM865^4+WeightSDS!T$23*$AM865^3+WeightSDS!U$23*$AM865^2+WeightSDS!V$23*$AM865+WeightSDS!W$23,IF($AM865&lt;153,WeightSDS!M$25*$AM865^10+WeightSDS!N$25*$AM865^9+WeightSDS!O$25*$AM865^8+WeightSDS!P$25*$AM865^7+WeightSDS!Q$25*$AM865^6+WeightSDS!R$25*$AM865^5+WeightSDS!S$25*$AM865^4+WeightSDS!T$25*$AM865^3+WeightSDS!U$25*$AM865^2+WeightSDS!V$25*$AM865+WeightSDS!W$25,WeightSDS!M$27+WeightSDS!N$27/(1+EXP(WeightSDS!O$27+WeightSDS!P$27*$AM865)))),IF($AM865&lt;43.8,WeightSDS!M$29*$AM865^10+WeightSDS!N$29*$AM865^9+WeightSDS!O$29*$AM865^8+WeightSDS!P$29*$AM865^7+WeightSDS!Q$29*$AM865^6+WeightSDS!R$29*$AM865^5+WeightSDS!S$29*$AM865^4+WeightSDS!T$29*$AM865^3+WeightSDS!U$29*$AM865^2+WeightSDS!V$29*$AM865+WeightSDS!W$29-0.010431*(1-$AM865/210),IF($AM865&lt;123,WeightSDS!M$30*$AM865^10+WeightSDS!N$30*$AM865^9+WeightSDS!O$30*$AM865^8+WeightSDS!P$30*$AM865^7+WeightSDS!Q$30*$AM865^6+WeightSDS!R$30*$AM865^5+WeightSDS!S$30*$AM865^4+WeightSDS!T$30*$AM865^3+WeightSDS!U$30*$AM865^2+WeightSDS!V$30*$AM865+WeightSDS!W$30-0.010431*(1-1/$AM865),WeightSDS!M$32+WeightSDS!N$32/(1+EXP(WeightSDS!O$32+WeightSDS!P$32*$AM865))-0.010431*(1-$AM865/210))))</f>
        <v>2.9500001032655536</v>
      </c>
      <c r="AQ865" s="4">
        <f>IF(D865="M",IF($AM865&lt;162,WeightSDS!P$12*$AM865^7+WeightSDS!Q$12*$AM865^6+WeightSDS!R$12*$AM865^5+WeightSDS!S$12*$AM865^4+WeightSDS!T$12*$AM865^3+WeightSDS!U$12*$AM865^2+WeightSDS!V$12*$AM865+WeightSDS!W$12,WeightSDS!P$14*$AM865^7+WeightSDS!Q$14*$AM865^6+WeightSDS!R$14*$AM865^5+WeightSDS!S$14*$AM865^4+WeightSDS!T$14*$AM865^3+WeightSDS!U$14*$AM865^2+WeightSDS!V$14*$AM865+WeightSDS!W$14),IF($AM865&lt;156,WeightSDS!O$17*$AM865^8+WeightSDS!P$17*$AM865^7+WeightSDS!Q$17*$AM865^6+WeightSDS!R$17*$AM865^5+WeightSDS!S$17*$AM865^4+WeightSDS!T$17*$AM865^3+WeightSDS!U$17*$AM865^2+WeightSDS!V$17*$AM865+WeightSDS!W$17,IF($AM865&lt;186,WeightSDS!$U$18+(WeightSDS!$V$18-WeightSDS!$U$18)/24*($AM865-186)+WeightSDS!$W$18*(-$AM865+186)^2-0.005,WeightSDS!$U$18+(WeightSDS!$V$18-WeightSDS!$U$18)/24*($AM865-186)-0.005)))</f>
        <v>0.14604529399999999</v>
      </c>
      <c r="AT865" s="4">
        <f t="shared" si="280"/>
        <v>0.56299999999999994</v>
      </c>
      <c r="AU865" s="4">
        <f t="shared" si="281"/>
        <v>69</v>
      </c>
      <c r="AV865" s="4">
        <f t="shared" si="282"/>
        <v>0.51</v>
      </c>
    </row>
    <row r="866" spans="1:48" x14ac:dyDescent="0.15">
      <c r="A866" s="4"/>
      <c r="B866" s="21"/>
      <c r="C866" s="21"/>
      <c r="D866" s="21"/>
      <c r="E866" s="22"/>
      <c r="F866" s="22"/>
      <c r="G866" s="23"/>
      <c r="H866" s="23"/>
      <c r="I866" s="181"/>
      <c r="J866" s="8" t="str">
        <f t="shared" si="274"/>
        <v/>
      </c>
      <c r="K866" s="2" t="str">
        <f t="shared" si="283"/>
        <v/>
      </c>
      <c r="L866" s="2" t="str">
        <f t="shared" si="275"/>
        <v/>
      </c>
      <c r="M866" s="2" t="str">
        <f t="shared" si="284"/>
        <v/>
      </c>
      <c r="N866" s="2" t="str">
        <f t="shared" si="292"/>
        <v/>
      </c>
      <c r="O866" s="2" t="str">
        <f t="shared" si="285"/>
        <v/>
      </c>
      <c r="P866" s="8" t="str">
        <f t="shared" si="286"/>
        <v/>
      </c>
      <c r="Q866" s="8" t="str">
        <f t="shared" si="287"/>
        <v/>
      </c>
      <c r="R866" s="111" t="str">
        <f t="shared" si="288"/>
        <v/>
      </c>
      <c r="S866" s="44" t="str">
        <f t="shared" si="289"/>
        <v/>
      </c>
      <c r="T866" s="37" t="str">
        <f t="shared" si="290"/>
        <v/>
      </c>
      <c r="U866" s="44" t="str">
        <f t="shared" si="291"/>
        <v/>
      </c>
      <c r="V866" s="26"/>
      <c r="W866" s="26"/>
      <c r="X866" s="26"/>
      <c r="Y866" s="26"/>
      <c r="Z866" s="24"/>
      <c r="AA866" s="169">
        <f t="shared" si="276"/>
        <v>0</v>
      </c>
      <c r="AB866" s="4">
        <f t="shared" si="277"/>
        <v>0</v>
      </c>
      <c r="AC866" s="170">
        <f t="shared" si="294"/>
        <v>0</v>
      </c>
      <c r="AD866" s="58"/>
      <c r="AE866" s="58"/>
      <c r="AF866" s="58"/>
      <c r="AG866" s="59">
        <f t="shared" si="278"/>
        <v>9.0359999999999996</v>
      </c>
      <c r="AH866" s="59">
        <f t="shared" si="279"/>
        <v>-184.49199999999999</v>
      </c>
      <c r="AJ866" s="4">
        <f>IF(D866="M",IF(AM866&lt;78,BMILMS!$D$5*AM866^3+BMILMS!$E$5*AM866^2+BMILMS!$F$5*AM866+BMILMS!$G$5,IF(AM866&lt;150,BMILMS!$D$6*AM866^3+BMILMS!$E$6*AM866^2+BMILMS!$F$6*AM866+BMILMS!$G$6,BMILMS!$D$7*AM866^3+BMILMS!$E$7*AM866^2+BMILMS!$F$7*AM866+BMILMS!$G$7)),IF(AM866&lt;69,BMILMS!$D$9*AM866^3+BMILMS!$E$9*AM866^2+BMILMS!$F$9*AM866+BMILMS!$G$9,IF(AM866&lt;150,BMILMS!$D$10*AM866^3+BMILMS!$E$10*AM866^2+BMILMS!$F$10*AM866+BMILMS!$G$10,BMILMS!$D$11*AM866^3+BMILMS!$E$11*AM866^2+BMILMS!$F$11*AM866+BMILMS!$G$11)))</f>
        <v>0.79584630099999998</v>
      </c>
      <c r="AK866" s="4">
        <f>IF(D866="M",(IF(AM866&lt;2.5,BMILMS!$D$21*AM866^3+BMILMS!$E$21*AM866^2+BMILMS!$F$21*AM866+BMILMS!$G$21,IF(AM866&lt;9.5,BMILMS!$D$22*AM866^3+BMILMS!$E$22*AM866^2+BMILMS!$F$22*AM866+BMILMS!$G$22,IF(AM866&lt;26.75,BMILMS!$D$23*AM866^3+BMILMS!$E$23*AM866^2+BMILMS!$F$23*AM866+BMILMS!$G$23,IF(AM866&lt;90,BMILMS!$D$24*AM866^3+BMILMS!$E$24*AM866^2+BMILMS!$F$24*AM866+BMILMS!$G$24,BMILMS!$D$25*AM866^3+BMILMS!$E$25*AM866^2+BMILMS!$F$25*AM866+BMILMS!$G$25))))),(IF(AM866&lt;2.5,BMILMS!$D$27*AM866^3+BMILMS!$E$27*AM866^2+BMILMS!$F$27*AM866+BMILMS!$G$27,IF(AM866&lt;9.5,BMILMS!$D$28*AM866^3+BMILMS!$E$28*AM866^2+BMILMS!$F$28*AM866+BMILMS!$G$28,IF(AM866&lt;26.75,BMILMS!$D$29*AM866^3+BMILMS!$E$29*AM866^2+BMILMS!$F$29*AM866+BMILMS!$G$29,IF(AM866&lt;90,BMILMS!$D$30*AM866^3+BMILMS!$E$30*AM866^2+BMILMS!$F$30*AM866+BMILMS!$G$30,IF(AM866&lt;150,BMILMS!$D$31*AM866^3+BMILMS!$E$31*AM866^2+BMILMS!$F$31*AM866+BMILMS!$G$31,BMILMS!$D$32*AM866^3+BMILMS!$E$32*AM866^2+BMILMS!$F$32*AM866+BMILMS!$G$32)))))))</f>
        <v>12.568967990000001</v>
      </c>
      <c r="AL866" s="4">
        <f>IF(D866="M",(IF(AM866&lt;90,BMILMS!$D$14*AM866^3+BMILMS!$E$14*AM866^2+BMILMS!$F$14*AM866+BMILMS!$G$14,BMILMS!$D$15*AM866^3+BMILMS!$E$15*AM866^2+BMILMS!$F$15*AM866+BMILMS!$G$15)),(IF(AM866&lt;90,BMILMS!$D$17*AM866^3+BMILMS!$E$17*AM866^2+BMILMS!$F$17*AM866+BMILMS!$G$17,BMILMS!$D$18*AM866^3+BMILMS!$E$18*AM866^2+BMILMS!$F$18*AM866+BMILMS!$G$18)))</f>
        <v>8.8969350000000003E-2</v>
      </c>
      <c r="AM866" s="4">
        <f t="shared" si="293"/>
        <v>0</v>
      </c>
      <c r="AO866" s="56">
        <f>IF(D866="M",WeightSDS!P$5*$AM866^7+WeightSDS!Q$5*$AM866^6+WeightSDS!R$5*$AM866^5+WeightSDS!S$5*$AM866^4+WeightSDS!T$5*$AM866^3+WeightSDS!U$5*$AM866^2+WeightSDS!V$5*$AM866+WeightSDS!W$5,IF($AM866&lt;186,WeightSDS!P$8*$AM866^7+WeightSDS!Q$8*$AM866^6+WeightSDS!R$8*$AM866^5+WeightSDS!S$8*$AM866^4+WeightSDS!T$8*$AM866^3+WeightSDS!U$8*$AM866^2+WeightSDS!V$8*$AM866+WeightSDS!W$8,WeightSDS!$U$9+WeightSDS!$V$9*($AM866-WeightSDS!$W$9)))</f>
        <v>0.75407122999999998</v>
      </c>
      <c r="AP866" s="4">
        <f>IF(D866="M",IF($AM866&lt;45,WeightSDS!M$23*$AM866^10+WeightSDS!N$23*$AM866^9+WeightSDS!O$23*$AM866^8+WeightSDS!P$23*$AM866^7+WeightSDS!Q$23*$AM866^6+WeightSDS!R$23*$AM866^5+WeightSDS!S$23*$AM866^4+WeightSDS!T$23*$AM866^3+WeightSDS!U$23*$AM866^2+WeightSDS!V$23*$AM866+WeightSDS!W$23,IF($AM866&lt;153,WeightSDS!M$25*$AM866^10+WeightSDS!N$25*$AM866^9+WeightSDS!O$25*$AM866^8+WeightSDS!P$25*$AM866^7+WeightSDS!Q$25*$AM866^6+WeightSDS!R$25*$AM866^5+WeightSDS!S$25*$AM866^4+WeightSDS!T$25*$AM866^3+WeightSDS!U$25*$AM866^2+WeightSDS!V$25*$AM866+WeightSDS!W$25,WeightSDS!M$27+WeightSDS!N$27/(1+EXP(WeightSDS!O$27+WeightSDS!P$27*$AM866)))),IF($AM866&lt;43.8,WeightSDS!M$29*$AM866^10+WeightSDS!N$29*$AM866^9+WeightSDS!O$29*$AM866^8+WeightSDS!P$29*$AM866^7+WeightSDS!Q$29*$AM866^6+WeightSDS!R$29*$AM866^5+WeightSDS!S$29*$AM866^4+WeightSDS!T$29*$AM866^3+WeightSDS!U$29*$AM866^2+WeightSDS!V$29*$AM866+WeightSDS!W$29-0.010431*(1-$AM866/210),IF($AM866&lt;123,WeightSDS!M$30*$AM866^10+WeightSDS!N$30*$AM866^9+WeightSDS!O$30*$AM866^8+WeightSDS!P$30*$AM866^7+WeightSDS!Q$30*$AM866^6+WeightSDS!R$30*$AM866^5+WeightSDS!S$30*$AM866^4+WeightSDS!T$30*$AM866^3+WeightSDS!U$30*$AM866^2+WeightSDS!V$30*$AM866+WeightSDS!W$30-0.010431*(1-1/$AM866),WeightSDS!M$32+WeightSDS!N$32/(1+EXP(WeightSDS!O$32+WeightSDS!P$32*$AM866))-0.010431*(1-$AM866/210))))</f>
        <v>2.9500001032655536</v>
      </c>
      <c r="AQ866" s="4">
        <f>IF(D866="M",IF($AM866&lt;162,WeightSDS!P$12*$AM866^7+WeightSDS!Q$12*$AM866^6+WeightSDS!R$12*$AM866^5+WeightSDS!S$12*$AM866^4+WeightSDS!T$12*$AM866^3+WeightSDS!U$12*$AM866^2+WeightSDS!V$12*$AM866+WeightSDS!W$12,WeightSDS!P$14*$AM866^7+WeightSDS!Q$14*$AM866^6+WeightSDS!R$14*$AM866^5+WeightSDS!S$14*$AM866^4+WeightSDS!T$14*$AM866^3+WeightSDS!U$14*$AM866^2+WeightSDS!V$14*$AM866+WeightSDS!W$14),IF($AM866&lt;156,WeightSDS!O$17*$AM866^8+WeightSDS!P$17*$AM866^7+WeightSDS!Q$17*$AM866^6+WeightSDS!R$17*$AM866^5+WeightSDS!S$17*$AM866^4+WeightSDS!T$17*$AM866^3+WeightSDS!U$17*$AM866^2+WeightSDS!V$17*$AM866+WeightSDS!W$17,IF($AM866&lt;186,WeightSDS!$U$18+(WeightSDS!$V$18-WeightSDS!$U$18)/24*($AM866-186)+WeightSDS!$W$18*(-$AM866+186)^2-0.005,WeightSDS!$U$18+(WeightSDS!$V$18-WeightSDS!$U$18)/24*($AM866-186)-0.005)))</f>
        <v>0.14604529399999999</v>
      </c>
      <c r="AT866" s="4">
        <f t="shared" si="280"/>
        <v>0.56299999999999994</v>
      </c>
      <c r="AU866" s="4">
        <f t="shared" si="281"/>
        <v>69</v>
      </c>
      <c r="AV866" s="4">
        <f t="shared" si="282"/>
        <v>0.51</v>
      </c>
    </row>
    <row r="867" spans="1:48" x14ac:dyDescent="0.15">
      <c r="A867" s="4"/>
      <c r="B867" s="21"/>
      <c r="C867" s="21"/>
      <c r="D867" s="21"/>
      <c r="E867" s="22"/>
      <c r="F867" s="22"/>
      <c r="G867" s="23"/>
      <c r="H867" s="23"/>
      <c r="I867" s="181"/>
      <c r="J867" s="8" t="str">
        <f t="shared" si="274"/>
        <v/>
      </c>
      <c r="K867" s="2" t="str">
        <f t="shared" si="283"/>
        <v/>
      </c>
      <c r="L867" s="2" t="str">
        <f t="shared" si="275"/>
        <v/>
      </c>
      <c r="M867" s="2" t="str">
        <f t="shared" si="284"/>
        <v/>
      </c>
      <c r="N867" s="2" t="str">
        <f t="shared" si="292"/>
        <v/>
      </c>
      <c r="O867" s="2" t="str">
        <f t="shared" si="285"/>
        <v/>
      </c>
      <c r="P867" s="8" t="str">
        <f t="shared" si="286"/>
        <v/>
      </c>
      <c r="Q867" s="8" t="str">
        <f t="shared" si="287"/>
        <v/>
      </c>
      <c r="R867" s="111" t="str">
        <f t="shared" si="288"/>
        <v/>
      </c>
      <c r="S867" s="44" t="str">
        <f t="shared" si="289"/>
        <v/>
      </c>
      <c r="T867" s="37" t="str">
        <f t="shared" si="290"/>
        <v/>
      </c>
      <c r="U867" s="44" t="str">
        <f t="shared" si="291"/>
        <v/>
      </c>
      <c r="V867" s="26"/>
      <c r="W867" s="26"/>
      <c r="X867" s="26"/>
      <c r="Y867" s="26"/>
      <c r="Z867" s="24"/>
      <c r="AA867" s="169">
        <f t="shared" si="276"/>
        <v>0</v>
      </c>
      <c r="AB867" s="4">
        <f t="shared" si="277"/>
        <v>0</v>
      </c>
      <c r="AC867" s="170">
        <f t="shared" si="294"/>
        <v>0</v>
      </c>
      <c r="AD867" s="58"/>
      <c r="AE867" s="58"/>
      <c r="AF867" s="58"/>
      <c r="AG867" s="59">
        <f t="shared" si="278"/>
        <v>9.0359999999999996</v>
      </c>
      <c r="AH867" s="59">
        <f t="shared" si="279"/>
        <v>-184.49199999999999</v>
      </c>
      <c r="AJ867" s="4">
        <f>IF(D867="M",IF(AM867&lt;78,BMILMS!$D$5*AM867^3+BMILMS!$E$5*AM867^2+BMILMS!$F$5*AM867+BMILMS!$G$5,IF(AM867&lt;150,BMILMS!$D$6*AM867^3+BMILMS!$E$6*AM867^2+BMILMS!$F$6*AM867+BMILMS!$G$6,BMILMS!$D$7*AM867^3+BMILMS!$E$7*AM867^2+BMILMS!$F$7*AM867+BMILMS!$G$7)),IF(AM867&lt;69,BMILMS!$D$9*AM867^3+BMILMS!$E$9*AM867^2+BMILMS!$F$9*AM867+BMILMS!$G$9,IF(AM867&lt;150,BMILMS!$D$10*AM867^3+BMILMS!$E$10*AM867^2+BMILMS!$F$10*AM867+BMILMS!$G$10,BMILMS!$D$11*AM867^3+BMILMS!$E$11*AM867^2+BMILMS!$F$11*AM867+BMILMS!$G$11)))</f>
        <v>0.79584630099999998</v>
      </c>
      <c r="AK867" s="4">
        <f>IF(D867="M",(IF(AM867&lt;2.5,BMILMS!$D$21*AM867^3+BMILMS!$E$21*AM867^2+BMILMS!$F$21*AM867+BMILMS!$G$21,IF(AM867&lt;9.5,BMILMS!$D$22*AM867^3+BMILMS!$E$22*AM867^2+BMILMS!$F$22*AM867+BMILMS!$G$22,IF(AM867&lt;26.75,BMILMS!$D$23*AM867^3+BMILMS!$E$23*AM867^2+BMILMS!$F$23*AM867+BMILMS!$G$23,IF(AM867&lt;90,BMILMS!$D$24*AM867^3+BMILMS!$E$24*AM867^2+BMILMS!$F$24*AM867+BMILMS!$G$24,BMILMS!$D$25*AM867^3+BMILMS!$E$25*AM867^2+BMILMS!$F$25*AM867+BMILMS!$G$25))))),(IF(AM867&lt;2.5,BMILMS!$D$27*AM867^3+BMILMS!$E$27*AM867^2+BMILMS!$F$27*AM867+BMILMS!$G$27,IF(AM867&lt;9.5,BMILMS!$D$28*AM867^3+BMILMS!$E$28*AM867^2+BMILMS!$F$28*AM867+BMILMS!$G$28,IF(AM867&lt;26.75,BMILMS!$D$29*AM867^3+BMILMS!$E$29*AM867^2+BMILMS!$F$29*AM867+BMILMS!$G$29,IF(AM867&lt;90,BMILMS!$D$30*AM867^3+BMILMS!$E$30*AM867^2+BMILMS!$F$30*AM867+BMILMS!$G$30,IF(AM867&lt;150,BMILMS!$D$31*AM867^3+BMILMS!$E$31*AM867^2+BMILMS!$F$31*AM867+BMILMS!$G$31,BMILMS!$D$32*AM867^3+BMILMS!$E$32*AM867^2+BMILMS!$F$32*AM867+BMILMS!$G$32)))))))</f>
        <v>12.568967990000001</v>
      </c>
      <c r="AL867" s="4">
        <f>IF(D867="M",(IF(AM867&lt;90,BMILMS!$D$14*AM867^3+BMILMS!$E$14*AM867^2+BMILMS!$F$14*AM867+BMILMS!$G$14,BMILMS!$D$15*AM867^3+BMILMS!$E$15*AM867^2+BMILMS!$F$15*AM867+BMILMS!$G$15)),(IF(AM867&lt;90,BMILMS!$D$17*AM867^3+BMILMS!$E$17*AM867^2+BMILMS!$F$17*AM867+BMILMS!$G$17,BMILMS!$D$18*AM867^3+BMILMS!$E$18*AM867^2+BMILMS!$F$18*AM867+BMILMS!$G$18)))</f>
        <v>8.8969350000000003E-2</v>
      </c>
      <c r="AM867" s="4">
        <f t="shared" si="293"/>
        <v>0</v>
      </c>
      <c r="AO867" s="56">
        <f>IF(D867="M",WeightSDS!P$5*$AM867^7+WeightSDS!Q$5*$AM867^6+WeightSDS!R$5*$AM867^5+WeightSDS!S$5*$AM867^4+WeightSDS!T$5*$AM867^3+WeightSDS!U$5*$AM867^2+WeightSDS!V$5*$AM867+WeightSDS!W$5,IF($AM867&lt;186,WeightSDS!P$8*$AM867^7+WeightSDS!Q$8*$AM867^6+WeightSDS!R$8*$AM867^5+WeightSDS!S$8*$AM867^4+WeightSDS!T$8*$AM867^3+WeightSDS!U$8*$AM867^2+WeightSDS!V$8*$AM867+WeightSDS!W$8,WeightSDS!$U$9+WeightSDS!$V$9*($AM867-WeightSDS!$W$9)))</f>
        <v>0.75407122999999998</v>
      </c>
      <c r="AP867" s="4">
        <f>IF(D867="M",IF($AM867&lt;45,WeightSDS!M$23*$AM867^10+WeightSDS!N$23*$AM867^9+WeightSDS!O$23*$AM867^8+WeightSDS!P$23*$AM867^7+WeightSDS!Q$23*$AM867^6+WeightSDS!R$23*$AM867^5+WeightSDS!S$23*$AM867^4+WeightSDS!T$23*$AM867^3+WeightSDS!U$23*$AM867^2+WeightSDS!V$23*$AM867+WeightSDS!W$23,IF($AM867&lt;153,WeightSDS!M$25*$AM867^10+WeightSDS!N$25*$AM867^9+WeightSDS!O$25*$AM867^8+WeightSDS!P$25*$AM867^7+WeightSDS!Q$25*$AM867^6+WeightSDS!R$25*$AM867^5+WeightSDS!S$25*$AM867^4+WeightSDS!T$25*$AM867^3+WeightSDS!U$25*$AM867^2+WeightSDS!V$25*$AM867+WeightSDS!W$25,WeightSDS!M$27+WeightSDS!N$27/(1+EXP(WeightSDS!O$27+WeightSDS!P$27*$AM867)))),IF($AM867&lt;43.8,WeightSDS!M$29*$AM867^10+WeightSDS!N$29*$AM867^9+WeightSDS!O$29*$AM867^8+WeightSDS!P$29*$AM867^7+WeightSDS!Q$29*$AM867^6+WeightSDS!R$29*$AM867^5+WeightSDS!S$29*$AM867^4+WeightSDS!T$29*$AM867^3+WeightSDS!U$29*$AM867^2+WeightSDS!V$29*$AM867+WeightSDS!W$29-0.010431*(1-$AM867/210),IF($AM867&lt;123,WeightSDS!M$30*$AM867^10+WeightSDS!N$30*$AM867^9+WeightSDS!O$30*$AM867^8+WeightSDS!P$30*$AM867^7+WeightSDS!Q$30*$AM867^6+WeightSDS!R$30*$AM867^5+WeightSDS!S$30*$AM867^4+WeightSDS!T$30*$AM867^3+WeightSDS!U$30*$AM867^2+WeightSDS!V$30*$AM867+WeightSDS!W$30-0.010431*(1-1/$AM867),WeightSDS!M$32+WeightSDS!N$32/(1+EXP(WeightSDS!O$32+WeightSDS!P$32*$AM867))-0.010431*(1-$AM867/210))))</f>
        <v>2.9500001032655536</v>
      </c>
      <c r="AQ867" s="4">
        <f>IF(D867="M",IF($AM867&lt;162,WeightSDS!P$12*$AM867^7+WeightSDS!Q$12*$AM867^6+WeightSDS!R$12*$AM867^5+WeightSDS!S$12*$AM867^4+WeightSDS!T$12*$AM867^3+WeightSDS!U$12*$AM867^2+WeightSDS!V$12*$AM867+WeightSDS!W$12,WeightSDS!P$14*$AM867^7+WeightSDS!Q$14*$AM867^6+WeightSDS!R$14*$AM867^5+WeightSDS!S$14*$AM867^4+WeightSDS!T$14*$AM867^3+WeightSDS!U$14*$AM867^2+WeightSDS!V$14*$AM867+WeightSDS!W$14),IF($AM867&lt;156,WeightSDS!O$17*$AM867^8+WeightSDS!P$17*$AM867^7+WeightSDS!Q$17*$AM867^6+WeightSDS!R$17*$AM867^5+WeightSDS!S$17*$AM867^4+WeightSDS!T$17*$AM867^3+WeightSDS!U$17*$AM867^2+WeightSDS!V$17*$AM867+WeightSDS!W$17,IF($AM867&lt;186,WeightSDS!$U$18+(WeightSDS!$V$18-WeightSDS!$U$18)/24*($AM867-186)+WeightSDS!$W$18*(-$AM867+186)^2-0.005,WeightSDS!$U$18+(WeightSDS!$V$18-WeightSDS!$U$18)/24*($AM867-186)-0.005)))</f>
        <v>0.14604529399999999</v>
      </c>
      <c r="AT867" s="4">
        <f t="shared" si="280"/>
        <v>0.56299999999999994</v>
      </c>
      <c r="AU867" s="4">
        <f t="shared" si="281"/>
        <v>69</v>
      </c>
      <c r="AV867" s="4">
        <f t="shared" si="282"/>
        <v>0.51</v>
      </c>
    </row>
    <row r="868" spans="1:48" x14ac:dyDescent="0.15">
      <c r="A868" s="4"/>
      <c r="B868" s="21"/>
      <c r="C868" s="21"/>
      <c r="D868" s="21"/>
      <c r="E868" s="22"/>
      <c r="F868" s="22"/>
      <c r="G868" s="23"/>
      <c r="H868" s="23"/>
      <c r="I868" s="181"/>
      <c r="J868" s="8" t="str">
        <f t="shared" si="274"/>
        <v/>
      </c>
      <c r="K868" s="2" t="str">
        <f t="shared" si="283"/>
        <v/>
      </c>
      <c r="L868" s="2" t="str">
        <f t="shared" si="275"/>
        <v/>
      </c>
      <c r="M868" s="2" t="str">
        <f t="shared" si="284"/>
        <v/>
      </c>
      <c r="N868" s="2" t="str">
        <f t="shared" si="292"/>
        <v/>
      </c>
      <c r="O868" s="2" t="str">
        <f t="shared" si="285"/>
        <v/>
      </c>
      <c r="P868" s="8" t="str">
        <f t="shared" si="286"/>
        <v/>
      </c>
      <c r="Q868" s="8" t="str">
        <f t="shared" si="287"/>
        <v/>
      </c>
      <c r="R868" s="111" t="str">
        <f t="shared" si="288"/>
        <v/>
      </c>
      <c r="S868" s="44" t="str">
        <f t="shared" si="289"/>
        <v/>
      </c>
      <c r="T868" s="37" t="str">
        <f t="shared" si="290"/>
        <v/>
      </c>
      <c r="U868" s="44" t="str">
        <f t="shared" si="291"/>
        <v/>
      </c>
      <c r="V868" s="26"/>
      <c r="W868" s="26"/>
      <c r="X868" s="26"/>
      <c r="Y868" s="26"/>
      <c r="Z868" s="24"/>
      <c r="AA868" s="169">
        <f t="shared" si="276"/>
        <v>0</v>
      </c>
      <c r="AB868" s="4">
        <f t="shared" si="277"/>
        <v>0</v>
      </c>
      <c r="AC868" s="170">
        <f t="shared" si="294"/>
        <v>0</v>
      </c>
      <c r="AD868" s="58"/>
      <c r="AE868" s="58"/>
      <c r="AF868" s="58"/>
      <c r="AG868" s="59">
        <f t="shared" si="278"/>
        <v>9.0359999999999996</v>
      </c>
      <c r="AH868" s="59">
        <f t="shared" si="279"/>
        <v>-184.49199999999999</v>
      </c>
      <c r="AJ868" s="4">
        <f>IF(D868="M",IF(AM868&lt;78,BMILMS!$D$5*AM868^3+BMILMS!$E$5*AM868^2+BMILMS!$F$5*AM868+BMILMS!$G$5,IF(AM868&lt;150,BMILMS!$D$6*AM868^3+BMILMS!$E$6*AM868^2+BMILMS!$F$6*AM868+BMILMS!$G$6,BMILMS!$D$7*AM868^3+BMILMS!$E$7*AM868^2+BMILMS!$F$7*AM868+BMILMS!$G$7)),IF(AM868&lt;69,BMILMS!$D$9*AM868^3+BMILMS!$E$9*AM868^2+BMILMS!$F$9*AM868+BMILMS!$G$9,IF(AM868&lt;150,BMILMS!$D$10*AM868^3+BMILMS!$E$10*AM868^2+BMILMS!$F$10*AM868+BMILMS!$G$10,BMILMS!$D$11*AM868^3+BMILMS!$E$11*AM868^2+BMILMS!$F$11*AM868+BMILMS!$G$11)))</f>
        <v>0.79584630099999998</v>
      </c>
      <c r="AK868" s="4">
        <f>IF(D868="M",(IF(AM868&lt;2.5,BMILMS!$D$21*AM868^3+BMILMS!$E$21*AM868^2+BMILMS!$F$21*AM868+BMILMS!$G$21,IF(AM868&lt;9.5,BMILMS!$D$22*AM868^3+BMILMS!$E$22*AM868^2+BMILMS!$F$22*AM868+BMILMS!$G$22,IF(AM868&lt;26.75,BMILMS!$D$23*AM868^3+BMILMS!$E$23*AM868^2+BMILMS!$F$23*AM868+BMILMS!$G$23,IF(AM868&lt;90,BMILMS!$D$24*AM868^3+BMILMS!$E$24*AM868^2+BMILMS!$F$24*AM868+BMILMS!$G$24,BMILMS!$D$25*AM868^3+BMILMS!$E$25*AM868^2+BMILMS!$F$25*AM868+BMILMS!$G$25))))),(IF(AM868&lt;2.5,BMILMS!$D$27*AM868^3+BMILMS!$E$27*AM868^2+BMILMS!$F$27*AM868+BMILMS!$G$27,IF(AM868&lt;9.5,BMILMS!$D$28*AM868^3+BMILMS!$E$28*AM868^2+BMILMS!$F$28*AM868+BMILMS!$G$28,IF(AM868&lt;26.75,BMILMS!$D$29*AM868^3+BMILMS!$E$29*AM868^2+BMILMS!$F$29*AM868+BMILMS!$G$29,IF(AM868&lt;90,BMILMS!$D$30*AM868^3+BMILMS!$E$30*AM868^2+BMILMS!$F$30*AM868+BMILMS!$G$30,IF(AM868&lt;150,BMILMS!$D$31*AM868^3+BMILMS!$E$31*AM868^2+BMILMS!$F$31*AM868+BMILMS!$G$31,BMILMS!$D$32*AM868^3+BMILMS!$E$32*AM868^2+BMILMS!$F$32*AM868+BMILMS!$G$32)))))))</f>
        <v>12.568967990000001</v>
      </c>
      <c r="AL868" s="4">
        <f>IF(D868="M",(IF(AM868&lt;90,BMILMS!$D$14*AM868^3+BMILMS!$E$14*AM868^2+BMILMS!$F$14*AM868+BMILMS!$G$14,BMILMS!$D$15*AM868^3+BMILMS!$E$15*AM868^2+BMILMS!$F$15*AM868+BMILMS!$G$15)),(IF(AM868&lt;90,BMILMS!$D$17*AM868^3+BMILMS!$E$17*AM868^2+BMILMS!$F$17*AM868+BMILMS!$G$17,BMILMS!$D$18*AM868^3+BMILMS!$E$18*AM868^2+BMILMS!$F$18*AM868+BMILMS!$G$18)))</f>
        <v>8.8969350000000003E-2</v>
      </c>
      <c r="AM868" s="4">
        <f t="shared" si="293"/>
        <v>0</v>
      </c>
      <c r="AO868" s="56">
        <f>IF(D868="M",WeightSDS!P$5*$AM868^7+WeightSDS!Q$5*$AM868^6+WeightSDS!R$5*$AM868^5+WeightSDS!S$5*$AM868^4+WeightSDS!T$5*$AM868^3+WeightSDS!U$5*$AM868^2+WeightSDS!V$5*$AM868+WeightSDS!W$5,IF($AM868&lt;186,WeightSDS!P$8*$AM868^7+WeightSDS!Q$8*$AM868^6+WeightSDS!R$8*$AM868^5+WeightSDS!S$8*$AM868^4+WeightSDS!T$8*$AM868^3+WeightSDS!U$8*$AM868^2+WeightSDS!V$8*$AM868+WeightSDS!W$8,WeightSDS!$U$9+WeightSDS!$V$9*($AM868-WeightSDS!$W$9)))</f>
        <v>0.75407122999999998</v>
      </c>
      <c r="AP868" s="4">
        <f>IF(D868="M",IF($AM868&lt;45,WeightSDS!M$23*$AM868^10+WeightSDS!N$23*$AM868^9+WeightSDS!O$23*$AM868^8+WeightSDS!P$23*$AM868^7+WeightSDS!Q$23*$AM868^6+WeightSDS!R$23*$AM868^5+WeightSDS!S$23*$AM868^4+WeightSDS!T$23*$AM868^3+WeightSDS!U$23*$AM868^2+WeightSDS!V$23*$AM868+WeightSDS!W$23,IF($AM868&lt;153,WeightSDS!M$25*$AM868^10+WeightSDS!N$25*$AM868^9+WeightSDS!O$25*$AM868^8+WeightSDS!P$25*$AM868^7+WeightSDS!Q$25*$AM868^6+WeightSDS!R$25*$AM868^5+WeightSDS!S$25*$AM868^4+WeightSDS!T$25*$AM868^3+WeightSDS!U$25*$AM868^2+WeightSDS!V$25*$AM868+WeightSDS!W$25,WeightSDS!M$27+WeightSDS!N$27/(1+EXP(WeightSDS!O$27+WeightSDS!P$27*$AM868)))),IF($AM868&lt;43.8,WeightSDS!M$29*$AM868^10+WeightSDS!N$29*$AM868^9+WeightSDS!O$29*$AM868^8+WeightSDS!P$29*$AM868^7+WeightSDS!Q$29*$AM868^6+WeightSDS!R$29*$AM868^5+WeightSDS!S$29*$AM868^4+WeightSDS!T$29*$AM868^3+WeightSDS!U$29*$AM868^2+WeightSDS!V$29*$AM868+WeightSDS!W$29-0.010431*(1-$AM868/210),IF($AM868&lt;123,WeightSDS!M$30*$AM868^10+WeightSDS!N$30*$AM868^9+WeightSDS!O$30*$AM868^8+WeightSDS!P$30*$AM868^7+WeightSDS!Q$30*$AM868^6+WeightSDS!R$30*$AM868^5+WeightSDS!S$30*$AM868^4+WeightSDS!T$30*$AM868^3+WeightSDS!U$30*$AM868^2+WeightSDS!V$30*$AM868+WeightSDS!W$30-0.010431*(1-1/$AM868),WeightSDS!M$32+WeightSDS!N$32/(1+EXP(WeightSDS!O$32+WeightSDS!P$32*$AM868))-0.010431*(1-$AM868/210))))</f>
        <v>2.9500001032655536</v>
      </c>
      <c r="AQ868" s="4">
        <f>IF(D868="M",IF($AM868&lt;162,WeightSDS!P$12*$AM868^7+WeightSDS!Q$12*$AM868^6+WeightSDS!R$12*$AM868^5+WeightSDS!S$12*$AM868^4+WeightSDS!T$12*$AM868^3+WeightSDS!U$12*$AM868^2+WeightSDS!V$12*$AM868+WeightSDS!W$12,WeightSDS!P$14*$AM868^7+WeightSDS!Q$14*$AM868^6+WeightSDS!R$14*$AM868^5+WeightSDS!S$14*$AM868^4+WeightSDS!T$14*$AM868^3+WeightSDS!U$14*$AM868^2+WeightSDS!V$14*$AM868+WeightSDS!W$14),IF($AM868&lt;156,WeightSDS!O$17*$AM868^8+WeightSDS!P$17*$AM868^7+WeightSDS!Q$17*$AM868^6+WeightSDS!R$17*$AM868^5+WeightSDS!S$17*$AM868^4+WeightSDS!T$17*$AM868^3+WeightSDS!U$17*$AM868^2+WeightSDS!V$17*$AM868+WeightSDS!W$17,IF($AM868&lt;186,WeightSDS!$U$18+(WeightSDS!$V$18-WeightSDS!$U$18)/24*($AM868-186)+WeightSDS!$W$18*(-$AM868+186)^2-0.005,WeightSDS!$U$18+(WeightSDS!$V$18-WeightSDS!$U$18)/24*($AM868-186)-0.005)))</f>
        <v>0.14604529399999999</v>
      </c>
      <c r="AT868" s="4">
        <f t="shared" si="280"/>
        <v>0.56299999999999994</v>
      </c>
      <c r="AU868" s="4">
        <f t="shared" si="281"/>
        <v>69</v>
      </c>
      <c r="AV868" s="4">
        <f t="shared" si="282"/>
        <v>0.51</v>
      </c>
    </row>
    <row r="869" spans="1:48" x14ac:dyDescent="0.15">
      <c r="A869" s="4"/>
      <c r="B869" s="21"/>
      <c r="C869" s="21"/>
      <c r="D869" s="21"/>
      <c r="E869" s="22"/>
      <c r="F869" s="22"/>
      <c r="G869" s="23"/>
      <c r="H869" s="23"/>
      <c r="I869" s="181"/>
      <c r="J869" s="8" t="str">
        <f t="shared" si="274"/>
        <v/>
      </c>
      <c r="K869" s="2" t="str">
        <f t="shared" si="283"/>
        <v/>
      </c>
      <c r="L869" s="2" t="str">
        <f t="shared" si="275"/>
        <v/>
      </c>
      <c r="M869" s="2" t="str">
        <f t="shared" si="284"/>
        <v/>
      </c>
      <c r="N869" s="2" t="str">
        <f t="shared" si="292"/>
        <v/>
      </c>
      <c r="O869" s="2" t="str">
        <f t="shared" si="285"/>
        <v/>
      </c>
      <c r="P869" s="8" t="str">
        <f t="shared" si="286"/>
        <v/>
      </c>
      <c r="Q869" s="8" t="str">
        <f t="shared" si="287"/>
        <v/>
      </c>
      <c r="R869" s="111" t="str">
        <f t="shared" si="288"/>
        <v/>
      </c>
      <c r="S869" s="44" t="str">
        <f t="shared" si="289"/>
        <v/>
      </c>
      <c r="T869" s="37" t="str">
        <f t="shared" si="290"/>
        <v/>
      </c>
      <c r="U869" s="44" t="str">
        <f t="shared" si="291"/>
        <v/>
      </c>
      <c r="V869" s="26"/>
      <c r="W869" s="26"/>
      <c r="X869" s="26"/>
      <c r="Y869" s="26"/>
      <c r="Z869" s="24"/>
      <c r="AA869" s="169">
        <f t="shared" si="276"/>
        <v>0</v>
      </c>
      <c r="AB869" s="4">
        <f t="shared" si="277"/>
        <v>0</v>
      </c>
      <c r="AC869" s="170">
        <f t="shared" si="294"/>
        <v>0</v>
      </c>
      <c r="AD869" s="58"/>
      <c r="AE869" s="58"/>
      <c r="AF869" s="58"/>
      <c r="AG869" s="59">
        <f t="shared" si="278"/>
        <v>9.0359999999999996</v>
      </c>
      <c r="AH869" s="59">
        <f t="shared" si="279"/>
        <v>-184.49199999999999</v>
      </c>
      <c r="AJ869" s="4">
        <f>IF(D869="M",IF(AM869&lt;78,BMILMS!$D$5*AM869^3+BMILMS!$E$5*AM869^2+BMILMS!$F$5*AM869+BMILMS!$G$5,IF(AM869&lt;150,BMILMS!$D$6*AM869^3+BMILMS!$E$6*AM869^2+BMILMS!$F$6*AM869+BMILMS!$G$6,BMILMS!$D$7*AM869^3+BMILMS!$E$7*AM869^2+BMILMS!$F$7*AM869+BMILMS!$G$7)),IF(AM869&lt;69,BMILMS!$D$9*AM869^3+BMILMS!$E$9*AM869^2+BMILMS!$F$9*AM869+BMILMS!$G$9,IF(AM869&lt;150,BMILMS!$D$10*AM869^3+BMILMS!$E$10*AM869^2+BMILMS!$F$10*AM869+BMILMS!$G$10,BMILMS!$D$11*AM869^3+BMILMS!$E$11*AM869^2+BMILMS!$F$11*AM869+BMILMS!$G$11)))</f>
        <v>0.79584630099999998</v>
      </c>
      <c r="AK869" s="4">
        <f>IF(D869="M",(IF(AM869&lt;2.5,BMILMS!$D$21*AM869^3+BMILMS!$E$21*AM869^2+BMILMS!$F$21*AM869+BMILMS!$G$21,IF(AM869&lt;9.5,BMILMS!$D$22*AM869^3+BMILMS!$E$22*AM869^2+BMILMS!$F$22*AM869+BMILMS!$G$22,IF(AM869&lt;26.75,BMILMS!$D$23*AM869^3+BMILMS!$E$23*AM869^2+BMILMS!$F$23*AM869+BMILMS!$G$23,IF(AM869&lt;90,BMILMS!$D$24*AM869^3+BMILMS!$E$24*AM869^2+BMILMS!$F$24*AM869+BMILMS!$G$24,BMILMS!$D$25*AM869^3+BMILMS!$E$25*AM869^2+BMILMS!$F$25*AM869+BMILMS!$G$25))))),(IF(AM869&lt;2.5,BMILMS!$D$27*AM869^3+BMILMS!$E$27*AM869^2+BMILMS!$F$27*AM869+BMILMS!$G$27,IF(AM869&lt;9.5,BMILMS!$D$28*AM869^3+BMILMS!$E$28*AM869^2+BMILMS!$F$28*AM869+BMILMS!$G$28,IF(AM869&lt;26.75,BMILMS!$D$29*AM869^3+BMILMS!$E$29*AM869^2+BMILMS!$F$29*AM869+BMILMS!$G$29,IF(AM869&lt;90,BMILMS!$D$30*AM869^3+BMILMS!$E$30*AM869^2+BMILMS!$F$30*AM869+BMILMS!$G$30,IF(AM869&lt;150,BMILMS!$D$31*AM869^3+BMILMS!$E$31*AM869^2+BMILMS!$F$31*AM869+BMILMS!$G$31,BMILMS!$D$32*AM869^3+BMILMS!$E$32*AM869^2+BMILMS!$F$32*AM869+BMILMS!$G$32)))))))</f>
        <v>12.568967990000001</v>
      </c>
      <c r="AL869" s="4">
        <f>IF(D869="M",(IF(AM869&lt;90,BMILMS!$D$14*AM869^3+BMILMS!$E$14*AM869^2+BMILMS!$F$14*AM869+BMILMS!$G$14,BMILMS!$D$15*AM869^3+BMILMS!$E$15*AM869^2+BMILMS!$F$15*AM869+BMILMS!$G$15)),(IF(AM869&lt;90,BMILMS!$D$17*AM869^3+BMILMS!$E$17*AM869^2+BMILMS!$F$17*AM869+BMILMS!$G$17,BMILMS!$D$18*AM869^3+BMILMS!$E$18*AM869^2+BMILMS!$F$18*AM869+BMILMS!$G$18)))</f>
        <v>8.8969350000000003E-2</v>
      </c>
      <c r="AM869" s="4">
        <f t="shared" si="293"/>
        <v>0</v>
      </c>
      <c r="AO869" s="56">
        <f>IF(D869="M",WeightSDS!P$5*$AM869^7+WeightSDS!Q$5*$AM869^6+WeightSDS!R$5*$AM869^5+WeightSDS!S$5*$AM869^4+WeightSDS!T$5*$AM869^3+WeightSDS!U$5*$AM869^2+WeightSDS!V$5*$AM869+WeightSDS!W$5,IF($AM869&lt;186,WeightSDS!P$8*$AM869^7+WeightSDS!Q$8*$AM869^6+WeightSDS!R$8*$AM869^5+WeightSDS!S$8*$AM869^4+WeightSDS!T$8*$AM869^3+WeightSDS!U$8*$AM869^2+WeightSDS!V$8*$AM869+WeightSDS!W$8,WeightSDS!$U$9+WeightSDS!$V$9*($AM869-WeightSDS!$W$9)))</f>
        <v>0.75407122999999998</v>
      </c>
      <c r="AP869" s="4">
        <f>IF(D869="M",IF($AM869&lt;45,WeightSDS!M$23*$AM869^10+WeightSDS!N$23*$AM869^9+WeightSDS!O$23*$AM869^8+WeightSDS!P$23*$AM869^7+WeightSDS!Q$23*$AM869^6+WeightSDS!R$23*$AM869^5+WeightSDS!S$23*$AM869^4+WeightSDS!T$23*$AM869^3+WeightSDS!U$23*$AM869^2+WeightSDS!V$23*$AM869+WeightSDS!W$23,IF($AM869&lt;153,WeightSDS!M$25*$AM869^10+WeightSDS!N$25*$AM869^9+WeightSDS!O$25*$AM869^8+WeightSDS!P$25*$AM869^7+WeightSDS!Q$25*$AM869^6+WeightSDS!R$25*$AM869^5+WeightSDS!S$25*$AM869^4+WeightSDS!T$25*$AM869^3+WeightSDS!U$25*$AM869^2+WeightSDS!V$25*$AM869+WeightSDS!W$25,WeightSDS!M$27+WeightSDS!N$27/(1+EXP(WeightSDS!O$27+WeightSDS!P$27*$AM869)))),IF($AM869&lt;43.8,WeightSDS!M$29*$AM869^10+WeightSDS!N$29*$AM869^9+WeightSDS!O$29*$AM869^8+WeightSDS!P$29*$AM869^7+WeightSDS!Q$29*$AM869^6+WeightSDS!R$29*$AM869^5+WeightSDS!S$29*$AM869^4+WeightSDS!T$29*$AM869^3+WeightSDS!U$29*$AM869^2+WeightSDS!V$29*$AM869+WeightSDS!W$29-0.010431*(1-$AM869/210),IF($AM869&lt;123,WeightSDS!M$30*$AM869^10+WeightSDS!N$30*$AM869^9+WeightSDS!O$30*$AM869^8+WeightSDS!P$30*$AM869^7+WeightSDS!Q$30*$AM869^6+WeightSDS!R$30*$AM869^5+WeightSDS!S$30*$AM869^4+WeightSDS!T$30*$AM869^3+WeightSDS!U$30*$AM869^2+WeightSDS!V$30*$AM869+WeightSDS!W$30-0.010431*(1-1/$AM869),WeightSDS!M$32+WeightSDS!N$32/(1+EXP(WeightSDS!O$32+WeightSDS!P$32*$AM869))-0.010431*(1-$AM869/210))))</f>
        <v>2.9500001032655536</v>
      </c>
      <c r="AQ869" s="4">
        <f>IF(D869="M",IF($AM869&lt;162,WeightSDS!P$12*$AM869^7+WeightSDS!Q$12*$AM869^6+WeightSDS!R$12*$AM869^5+WeightSDS!S$12*$AM869^4+WeightSDS!T$12*$AM869^3+WeightSDS!U$12*$AM869^2+WeightSDS!V$12*$AM869+WeightSDS!W$12,WeightSDS!P$14*$AM869^7+WeightSDS!Q$14*$AM869^6+WeightSDS!R$14*$AM869^5+WeightSDS!S$14*$AM869^4+WeightSDS!T$14*$AM869^3+WeightSDS!U$14*$AM869^2+WeightSDS!V$14*$AM869+WeightSDS!W$14),IF($AM869&lt;156,WeightSDS!O$17*$AM869^8+WeightSDS!P$17*$AM869^7+WeightSDS!Q$17*$AM869^6+WeightSDS!R$17*$AM869^5+WeightSDS!S$17*$AM869^4+WeightSDS!T$17*$AM869^3+WeightSDS!U$17*$AM869^2+WeightSDS!V$17*$AM869+WeightSDS!W$17,IF($AM869&lt;186,WeightSDS!$U$18+(WeightSDS!$V$18-WeightSDS!$U$18)/24*($AM869-186)+WeightSDS!$W$18*(-$AM869+186)^2-0.005,WeightSDS!$U$18+(WeightSDS!$V$18-WeightSDS!$U$18)/24*($AM869-186)-0.005)))</f>
        <v>0.14604529399999999</v>
      </c>
      <c r="AT869" s="4">
        <f t="shared" si="280"/>
        <v>0.56299999999999994</v>
      </c>
      <c r="AU869" s="4">
        <f t="shared" si="281"/>
        <v>69</v>
      </c>
      <c r="AV869" s="4">
        <f t="shared" si="282"/>
        <v>0.51</v>
      </c>
    </row>
    <row r="870" spans="1:48" x14ac:dyDescent="0.15">
      <c r="A870" s="4"/>
      <c r="B870" s="21"/>
      <c r="C870" s="21"/>
      <c r="D870" s="21"/>
      <c r="E870" s="22"/>
      <c r="F870" s="22"/>
      <c r="G870" s="23"/>
      <c r="H870" s="23"/>
      <c r="I870" s="181"/>
      <c r="J870" s="8" t="str">
        <f t="shared" si="274"/>
        <v/>
      </c>
      <c r="K870" s="2" t="str">
        <f t="shared" si="283"/>
        <v/>
      </c>
      <c r="L870" s="2" t="str">
        <f t="shared" si="275"/>
        <v/>
      </c>
      <c r="M870" s="2" t="str">
        <f t="shared" si="284"/>
        <v/>
      </c>
      <c r="N870" s="2" t="str">
        <f t="shared" si="292"/>
        <v/>
      </c>
      <c r="O870" s="2" t="str">
        <f t="shared" si="285"/>
        <v/>
      </c>
      <c r="P870" s="8" t="str">
        <f t="shared" si="286"/>
        <v/>
      </c>
      <c r="Q870" s="8" t="str">
        <f t="shared" si="287"/>
        <v/>
      </c>
      <c r="R870" s="111" t="str">
        <f t="shared" si="288"/>
        <v/>
      </c>
      <c r="S870" s="44" t="str">
        <f t="shared" si="289"/>
        <v/>
      </c>
      <c r="T870" s="37" t="str">
        <f t="shared" si="290"/>
        <v/>
      </c>
      <c r="U870" s="44" t="str">
        <f t="shared" si="291"/>
        <v/>
      </c>
      <c r="V870" s="26"/>
      <c r="W870" s="26"/>
      <c r="X870" s="26"/>
      <c r="Y870" s="26"/>
      <c r="Z870" s="24"/>
      <c r="AA870" s="169">
        <f t="shared" si="276"/>
        <v>0</v>
      </c>
      <c r="AB870" s="4">
        <f t="shared" si="277"/>
        <v>0</v>
      </c>
      <c r="AC870" s="170">
        <f t="shared" si="294"/>
        <v>0</v>
      </c>
      <c r="AD870" s="58"/>
      <c r="AE870" s="58"/>
      <c r="AF870" s="58"/>
      <c r="AG870" s="59">
        <f t="shared" si="278"/>
        <v>9.0359999999999996</v>
      </c>
      <c r="AH870" s="59">
        <f t="shared" si="279"/>
        <v>-184.49199999999999</v>
      </c>
      <c r="AJ870" s="4">
        <f>IF(D870="M",IF(AM870&lt;78,BMILMS!$D$5*AM870^3+BMILMS!$E$5*AM870^2+BMILMS!$F$5*AM870+BMILMS!$G$5,IF(AM870&lt;150,BMILMS!$D$6*AM870^3+BMILMS!$E$6*AM870^2+BMILMS!$F$6*AM870+BMILMS!$G$6,BMILMS!$D$7*AM870^3+BMILMS!$E$7*AM870^2+BMILMS!$F$7*AM870+BMILMS!$G$7)),IF(AM870&lt;69,BMILMS!$D$9*AM870^3+BMILMS!$E$9*AM870^2+BMILMS!$F$9*AM870+BMILMS!$G$9,IF(AM870&lt;150,BMILMS!$D$10*AM870^3+BMILMS!$E$10*AM870^2+BMILMS!$F$10*AM870+BMILMS!$G$10,BMILMS!$D$11*AM870^3+BMILMS!$E$11*AM870^2+BMILMS!$F$11*AM870+BMILMS!$G$11)))</f>
        <v>0.79584630099999998</v>
      </c>
      <c r="AK870" s="4">
        <f>IF(D870="M",(IF(AM870&lt;2.5,BMILMS!$D$21*AM870^3+BMILMS!$E$21*AM870^2+BMILMS!$F$21*AM870+BMILMS!$G$21,IF(AM870&lt;9.5,BMILMS!$D$22*AM870^3+BMILMS!$E$22*AM870^2+BMILMS!$F$22*AM870+BMILMS!$G$22,IF(AM870&lt;26.75,BMILMS!$D$23*AM870^3+BMILMS!$E$23*AM870^2+BMILMS!$F$23*AM870+BMILMS!$G$23,IF(AM870&lt;90,BMILMS!$D$24*AM870^3+BMILMS!$E$24*AM870^2+BMILMS!$F$24*AM870+BMILMS!$G$24,BMILMS!$D$25*AM870^3+BMILMS!$E$25*AM870^2+BMILMS!$F$25*AM870+BMILMS!$G$25))))),(IF(AM870&lt;2.5,BMILMS!$D$27*AM870^3+BMILMS!$E$27*AM870^2+BMILMS!$F$27*AM870+BMILMS!$G$27,IF(AM870&lt;9.5,BMILMS!$D$28*AM870^3+BMILMS!$E$28*AM870^2+BMILMS!$F$28*AM870+BMILMS!$G$28,IF(AM870&lt;26.75,BMILMS!$D$29*AM870^3+BMILMS!$E$29*AM870^2+BMILMS!$F$29*AM870+BMILMS!$G$29,IF(AM870&lt;90,BMILMS!$D$30*AM870^3+BMILMS!$E$30*AM870^2+BMILMS!$F$30*AM870+BMILMS!$G$30,IF(AM870&lt;150,BMILMS!$D$31*AM870^3+BMILMS!$E$31*AM870^2+BMILMS!$F$31*AM870+BMILMS!$G$31,BMILMS!$D$32*AM870^3+BMILMS!$E$32*AM870^2+BMILMS!$F$32*AM870+BMILMS!$G$32)))))))</f>
        <v>12.568967990000001</v>
      </c>
      <c r="AL870" s="4">
        <f>IF(D870="M",(IF(AM870&lt;90,BMILMS!$D$14*AM870^3+BMILMS!$E$14*AM870^2+BMILMS!$F$14*AM870+BMILMS!$G$14,BMILMS!$D$15*AM870^3+BMILMS!$E$15*AM870^2+BMILMS!$F$15*AM870+BMILMS!$G$15)),(IF(AM870&lt;90,BMILMS!$D$17*AM870^3+BMILMS!$E$17*AM870^2+BMILMS!$F$17*AM870+BMILMS!$G$17,BMILMS!$D$18*AM870^3+BMILMS!$E$18*AM870^2+BMILMS!$F$18*AM870+BMILMS!$G$18)))</f>
        <v>8.8969350000000003E-2</v>
      </c>
      <c r="AM870" s="4">
        <f t="shared" si="293"/>
        <v>0</v>
      </c>
      <c r="AO870" s="56">
        <f>IF(D870="M",WeightSDS!P$5*$AM870^7+WeightSDS!Q$5*$AM870^6+WeightSDS!R$5*$AM870^5+WeightSDS!S$5*$AM870^4+WeightSDS!T$5*$AM870^3+WeightSDS!U$5*$AM870^2+WeightSDS!V$5*$AM870+WeightSDS!W$5,IF($AM870&lt;186,WeightSDS!P$8*$AM870^7+WeightSDS!Q$8*$AM870^6+WeightSDS!R$8*$AM870^5+WeightSDS!S$8*$AM870^4+WeightSDS!T$8*$AM870^3+WeightSDS!U$8*$AM870^2+WeightSDS!V$8*$AM870+WeightSDS!W$8,WeightSDS!$U$9+WeightSDS!$V$9*($AM870-WeightSDS!$W$9)))</f>
        <v>0.75407122999999998</v>
      </c>
      <c r="AP870" s="4">
        <f>IF(D870="M",IF($AM870&lt;45,WeightSDS!M$23*$AM870^10+WeightSDS!N$23*$AM870^9+WeightSDS!O$23*$AM870^8+WeightSDS!P$23*$AM870^7+WeightSDS!Q$23*$AM870^6+WeightSDS!R$23*$AM870^5+WeightSDS!S$23*$AM870^4+WeightSDS!T$23*$AM870^3+WeightSDS!U$23*$AM870^2+WeightSDS!V$23*$AM870+WeightSDS!W$23,IF($AM870&lt;153,WeightSDS!M$25*$AM870^10+WeightSDS!N$25*$AM870^9+WeightSDS!O$25*$AM870^8+WeightSDS!P$25*$AM870^7+WeightSDS!Q$25*$AM870^6+WeightSDS!R$25*$AM870^5+WeightSDS!S$25*$AM870^4+WeightSDS!T$25*$AM870^3+WeightSDS!U$25*$AM870^2+WeightSDS!V$25*$AM870+WeightSDS!W$25,WeightSDS!M$27+WeightSDS!N$27/(1+EXP(WeightSDS!O$27+WeightSDS!P$27*$AM870)))),IF($AM870&lt;43.8,WeightSDS!M$29*$AM870^10+WeightSDS!N$29*$AM870^9+WeightSDS!O$29*$AM870^8+WeightSDS!P$29*$AM870^7+WeightSDS!Q$29*$AM870^6+WeightSDS!R$29*$AM870^5+WeightSDS!S$29*$AM870^4+WeightSDS!T$29*$AM870^3+WeightSDS!U$29*$AM870^2+WeightSDS!V$29*$AM870+WeightSDS!W$29-0.010431*(1-$AM870/210),IF($AM870&lt;123,WeightSDS!M$30*$AM870^10+WeightSDS!N$30*$AM870^9+WeightSDS!O$30*$AM870^8+WeightSDS!P$30*$AM870^7+WeightSDS!Q$30*$AM870^6+WeightSDS!R$30*$AM870^5+WeightSDS!S$30*$AM870^4+WeightSDS!T$30*$AM870^3+WeightSDS!U$30*$AM870^2+WeightSDS!V$30*$AM870+WeightSDS!W$30-0.010431*(1-1/$AM870),WeightSDS!M$32+WeightSDS!N$32/(1+EXP(WeightSDS!O$32+WeightSDS!P$32*$AM870))-0.010431*(1-$AM870/210))))</f>
        <v>2.9500001032655536</v>
      </c>
      <c r="AQ870" s="4">
        <f>IF(D870="M",IF($AM870&lt;162,WeightSDS!P$12*$AM870^7+WeightSDS!Q$12*$AM870^6+WeightSDS!R$12*$AM870^5+WeightSDS!S$12*$AM870^4+WeightSDS!T$12*$AM870^3+WeightSDS!U$12*$AM870^2+WeightSDS!V$12*$AM870+WeightSDS!W$12,WeightSDS!P$14*$AM870^7+WeightSDS!Q$14*$AM870^6+WeightSDS!R$14*$AM870^5+WeightSDS!S$14*$AM870^4+WeightSDS!T$14*$AM870^3+WeightSDS!U$14*$AM870^2+WeightSDS!V$14*$AM870+WeightSDS!W$14),IF($AM870&lt;156,WeightSDS!O$17*$AM870^8+WeightSDS!P$17*$AM870^7+WeightSDS!Q$17*$AM870^6+WeightSDS!R$17*$AM870^5+WeightSDS!S$17*$AM870^4+WeightSDS!T$17*$AM870^3+WeightSDS!U$17*$AM870^2+WeightSDS!V$17*$AM870+WeightSDS!W$17,IF($AM870&lt;186,WeightSDS!$U$18+(WeightSDS!$V$18-WeightSDS!$U$18)/24*($AM870-186)+WeightSDS!$W$18*(-$AM870+186)^2-0.005,WeightSDS!$U$18+(WeightSDS!$V$18-WeightSDS!$U$18)/24*($AM870-186)-0.005)))</f>
        <v>0.14604529399999999</v>
      </c>
      <c r="AT870" s="4">
        <f t="shared" si="280"/>
        <v>0.56299999999999994</v>
      </c>
      <c r="AU870" s="4">
        <f t="shared" si="281"/>
        <v>69</v>
      </c>
      <c r="AV870" s="4">
        <f t="shared" si="282"/>
        <v>0.51</v>
      </c>
    </row>
    <row r="871" spans="1:48" x14ac:dyDescent="0.15">
      <c r="A871" s="4"/>
      <c r="B871" s="21"/>
      <c r="C871" s="21"/>
      <c r="D871" s="21"/>
      <c r="E871" s="22"/>
      <c r="F871" s="22"/>
      <c r="G871" s="23"/>
      <c r="H871" s="23"/>
      <c r="I871" s="181"/>
      <c r="J871" s="8" t="str">
        <f t="shared" si="274"/>
        <v/>
      </c>
      <c r="K871" s="2" t="str">
        <f t="shared" si="283"/>
        <v/>
      </c>
      <c r="L871" s="2" t="str">
        <f t="shared" si="275"/>
        <v/>
      </c>
      <c r="M871" s="2" t="str">
        <f t="shared" si="284"/>
        <v/>
      </c>
      <c r="N871" s="2" t="str">
        <f t="shared" si="292"/>
        <v/>
      </c>
      <c r="O871" s="2" t="str">
        <f t="shared" si="285"/>
        <v/>
      </c>
      <c r="P871" s="8" t="str">
        <f t="shared" si="286"/>
        <v/>
      </c>
      <c r="Q871" s="8" t="str">
        <f t="shared" si="287"/>
        <v/>
      </c>
      <c r="R871" s="111" t="str">
        <f t="shared" si="288"/>
        <v/>
      </c>
      <c r="S871" s="44" t="str">
        <f t="shared" si="289"/>
        <v/>
      </c>
      <c r="T871" s="37" t="str">
        <f t="shared" si="290"/>
        <v/>
      </c>
      <c r="U871" s="44" t="str">
        <f t="shared" si="291"/>
        <v/>
      </c>
      <c r="V871" s="26"/>
      <c r="W871" s="26"/>
      <c r="X871" s="26"/>
      <c r="Y871" s="26"/>
      <c r="Z871" s="24"/>
      <c r="AA871" s="169">
        <f t="shared" si="276"/>
        <v>0</v>
      </c>
      <c r="AB871" s="4">
        <f t="shared" si="277"/>
        <v>0</v>
      </c>
      <c r="AC871" s="170">
        <f t="shared" si="294"/>
        <v>0</v>
      </c>
      <c r="AD871" s="58"/>
      <c r="AE871" s="58"/>
      <c r="AF871" s="58"/>
      <c r="AG871" s="59">
        <f t="shared" si="278"/>
        <v>9.0359999999999996</v>
      </c>
      <c r="AH871" s="59">
        <f t="shared" si="279"/>
        <v>-184.49199999999999</v>
      </c>
      <c r="AJ871" s="4">
        <f>IF(D871="M",IF(AM871&lt;78,BMILMS!$D$5*AM871^3+BMILMS!$E$5*AM871^2+BMILMS!$F$5*AM871+BMILMS!$G$5,IF(AM871&lt;150,BMILMS!$D$6*AM871^3+BMILMS!$E$6*AM871^2+BMILMS!$F$6*AM871+BMILMS!$G$6,BMILMS!$D$7*AM871^3+BMILMS!$E$7*AM871^2+BMILMS!$F$7*AM871+BMILMS!$G$7)),IF(AM871&lt;69,BMILMS!$D$9*AM871^3+BMILMS!$E$9*AM871^2+BMILMS!$F$9*AM871+BMILMS!$G$9,IF(AM871&lt;150,BMILMS!$D$10*AM871^3+BMILMS!$E$10*AM871^2+BMILMS!$F$10*AM871+BMILMS!$G$10,BMILMS!$D$11*AM871^3+BMILMS!$E$11*AM871^2+BMILMS!$F$11*AM871+BMILMS!$G$11)))</f>
        <v>0.79584630099999998</v>
      </c>
      <c r="AK871" s="4">
        <f>IF(D871="M",(IF(AM871&lt;2.5,BMILMS!$D$21*AM871^3+BMILMS!$E$21*AM871^2+BMILMS!$F$21*AM871+BMILMS!$G$21,IF(AM871&lt;9.5,BMILMS!$D$22*AM871^3+BMILMS!$E$22*AM871^2+BMILMS!$F$22*AM871+BMILMS!$G$22,IF(AM871&lt;26.75,BMILMS!$D$23*AM871^3+BMILMS!$E$23*AM871^2+BMILMS!$F$23*AM871+BMILMS!$G$23,IF(AM871&lt;90,BMILMS!$D$24*AM871^3+BMILMS!$E$24*AM871^2+BMILMS!$F$24*AM871+BMILMS!$G$24,BMILMS!$D$25*AM871^3+BMILMS!$E$25*AM871^2+BMILMS!$F$25*AM871+BMILMS!$G$25))))),(IF(AM871&lt;2.5,BMILMS!$D$27*AM871^3+BMILMS!$E$27*AM871^2+BMILMS!$F$27*AM871+BMILMS!$G$27,IF(AM871&lt;9.5,BMILMS!$D$28*AM871^3+BMILMS!$E$28*AM871^2+BMILMS!$F$28*AM871+BMILMS!$G$28,IF(AM871&lt;26.75,BMILMS!$D$29*AM871^3+BMILMS!$E$29*AM871^2+BMILMS!$F$29*AM871+BMILMS!$G$29,IF(AM871&lt;90,BMILMS!$D$30*AM871^3+BMILMS!$E$30*AM871^2+BMILMS!$F$30*AM871+BMILMS!$G$30,IF(AM871&lt;150,BMILMS!$D$31*AM871^3+BMILMS!$E$31*AM871^2+BMILMS!$F$31*AM871+BMILMS!$G$31,BMILMS!$D$32*AM871^3+BMILMS!$E$32*AM871^2+BMILMS!$F$32*AM871+BMILMS!$G$32)))))))</f>
        <v>12.568967990000001</v>
      </c>
      <c r="AL871" s="4">
        <f>IF(D871="M",(IF(AM871&lt;90,BMILMS!$D$14*AM871^3+BMILMS!$E$14*AM871^2+BMILMS!$F$14*AM871+BMILMS!$G$14,BMILMS!$D$15*AM871^3+BMILMS!$E$15*AM871^2+BMILMS!$F$15*AM871+BMILMS!$G$15)),(IF(AM871&lt;90,BMILMS!$D$17*AM871^3+BMILMS!$E$17*AM871^2+BMILMS!$F$17*AM871+BMILMS!$G$17,BMILMS!$D$18*AM871^3+BMILMS!$E$18*AM871^2+BMILMS!$F$18*AM871+BMILMS!$G$18)))</f>
        <v>8.8969350000000003E-2</v>
      </c>
      <c r="AM871" s="4">
        <f t="shared" si="293"/>
        <v>0</v>
      </c>
      <c r="AO871" s="56">
        <f>IF(D871="M",WeightSDS!P$5*$AM871^7+WeightSDS!Q$5*$AM871^6+WeightSDS!R$5*$AM871^5+WeightSDS!S$5*$AM871^4+WeightSDS!T$5*$AM871^3+WeightSDS!U$5*$AM871^2+WeightSDS!V$5*$AM871+WeightSDS!W$5,IF($AM871&lt;186,WeightSDS!P$8*$AM871^7+WeightSDS!Q$8*$AM871^6+WeightSDS!R$8*$AM871^5+WeightSDS!S$8*$AM871^4+WeightSDS!T$8*$AM871^3+WeightSDS!U$8*$AM871^2+WeightSDS!V$8*$AM871+WeightSDS!W$8,WeightSDS!$U$9+WeightSDS!$V$9*($AM871-WeightSDS!$W$9)))</f>
        <v>0.75407122999999998</v>
      </c>
      <c r="AP871" s="4">
        <f>IF(D871="M",IF($AM871&lt;45,WeightSDS!M$23*$AM871^10+WeightSDS!N$23*$AM871^9+WeightSDS!O$23*$AM871^8+WeightSDS!P$23*$AM871^7+WeightSDS!Q$23*$AM871^6+WeightSDS!R$23*$AM871^5+WeightSDS!S$23*$AM871^4+WeightSDS!T$23*$AM871^3+WeightSDS!U$23*$AM871^2+WeightSDS!V$23*$AM871+WeightSDS!W$23,IF($AM871&lt;153,WeightSDS!M$25*$AM871^10+WeightSDS!N$25*$AM871^9+WeightSDS!O$25*$AM871^8+WeightSDS!P$25*$AM871^7+WeightSDS!Q$25*$AM871^6+WeightSDS!R$25*$AM871^5+WeightSDS!S$25*$AM871^4+WeightSDS!T$25*$AM871^3+WeightSDS!U$25*$AM871^2+WeightSDS!V$25*$AM871+WeightSDS!W$25,WeightSDS!M$27+WeightSDS!N$27/(1+EXP(WeightSDS!O$27+WeightSDS!P$27*$AM871)))),IF($AM871&lt;43.8,WeightSDS!M$29*$AM871^10+WeightSDS!N$29*$AM871^9+WeightSDS!O$29*$AM871^8+WeightSDS!P$29*$AM871^7+WeightSDS!Q$29*$AM871^6+WeightSDS!R$29*$AM871^5+WeightSDS!S$29*$AM871^4+WeightSDS!T$29*$AM871^3+WeightSDS!U$29*$AM871^2+WeightSDS!V$29*$AM871+WeightSDS!W$29-0.010431*(1-$AM871/210),IF($AM871&lt;123,WeightSDS!M$30*$AM871^10+WeightSDS!N$30*$AM871^9+WeightSDS!O$30*$AM871^8+WeightSDS!P$30*$AM871^7+WeightSDS!Q$30*$AM871^6+WeightSDS!R$30*$AM871^5+WeightSDS!S$30*$AM871^4+WeightSDS!T$30*$AM871^3+WeightSDS!U$30*$AM871^2+WeightSDS!V$30*$AM871+WeightSDS!W$30-0.010431*(1-1/$AM871),WeightSDS!M$32+WeightSDS!N$32/(1+EXP(WeightSDS!O$32+WeightSDS!P$32*$AM871))-0.010431*(1-$AM871/210))))</f>
        <v>2.9500001032655536</v>
      </c>
      <c r="AQ871" s="4">
        <f>IF(D871="M",IF($AM871&lt;162,WeightSDS!P$12*$AM871^7+WeightSDS!Q$12*$AM871^6+WeightSDS!R$12*$AM871^5+WeightSDS!S$12*$AM871^4+WeightSDS!T$12*$AM871^3+WeightSDS!U$12*$AM871^2+WeightSDS!V$12*$AM871+WeightSDS!W$12,WeightSDS!P$14*$AM871^7+WeightSDS!Q$14*$AM871^6+WeightSDS!R$14*$AM871^5+WeightSDS!S$14*$AM871^4+WeightSDS!T$14*$AM871^3+WeightSDS!U$14*$AM871^2+WeightSDS!V$14*$AM871+WeightSDS!W$14),IF($AM871&lt;156,WeightSDS!O$17*$AM871^8+WeightSDS!P$17*$AM871^7+WeightSDS!Q$17*$AM871^6+WeightSDS!R$17*$AM871^5+WeightSDS!S$17*$AM871^4+WeightSDS!T$17*$AM871^3+WeightSDS!U$17*$AM871^2+WeightSDS!V$17*$AM871+WeightSDS!W$17,IF($AM871&lt;186,WeightSDS!$U$18+(WeightSDS!$V$18-WeightSDS!$U$18)/24*($AM871-186)+WeightSDS!$W$18*(-$AM871+186)^2-0.005,WeightSDS!$U$18+(WeightSDS!$V$18-WeightSDS!$U$18)/24*($AM871-186)-0.005)))</f>
        <v>0.14604529399999999</v>
      </c>
      <c r="AT871" s="4">
        <f t="shared" si="280"/>
        <v>0.56299999999999994</v>
      </c>
      <c r="AU871" s="4">
        <f t="shared" si="281"/>
        <v>69</v>
      </c>
      <c r="AV871" s="4">
        <f t="shared" si="282"/>
        <v>0.51</v>
      </c>
    </row>
    <row r="872" spans="1:48" x14ac:dyDescent="0.15">
      <c r="A872" s="4"/>
      <c r="B872" s="21"/>
      <c r="C872" s="21"/>
      <c r="D872" s="21"/>
      <c r="E872" s="22"/>
      <c r="F872" s="22"/>
      <c r="G872" s="23"/>
      <c r="H872" s="23"/>
      <c r="I872" s="181"/>
      <c r="J872" s="8" t="str">
        <f t="shared" si="274"/>
        <v/>
      </c>
      <c r="K872" s="2" t="str">
        <f t="shared" si="283"/>
        <v/>
      </c>
      <c r="L872" s="2" t="str">
        <f t="shared" si="275"/>
        <v/>
      </c>
      <c r="M872" s="2" t="str">
        <f t="shared" si="284"/>
        <v/>
      </c>
      <c r="N872" s="2" t="str">
        <f t="shared" si="292"/>
        <v/>
      </c>
      <c r="O872" s="2" t="str">
        <f t="shared" si="285"/>
        <v/>
      </c>
      <c r="P872" s="8" t="str">
        <f t="shared" si="286"/>
        <v/>
      </c>
      <c r="Q872" s="8" t="str">
        <f t="shared" si="287"/>
        <v/>
      </c>
      <c r="R872" s="111" t="str">
        <f t="shared" si="288"/>
        <v/>
      </c>
      <c r="S872" s="44" t="str">
        <f t="shared" si="289"/>
        <v/>
      </c>
      <c r="T872" s="37" t="str">
        <f t="shared" si="290"/>
        <v/>
      </c>
      <c r="U872" s="44" t="str">
        <f t="shared" si="291"/>
        <v/>
      </c>
      <c r="V872" s="26"/>
      <c r="W872" s="26"/>
      <c r="X872" s="26"/>
      <c r="Y872" s="26"/>
      <c r="Z872" s="24"/>
      <c r="AA872" s="169">
        <f t="shared" si="276"/>
        <v>0</v>
      </c>
      <c r="AB872" s="4">
        <f t="shared" si="277"/>
        <v>0</v>
      </c>
      <c r="AC872" s="170">
        <f t="shared" si="294"/>
        <v>0</v>
      </c>
      <c r="AD872" s="58"/>
      <c r="AE872" s="58"/>
      <c r="AF872" s="58"/>
      <c r="AG872" s="59">
        <f t="shared" si="278"/>
        <v>9.0359999999999996</v>
      </c>
      <c r="AH872" s="59">
        <f t="shared" si="279"/>
        <v>-184.49199999999999</v>
      </c>
      <c r="AJ872" s="4">
        <f>IF(D872="M",IF(AM872&lt;78,BMILMS!$D$5*AM872^3+BMILMS!$E$5*AM872^2+BMILMS!$F$5*AM872+BMILMS!$G$5,IF(AM872&lt;150,BMILMS!$D$6*AM872^3+BMILMS!$E$6*AM872^2+BMILMS!$F$6*AM872+BMILMS!$G$6,BMILMS!$D$7*AM872^3+BMILMS!$E$7*AM872^2+BMILMS!$F$7*AM872+BMILMS!$G$7)),IF(AM872&lt;69,BMILMS!$D$9*AM872^3+BMILMS!$E$9*AM872^2+BMILMS!$F$9*AM872+BMILMS!$G$9,IF(AM872&lt;150,BMILMS!$D$10*AM872^3+BMILMS!$E$10*AM872^2+BMILMS!$F$10*AM872+BMILMS!$G$10,BMILMS!$D$11*AM872^3+BMILMS!$E$11*AM872^2+BMILMS!$F$11*AM872+BMILMS!$G$11)))</f>
        <v>0.79584630099999998</v>
      </c>
      <c r="AK872" s="4">
        <f>IF(D872="M",(IF(AM872&lt;2.5,BMILMS!$D$21*AM872^3+BMILMS!$E$21*AM872^2+BMILMS!$F$21*AM872+BMILMS!$G$21,IF(AM872&lt;9.5,BMILMS!$D$22*AM872^3+BMILMS!$E$22*AM872^2+BMILMS!$F$22*AM872+BMILMS!$G$22,IF(AM872&lt;26.75,BMILMS!$D$23*AM872^3+BMILMS!$E$23*AM872^2+BMILMS!$F$23*AM872+BMILMS!$G$23,IF(AM872&lt;90,BMILMS!$D$24*AM872^3+BMILMS!$E$24*AM872^2+BMILMS!$F$24*AM872+BMILMS!$G$24,BMILMS!$D$25*AM872^3+BMILMS!$E$25*AM872^2+BMILMS!$F$25*AM872+BMILMS!$G$25))))),(IF(AM872&lt;2.5,BMILMS!$D$27*AM872^3+BMILMS!$E$27*AM872^2+BMILMS!$F$27*AM872+BMILMS!$G$27,IF(AM872&lt;9.5,BMILMS!$D$28*AM872^3+BMILMS!$E$28*AM872^2+BMILMS!$F$28*AM872+BMILMS!$G$28,IF(AM872&lt;26.75,BMILMS!$D$29*AM872^3+BMILMS!$E$29*AM872^2+BMILMS!$F$29*AM872+BMILMS!$G$29,IF(AM872&lt;90,BMILMS!$D$30*AM872^3+BMILMS!$E$30*AM872^2+BMILMS!$F$30*AM872+BMILMS!$G$30,IF(AM872&lt;150,BMILMS!$D$31*AM872^3+BMILMS!$E$31*AM872^2+BMILMS!$F$31*AM872+BMILMS!$G$31,BMILMS!$D$32*AM872^3+BMILMS!$E$32*AM872^2+BMILMS!$F$32*AM872+BMILMS!$G$32)))))))</f>
        <v>12.568967990000001</v>
      </c>
      <c r="AL872" s="4">
        <f>IF(D872="M",(IF(AM872&lt;90,BMILMS!$D$14*AM872^3+BMILMS!$E$14*AM872^2+BMILMS!$F$14*AM872+BMILMS!$G$14,BMILMS!$D$15*AM872^3+BMILMS!$E$15*AM872^2+BMILMS!$F$15*AM872+BMILMS!$G$15)),(IF(AM872&lt;90,BMILMS!$D$17*AM872^3+BMILMS!$E$17*AM872^2+BMILMS!$F$17*AM872+BMILMS!$G$17,BMILMS!$D$18*AM872^3+BMILMS!$E$18*AM872^2+BMILMS!$F$18*AM872+BMILMS!$G$18)))</f>
        <v>8.8969350000000003E-2</v>
      </c>
      <c r="AM872" s="4">
        <f t="shared" si="293"/>
        <v>0</v>
      </c>
      <c r="AO872" s="56">
        <f>IF(D872="M",WeightSDS!P$5*$AM872^7+WeightSDS!Q$5*$AM872^6+WeightSDS!R$5*$AM872^5+WeightSDS!S$5*$AM872^4+WeightSDS!T$5*$AM872^3+WeightSDS!U$5*$AM872^2+WeightSDS!V$5*$AM872+WeightSDS!W$5,IF($AM872&lt;186,WeightSDS!P$8*$AM872^7+WeightSDS!Q$8*$AM872^6+WeightSDS!R$8*$AM872^5+WeightSDS!S$8*$AM872^4+WeightSDS!T$8*$AM872^3+WeightSDS!U$8*$AM872^2+WeightSDS!V$8*$AM872+WeightSDS!W$8,WeightSDS!$U$9+WeightSDS!$V$9*($AM872-WeightSDS!$W$9)))</f>
        <v>0.75407122999999998</v>
      </c>
      <c r="AP872" s="4">
        <f>IF(D872="M",IF($AM872&lt;45,WeightSDS!M$23*$AM872^10+WeightSDS!N$23*$AM872^9+WeightSDS!O$23*$AM872^8+WeightSDS!P$23*$AM872^7+WeightSDS!Q$23*$AM872^6+WeightSDS!R$23*$AM872^5+WeightSDS!S$23*$AM872^4+WeightSDS!T$23*$AM872^3+WeightSDS!U$23*$AM872^2+WeightSDS!V$23*$AM872+WeightSDS!W$23,IF($AM872&lt;153,WeightSDS!M$25*$AM872^10+WeightSDS!N$25*$AM872^9+WeightSDS!O$25*$AM872^8+WeightSDS!P$25*$AM872^7+WeightSDS!Q$25*$AM872^6+WeightSDS!R$25*$AM872^5+WeightSDS!S$25*$AM872^4+WeightSDS!T$25*$AM872^3+WeightSDS!U$25*$AM872^2+WeightSDS!V$25*$AM872+WeightSDS!W$25,WeightSDS!M$27+WeightSDS!N$27/(1+EXP(WeightSDS!O$27+WeightSDS!P$27*$AM872)))),IF($AM872&lt;43.8,WeightSDS!M$29*$AM872^10+WeightSDS!N$29*$AM872^9+WeightSDS!O$29*$AM872^8+WeightSDS!P$29*$AM872^7+WeightSDS!Q$29*$AM872^6+WeightSDS!R$29*$AM872^5+WeightSDS!S$29*$AM872^4+WeightSDS!T$29*$AM872^3+WeightSDS!U$29*$AM872^2+WeightSDS!V$29*$AM872+WeightSDS!W$29-0.010431*(1-$AM872/210),IF($AM872&lt;123,WeightSDS!M$30*$AM872^10+WeightSDS!N$30*$AM872^9+WeightSDS!O$30*$AM872^8+WeightSDS!P$30*$AM872^7+WeightSDS!Q$30*$AM872^6+WeightSDS!R$30*$AM872^5+WeightSDS!S$30*$AM872^4+WeightSDS!T$30*$AM872^3+WeightSDS!U$30*$AM872^2+WeightSDS!V$30*$AM872+WeightSDS!W$30-0.010431*(1-1/$AM872),WeightSDS!M$32+WeightSDS!N$32/(1+EXP(WeightSDS!O$32+WeightSDS!P$32*$AM872))-0.010431*(1-$AM872/210))))</f>
        <v>2.9500001032655536</v>
      </c>
      <c r="AQ872" s="4">
        <f>IF(D872="M",IF($AM872&lt;162,WeightSDS!P$12*$AM872^7+WeightSDS!Q$12*$AM872^6+WeightSDS!R$12*$AM872^5+WeightSDS!S$12*$AM872^4+WeightSDS!T$12*$AM872^3+WeightSDS!U$12*$AM872^2+WeightSDS!V$12*$AM872+WeightSDS!W$12,WeightSDS!P$14*$AM872^7+WeightSDS!Q$14*$AM872^6+WeightSDS!R$14*$AM872^5+WeightSDS!S$14*$AM872^4+WeightSDS!T$14*$AM872^3+WeightSDS!U$14*$AM872^2+WeightSDS!V$14*$AM872+WeightSDS!W$14),IF($AM872&lt;156,WeightSDS!O$17*$AM872^8+WeightSDS!P$17*$AM872^7+WeightSDS!Q$17*$AM872^6+WeightSDS!R$17*$AM872^5+WeightSDS!S$17*$AM872^4+WeightSDS!T$17*$AM872^3+WeightSDS!U$17*$AM872^2+WeightSDS!V$17*$AM872+WeightSDS!W$17,IF($AM872&lt;186,WeightSDS!$U$18+(WeightSDS!$V$18-WeightSDS!$U$18)/24*($AM872-186)+WeightSDS!$W$18*(-$AM872+186)^2-0.005,WeightSDS!$U$18+(WeightSDS!$V$18-WeightSDS!$U$18)/24*($AM872-186)-0.005)))</f>
        <v>0.14604529399999999</v>
      </c>
      <c r="AT872" s="4">
        <f t="shared" si="280"/>
        <v>0.56299999999999994</v>
      </c>
      <c r="AU872" s="4">
        <f t="shared" si="281"/>
        <v>69</v>
      </c>
      <c r="AV872" s="4">
        <f t="shared" si="282"/>
        <v>0.51</v>
      </c>
    </row>
    <row r="873" spans="1:48" x14ac:dyDescent="0.15">
      <c r="A873" s="4"/>
      <c r="B873" s="21"/>
      <c r="C873" s="21"/>
      <c r="D873" s="21"/>
      <c r="E873" s="22"/>
      <c r="F873" s="22"/>
      <c r="G873" s="23"/>
      <c r="H873" s="23"/>
      <c r="I873" s="181"/>
      <c r="J873" s="8" t="str">
        <f t="shared" si="274"/>
        <v/>
      </c>
      <c r="K873" s="2" t="str">
        <f t="shared" si="283"/>
        <v/>
      </c>
      <c r="L873" s="2" t="str">
        <f t="shared" si="275"/>
        <v/>
      </c>
      <c r="M873" s="2" t="str">
        <f t="shared" si="284"/>
        <v/>
      </c>
      <c r="N873" s="2" t="str">
        <f t="shared" si="292"/>
        <v/>
      </c>
      <c r="O873" s="2" t="str">
        <f t="shared" si="285"/>
        <v/>
      </c>
      <c r="P873" s="8" t="str">
        <f t="shared" si="286"/>
        <v/>
      </c>
      <c r="Q873" s="8" t="str">
        <f t="shared" si="287"/>
        <v/>
      </c>
      <c r="R873" s="111" t="str">
        <f t="shared" si="288"/>
        <v/>
      </c>
      <c r="S873" s="44" t="str">
        <f t="shared" si="289"/>
        <v/>
      </c>
      <c r="T873" s="37" t="str">
        <f t="shared" si="290"/>
        <v/>
      </c>
      <c r="U873" s="44" t="str">
        <f t="shared" si="291"/>
        <v/>
      </c>
      <c r="V873" s="26"/>
      <c r="W873" s="26"/>
      <c r="X873" s="26"/>
      <c r="Y873" s="26"/>
      <c r="Z873" s="24"/>
      <c r="AA873" s="169">
        <f t="shared" si="276"/>
        <v>0</v>
      </c>
      <c r="AB873" s="4">
        <f t="shared" si="277"/>
        <v>0</v>
      </c>
      <c r="AC873" s="170">
        <f t="shared" si="294"/>
        <v>0</v>
      </c>
      <c r="AD873" s="58"/>
      <c r="AE873" s="58"/>
      <c r="AF873" s="58"/>
      <c r="AG873" s="59">
        <f t="shared" si="278"/>
        <v>9.0359999999999996</v>
      </c>
      <c r="AH873" s="59">
        <f t="shared" si="279"/>
        <v>-184.49199999999999</v>
      </c>
      <c r="AJ873" s="4">
        <f>IF(D873="M",IF(AM873&lt;78,BMILMS!$D$5*AM873^3+BMILMS!$E$5*AM873^2+BMILMS!$F$5*AM873+BMILMS!$G$5,IF(AM873&lt;150,BMILMS!$D$6*AM873^3+BMILMS!$E$6*AM873^2+BMILMS!$F$6*AM873+BMILMS!$G$6,BMILMS!$D$7*AM873^3+BMILMS!$E$7*AM873^2+BMILMS!$F$7*AM873+BMILMS!$G$7)),IF(AM873&lt;69,BMILMS!$D$9*AM873^3+BMILMS!$E$9*AM873^2+BMILMS!$F$9*AM873+BMILMS!$G$9,IF(AM873&lt;150,BMILMS!$D$10*AM873^3+BMILMS!$E$10*AM873^2+BMILMS!$F$10*AM873+BMILMS!$G$10,BMILMS!$D$11*AM873^3+BMILMS!$E$11*AM873^2+BMILMS!$F$11*AM873+BMILMS!$G$11)))</f>
        <v>0.79584630099999998</v>
      </c>
      <c r="AK873" s="4">
        <f>IF(D873="M",(IF(AM873&lt;2.5,BMILMS!$D$21*AM873^3+BMILMS!$E$21*AM873^2+BMILMS!$F$21*AM873+BMILMS!$G$21,IF(AM873&lt;9.5,BMILMS!$D$22*AM873^3+BMILMS!$E$22*AM873^2+BMILMS!$F$22*AM873+BMILMS!$G$22,IF(AM873&lt;26.75,BMILMS!$D$23*AM873^3+BMILMS!$E$23*AM873^2+BMILMS!$F$23*AM873+BMILMS!$G$23,IF(AM873&lt;90,BMILMS!$D$24*AM873^3+BMILMS!$E$24*AM873^2+BMILMS!$F$24*AM873+BMILMS!$G$24,BMILMS!$D$25*AM873^3+BMILMS!$E$25*AM873^2+BMILMS!$F$25*AM873+BMILMS!$G$25))))),(IF(AM873&lt;2.5,BMILMS!$D$27*AM873^3+BMILMS!$E$27*AM873^2+BMILMS!$F$27*AM873+BMILMS!$G$27,IF(AM873&lt;9.5,BMILMS!$D$28*AM873^3+BMILMS!$E$28*AM873^2+BMILMS!$F$28*AM873+BMILMS!$G$28,IF(AM873&lt;26.75,BMILMS!$D$29*AM873^3+BMILMS!$E$29*AM873^2+BMILMS!$F$29*AM873+BMILMS!$G$29,IF(AM873&lt;90,BMILMS!$D$30*AM873^3+BMILMS!$E$30*AM873^2+BMILMS!$F$30*AM873+BMILMS!$G$30,IF(AM873&lt;150,BMILMS!$D$31*AM873^3+BMILMS!$E$31*AM873^2+BMILMS!$F$31*AM873+BMILMS!$G$31,BMILMS!$D$32*AM873^3+BMILMS!$E$32*AM873^2+BMILMS!$F$32*AM873+BMILMS!$G$32)))))))</f>
        <v>12.568967990000001</v>
      </c>
      <c r="AL873" s="4">
        <f>IF(D873="M",(IF(AM873&lt;90,BMILMS!$D$14*AM873^3+BMILMS!$E$14*AM873^2+BMILMS!$F$14*AM873+BMILMS!$G$14,BMILMS!$D$15*AM873^3+BMILMS!$E$15*AM873^2+BMILMS!$F$15*AM873+BMILMS!$G$15)),(IF(AM873&lt;90,BMILMS!$D$17*AM873^3+BMILMS!$E$17*AM873^2+BMILMS!$F$17*AM873+BMILMS!$G$17,BMILMS!$D$18*AM873^3+BMILMS!$E$18*AM873^2+BMILMS!$F$18*AM873+BMILMS!$G$18)))</f>
        <v>8.8969350000000003E-2</v>
      </c>
      <c r="AM873" s="4">
        <f t="shared" si="293"/>
        <v>0</v>
      </c>
      <c r="AO873" s="56">
        <f>IF(D873="M",WeightSDS!P$5*$AM873^7+WeightSDS!Q$5*$AM873^6+WeightSDS!R$5*$AM873^5+WeightSDS!S$5*$AM873^4+WeightSDS!T$5*$AM873^3+WeightSDS!U$5*$AM873^2+WeightSDS!V$5*$AM873+WeightSDS!W$5,IF($AM873&lt;186,WeightSDS!P$8*$AM873^7+WeightSDS!Q$8*$AM873^6+WeightSDS!R$8*$AM873^5+WeightSDS!S$8*$AM873^4+WeightSDS!T$8*$AM873^3+WeightSDS!U$8*$AM873^2+WeightSDS!V$8*$AM873+WeightSDS!W$8,WeightSDS!$U$9+WeightSDS!$V$9*($AM873-WeightSDS!$W$9)))</f>
        <v>0.75407122999999998</v>
      </c>
      <c r="AP873" s="4">
        <f>IF(D873="M",IF($AM873&lt;45,WeightSDS!M$23*$AM873^10+WeightSDS!N$23*$AM873^9+WeightSDS!O$23*$AM873^8+WeightSDS!P$23*$AM873^7+WeightSDS!Q$23*$AM873^6+WeightSDS!R$23*$AM873^5+WeightSDS!S$23*$AM873^4+WeightSDS!T$23*$AM873^3+WeightSDS!U$23*$AM873^2+WeightSDS!V$23*$AM873+WeightSDS!W$23,IF($AM873&lt;153,WeightSDS!M$25*$AM873^10+WeightSDS!N$25*$AM873^9+WeightSDS!O$25*$AM873^8+WeightSDS!P$25*$AM873^7+WeightSDS!Q$25*$AM873^6+WeightSDS!R$25*$AM873^5+WeightSDS!S$25*$AM873^4+WeightSDS!T$25*$AM873^3+WeightSDS!U$25*$AM873^2+WeightSDS!V$25*$AM873+WeightSDS!W$25,WeightSDS!M$27+WeightSDS!N$27/(1+EXP(WeightSDS!O$27+WeightSDS!P$27*$AM873)))),IF($AM873&lt;43.8,WeightSDS!M$29*$AM873^10+WeightSDS!N$29*$AM873^9+WeightSDS!O$29*$AM873^8+WeightSDS!P$29*$AM873^7+WeightSDS!Q$29*$AM873^6+WeightSDS!R$29*$AM873^5+WeightSDS!S$29*$AM873^4+WeightSDS!T$29*$AM873^3+WeightSDS!U$29*$AM873^2+WeightSDS!V$29*$AM873+WeightSDS!W$29-0.010431*(1-$AM873/210),IF($AM873&lt;123,WeightSDS!M$30*$AM873^10+WeightSDS!N$30*$AM873^9+WeightSDS!O$30*$AM873^8+WeightSDS!P$30*$AM873^7+WeightSDS!Q$30*$AM873^6+WeightSDS!R$30*$AM873^5+WeightSDS!S$30*$AM873^4+WeightSDS!T$30*$AM873^3+WeightSDS!U$30*$AM873^2+WeightSDS!V$30*$AM873+WeightSDS!W$30-0.010431*(1-1/$AM873),WeightSDS!M$32+WeightSDS!N$32/(1+EXP(WeightSDS!O$32+WeightSDS!P$32*$AM873))-0.010431*(1-$AM873/210))))</f>
        <v>2.9500001032655536</v>
      </c>
      <c r="AQ873" s="4">
        <f>IF(D873="M",IF($AM873&lt;162,WeightSDS!P$12*$AM873^7+WeightSDS!Q$12*$AM873^6+WeightSDS!R$12*$AM873^5+WeightSDS!S$12*$AM873^4+WeightSDS!T$12*$AM873^3+WeightSDS!U$12*$AM873^2+WeightSDS!V$12*$AM873+WeightSDS!W$12,WeightSDS!P$14*$AM873^7+WeightSDS!Q$14*$AM873^6+WeightSDS!R$14*$AM873^5+WeightSDS!S$14*$AM873^4+WeightSDS!T$14*$AM873^3+WeightSDS!U$14*$AM873^2+WeightSDS!V$14*$AM873+WeightSDS!W$14),IF($AM873&lt;156,WeightSDS!O$17*$AM873^8+WeightSDS!P$17*$AM873^7+WeightSDS!Q$17*$AM873^6+WeightSDS!R$17*$AM873^5+WeightSDS!S$17*$AM873^4+WeightSDS!T$17*$AM873^3+WeightSDS!U$17*$AM873^2+WeightSDS!V$17*$AM873+WeightSDS!W$17,IF($AM873&lt;186,WeightSDS!$U$18+(WeightSDS!$V$18-WeightSDS!$U$18)/24*($AM873-186)+WeightSDS!$W$18*(-$AM873+186)^2-0.005,WeightSDS!$U$18+(WeightSDS!$V$18-WeightSDS!$U$18)/24*($AM873-186)-0.005)))</f>
        <v>0.14604529399999999</v>
      </c>
      <c r="AT873" s="4">
        <f t="shared" si="280"/>
        <v>0.56299999999999994</v>
      </c>
      <c r="AU873" s="4">
        <f t="shared" si="281"/>
        <v>69</v>
      </c>
      <c r="AV873" s="4">
        <f t="shared" si="282"/>
        <v>0.51</v>
      </c>
    </row>
    <row r="874" spans="1:48" x14ac:dyDescent="0.15">
      <c r="A874" s="4"/>
      <c r="B874" s="21"/>
      <c r="C874" s="21"/>
      <c r="D874" s="21"/>
      <c r="E874" s="22"/>
      <c r="F874" s="22"/>
      <c r="G874" s="23"/>
      <c r="H874" s="23"/>
      <c r="I874" s="181"/>
      <c r="J874" s="8" t="str">
        <f t="shared" si="274"/>
        <v/>
      </c>
      <c r="K874" s="2" t="str">
        <f t="shared" si="283"/>
        <v/>
      </c>
      <c r="L874" s="2" t="str">
        <f t="shared" si="275"/>
        <v/>
      </c>
      <c r="M874" s="2" t="str">
        <f t="shared" si="284"/>
        <v/>
      </c>
      <c r="N874" s="2" t="str">
        <f t="shared" si="292"/>
        <v/>
      </c>
      <c r="O874" s="2" t="str">
        <f t="shared" si="285"/>
        <v/>
      </c>
      <c r="P874" s="8" t="str">
        <f t="shared" si="286"/>
        <v/>
      </c>
      <c r="Q874" s="8" t="str">
        <f t="shared" si="287"/>
        <v/>
      </c>
      <c r="R874" s="111" t="str">
        <f t="shared" si="288"/>
        <v/>
      </c>
      <c r="S874" s="44" t="str">
        <f t="shared" si="289"/>
        <v/>
      </c>
      <c r="T874" s="37" t="str">
        <f t="shared" si="290"/>
        <v/>
      </c>
      <c r="U874" s="44" t="str">
        <f t="shared" si="291"/>
        <v/>
      </c>
      <c r="V874" s="26"/>
      <c r="W874" s="26"/>
      <c r="X874" s="26"/>
      <c r="Y874" s="26"/>
      <c r="Z874" s="24"/>
      <c r="AA874" s="169">
        <f t="shared" si="276"/>
        <v>0</v>
      </c>
      <c r="AB874" s="4">
        <f t="shared" si="277"/>
        <v>0</v>
      </c>
      <c r="AC874" s="170">
        <f t="shared" si="294"/>
        <v>0</v>
      </c>
      <c r="AD874" s="58"/>
      <c r="AE874" s="58"/>
      <c r="AF874" s="58"/>
      <c r="AG874" s="59">
        <f t="shared" si="278"/>
        <v>9.0359999999999996</v>
      </c>
      <c r="AH874" s="59">
        <f t="shared" si="279"/>
        <v>-184.49199999999999</v>
      </c>
      <c r="AJ874" s="4">
        <f>IF(D874="M",IF(AM874&lt;78,BMILMS!$D$5*AM874^3+BMILMS!$E$5*AM874^2+BMILMS!$F$5*AM874+BMILMS!$G$5,IF(AM874&lt;150,BMILMS!$D$6*AM874^3+BMILMS!$E$6*AM874^2+BMILMS!$F$6*AM874+BMILMS!$G$6,BMILMS!$D$7*AM874^3+BMILMS!$E$7*AM874^2+BMILMS!$F$7*AM874+BMILMS!$G$7)),IF(AM874&lt;69,BMILMS!$D$9*AM874^3+BMILMS!$E$9*AM874^2+BMILMS!$F$9*AM874+BMILMS!$G$9,IF(AM874&lt;150,BMILMS!$D$10*AM874^3+BMILMS!$E$10*AM874^2+BMILMS!$F$10*AM874+BMILMS!$G$10,BMILMS!$D$11*AM874^3+BMILMS!$E$11*AM874^2+BMILMS!$F$11*AM874+BMILMS!$G$11)))</f>
        <v>0.79584630099999998</v>
      </c>
      <c r="AK874" s="4">
        <f>IF(D874="M",(IF(AM874&lt;2.5,BMILMS!$D$21*AM874^3+BMILMS!$E$21*AM874^2+BMILMS!$F$21*AM874+BMILMS!$G$21,IF(AM874&lt;9.5,BMILMS!$D$22*AM874^3+BMILMS!$E$22*AM874^2+BMILMS!$F$22*AM874+BMILMS!$G$22,IF(AM874&lt;26.75,BMILMS!$D$23*AM874^3+BMILMS!$E$23*AM874^2+BMILMS!$F$23*AM874+BMILMS!$G$23,IF(AM874&lt;90,BMILMS!$D$24*AM874^3+BMILMS!$E$24*AM874^2+BMILMS!$F$24*AM874+BMILMS!$G$24,BMILMS!$D$25*AM874^3+BMILMS!$E$25*AM874^2+BMILMS!$F$25*AM874+BMILMS!$G$25))))),(IF(AM874&lt;2.5,BMILMS!$D$27*AM874^3+BMILMS!$E$27*AM874^2+BMILMS!$F$27*AM874+BMILMS!$G$27,IF(AM874&lt;9.5,BMILMS!$D$28*AM874^3+BMILMS!$E$28*AM874^2+BMILMS!$F$28*AM874+BMILMS!$G$28,IF(AM874&lt;26.75,BMILMS!$D$29*AM874^3+BMILMS!$E$29*AM874^2+BMILMS!$F$29*AM874+BMILMS!$G$29,IF(AM874&lt;90,BMILMS!$D$30*AM874^3+BMILMS!$E$30*AM874^2+BMILMS!$F$30*AM874+BMILMS!$G$30,IF(AM874&lt;150,BMILMS!$D$31*AM874^3+BMILMS!$E$31*AM874^2+BMILMS!$F$31*AM874+BMILMS!$G$31,BMILMS!$D$32*AM874^3+BMILMS!$E$32*AM874^2+BMILMS!$F$32*AM874+BMILMS!$G$32)))))))</f>
        <v>12.568967990000001</v>
      </c>
      <c r="AL874" s="4">
        <f>IF(D874="M",(IF(AM874&lt;90,BMILMS!$D$14*AM874^3+BMILMS!$E$14*AM874^2+BMILMS!$F$14*AM874+BMILMS!$G$14,BMILMS!$D$15*AM874^3+BMILMS!$E$15*AM874^2+BMILMS!$F$15*AM874+BMILMS!$G$15)),(IF(AM874&lt;90,BMILMS!$D$17*AM874^3+BMILMS!$E$17*AM874^2+BMILMS!$F$17*AM874+BMILMS!$G$17,BMILMS!$D$18*AM874^3+BMILMS!$E$18*AM874^2+BMILMS!$F$18*AM874+BMILMS!$G$18)))</f>
        <v>8.8969350000000003E-2</v>
      </c>
      <c r="AM874" s="4">
        <f t="shared" si="293"/>
        <v>0</v>
      </c>
      <c r="AO874" s="56">
        <f>IF(D874="M",WeightSDS!P$5*$AM874^7+WeightSDS!Q$5*$AM874^6+WeightSDS!R$5*$AM874^5+WeightSDS!S$5*$AM874^4+WeightSDS!T$5*$AM874^3+WeightSDS!U$5*$AM874^2+WeightSDS!V$5*$AM874+WeightSDS!W$5,IF($AM874&lt;186,WeightSDS!P$8*$AM874^7+WeightSDS!Q$8*$AM874^6+WeightSDS!R$8*$AM874^5+WeightSDS!S$8*$AM874^4+WeightSDS!T$8*$AM874^3+WeightSDS!U$8*$AM874^2+WeightSDS!V$8*$AM874+WeightSDS!W$8,WeightSDS!$U$9+WeightSDS!$V$9*($AM874-WeightSDS!$W$9)))</f>
        <v>0.75407122999999998</v>
      </c>
      <c r="AP874" s="4">
        <f>IF(D874="M",IF($AM874&lt;45,WeightSDS!M$23*$AM874^10+WeightSDS!N$23*$AM874^9+WeightSDS!O$23*$AM874^8+WeightSDS!P$23*$AM874^7+WeightSDS!Q$23*$AM874^6+WeightSDS!R$23*$AM874^5+WeightSDS!S$23*$AM874^4+WeightSDS!T$23*$AM874^3+WeightSDS!U$23*$AM874^2+WeightSDS!V$23*$AM874+WeightSDS!W$23,IF($AM874&lt;153,WeightSDS!M$25*$AM874^10+WeightSDS!N$25*$AM874^9+WeightSDS!O$25*$AM874^8+WeightSDS!P$25*$AM874^7+WeightSDS!Q$25*$AM874^6+WeightSDS!R$25*$AM874^5+WeightSDS!S$25*$AM874^4+WeightSDS!T$25*$AM874^3+WeightSDS!U$25*$AM874^2+WeightSDS!V$25*$AM874+WeightSDS!W$25,WeightSDS!M$27+WeightSDS!N$27/(1+EXP(WeightSDS!O$27+WeightSDS!P$27*$AM874)))),IF($AM874&lt;43.8,WeightSDS!M$29*$AM874^10+WeightSDS!N$29*$AM874^9+WeightSDS!O$29*$AM874^8+WeightSDS!P$29*$AM874^7+WeightSDS!Q$29*$AM874^6+WeightSDS!R$29*$AM874^5+WeightSDS!S$29*$AM874^4+WeightSDS!T$29*$AM874^3+WeightSDS!U$29*$AM874^2+WeightSDS!V$29*$AM874+WeightSDS!W$29-0.010431*(1-$AM874/210),IF($AM874&lt;123,WeightSDS!M$30*$AM874^10+WeightSDS!N$30*$AM874^9+WeightSDS!O$30*$AM874^8+WeightSDS!P$30*$AM874^7+WeightSDS!Q$30*$AM874^6+WeightSDS!R$30*$AM874^5+WeightSDS!S$30*$AM874^4+WeightSDS!T$30*$AM874^3+WeightSDS!U$30*$AM874^2+WeightSDS!V$30*$AM874+WeightSDS!W$30-0.010431*(1-1/$AM874),WeightSDS!M$32+WeightSDS!N$32/(1+EXP(WeightSDS!O$32+WeightSDS!P$32*$AM874))-0.010431*(1-$AM874/210))))</f>
        <v>2.9500001032655536</v>
      </c>
      <c r="AQ874" s="4">
        <f>IF(D874="M",IF($AM874&lt;162,WeightSDS!P$12*$AM874^7+WeightSDS!Q$12*$AM874^6+WeightSDS!R$12*$AM874^5+WeightSDS!S$12*$AM874^4+WeightSDS!T$12*$AM874^3+WeightSDS!U$12*$AM874^2+WeightSDS!V$12*$AM874+WeightSDS!W$12,WeightSDS!P$14*$AM874^7+WeightSDS!Q$14*$AM874^6+WeightSDS!R$14*$AM874^5+WeightSDS!S$14*$AM874^4+WeightSDS!T$14*$AM874^3+WeightSDS!U$14*$AM874^2+WeightSDS!V$14*$AM874+WeightSDS!W$14),IF($AM874&lt;156,WeightSDS!O$17*$AM874^8+WeightSDS!P$17*$AM874^7+WeightSDS!Q$17*$AM874^6+WeightSDS!R$17*$AM874^5+WeightSDS!S$17*$AM874^4+WeightSDS!T$17*$AM874^3+WeightSDS!U$17*$AM874^2+WeightSDS!V$17*$AM874+WeightSDS!W$17,IF($AM874&lt;186,WeightSDS!$U$18+(WeightSDS!$V$18-WeightSDS!$U$18)/24*($AM874-186)+WeightSDS!$W$18*(-$AM874+186)^2-0.005,WeightSDS!$U$18+(WeightSDS!$V$18-WeightSDS!$U$18)/24*($AM874-186)-0.005)))</f>
        <v>0.14604529399999999</v>
      </c>
      <c r="AT874" s="4">
        <f t="shared" si="280"/>
        <v>0.56299999999999994</v>
      </c>
      <c r="AU874" s="4">
        <f t="shared" si="281"/>
        <v>69</v>
      </c>
      <c r="AV874" s="4">
        <f t="shared" si="282"/>
        <v>0.51</v>
      </c>
    </row>
    <row r="875" spans="1:48" x14ac:dyDescent="0.15">
      <c r="A875" s="4"/>
      <c r="B875" s="21"/>
      <c r="C875" s="21"/>
      <c r="D875" s="21"/>
      <c r="E875" s="22"/>
      <c r="F875" s="22"/>
      <c r="G875" s="23"/>
      <c r="H875" s="23"/>
      <c r="I875" s="181"/>
      <c r="J875" s="8" t="str">
        <f t="shared" si="274"/>
        <v/>
      </c>
      <c r="K875" s="2" t="str">
        <f t="shared" si="283"/>
        <v/>
      </c>
      <c r="L875" s="2" t="str">
        <f t="shared" si="275"/>
        <v/>
      </c>
      <c r="M875" s="2" t="str">
        <f t="shared" si="284"/>
        <v/>
      </c>
      <c r="N875" s="2" t="str">
        <f t="shared" si="292"/>
        <v/>
      </c>
      <c r="O875" s="2" t="str">
        <f t="shared" si="285"/>
        <v/>
      </c>
      <c r="P875" s="8" t="str">
        <f t="shared" si="286"/>
        <v/>
      </c>
      <c r="Q875" s="8" t="str">
        <f t="shared" si="287"/>
        <v/>
      </c>
      <c r="R875" s="111" t="str">
        <f t="shared" si="288"/>
        <v/>
      </c>
      <c r="S875" s="44" t="str">
        <f t="shared" si="289"/>
        <v/>
      </c>
      <c r="T875" s="37" t="str">
        <f t="shared" si="290"/>
        <v/>
      </c>
      <c r="U875" s="44" t="str">
        <f t="shared" si="291"/>
        <v/>
      </c>
      <c r="V875" s="26"/>
      <c r="W875" s="26"/>
      <c r="X875" s="26"/>
      <c r="Y875" s="26"/>
      <c r="Z875" s="24"/>
      <c r="AA875" s="169">
        <f t="shared" si="276"/>
        <v>0</v>
      </c>
      <c r="AB875" s="4">
        <f t="shared" si="277"/>
        <v>0</v>
      </c>
      <c r="AC875" s="170">
        <f t="shared" si="294"/>
        <v>0</v>
      </c>
      <c r="AD875" s="58"/>
      <c r="AE875" s="58"/>
      <c r="AF875" s="58"/>
      <c r="AG875" s="59">
        <f t="shared" si="278"/>
        <v>9.0359999999999996</v>
      </c>
      <c r="AH875" s="59">
        <f t="shared" si="279"/>
        <v>-184.49199999999999</v>
      </c>
      <c r="AJ875" s="4">
        <f>IF(D875="M",IF(AM875&lt;78,BMILMS!$D$5*AM875^3+BMILMS!$E$5*AM875^2+BMILMS!$F$5*AM875+BMILMS!$G$5,IF(AM875&lt;150,BMILMS!$D$6*AM875^3+BMILMS!$E$6*AM875^2+BMILMS!$F$6*AM875+BMILMS!$G$6,BMILMS!$D$7*AM875^3+BMILMS!$E$7*AM875^2+BMILMS!$F$7*AM875+BMILMS!$G$7)),IF(AM875&lt;69,BMILMS!$D$9*AM875^3+BMILMS!$E$9*AM875^2+BMILMS!$F$9*AM875+BMILMS!$G$9,IF(AM875&lt;150,BMILMS!$D$10*AM875^3+BMILMS!$E$10*AM875^2+BMILMS!$F$10*AM875+BMILMS!$G$10,BMILMS!$D$11*AM875^3+BMILMS!$E$11*AM875^2+BMILMS!$F$11*AM875+BMILMS!$G$11)))</f>
        <v>0.79584630099999998</v>
      </c>
      <c r="AK875" s="4">
        <f>IF(D875="M",(IF(AM875&lt;2.5,BMILMS!$D$21*AM875^3+BMILMS!$E$21*AM875^2+BMILMS!$F$21*AM875+BMILMS!$G$21,IF(AM875&lt;9.5,BMILMS!$D$22*AM875^3+BMILMS!$E$22*AM875^2+BMILMS!$F$22*AM875+BMILMS!$G$22,IF(AM875&lt;26.75,BMILMS!$D$23*AM875^3+BMILMS!$E$23*AM875^2+BMILMS!$F$23*AM875+BMILMS!$G$23,IF(AM875&lt;90,BMILMS!$D$24*AM875^3+BMILMS!$E$24*AM875^2+BMILMS!$F$24*AM875+BMILMS!$G$24,BMILMS!$D$25*AM875^3+BMILMS!$E$25*AM875^2+BMILMS!$F$25*AM875+BMILMS!$G$25))))),(IF(AM875&lt;2.5,BMILMS!$D$27*AM875^3+BMILMS!$E$27*AM875^2+BMILMS!$F$27*AM875+BMILMS!$G$27,IF(AM875&lt;9.5,BMILMS!$D$28*AM875^3+BMILMS!$E$28*AM875^2+BMILMS!$F$28*AM875+BMILMS!$G$28,IF(AM875&lt;26.75,BMILMS!$D$29*AM875^3+BMILMS!$E$29*AM875^2+BMILMS!$F$29*AM875+BMILMS!$G$29,IF(AM875&lt;90,BMILMS!$D$30*AM875^3+BMILMS!$E$30*AM875^2+BMILMS!$F$30*AM875+BMILMS!$G$30,IF(AM875&lt;150,BMILMS!$D$31*AM875^3+BMILMS!$E$31*AM875^2+BMILMS!$F$31*AM875+BMILMS!$G$31,BMILMS!$D$32*AM875^3+BMILMS!$E$32*AM875^2+BMILMS!$F$32*AM875+BMILMS!$G$32)))))))</f>
        <v>12.568967990000001</v>
      </c>
      <c r="AL875" s="4">
        <f>IF(D875="M",(IF(AM875&lt;90,BMILMS!$D$14*AM875^3+BMILMS!$E$14*AM875^2+BMILMS!$F$14*AM875+BMILMS!$G$14,BMILMS!$D$15*AM875^3+BMILMS!$E$15*AM875^2+BMILMS!$F$15*AM875+BMILMS!$G$15)),(IF(AM875&lt;90,BMILMS!$D$17*AM875^3+BMILMS!$E$17*AM875^2+BMILMS!$F$17*AM875+BMILMS!$G$17,BMILMS!$D$18*AM875^3+BMILMS!$E$18*AM875^2+BMILMS!$F$18*AM875+BMILMS!$G$18)))</f>
        <v>8.8969350000000003E-2</v>
      </c>
      <c r="AM875" s="4">
        <f t="shared" si="293"/>
        <v>0</v>
      </c>
      <c r="AO875" s="56">
        <f>IF(D875="M",WeightSDS!P$5*$AM875^7+WeightSDS!Q$5*$AM875^6+WeightSDS!R$5*$AM875^5+WeightSDS!S$5*$AM875^4+WeightSDS!T$5*$AM875^3+WeightSDS!U$5*$AM875^2+WeightSDS!V$5*$AM875+WeightSDS!W$5,IF($AM875&lt;186,WeightSDS!P$8*$AM875^7+WeightSDS!Q$8*$AM875^6+WeightSDS!R$8*$AM875^5+WeightSDS!S$8*$AM875^4+WeightSDS!T$8*$AM875^3+WeightSDS!U$8*$AM875^2+WeightSDS!V$8*$AM875+WeightSDS!W$8,WeightSDS!$U$9+WeightSDS!$V$9*($AM875-WeightSDS!$W$9)))</f>
        <v>0.75407122999999998</v>
      </c>
      <c r="AP875" s="4">
        <f>IF(D875="M",IF($AM875&lt;45,WeightSDS!M$23*$AM875^10+WeightSDS!N$23*$AM875^9+WeightSDS!O$23*$AM875^8+WeightSDS!P$23*$AM875^7+WeightSDS!Q$23*$AM875^6+WeightSDS!R$23*$AM875^5+WeightSDS!S$23*$AM875^4+WeightSDS!T$23*$AM875^3+WeightSDS!U$23*$AM875^2+WeightSDS!V$23*$AM875+WeightSDS!W$23,IF($AM875&lt;153,WeightSDS!M$25*$AM875^10+WeightSDS!N$25*$AM875^9+WeightSDS!O$25*$AM875^8+WeightSDS!P$25*$AM875^7+WeightSDS!Q$25*$AM875^6+WeightSDS!R$25*$AM875^5+WeightSDS!S$25*$AM875^4+WeightSDS!T$25*$AM875^3+WeightSDS!U$25*$AM875^2+WeightSDS!V$25*$AM875+WeightSDS!W$25,WeightSDS!M$27+WeightSDS!N$27/(1+EXP(WeightSDS!O$27+WeightSDS!P$27*$AM875)))),IF($AM875&lt;43.8,WeightSDS!M$29*$AM875^10+WeightSDS!N$29*$AM875^9+WeightSDS!O$29*$AM875^8+WeightSDS!P$29*$AM875^7+WeightSDS!Q$29*$AM875^6+WeightSDS!R$29*$AM875^5+WeightSDS!S$29*$AM875^4+WeightSDS!T$29*$AM875^3+WeightSDS!U$29*$AM875^2+WeightSDS!V$29*$AM875+WeightSDS!W$29-0.010431*(1-$AM875/210),IF($AM875&lt;123,WeightSDS!M$30*$AM875^10+WeightSDS!N$30*$AM875^9+WeightSDS!O$30*$AM875^8+WeightSDS!P$30*$AM875^7+WeightSDS!Q$30*$AM875^6+WeightSDS!R$30*$AM875^5+WeightSDS!S$30*$AM875^4+WeightSDS!T$30*$AM875^3+WeightSDS!U$30*$AM875^2+WeightSDS!V$30*$AM875+WeightSDS!W$30-0.010431*(1-1/$AM875),WeightSDS!M$32+WeightSDS!N$32/(1+EXP(WeightSDS!O$32+WeightSDS!P$32*$AM875))-0.010431*(1-$AM875/210))))</f>
        <v>2.9500001032655536</v>
      </c>
      <c r="AQ875" s="4">
        <f>IF(D875="M",IF($AM875&lt;162,WeightSDS!P$12*$AM875^7+WeightSDS!Q$12*$AM875^6+WeightSDS!R$12*$AM875^5+WeightSDS!S$12*$AM875^4+WeightSDS!T$12*$AM875^3+WeightSDS!U$12*$AM875^2+WeightSDS!V$12*$AM875+WeightSDS!W$12,WeightSDS!P$14*$AM875^7+WeightSDS!Q$14*$AM875^6+WeightSDS!R$14*$AM875^5+WeightSDS!S$14*$AM875^4+WeightSDS!T$14*$AM875^3+WeightSDS!U$14*$AM875^2+WeightSDS!V$14*$AM875+WeightSDS!W$14),IF($AM875&lt;156,WeightSDS!O$17*$AM875^8+WeightSDS!P$17*$AM875^7+WeightSDS!Q$17*$AM875^6+WeightSDS!R$17*$AM875^5+WeightSDS!S$17*$AM875^4+WeightSDS!T$17*$AM875^3+WeightSDS!U$17*$AM875^2+WeightSDS!V$17*$AM875+WeightSDS!W$17,IF($AM875&lt;186,WeightSDS!$U$18+(WeightSDS!$V$18-WeightSDS!$U$18)/24*($AM875-186)+WeightSDS!$W$18*(-$AM875+186)^2-0.005,WeightSDS!$U$18+(WeightSDS!$V$18-WeightSDS!$U$18)/24*($AM875-186)-0.005)))</f>
        <v>0.14604529399999999</v>
      </c>
      <c r="AT875" s="4">
        <f t="shared" si="280"/>
        <v>0.56299999999999994</v>
      </c>
      <c r="AU875" s="4">
        <f t="shared" si="281"/>
        <v>69</v>
      </c>
      <c r="AV875" s="4">
        <f t="shared" si="282"/>
        <v>0.51</v>
      </c>
    </row>
    <row r="876" spans="1:48" x14ac:dyDescent="0.15">
      <c r="A876" s="4"/>
      <c r="B876" s="21"/>
      <c r="C876" s="21"/>
      <c r="D876" s="21"/>
      <c r="E876" s="22"/>
      <c r="F876" s="22"/>
      <c r="G876" s="23"/>
      <c r="H876" s="23"/>
      <c r="I876" s="181"/>
      <c r="J876" s="8" t="str">
        <f t="shared" si="274"/>
        <v/>
      </c>
      <c r="K876" s="2" t="str">
        <f t="shared" si="283"/>
        <v/>
      </c>
      <c r="L876" s="2" t="str">
        <f t="shared" si="275"/>
        <v/>
      </c>
      <c r="M876" s="2" t="str">
        <f t="shared" si="284"/>
        <v/>
      </c>
      <c r="N876" s="2" t="str">
        <f t="shared" si="292"/>
        <v/>
      </c>
      <c r="O876" s="2" t="str">
        <f t="shared" si="285"/>
        <v/>
      </c>
      <c r="P876" s="8" t="str">
        <f t="shared" si="286"/>
        <v/>
      </c>
      <c r="Q876" s="8" t="str">
        <f t="shared" si="287"/>
        <v/>
      </c>
      <c r="R876" s="111" t="str">
        <f t="shared" si="288"/>
        <v/>
      </c>
      <c r="S876" s="44" t="str">
        <f t="shared" si="289"/>
        <v/>
      </c>
      <c r="T876" s="37" t="str">
        <f t="shared" si="290"/>
        <v/>
      </c>
      <c r="U876" s="44" t="str">
        <f t="shared" si="291"/>
        <v/>
      </c>
      <c r="V876" s="26"/>
      <c r="W876" s="26"/>
      <c r="X876" s="26"/>
      <c r="Y876" s="26"/>
      <c r="Z876" s="24"/>
      <c r="AA876" s="169">
        <f t="shared" si="276"/>
        <v>0</v>
      </c>
      <c r="AB876" s="4">
        <f t="shared" si="277"/>
        <v>0</v>
      </c>
      <c r="AC876" s="170">
        <f t="shared" si="294"/>
        <v>0</v>
      </c>
      <c r="AD876" s="58"/>
      <c r="AE876" s="58"/>
      <c r="AF876" s="58"/>
      <c r="AG876" s="59">
        <f t="shared" si="278"/>
        <v>9.0359999999999996</v>
      </c>
      <c r="AH876" s="59">
        <f t="shared" si="279"/>
        <v>-184.49199999999999</v>
      </c>
      <c r="AJ876" s="4">
        <f>IF(D876="M",IF(AM876&lt;78,BMILMS!$D$5*AM876^3+BMILMS!$E$5*AM876^2+BMILMS!$F$5*AM876+BMILMS!$G$5,IF(AM876&lt;150,BMILMS!$D$6*AM876^3+BMILMS!$E$6*AM876^2+BMILMS!$F$6*AM876+BMILMS!$G$6,BMILMS!$D$7*AM876^3+BMILMS!$E$7*AM876^2+BMILMS!$F$7*AM876+BMILMS!$G$7)),IF(AM876&lt;69,BMILMS!$D$9*AM876^3+BMILMS!$E$9*AM876^2+BMILMS!$F$9*AM876+BMILMS!$G$9,IF(AM876&lt;150,BMILMS!$D$10*AM876^3+BMILMS!$E$10*AM876^2+BMILMS!$F$10*AM876+BMILMS!$G$10,BMILMS!$D$11*AM876^3+BMILMS!$E$11*AM876^2+BMILMS!$F$11*AM876+BMILMS!$G$11)))</f>
        <v>0.79584630099999998</v>
      </c>
      <c r="AK876" s="4">
        <f>IF(D876="M",(IF(AM876&lt;2.5,BMILMS!$D$21*AM876^3+BMILMS!$E$21*AM876^2+BMILMS!$F$21*AM876+BMILMS!$G$21,IF(AM876&lt;9.5,BMILMS!$D$22*AM876^3+BMILMS!$E$22*AM876^2+BMILMS!$F$22*AM876+BMILMS!$G$22,IF(AM876&lt;26.75,BMILMS!$D$23*AM876^3+BMILMS!$E$23*AM876^2+BMILMS!$F$23*AM876+BMILMS!$G$23,IF(AM876&lt;90,BMILMS!$D$24*AM876^3+BMILMS!$E$24*AM876^2+BMILMS!$F$24*AM876+BMILMS!$G$24,BMILMS!$D$25*AM876^3+BMILMS!$E$25*AM876^2+BMILMS!$F$25*AM876+BMILMS!$G$25))))),(IF(AM876&lt;2.5,BMILMS!$D$27*AM876^3+BMILMS!$E$27*AM876^2+BMILMS!$F$27*AM876+BMILMS!$G$27,IF(AM876&lt;9.5,BMILMS!$D$28*AM876^3+BMILMS!$E$28*AM876^2+BMILMS!$F$28*AM876+BMILMS!$G$28,IF(AM876&lt;26.75,BMILMS!$D$29*AM876^3+BMILMS!$E$29*AM876^2+BMILMS!$F$29*AM876+BMILMS!$G$29,IF(AM876&lt;90,BMILMS!$D$30*AM876^3+BMILMS!$E$30*AM876^2+BMILMS!$F$30*AM876+BMILMS!$G$30,IF(AM876&lt;150,BMILMS!$D$31*AM876^3+BMILMS!$E$31*AM876^2+BMILMS!$F$31*AM876+BMILMS!$G$31,BMILMS!$D$32*AM876^3+BMILMS!$E$32*AM876^2+BMILMS!$F$32*AM876+BMILMS!$G$32)))))))</f>
        <v>12.568967990000001</v>
      </c>
      <c r="AL876" s="4">
        <f>IF(D876="M",(IF(AM876&lt;90,BMILMS!$D$14*AM876^3+BMILMS!$E$14*AM876^2+BMILMS!$F$14*AM876+BMILMS!$G$14,BMILMS!$D$15*AM876^3+BMILMS!$E$15*AM876^2+BMILMS!$F$15*AM876+BMILMS!$G$15)),(IF(AM876&lt;90,BMILMS!$D$17*AM876^3+BMILMS!$E$17*AM876^2+BMILMS!$F$17*AM876+BMILMS!$G$17,BMILMS!$D$18*AM876^3+BMILMS!$E$18*AM876^2+BMILMS!$F$18*AM876+BMILMS!$G$18)))</f>
        <v>8.8969350000000003E-2</v>
      </c>
      <c r="AM876" s="4">
        <f t="shared" si="293"/>
        <v>0</v>
      </c>
      <c r="AO876" s="56">
        <f>IF(D876="M",WeightSDS!P$5*$AM876^7+WeightSDS!Q$5*$AM876^6+WeightSDS!R$5*$AM876^5+WeightSDS!S$5*$AM876^4+WeightSDS!T$5*$AM876^3+WeightSDS!U$5*$AM876^2+WeightSDS!V$5*$AM876+WeightSDS!W$5,IF($AM876&lt;186,WeightSDS!P$8*$AM876^7+WeightSDS!Q$8*$AM876^6+WeightSDS!R$8*$AM876^5+WeightSDS!S$8*$AM876^4+WeightSDS!T$8*$AM876^3+WeightSDS!U$8*$AM876^2+WeightSDS!V$8*$AM876+WeightSDS!W$8,WeightSDS!$U$9+WeightSDS!$V$9*($AM876-WeightSDS!$W$9)))</f>
        <v>0.75407122999999998</v>
      </c>
      <c r="AP876" s="4">
        <f>IF(D876="M",IF($AM876&lt;45,WeightSDS!M$23*$AM876^10+WeightSDS!N$23*$AM876^9+WeightSDS!O$23*$AM876^8+WeightSDS!P$23*$AM876^7+WeightSDS!Q$23*$AM876^6+WeightSDS!R$23*$AM876^5+WeightSDS!S$23*$AM876^4+WeightSDS!T$23*$AM876^3+WeightSDS!U$23*$AM876^2+WeightSDS!V$23*$AM876+WeightSDS!W$23,IF($AM876&lt;153,WeightSDS!M$25*$AM876^10+WeightSDS!N$25*$AM876^9+WeightSDS!O$25*$AM876^8+WeightSDS!P$25*$AM876^7+WeightSDS!Q$25*$AM876^6+WeightSDS!R$25*$AM876^5+WeightSDS!S$25*$AM876^4+WeightSDS!T$25*$AM876^3+WeightSDS!U$25*$AM876^2+WeightSDS!V$25*$AM876+WeightSDS!W$25,WeightSDS!M$27+WeightSDS!N$27/(1+EXP(WeightSDS!O$27+WeightSDS!P$27*$AM876)))),IF($AM876&lt;43.8,WeightSDS!M$29*$AM876^10+WeightSDS!N$29*$AM876^9+WeightSDS!O$29*$AM876^8+WeightSDS!P$29*$AM876^7+WeightSDS!Q$29*$AM876^6+WeightSDS!R$29*$AM876^5+WeightSDS!S$29*$AM876^4+WeightSDS!T$29*$AM876^3+WeightSDS!U$29*$AM876^2+WeightSDS!V$29*$AM876+WeightSDS!W$29-0.010431*(1-$AM876/210),IF($AM876&lt;123,WeightSDS!M$30*$AM876^10+WeightSDS!N$30*$AM876^9+WeightSDS!O$30*$AM876^8+WeightSDS!P$30*$AM876^7+WeightSDS!Q$30*$AM876^6+WeightSDS!R$30*$AM876^5+WeightSDS!S$30*$AM876^4+WeightSDS!T$30*$AM876^3+WeightSDS!U$30*$AM876^2+WeightSDS!V$30*$AM876+WeightSDS!W$30-0.010431*(1-1/$AM876),WeightSDS!M$32+WeightSDS!N$32/(1+EXP(WeightSDS!O$32+WeightSDS!P$32*$AM876))-0.010431*(1-$AM876/210))))</f>
        <v>2.9500001032655536</v>
      </c>
      <c r="AQ876" s="4">
        <f>IF(D876="M",IF($AM876&lt;162,WeightSDS!P$12*$AM876^7+WeightSDS!Q$12*$AM876^6+WeightSDS!R$12*$AM876^5+WeightSDS!S$12*$AM876^4+WeightSDS!T$12*$AM876^3+WeightSDS!U$12*$AM876^2+WeightSDS!V$12*$AM876+WeightSDS!W$12,WeightSDS!P$14*$AM876^7+WeightSDS!Q$14*$AM876^6+WeightSDS!R$14*$AM876^5+WeightSDS!S$14*$AM876^4+WeightSDS!T$14*$AM876^3+WeightSDS!U$14*$AM876^2+WeightSDS!V$14*$AM876+WeightSDS!W$14),IF($AM876&lt;156,WeightSDS!O$17*$AM876^8+WeightSDS!P$17*$AM876^7+WeightSDS!Q$17*$AM876^6+WeightSDS!R$17*$AM876^5+WeightSDS!S$17*$AM876^4+WeightSDS!T$17*$AM876^3+WeightSDS!U$17*$AM876^2+WeightSDS!V$17*$AM876+WeightSDS!W$17,IF($AM876&lt;186,WeightSDS!$U$18+(WeightSDS!$V$18-WeightSDS!$U$18)/24*($AM876-186)+WeightSDS!$W$18*(-$AM876+186)^2-0.005,WeightSDS!$U$18+(WeightSDS!$V$18-WeightSDS!$U$18)/24*($AM876-186)-0.005)))</f>
        <v>0.14604529399999999</v>
      </c>
      <c r="AT876" s="4">
        <f t="shared" si="280"/>
        <v>0.56299999999999994</v>
      </c>
      <c r="AU876" s="4">
        <f t="shared" si="281"/>
        <v>69</v>
      </c>
      <c r="AV876" s="4">
        <f t="shared" si="282"/>
        <v>0.51</v>
      </c>
    </row>
    <row r="877" spans="1:48" x14ac:dyDescent="0.15">
      <c r="A877" s="4"/>
      <c r="B877" s="21"/>
      <c r="C877" s="21"/>
      <c r="D877" s="21"/>
      <c r="E877" s="22"/>
      <c r="F877" s="22"/>
      <c r="G877" s="23"/>
      <c r="H877" s="23"/>
      <c r="I877" s="181"/>
      <c r="J877" s="8" t="str">
        <f t="shared" si="274"/>
        <v/>
      </c>
      <c r="K877" s="2" t="str">
        <f t="shared" si="283"/>
        <v/>
      </c>
      <c r="L877" s="2" t="str">
        <f t="shared" si="275"/>
        <v/>
      </c>
      <c r="M877" s="2" t="str">
        <f t="shared" si="284"/>
        <v/>
      </c>
      <c r="N877" s="2" t="str">
        <f t="shared" si="292"/>
        <v/>
      </c>
      <c r="O877" s="2" t="str">
        <f t="shared" si="285"/>
        <v/>
      </c>
      <c r="P877" s="8" t="str">
        <f t="shared" si="286"/>
        <v/>
      </c>
      <c r="Q877" s="8" t="str">
        <f t="shared" si="287"/>
        <v/>
      </c>
      <c r="R877" s="111" t="str">
        <f t="shared" si="288"/>
        <v/>
      </c>
      <c r="S877" s="44" t="str">
        <f t="shared" si="289"/>
        <v/>
      </c>
      <c r="T877" s="37" t="str">
        <f t="shared" si="290"/>
        <v/>
      </c>
      <c r="U877" s="44" t="str">
        <f t="shared" si="291"/>
        <v/>
      </c>
      <c r="V877" s="26"/>
      <c r="W877" s="26"/>
      <c r="X877" s="26"/>
      <c r="Y877" s="26"/>
      <c r="Z877" s="24"/>
      <c r="AA877" s="169">
        <f t="shared" si="276"/>
        <v>0</v>
      </c>
      <c r="AB877" s="4">
        <f t="shared" si="277"/>
        <v>0</v>
      </c>
      <c r="AC877" s="170">
        <f t="shared" si="294"/>
        <v>0</v>
      </c>
      <c r="AD877" s="58"/>
      <c r="AE877" s="58"/>
      <c r="AF877" s="58"/>
      <c r="AG877" s="59">
        <f t="shared" si="278"/>
        <v>9.0359999999999996</v>
      </c>
      <c r="AH877" s="59">
        <f t="shared" si="279"/>
        <v>-184.49199999999999</v>
      </c>
      <c r="AJ877" s="4">
        <f>IF(D877="M",IF(AM877&lt;78,BMILMS!$D$5*AM877^3+BMILMS!$E$5*AM877^2+BMILMS!$F$5*AM877+BMILMS!$G$5,IF(AM877&lt;150,BMILMS!$D$6*AM877^3+BMILMS!$E$6*AM877^2+BMILMS!$F$6*AM877+BMILMS!$G$6,BMILMS!$D$7*AM877^3+BMILMS!$E$7*AM877^2+BMILMS!$F$7*AM877+BMILMS!$G$7)),IF(AM877&lt;69,BMILMS!$D$9*AM877^3+BMILMS!$E$9*AM877^2+BMILMS!$F$9*AM877+BMILMS!$G$9,IF(AM877&lt;150,BMILMS!$D$10*AM877^3+BMILMS!$E$10*AM877^2+BMILMS!$F$10*AM877+BMILMS!$G$10,BMILMS!$D$11*AM877^3+BMILMS!$E$11*AM877^2+BMILMS!$F$11*AM877+BMILMS!$G$11)))</f>
        <v>0.79584630099999998</v>
      </c>
      <c r="AK877" s="4">
        <f>IF(D877="M",(IF(AM877&lt;2.5,BMILMS!$D$21*AM877^3+BMILMS!$E$21*AM877^2+BMILMS!$F$21*AM877+BMILMS!$G$21,IF(AM877&lt;9.5,BMILMS!$D$22*AM877^3+BMILMS!$E$22*AM877^2+BMILMS!$F$22*AM877+BMILMS!$G$22,IF(AM877&lt;26.75,BMILMS!$D$23*AM877^3+BMILMS!$E$23*AM877^2+BMILMS!$F$23*AM877+BMILMS!$G$23,IF(AM877&lt;90,BMILMS!$D$24*AM877^3+BMILMS!$E$24*AM877^2+BMILMS!$F$24*AM877+BMILMS!$G$24,BMILMS!$D$25*AM877^3+BMILMS!$E$25*AM877^2+BMILMS!$F$25*AM877+BMILMS!$G$25))))),(IF(AM877&lt;2.5,BMILMS!$D$27*AM877^3+BMILMS!$E$27*AM877^2+BMILMS!$F$27*AM877+BMILMS!$G$27,IF(AM877&lt;9.5,BMILMS!$D$28*AM877^3+BMILMS!$E$28*AM877^2+BMILMS!$F$28*AM877+BMILMS!$G$28,IF(AM877&lt;26.75,BMILMS!$D$29*AM877^3+BMILMS!$E$29*AM877^2+BMILMS!$F$29*AM877+BMILMS!$G$29,IF(AM877&lt;90,BMILMS!$D$30*AM877^3+BMILMS!$E$30*AM877^2+BMILMS!$F$30*AM877+BMILMS!$G$30,IF(AM877&lt;150,BMILMS!$D$31*AM877^3+BMILMS!$E$31*AM877^2+BMILMS!$F$31*AM877+BMILMS!$G$31,BMILMS!$D$32*AM877^3+BMILMS!$E$32*AM877^2+BMILMS!$F$32*AM877+BMILMS!$G$32)))))))</f>
        <v>12.568967990000001</v>
      </c>
      <c r="AL877" s="4">
        <f>IF(D877="M",(IF(AM877&lt;90,BMILMS!$D$14*AM877^3+BMILMS!$E$14*AM877^2+BMILMS!$F$14*AM877+BMILMS!$G$14,BMILMS!$D$15*AM877^3+BMILMS!$E$15*AM877^2+BMILMS!$F$15*AM877+BMILMS!$G$15)),(IF(AM877&lt;90,BMILMS!$D$17*AM877^3+BMILMS!$E$17*AM877^2+BMILMS!$F$17*AM877+BMILMS!$G$17,BMILMS!$D$18*AM877^3+BMILMS!$E$18*AM877^2+BMILMS!$F$18*AM877+BMILMS!$G$18)))</f>
        <v>8.8969350000000003E-2</v>
      </c>
      <c r="AM877" s="4">
        <f t="shared" si="293"/>
        <v>0</v>
      </c>
      <c r="AO877" s="56">
        <f>IF(D877="M",WeightSDS!P$5*$AM877^7+WeightSDS!Q$5*$AM877^6+WeightSDS!R$5*$AM877^5+WeightSDS!S$5*$AM877^4+WeightSDS!T$5*$AM877^3+WeightSDS!U$5*$AM877^2+WeightSDS!V$5*$AM877+WeightSDS!W$5,IF($AM877&lt;186,WeightSDS!P$8*$AM877^7+WeightSDS!Q$8*$AM877^6+WeightSDS!R$8*$AM877^5+WeightSDS!S$8*$AM877^4+WeightSDS!T$8*$AM877^3+WeightSDS!U$8*$AM877^2+WeightSDS!V$8*$AM877+WeightSDS!W$8,WeightSDS!$U$9+WeightSDS!$V$9*($AM877-WeightSDS!$W$9)))</f>
        <v>0.75407122999999998</v>
      </c>
      <c r="AP877" s="4">
        <f>IF(D877="M",IF($AM877&lt;45,WeightSDS!M$23*$AM877^10+WeightSDS!N$23*$AM877^9+WeightSDS!O$23*$AM877^8+WeightSDS!P$23*$AM877^7+WeightSDS!Q$23*$AM877^6+WeightSDS!R$23*$AM877^5+WeightSDS!S$23*$AM877^4+WeightSDS!T$23*$AM877^3+WeightSDS!U$23*$AM877^2+WeightSDS!V$23*$AM877+WeightSDS!W$23,IF($AM877&lt;153,WeightSDS!M$25*$AM877^10+WeightSDS!N$25*$AM877^9+WeightSDS!O$25*$AM877^8+WeightSDS!P$25*$AM877^7+WeightSDS!Q$25*$AM877^6+WeightSDS!R$25*$AM877^5+WeightSDS!S$25*$AM877^4+WeightSDS!T$25*$AM877^3+WeightSDS!U$25*$AM877^2+WeightSDS!V$25*$AM877+WeightSDS!W$25,WeightSDS!M$27+WeightSDS!N$27/(1+EXP(WeightSDS!O$27+WeightSDS!P$27*$AM877)))),IF($AM877&lt;43.8,WeightSDS!M$29*$AM877^10+WeightSDS!N$29*$AM877^9+WeightSDS!O$29*$AM877^8+WeightSDS!P$29*$AM877^7+WeightSDS!Q$29*$AM877^6+WeightSDS!R$29*$AM877^5+WeightSDS!S$29*$AM877^4+WeightSDS!T$29*$AM877^3+WeightSDS!U$29*$AM877^2+WeightSDS!V$29*$AM877+WeightSDS!W$29-0.010431*(1-$AM877/210),IF($AM877&lt;123,WeightSDS!M$30*$AM877^10+WeightSDS!N$30*$AM877^9+WeightSDS!O$30*$AM877^8+WeightSDS!P$30*$AM877^7+WeightSDS!Q$30*$AM877^6+WeightSDS!R$30*$AM877^5+WeightSDS!S$30*$AM877^4+WeightSDS!T$30*$AM877^3+WeightSDS!U$30*$AM877^2+WeightSDS!V$30*$AM877+WeightSDS!W$30-0.010431*(1-1/$AM877),WeightSDS!M$32+WeightSDS!N$32/(1+EXP(WeightSDS!O$32+WeightSDS!P$32*$AM877))-0.010431*(1-$AM877/210))))</f>
        <v>2.9500001032655536</v>
      </c>
      <c r="AQ877" s="4">
        <f>IF(D877="M",IF($AM877&lt;162,WeightSDS!P$12*$AM877^7+WeightSDS!Q$12*$AM877^6+WeightSDS!R$12*$AM877^5+WeightSDS!S$12*$AM877^4+WeightSDS!T$12*$AM877^3+WeightSDS!U$12*$AM877^2+WeightSDS!V$12*$AM877+WeightSDS!W$12,WeightSDS!P$14*$AM877^7+WeightSDS!Q$14*$AM877^6+WeightSDS!R$14*$AM877^5+WeightSDS!S$14*$AM877^4+WeightSDS!T$14*$AM877^3+WeightSDS!U$14*$AM877^2+WeightSDS!V$14*$AM877+WeightSDS!W$14),IF($AM877&lt;156,WeightSDS!O$17*$AM877^8+WeightSDS!P$17*$AM877^7+WeightSDS!Q$17*$AM877^6+WeightSDS!R$17*$AM877^5+WeightSDS!S$17*$AM877^4+WeightSDS!T$17*$AM877^3+WeightSDS!U$17*$AM877^2+WeightSDS!V$17*$AM877+WeightSDS!W$17,IF($AM877&lt;186,WeightSDS!$U$18+(WeightSDS!$V$18-WeightSDS!$U$18)/24*($AM877-186)+WeightSDS!$W$18*(-$AM877+186)^2-0.005,WeightSDS!$U$18+(WeightSDS!$V$18-WeightSDS!$U$18)/24*($AM877-186)-0.005)))</f>
        <v>0.14604529399999999</v>
      </c>
      <c r="AT877" s="4">
        <f t="shared" si="280"/>
        <v>0.56299999999999994</v>
      </c>
      <c r="AU877" s="4">
        <f t="shared" si="281"/>
        <v>69</v>
      </c>
      <c r="AV877" s="4">
        <f t="shared" si="282"/>
        <v>0.51</v>
      </c>
    </row>
    <row r="878" spans="1:48" x14ac:dyDescent="0.15">
      <c r="A878" s="4"/>
      <c r="B878" s="21"/>
      <c r="C878" s="21"/>
      <c r="D878" s="21"/>
      <c r="E878" s="22"/>
      <c r="F878" s="22"/>
      <c r="G878" s="23"/>
      <c r="H878" s="23"/>
      <c r="I878" s="181"/>
      <c r="J878" s="8" t="str">
        <f t="shared" si="274"/>
        <v/>
      </c>
      <c r="K878" s="2" t="str">
        <f t="shared" si="283"/>
        <v/>
      </c>
      <c r="L878" s="2" t="str">
        <f t="shared" si="275"/>
        <v/>
      </c>
      <c r="M878" s="2" t="str">
        <f t="shared" si="284"/>
        <v/>
      </c>
      <c r="N878" s="2" t="str">
        <f t="shared" si="292"/>
        <v/>
      </c>
      <c r="O878" s="2" t="str">
        <f t="shared" si="285"/>
        <v/>
      </c>
      <c r="P878" s="8" t="str">
        <f t="shared" si="286"/>
        <v/>
      </c>
      <c r="Q878" s="8" t="str">
        <f t="shared" si="287"/>
        <v/>
      </c>
      <c r="R878" s="111" t="str">
        <f t="shared" si="288"/>
        <v/>
      </c>
      <c r="S878" s="44" t="str">
        <f t="shared" si="289"/>
        <v/>
      </c>
      <c r="T878" s="37" t="str">
        <f t="shared" si="290"/>
        <v/>
      </c>
      <c r="U878" s="44" t="str">
        <f t="shared" si="291"/>
        <v/>
      </c>
      <c r="V878" s="26"/>
      <c r="W878" s="26"/>
      <c r="X878" s="26"/>
      <c r="Y878" s="26"/>
      <c r="Z878" s="24"/>
      <c r="AA878" s="169">
        <f t="shared" si="276"/>
        <v>0</v>
      </c>
      <c r="AB878" s="4">
        <f t="shared" si="277"/>
        <v>0</v>
      </c>
      <c r="AC878" s="170">
        <f t="shared" si="294"/>
        <v>0</v>
      </c>
      <c r="AD878" s="58"/>
      <c r="AE878" s="58"/>
      <c r="AF878" s="58"/>
      <c r="AG878" s="59">
        <f t="shared" si="278"/>
        <v>9.0359999999999996</v>
      </c>
      <c r="AH878" s="59">
        <f t="shared" si="279"/>
        <v>-184.49199999999999</v>
      </c>
      <c r="AJ878" s="4">
        <f>IF(D878="M",IF(AM878&lt;78,BMILMS!$D$5*AM878^3+BMILMS!$E$5*AM878^2+BMILMS!$F$5*AM878+BMILMS!$G$5,IF(AM878&lt;150,BMILMS!$D$6*AM878^3+BMILMS!$E$6*AM878^2+BMILMS!$F$6*AM878+BMILMS!$G$6,BMILMS!$D$7*AM878^3+BMILMS!$E$7*AM878^2+BMILMS!$F$7*AM878+BMILMS!$G$7)),IF(AM878&lt;69,BMILMS!$D$9*AM878^3+BMILMS!$E$9*AM878^2+BMILMS!$F$9*AM878+BMILMS!$G$9,IF(AM878&lt;150,BMILMS!$D$10*AM878^3+BMILMS!$E$10*AM878^2+BMILMS!$F$10*AM878+BMILMS!$G$10,BMILMS!$D$11*AM878^3+BMILMS!$E$11*AM878^2+BMILMS!$F$11*AM878+BMILMS!$G$11)))</f>
        <v>0.79584630099999998</v>
      </c>
      <c r="AK878" s="4">
        <f>IF(D878="M",(IF(AM878&lt;2.5,BMILMS!$D$21*AM878^3+BMILMS!$E$21*AM878^2+BMILMS!$F$21*AM878+BMILMS!$G$21,IF(AM878&lt;9.5,BMILMS!$D$22*AM878^3+BMILMS!$E$22*AM878^2+BMILMS!$F$22*AM878+BMILMS!$G$22,IF(AM878&lt;26.75,BMILMS!$D$23*AM878^3+BMILMS!$E$23*AM878^2+BMILMS!$F$23*AM878+BMILMS!$G$23,IF(AM878&lt;90,BMILMS!$D$24*AM878^3+BMILMS!$E$24*AM878^2+BMILMS!$F$24*AM878+BMILMS!$G$24,BMILMS!$D$25*AM878^3+BMILMS!$E$25*AM878^2+BMILMS!$F$25*AM878+BMILMS!$G$25))))),(IF(AM878&lt;2.5,BMILMS!$D$27*AM878^3+BMILMS!$E$27*AM878^2+BMILMS!$F$27*AM878+BMILMS!$G$27,IF(AM878&lt;9.5,BMILMS!$D$28*AM878^3+BMILMS!$E$28*AM878^2+BMILMS!$F$28*AM878+BMILMS!$G$28,IF(AM878&lt;26.75,BMILMS!$D$29*AM878^3+BMILMS!$E$29*AM878^2+BMILMS!$F$29*AM878+BMILMS!$G$29,IF(AM878&lt;90,BMILMS!$D$30*AM878^3+BMILMS!$E$30*AM878^2+BMILMS!$F$30*AM878+BMILMS!$G$30,IF(AM878&lt;150,BMILMS!$D$31*AM878^3+BMILMS!$E$31*AM878^2+BMILMS!$F$31*AM878+BMILMS!$G$31,BMILMS!$D$32*AM878^3+BMILMS!$E$32*AM878^2+BMILMS!$F$32*AM878+BMILMS!$G$32)))))))</f>
        <v>12.568967990000001</v>
      </c>
      <c r="AL878" s="4">
        <f>IF(D878="M",(IF(AM878&lt;90,BMILMS!$D$14*AM878^3+BMILMS!$E$14*AM878^2+BMILMS!$F$14*AM878+BMILMS!$G$14,BMILMS!$D$15*AM878^3+BMILMS!$E$15*AM878^2+BMILMS!$F$15*AM878+BMILMS!$G$15)),(IF(AM878&lt;90,BMILMS!$D$17*AM878^3+BMILMS!$E$17*AM878^2+BMILMS!$F$17*AM878+BMILMS!$G$17,BMILMS!$D$18*AM878^3+BMILMS!$E$18*AM878^2+BMILMS!$F$18*AM878+BMILMS!$G$18)))</f>
        <v>8.8969350000000003E-2</v>
      </c>
      <c r="AM878" s="4">
        <f t="shared" si="293"/>
        <v>0</v>
      </c>
      <c r="AO878" s="56">
        <f>IF(D878="M",WeightSDS!P$5*$AM878^7+WeightSDS!Q$5*$AM878^6+WeightSDS!R$5*$AM878^5+WeightSDS!S$5*$AM878^4+WeightSDS!T$5*$AM878^3+WeightSDS!U$5*$AM878^2+WeightSDS!V$5*$AM878+WeightSDS!W$5,IF($AM878&lt;186,WeightSDS!P$8*$AM878^7+WeightSDS!Q$8*$AM878^6+WeightSDS!R$8*$AM878^5+WeightSDS!S$8*$AM878^4+WeightSDS!T$8*$AM878^3+WeightSDS!U$8*$AM878^2+WeightSDS!V$8*$AM878+WeightSDS!W$8,WeightSDS!$U$9+WeightSDS!$V$9*($AM878-WeightSDS!$W$9)))</f>
        <v>0.75407122999999998</v>
      </c>
      <c r="AP878" s="4">
        <f>IF(D878="M",IF($AM878&lt;45,WeightSDS!M$23*$AM878^10+WeightSDS!N$23*$AM878^9+WeightSDS!O$23*$AM878^8+WeightSDS!P$23*$AM878^7+WeightSDS!Q$23*$AM878^6+WeightSDS!R$23*$AM878^5+WeightSDS!S$23*$AM878^4+WeightSDS!T$23*$AM878^3+WeightSDS!U$23*$AM878^2+WeightSDS!V$23*$AM878+WeightSDS!W$23,IF($AM878&lt;153,WeightSDS!M$25*$AM878^10+WeightSDS!N$25*$AM878^9+WeightSDS!O$25*$AM878^8+WeightSDS!P$25*$AM878^7+WeightSDS!Q$25*$AM878^6+WeightSDS!R$25*$AM878^5+WeightSDS!S$25*$AM878^4+WeightSDS!T$25*$AM878^3+WeightSDS!U$25*$AM878^2+WeightSDS!V$25*$AM878+WeightSDS!W$25,WeightSDS!M$27+WeightSDS!N$27/(1+EXP(WeightSDS!O$27+WeightSDS!P$27*$AM878)))),IF($AM878&lt;43.8,WeightSDS!M$29*$AM878^10+WeightSDS!N$29*$AM878^9+WeightSDS!O$29*$AM878^8+WeightSDS!P$29*$AM878^7+WeightSDS!Q$29*$AM878^6+WeightSDS!R$29*$AM878^5+WeightSDS!S$29*$AM878^4+WeightSDS!T$29*$AM878^3+WeightSDS!U$29*$AM878^2+WeightSDS!V$29*$AM878+WeightSDS!W$29-0.010431*(1-$AM878/210),IF($AM878&lt;123,WeightSDS!M$30*$AM878^10+WeightSDS!N$30*$AM878^9+WeightSDS!O$30*$AM878^8+WeightSDS!P$30*$AM878^7+WeightSDS!Q$30*$AM878^6+WeightSDS!R$30*$AM878^5+WeightSDS!S$30*$AM878^4+WeightSDS!T$30*$AM878^3+WeightSDS!U$30*$AM878^2+WeightSDS!V$30*$AM878+WeightSDS!W$30-0.010431*(1-1/$AM878),WeightSDS!M$32+WeightSDS!N$32/(1+EXP(WeightSDS!O$32+WeightSDS!P$32*$AM878))-0.010431*(1-$AM878/210))))</f>
        <v>2.9500001032655536</v>
      </c>
      <c r="AQ878" s="4">
        <f>IF(D878="M",IF($AM878&lt;162,WeightSDS!P$12*$AM878^7+WeightSDS!Q$12*$AM878^6+WeightSDS!R$12*$AM878^5+WeightSDS!S$12*$AM878^4+WeightSDS!T$12*$AM878^3+WeightSDS!U$12*$AM878^2+WeightSDS!V$12*$AM878+WeightSDS!W$12,WeightSDS!P$14*$AM878^7+WeightSDS!Q$14*$AM878^6+WeightSDS!R$14*$AM878^5+WeightSDS!S$14*$AM878^4+WeightSDS!T$14*$AM878^3+WeightSDS!U$14*$AM878^2+WeightSDS!V$14*$AM878+WeightSDS!W$14),IF($AM878&lt;156,WeightSDS!O$17*$AM878^8+WeightSDS!P$17*$AM878^7+WeightSDS!Q$17*$AM878^6+WeightSDS!R$17*$AM878^5+WeightSDS!S$17*$AM878^4+WeightSDS!T$17*$AM878^3+WeightSDS!U$17*$AM878^2+WeightSDS!V$17*$AM878+WeightSDS!W$17,IF($AM878&lt;186,WeightSDS!$U$18+(WeightSDS!$V$18-WeightSDS!$U$18)/24*($AM878-186)+WeightSDS!$W$18*(-$AM878+186)^2-0.005,WeightSDS!$U$18+(WeightSDS!$V$18-WeightSDS!$U$18)/24*($AM878-186)-0.005)))</f>
        <v>0.14604529399999999</v>
      </c>
      <c r="AT878" s="4">
        <f t="shared" si="280"/>
        <v>0.56299999999999994</v>
      </c>
      <c r="AU878" s="4">
        <f t="shared" si="281"/>
        <v>69</v>
      </c>
      <c r="AV878" s="4">
        <f t="shared" si="282"/>
        <v>0.51</v>
      </c>
    </row>
    <row r="879" spans="1:48" x14ac:dyDescent="0.15">
      <c r="A879" s="4"/>
      <c r="B879" s="21"/>
      <c r="C879" s="21"/>
      <c r="D879" s="21"/>
      <c r="E879" s="22"/>
      <c r="F879" s="22"/>
      <c r="G879" s="23"/>
      <c r="H879" s="23"/>
      <c r="I879" s="181"/>
      <c r="J879" s="8" t="str">
        <f t="shared" si="274"/>
        <v/>
      </c>
      <c r="K879" s="2" t="str">
        <f t="shared" si="283"/>
        <v/>
      </c>
      <c r="L879" s="2" t="str">
        <f t="shared" si="275"/>
        <v/>
      </c>
      <c r="M879" s="2" t="str">
        <f t="shared" si="284"/>
        <v/>
      </c>
      <c r="N879" s="2" t="str">
        <f t="shared" si="292"/>
        <v/>
      </c>
      <c r="O879" s="2" t="str">
        <f t="shared" si="285"/>
        <v/>
      </c>
      <c r="P879" s="8" t="str">
        <f t="shared" si="286"/>
        <v/>
      </c>
      <c r="Q879" s="8" t="str">
        <f t="shared" si="287"/>
        <v/>
      </c>
      <c r="R879" s="111" t="str">
        <f t="shared" si="288"/>
        <v/>
      </c>
      <c r="S879" s="44" t="str">
        <f t="shared" si="289"/>
        <v/>
      </c>
      <c r="T879" s="37" t="str">
        <f t="shared" si="290"/>
        <v/>
      </c>
      <c r="U879" s="44" t="str">
        <f t="shared" si="291"/>
        <v/>
      </c>
      <c r="V879" s="26"/>
      <c r="W879" s="26"/>
      <c r="X879" s="26"/>
      <c r="Y879" s="26"/>
      <c r="Z879" s="24"/>
      <c r="AA879" s="169">
        <f t="shared" si="276"/>
        <v>0</v>
      </c>
      <c r="AB879" s="4">
        <f t="shared" si="277"/>
        <v>0</v>
      </c>
      <c r="AC879" s="170">
        <f t="shared" si="294"/>
        <v>0</v>
      </c>
      <c r="AD879" s="58"/>
      <c r="AE879" s="58"/>
      <c r="AF879" s="58"/>
      <c r="AG879" s="59">
        <f t="shared" si="278"/>
        <v>9.0359999999999996</v>
      </c>
      <c r="AH879" s="59">
        <f t="shared" si="279"/>
        <v>-184.49199999999999</v>
      </c>
      <c r="AJ879" s="4">
        <f>IF(D879="M",IF(AM879&lt;78,BMILMS!$D$5*AM879^3+BMILMS!$E$5*AM879^2+BMILMS!$F$5*AM879+BMILMS!$G$5,IF(AM879&lt;150,BMILMS!$D$6*AM879^3+BMILMS!$E$6*AM879^2+BMILMS!$F$6*AM879+BMILMS!$G$6,BMILMS!$D$7*AM879^3+BMILMS!$E$7*AM879^2+BMILMS!$F$7*AM879+BMILMS!$G$7)),IF(AM879&lt;69,BMILMS!$D$9*AM879^3+BMILMS!$E$9*AM879^2+BMILMS!$F$9*AM879+BMILMS!$G$9,IF(AM879&lt;150,BMILMS!$D$10*AM879^3+BMILMS!$E$10*AM879^2+BMILMS!$F$10*AM879+BMILMS!$G$10,BMILMS!$D$11*AM879^3+BMILMS!$E$11*AM879^2+BMILMS!$F$11*AM879+BMILMS!$G$11)))</f>
        <v>0.79584630099999998</v>
      </c>
      <c r="AK879" s="4">
        <f>IF(D879="M",(IF(AM879&lt;2.5,BMILMS!$D$21*AM879^3+BMILMS!$E$21*AM879^2+BMILMS!$F$21*AM879+BMILMS!$G$21,IF(AM879&lt;9.5,BMILMS!$D$22*AM879^3+BMILMS!$E$22*AM879^2+BMILMS!$F$22*AM879+BMILMS!$G$22,IF(AM879&lt;26.75,BMILMS!$D$23*AM879^3+BMILMS!$E$23*AM879^2+BMILMS!$F$23*AM879+BMILMS!$G$23,IF(AM879&lt;90,BMILMS!$D$24*AM879^3+BMILMS!$E$24*AM879^2+BMILMS!$F$24*AM879+BMILMS!$G$24,BMILMS!$D$25*AM879^3+BMILMS!$E$25*AM879^2+BMILMS!$F$25*AM879+BMILMS!$G$25))))),(IF(AM879&lt;2.5,BMILMS!$D$27*AM879^3+BMILMS!$E$27*AM879^2+BMILMS!$F$27*AM879+BMILMS!$G$27,IF(AM879&lt;9.5,BMILMS!$D$28*AM879^3+BMILMS!$E$28*AM879^2+BMILMS!$F$28*AM879+BMILMS!$G$28,IF(AM879&lt;26.75,BMILMS!$D$29*AM879^3+BMILMS!$E$29*AM879^2+BMILMS!$F$29*AM879+BMILMS!$G$29,IF(AM879&lt;90,BMILMS!$D$30*AM879^3+BMILMS!$E$30*AM879^2+BMILMS!$F$30*AM879+BMILMS!$G$30,IF(AM879&lt;150,BMILMS!$D$31*AM879^3+BMILMS!$E$31*AM879^2+BMILMS!$F$31*AM879+BMILMS!$G$31,BMILMS!$D$32*AM879^3+BMILMS!$E$32*AM879^2+BMILMS!$F$32*AM879+BMILMS!$G$32)))))))</f>
        <v>12.568967990000001</v>
      </c>
      <c r="AL879" s="4">
        <f>IF(D879="M",(IF(AM879&lt;90,BMILMS!$D$14*AM879^3+BMILMS!$E$14*AM879^2+BMILMS!$F$14*AM879+BMILMS!$G$14,BMILMS!$D$15*AM879^3+BMILMS!$E$15*AM879^2+BMILMS!$F$15*AM879+BMILMS!$G$15)),(IF(AM879&lt;90,BMILMS!$D$17*AM879^3+BMILMS!$E$17*AM879^2+BMILMS!$F$17*AM879+BMILMS!$G$17,BMILMS!$D$18*AM879^3+BMILMS!$E$18*AM879^2+BMILMS!$F$18*AM879+BMILMS!$G$18)))</f>
        <v>8.8969350000000003E-2</v>
      </c>
      <c r="AM879" s="4">
        <f t="shared" si="293"/>
        <v>0</v>
      </c>
      <c r="AO879" s="56">
        <f>IF(D879="M",WeightSDS!P$5*$AM879^7+WeightSDS!Q$5*$AM879^6+WeightSDS!R$5*$AM879^5+WeightSDS!S$5*$AM879^4+WeightSDS!T$5*$AM879^3+WeightSDS!U$5*$AM879^2+WeightSDS!V$5*$AM879+WeightSDS!W$5,IF($AM879&lt;186,WeightSDS!P$8*$AM879^7+WeightSDS!Q$8*$AM879^6+WeightSDS!R$8*$AM879^5+WeightSDS!S$8*$AM879^4+WeightSDS!T$8*$AM879^3+WeightSDS!U$8*$AM879^2+WeightSDS!V$8*$AM879+WeightSDS!W$8,WeightSDS!$U$9+WeightSDS!$V$9*($AM879-WeightSDS!$W$9)))</f>
        <v>0.75407122999999998</v>
      </c>
      <c r="AP879" s="4">
        <f>IF(D879="M",IF($AM879&lt;45,WeightSDS!M$23*$AM879^10+WeightSDS!N$23*$AM879^9+WeightSDS!O$23*$AM879^8+WeightSDS!P$23*$AM879^7+WeightSDS!Q$23*$AM879^6+WeightSDS!R$23*$AM879^5+WeightSDS!S$23*$AM879^4+WeightSDS!T$23*$AM879^3+WeightSDS!U$23*$AM879^2+WeightSDS!V$23*$AM879+WeightSDS!W$23,IF($AM879&lt;153,WeightSDS!M$25*$AM879^10+WeightSDS!N$25*$AM879^9+WeightSDS!O$25*$AM879^8+WeightSDS!P$25*$AM879^7+WeightSDS!Q$25*$AM879^6+WeightSDS!R$25*$AM879^5+WeightSDS!S$25*$AM879^4+WeightSDS!T$25*$AM879^3+WeightSDS!U$25*$AM879^2+WeightSDS!V$25*$AM879+WeightSDS!W$25,WeightSDS!M$27+WeightSDS!N$27/(1+EXP(WeightSDS!O$27+WeightSDS!P$27*$AM879)))),IF($AM879&lt;43.8,WeightSDS!M$29*$AM879^10+WeightSDS!N$29*$AM879^9+WeightSDS!O$29*$AM879^8+WeightSDS!P$29*$AM879^7+WeightSDS!Q$29*$AM879^6+WeightSDS!R$29*$AM879^5+WeightSDS!S$29*$AM879^4+WeightSDS!T$29*$AM879^3+WeightSDS!U$29*$AM879^2+WeightSDS!V$29*$AM879+WeightSDS!W$29-0.010431*(1-$AM879/210),IF($AM879&lt;123,WeightSDS!M$30*$AM879^10+WeightSDS!N$30*$AM879^9+WeightSDS!O$30*$AM879^8+WeightSDS!P$30*$AM879^7+WeightSDS!Q$30*$AM879^6+WeightSDS!R$30*$AM879^5+WeightSDS!S$30*$AM879^4+WeightSDS!T$30*$AM879^3+WeightSDS!U$30*$AM879^2+WeightSDS!V$30*$AM879+WeightSDS!W$30-0.010431*(1-1/$AM879),WeightSDS!M$32+WeightSDS!N$32/(1+EXP(WeightSDS!O$32+WeightSDS!P$32*$AM879))-0.010431*(1-$AM879/210))))</f>
        <v>2.9500001032655536</v>
      </c>
      <c r="AQ879" s="4">
        <f>IF(D879="M",IF($AM879&lt;162,WeightSDS!P$12*$AM879^7+WeightSDS!Q$12*$AM879^6+WeightSDS!R$12*$AM879^5+WeightSDS!S$12*$AM879^4+WeightSDS!T$12*$AM879^3+WeightSDS!U$12*$AM879^2+WeightSDS!V$12*$AM879+WeightSDS!W$12,WeightSDS!P$14*$AM879^7+WeightSDS!Q$14*$AM879^6+WeightSDS!R$14*$AM879^5+WeightSDS!S$14*$AM879^4+WeightSDS!T$14*$AM879^3+WeightSDS!U$14*$AM879^2+WeightSDS!V$14*$AM879+WeightSDS!W$14),IF($AM879&lt;156,WeightSDS!O$17*$AM879^8+WeightSDS!P$17*$AM879^7+WeightSDS!Q$17*$AM879^6+WeightSDS!R$17*$AM879^5+WeightSDS!S$17*$AM879^4+WeightSDS!T$17*$AM879^3+WeightSDS!U$17*$AM879^2+WeightSDS!V$17*$AM879+WeightSDS!W$17,IF($AM879&lt;186,WeightSDS!$U$18+(WeightSDS!$V$18-WeightSDS!$U$18)/24*($AM879-186)+WeightSDS!$W$18*(-$AM879+186)^2-0.005,WeightSDS!$U$18+(WeightSDS!$V$18-WeightSDS!$U$18)/24*($AM879-186)-0.005)))</f>
        <v>0.14604529399999999</v>
      </c>
      <c r="AT879" s="4">
        <f t="shared" si="280"/>
        <v>0.56299999999999994</v>
      </c>
      <c r="AU879" s="4">
        <f t="shared" si="281"/>
        <v>69</v>
      </c>
      <c r="AV879" s="4">
        <f t="shared" si="282"/>
        <v>0.51</v>
      </c>
    </row>
    <row r="880" spans="1:48" x14ac:dyDescent="0.15">
      <c r="A880" s="4"/>
      <c r="B880" s="21"/>
      <c r="C880" s="21"/>
      <c r="D880" s="21"/>
      <c r="E880" s="22"/>
      <c r="F880" s="22"/>
      <c r="G880" s="23"/>
      <c r="H880" s="23"/>
      <c r="I880" s="181"/>
      <c r="J880" s="8" t="str">
        <f t="shared" si="274"/>
        <v/>
      </c>
      <c r="K880" s="2" t="str">
        <f t="shared" si="283"/>
        <v/>
      </c>
      <c r="L880" s="2" t="str">
        <f t="shared" si="275"/>
        <v/>
      </c>
      <c r="M880" s="2" t="str">
        <f t="shared" si="284"/>
        <v/>
      </c>
      <c r="N880" s="2" t="str">
        <f t="shared" si="292"/>
        <v/>
      </c>
      <c r="O880" s="2" t="str">
        <f t="shared" si="285"/>
        <v/>
      </c>
      <c r="P880" s="8" t="str">
        <f t="shared" si="286"/>
        <v/>
      </c>
      <c r="Q880" s="8" t="str">
        <f t="shared" si="287"/>
        <v/>
      </c>
      <c r="R880" s="111" t="str">
        <f t="shared" si="288"/>
        <v/>
      </c>
      <c r="S880" s="44" t="str">
        <f t="shared" si="289"/>
        <v/>
      </c>
      <c r="T880" s="37" t="str">
        <f t="shared" si="290"/>
        <v/>
      </c>
      <c r="U880" s="44" t="str">
        <f t="shared" si="291"/>
        <v/>
      </c>
      <c r="V880" s="26"/>
      <c r="W880" s="26"/>
      <c r="X880" s="26"/>
      <c r="Y880" s="26"/>
      <c r="Z880" s="24"/>
      <c r="AA880" s="169">
        <f t="shared" si="276"/>
        <v>0</v>
      </c>
      <c r="AB880" s="4">
        <f t="shared" si="277"/>
        <v>0</v>
      </c>
      <c r="AC880" s="170">
        <f t="shared" si="294"/>
        <v>0</v>
      </c>
      <c r="AD880" s="58"/>
      <c r="AE880" s="58"/>
      <c r="AF880" s="58"/>
      <c r="AG880" s="59">
        <f t="shared" si="278"/>
        <v>9.0359999999999996</v>
      </c>
      <c r="AH880" s="59">
        <f t="shared" si="279"/>
        <v>-184.49199999999999</v>
      </c>
      <c r="AJ880" s="4">
        <f>IF(D880="M",IF(AM880&lt;78,BMILMS!$D$5*AM880^3+BMILMS!$E$5*AM880^2+BMILMS!$F$5*AM880+BMILMS!$G$5,IF(AM880&lt;150,BMILMS!$D$6*AM880^3+BMILMS!$E$6*AM880^2+BMILMS!$F$6*AM880+BMILMS!$G$6,BMILMS!$D$7*AM880^3+BMILMS!$E$7*AM880^2+BMILMS!$F$7*AM880+BMILMS!$G$7)),IF(AM880&lt;69,BMILMS!$D$9*AM880^3+BMILMS!$E$9*AM880^2+BMILMS!$F$9*AM880+BMILMS!$G$9,IF(AM880&lt;150,BMILMS!$D$10*AM880^3+BMILMS!$E$10*AM880^2+BMILMS!$F$10*AM880+BMILMS!$G$10,BMILMS!$D$11*AM880^3+BMILMS!$E$11*AM880^2+BMILMS!$F$11*AM880+BMILMS!$G$11)))</f>
        <v>0.79584630099999998</v>
      </c>
      <c r="AK880" s="4">
        <f>IF(D880="M",(IF(AM880&lt;2.5,BMILMS!$D$21*AM880^3+BMILMS!$E$21*AM880^2+BMILMS!$F$21*AM880+BMILMS!$G$21,IF(AM880&lt;9.5,BMILMS!$D$22*AM880^3+BMILMS!$E$22*AM880^2+BMILMS!$F$22*AM880+BMILMS!$G$22,IF(AM880&lt;26.75,BMILMS!$D$23*AM880^3+BMILMS!$E$23*AM880^2+BMILMS!$F$23*AM880+BMILMS!$G$23,IF(AM880&lt;90,BMILMS!$D$24*AM880^3+BMILMS!$E$24*AM880^2+BMILMS!$F$24*AM880+BMILMS!$G$24,BMILMS!$D$25*AM880^3+BMILMS!$E$25*AM880^2+BMILMS!$F$25*AM880+BMILMS!$G$25))))),(IF(AM880&lt;2.5,BMILMS!$D$27*AM880^3+BMILMS!$E$27*AM880^2+BMILMS!$F$27*AM880+BMILMS!$G$27,IF(AM880&lt;9.5,BMILMS!$D$28*AM880^3+BMILMS!$E$28*AM880^2+BMILMS!$F$28*AM880+BMILMS!$G$28,IF(AM880&lt;26.75,BMILMS!$D$29*AM880^3+BMILMS!$E$29*AM880^2+BMILMS!$F$29*AM880+BMILMS!$G$29,IF(AM880&lt;90,BMILMS!$D$30*AM880^3+BMILMS!$E$30*AM880^2+BMILMS!$F$30*AM880+BMILMS!$G$30,IF(AM880&lt;150,BMILMS!$D$31*AM880^3+BMILMS!$E$31*AM880^2+BMILMS!$F$31*AM880+BMILMS!$G$31,BMILMS!$D$32*AM880^3+BMILMS!$E$32*AM880^2+BMILMS!$F$32*AM880+BMILMS!$G$32)))))))</f>
        <v>12.568967990000001</v>
      </c>
      <c r="AL880" s="4">
        <f>IF(D880="M",(IF(AM880&lt;90,BMILMS!$D$14*AM880^3+BMILMS!$E$14*AM880^2+BMILMS!$F$14*AM880+BMILMS!$G$14,BMILMS!$D$15*AM880^3+BMILMS!$E$15*AM880^2+BMILMS!$F$15*AM880+BMILMS!$G$15)),(IF(AM880&lt;90,BMILMS!$D$17*AM880^3+BMILMS!$E$17*AM880^2+BMILMS!$F$17*AM880+BMILMS!$G$17,BMILMS!$D$18*AM880^3+BMILMS!$E$18*AM880^2+BMILMS!$F$18*AM880+BMILMS!$G$18)))</f>
        <v>8.8969350000000003E-2</v>
      </c>
      <c r="AM880" s="4">
        <f t="shared" si="293"/>
        <v>0</v>
      </c>
      <c r="AO880" s="56">
        <f>IF(D880="M",WeightSDS!P$5*$AM880^7+WeightSDS!Q$5*$AM880^6+WeightSDS!R$5*$AM880^5+WeightSDS!S$5*$AM880^4+WeightSDS!T$5*$AM880^3+WeightSDS!U$5*$AM880^2+WeightSDS!V$5*$AM880+WeightSDS!W$5,IF($AM880&lt;186,WeightSDS!P$8*$AM880^7+WeightSDS!Q$8*$AM880^6+WeightSDS!R$8*$AM880^5+WeightSDS!S$8*$AM880^4+WeightSDS!T$8*$AM880^3+WeightSDS!U$8*$AM880^2+WeightSDS!V$8*$AM880+WeightSDS!W$8,WeightSDS!$U$9+WeightSDS!$V$9*($AM880-WeightSDS!$W$9)))</f>
        <v>0.75407122999999998</v>
      </c>
      <c r="AP880" s="4">
        <f>IF(D880="M",IF($AM880&lt;45,WeightSDS!M$23*$AM880^10+WeightSDS!N$23*$AM880^9+WeightSDS!O$23*$AM880^8+WeightSDS!P$23*$AM880^7+WeightSDS!Q$23*$AM880^6+WeightSDS!R$23*$AM880^5+WeightSDS!S$23*$AM880^4+WeightSDS!T$23*$AM880^3+WeightSDS!U$23*$AM880^2+WeightSDS!V$23*$AM880+WeightSDS!W$23,IF($AM880&lt;153,WeightSDS!M$25*$AM880^10+WeightSDS!N$25*$AM880^9+WeightSDS!O$25*$AM880^8+WeightSDS!P$25*$AM880^7+WeightSDS!Q$25*$AM880^6+WeightSDS!R$25*$AM880^5+WeightSDS!S$25*$AM880^4+WeightSDS!T$25*$AM880^3+WeightSDS!U$25*$AM880^2+WeightSDS!V$25*$AM880+WeightSDS!W$25,WeightSDS!M$27+WeightSDS!N$27/(1+EXP(WeightSDS!O$27+WeightSDS!P$27*$AM880)))),IF($AM880&lt;43.8,WeightSDS!M$29*$AM880^10+WeightSDS!N$29*$AM880^9+WeightSDS!O$29*$AM880^8+WeightSDS!P$29*$AM880^7+WeightSDS!Q$29*$AM880^6+WeightSDS!R$29*$AM880^5+WeightSDS!S$29*$AM880^4+WeightSDS!T$29*$AM880^3+WeightSDS!U$29*$AM880^2+WeightSDS!V$29*$AM880+WeightSDS!W$29-0.010431*(1-$AM880/210),IF($AM880&lt;123,WeightSDS!M$30*$AM880^10+WeightSDS!N$30*$AM880^9+WeightSDS!O$30*$AM880^8+WeightSDS!P$30*$AM880^7+WeightSDS!Q$30*$AM880^6+WeightSDS!R$30*$AM880^5+WeightSDS!S$30*$AM880^4+WeightSDS!T$30*$AM880^3+WeightSDS!U$30*$AM880^2+WeightSDS!V$30*$AM880+WeightSDS!W$30-0.010431*(1-1/$AM880),WeightSDS!M$32+WeightSDS!N$32/(1+EXP(WeightSDS!O$32+WeightSDS!P$32*$AM880))-0.010431*(1-$AM880/210))))</f>
        <v>2.9500001032655536</v>
      </c>
      <c r="AQ880" s="4">
        <f>IF(D880="M",IF($AM880&lt;162,WeightSDS!P$12*$AM880^7+WeightSDS!Q$12*$AM880^6+WeightSDS!R$12*$AM880^5+WeightSDS!S$12*$AM880^4+WeightSDS!T$12*$AM880^3+WeightSDS!U$12*$AM880^2+WeightSDS!V$12*$AM880+WeightSDS!W$12,WeightSDS!P$14*$AM880^7+WeightSDS!Q$14*$AM880^6+WeightSDS!R$14*$AM880^5+WeightSDS!S$14*$AM880^4+WeightSDS!T$14*$AM880^3+WeightSDS!U$14*$AM880^2+WeightSDS!V$14*$AM880+WeightSDS!W$14),IF($AM880&lt;156,WeightSDS!O$17*$AM880^8+WeightSDS!P$17*$AM880^7+WeightSDS!Q$17*$AM880^6+WeightSDS!R$17*$AM880^5+WeightSDS!S$17*$AM880^4+WeightSDS!T$17*$AM880^3+WeightSDS!U$17*$AM880^2+WeightSDS!V$17*$AM880+WeightSDS!W$17,IF($AM880&lt;186,WeightSDS!$U$18+(WeightSDS!$V$18-WeightSDS!$U$18)/24*($AM880-186)+WeightSDS!$W$18*(-$AM880+186)^2-0.005,WeightSDS!$U$18+(WeightSDS!$V$18-WeightSDS!$U$18)/24*($AM880-186)-0.005)))</f>
        <v>0.14604529399999999</v>
      </c>
      <c r="AT880" s="4">
        <f t="shared" si="280"/>
        <v>0.56299999999999994</v>
      </c>
      <c r="AU880" s="4">
        <f t="shared" si="281"/>
        <v>69</v>
      </c>
      <c r="AV880" s="4">
        <f t="shared" si="282"/>
        <v>0.51</v>
      </c>
    </row>
    <row r="881" spans="1:48" x14ac:dyDescent="0.15">
      <c r="A881" s="4"/>
      <c r="B881" s="21"/>
      <c r="C881" s="21"/>
      <c r="D881" s="21"/>
      <c r="E881" s="22"/>
      <c r="F881" s="22"/>
      <c r="G881" s="23"/>
      <c r="H881" s="23"/>
      <c r="I881" s="181"/>
      <c r="J881" s="8" t="str">
        <f t="shared" si="274"/>
        <v/>
      </c>
      <c r="K881" s="2" t="str">
        <f t="shared" si="283"/>
        <v/>
      </c>
      <c r="L881" s="2" t="str">
        <f t="shared" si="275"/>
        <v/>
      </c>
      <c r="M881" s="2" t="str">
        <f t="shared" si="284"/>
        <v/>
      </c>
      <c r="N881" s="2" t="str">
        <f t="shared" si="292"/>
        <v/>
      </c>
      <c r="O881" s="2" t="str">
        <f t="shared" si="285"/>
        <v/>
      </c>
      <c r="P881" s="8" t="str">
        <f t="shared" si="286"/>
        <v/>
      </c>
      <c r="Q881" s="8" t="str">
        <f t="shared" si="287"/>
        <v/>
      </c>
      <c r="R881" s="111" t="str">
        <f t="shared" si="288"/>
        <v/>
      </c>
      <c r="S881" s="44" t="str">
        <f t="shared" si="289"/>
        <v/>
      </c>
      <c r="T881" s="37" t="str">
        <f t="shared" si="290"/>
        <v/>
      </c>
      <c r="U881" s="44" t="str">
        <f t="shared" si="291"/>
        <v/>
      </c>
      <c r="V881" s="26"/>
      <c r="W881" s="26"/>
      <c r="X881" s="26"/>
      <c r="Y881" s="26"/>
      <c r="Z881" s="24"/>
      <c r="AA881" s="169">
        <f t="shared" si="276"/>
        <v>0</v>
      </c>
      <c r="AB881" s="4">
        <f t="shared" si="277"/>
        <v>0</v>
      </c>
      <c r="AC881" s="170">
        <f t="shared" si="294"/>
        <v>0</v>
      </c>
      <c r="AD881" s="58"/>
      <c r="AE881" s="58"/>
      <c r="AF881" s="58"/>
      <c r="AG881" s="59">
        <f t="shared" si="278"/>
        <v>9.0359999999999996</v>
      </c>
      <c r="AH881" s="59">
        <f t="shared" si="279"/>
        <v>-184.49199999999999</v>
      </c>
      <c r="AJ881" s="4">
        <f>IF(D881="M",IF(AM881&lt;78,BMILMS!$D$5*AM881^3+BMILMS!$E$5*AM881^2+BMILMS!$F$5*AM881+BMILMS!$G$5,IF(AM881&lt;150,BMILMS!$D$6*AM881^3+BMILMS!$E$6*AM881^2+BMILMS!$F$6*AM881+BMILMS!$G$6,BMILMS!$D$7*AM881^3+BMILMS!$E$7*AM881^2+BMILMS!$F$7*AM881+BMILMS!$G$7)),IF(AM881&lt;69,BMILMS!$D$9*AM881^3+BMILMS!$E$9*AM881^2+BMILMS!$F$9*AM881+BMILMS!$G$9,IF(AM881&lt;150,BMILMS!$D$10*AM881^3+BMILMS!$E$10*AM881^2+BMILMS!$F$10*AM881+BMILMS!$G$10,BMILMS!$D$11*AM881^3+BMILMS!$E$11*AM881^2+BMILMS!$F$11*AM881+BMILMS!$G$11)))</f>
        <v>0.79584630099999998</v>
      </c>
      <c r="AK881" s="4">
        <f>IF(D881="M",(IF(AM881&lt;2.5,BMILMS!$D$21*AM881^3+BMILMS!$E$21*AM881^2+BMILMS!$F$21*AM881+BMILMS!$G$21,IF(AM881&lt;9.5,BMILMS!$D$22*AM881^3+BMILMS!$E$22*AM881^2+BMILMS!$F$22*AM881+BMILMS!$G$22,IF(AM881&lt;26.75,BMILMS!$D$23*AM881^3+BMILMS!$E$23*AM881^2+BMILMS!$F$23*AM881+BMILMS!$G$23,IF(AM881&lt;90,BMILMS!$D$24*AM881^3+BMILMS!$E$24*AM881^2+BMILMS!$F$24*AM881+BMILMS!$G$24,BMILMS!$D$25*AM881^3+BMILMS!$E$25*AM881^2+BMILMS!$F$25*AM881+BMILMS!$G$25))))),(IF(AM881&lt;2.5,BMILMS!$D$27*AM881^3+BMILMS!$E$27*AM881^2+BMILMS!$F$27*AM881+BMILMS!$G$27,IF(AM881&lt;9.5,BMILMS!$D$28*AM881^3+BMILMS!$E$28*AM881^2+BMILMS!$F$28*AM881+BMILMS!$G$28,IF(AM881&lt;26.75,BMILMS!$D$29*AM881^3+BMILMS!$E$29*AM881^2+BMILMS!$F$29*AM881+BMILMS!$G$29,IF(AM881&lt;90,BMILMS!$D$30*AM881^3+BMILMS!$E$30*AM881^2+BMILMS!$F$30*AM881+BMILMS!$G$30,IF(AM881&lt;150,BMILMS!$D$31*AM881^3+BMILMS!$E$31*AM881^2+BMILMS!$F$31*AM881+BMILMS!$G$31,BMILMS!$D$32*AM881^3+BMILMS!$E$32*AM881^2+BMILMS!$F$32*AM881+BMILMS!$G$32)))))))</f>
        <v>12.568967990000001</v>
      </c>
      <c r="AL881" s="4">
        <f>IF(D881="M",(IF(AM881&lt;90,BMILMS!$D$14*AM881^3+BMILMS!$E$14*AM881^2+BMILMS!$F$14*AM881+BMILMS!$G$14,BMILMS!$D$15*AM881^3+BMILMS!$E$15*AM881^2+BMILMS!$F$15*AM881+BMILMS!$G$15)),(IF(AM881&lt;90,BMILMS!$D$17*AM881^3+BMILMS!$E$17*AM881^2+BMILMS!$F$17*AM881+BMILMS!$G$17,BMILMS!$D$18*AM881^3+BMILMS!$E$18*AM881^2+BMILMS!$F$18*AM881+BMILMS!$G$18)))</f>
        <v>8.8969350000000003E-2</v>
      </c>
      <c r="AM881" s="4">
        <f t="shared" si="293"/>
        <v>0</v>
      </c>
      <c r="AO881" s="56">
        <f>IF(D881="M",WeightSDS!P$5*$AM881^7+WeightSDS!Q$5*$AM881^6+WeightSDS!R$5*$AM881^5+WeightSDS!S$5*$AM881^4+WeightSDS!T$5*$AM881^3+WeightSDS!U$5*$AM881^2+WeightSDS!V$5*$AM881+WeightSDS!W$5,IF($AM881&lt;186,WeightSDS!P$8*$AM881^7+WeightSDS!Q$8*$AM881^6+WeightSDS!R$8*$AM881^5+WeightSDS!S$8*$AM881^4+WeightSDS!T$8*$AM881^3+WeightSDS!U$8*$AM881^2+WeightSDS!V$8*$AM881+WeightSDS!W$8,WeightSDS!$U$9+WeightSDS!$V$9*($AM881-WeightSDS!$W$9)))</f>
        <v>0.75407122999999998</v>
      </c>
      <c r="AP881" s="4">
        <f>IF(D881="M",IF($AM881&lt;45,WeightSDS!M$23*$AM881^10+WeightSDS!N$23*$AM881^9+WeightSDS!O$23*$AM881^8+WeightSDS!P$23*$AM881^7+WeightSDS!Q$23*$AM881^6+WeightSDS!R$23*$AM881^5+WeightSDS!S$23*$AM881^4+WeightSDS!T$23*$AM881^3+WeightSDS!U$23*$AM881^2+WeightSDS!V$23*$AM881+WeightSDS!W$23,IF($AM881&lt;153,WeightSDS!M$25*$AM881^10+WeightSDS!N$25*$AM881^9+WeightSDS!O$25*$AM881^8+WeightSDS!P$25*$AM881^7+WeightSDS!Q$25*$AM881^6+WeightSDS!R$25*$AM881^5+WeightSDS!S$25*$AM881^4+WeightSDS!T$25*$AM881^3+WeightSDS!U$25*$AM881^2+WeightSDS!V$25*$AM881+WeightSDS!W$25,WeightSDS!M$27+WeightSDS!N$27/(1+EXP(WeightSDS!O$27+WeightSDS!P$27*$AM881)))),IF($AM881&lt;43.8,WeightSDS!M$29*$AM881^10+WeightSDS!N$29*$AM881^9+WeightSDS!O$29*$AM881^8+WeightSDS!P$29*$AM881^7+WeightSDS!Q$29*$AM881^6+WeightSDS!R$29*$AM881^5+WeightSDS!S$29*$AM881^4+WeightSDS!T$29*$AM881^3+WeightSDS!U$29*$AM881^2+WeightSDS!V$29*$AM881+WeightSDS!W$29-0.010431*(1-$AM881/210),IF($AM881&lt;123,WeightSDS!M$30*$AM881^10+WeightSDS!N$30*$AM881^9+WeightSDS!O$30*$AM881^8+WeightSDS!P$30*$AM881^7+WeightSDS!Q$30*$AM881^6+WeightSDS!R$30*$AM881^5+WeightSDS!S$30*$AM881^4+WeightSDS!T$30*$AM881^3+WeightSDS!U$30*$AM881^2+WeightSDS!V$30*$AM881+WeightSDS!W$30-0.010431*(1-1/$AM881),WeightSDS!M$32+WeightSDS!N$32/(1+EXP(WeightSDS!O$32+WeightSDS!P$32*$AM881))-0.010431*(1-$AM881/210))))</f>
        <v>2.9500001032655536</v>
      </c>
      <c r="AQ881" s="4">
        <f>IF(D881="M",IF($AM881&lt;162,WeightSDS!P$12*$AM881^7+WeightSDS!Q$12*$AM881^6+WeightSDS!R$12*$AM881^5+WeightSDS!S$12*$AM881^4+WeightSDS!T$12*$AM881^3+WeightSDS!U$12*$AM881^2+WeightSDS!V$12*$AM881+WeightSDS!W$12,WeightSDS!P$14*$AM881^7+WeightSDS!Q$14*$AM881^6+WeightSDS!R$14*$AM881^5+WeightSDS!S$14*$AM881^4+WeightSDS!T$14*$AM881^3+WeightSDS!U$14*$AM881^2+WeightSDS!V$14*$AM881+WeightSDS!W$14),IF($AM881&lt;156,WeightSDS!O$17*$AM881^8+WeightSDS!P$17*$AM881^7+WeightSDS!Q$17*$AM881^6+WeightSDS!R$17*$AM881^5+WeightSDS!S$17*$AM881^4+WeightSDS!T$17*$AM881^3+WeightSDS!U$17*$AM881^2+WeightSDS!V$17*$AM881+WeightSDS!W$17,IF($AM881&lt;186,WeightSDS!$U$18+(WeightSDS!$V$18-WeightSDS!$U$18)/24*($AM881-186)+WeightSDS!$W$18*(-$AM881+186)^2-0.005,WeightSDS!$U$18+(WeightSDS!$V$18-WeightSDS!$U$18)/24*($AM881-186)-0.005)))</f>
        <v>0.14604529399999999</v>
      </c>
      <c r="AT881" s="4">
        <f t="shared" si="280"/>
        <v>0.56299999999999994</v>
      </c>
      <c r="AU881" s="4">
        <f t="shared" si="281"/>
        <v>69</v>
      </c>
      <c r="AV881" s="4">
        <f t="shared" si="282"/>
        <v>0.51</v>
      </c>
    </row>
    <row r="882" spans="1:48" x14ac:dyDescent="0.15">
      <c r="A882" s="4"/>
      <c r="B882" s="21"/>
      <c r="C882" s="21"/>
      <c r="D882" s="21"/>
      <c r="E882" s="22"/>
      <c r="F882" s="22"/>
      <c r="G882" s="23"/>
      <c r="H882" s="23"/>
      <c r="I882" s="181"/>
      <c r="J882" s="8" t="str">
        <f t="shared" si="274"/>
        <v/>
      </c>
      <c r="K882" s="2" t="str">
        <f t="shared" si="283"/>
        <v/>
      </c>
      <c r="L882" s="2" t="str">
        <f t="shared" si="275"/>
        <v/>
      </c>
      <c r="M882" s="2" t="str">
        <f t="shared" si="284"/>
        <v/>
      </c>
      <c r="N882" s="2" t="str">
        <f t="shared" si="292"/>
        <v/>
      </c>
      <c r="O882" s="2" t="str">
        <f t="shared" si="285"/>
        <v/>
      </c>
      <c r="P882" s="8" t="str">
        <f t="shared" si="286"/>
        <v/>
      </c>
      <c r="Q882" s="8" t="str">
        <f t="shared" si="287"/>
        <v/>
      </c>
      <c r="R882" s="111" t="str">
        <f t="shared" si="288"/>
        <v/>
      </c>
      <c r="S882" s="44" t="str">
        <f t="shared" si="289"/>
        <v/>
      </c>
      <c r="T882" s="37" t="str">
        <f t="shared" si="290"/>
        <v/>
      </c>
      <c r="U882" s="44" t="str">
        <f t="shared" si="291"/>
        <v/>
      </c>
      <c r="V882" s="26"/>
      <c r="W882" s="26"/>
      <c r="X882" s="26"/>
      <c r="Y882" s="26"/>
      <c r="Z882" s="24"/>
      <c r="AA882" s="169">
        <f t="shared" si="276"/>
        <v>0</v>
      </c>
      <c r="AB882" s="4">
        <f t="shared" si="277"/>
        <v>0</v>
      </c>
      <c r="AC882" s="170">
        <f t="shared" si="294"/>
        <v>0</v>
      </c>
      <c r="AD882" s="58"/>
      <c r="AE882" s="58"/>
      <c r="AF882" s="58"/>
      <c r="AG882" s="59">
        <f t="shared" si="278"/>
        <v>9.0359999999999996</v>
      </c>
      <c r="AH882" s="59">
        <f t="shared" si="279"/>
        <v>-184.49199999999999</v>
      </c>
      <c r="AJ882" s="4">
        <f>IF(D882="M",IF(AM882&lt;78,BMILMS!$D$5*AM882^3+BMILMS!$E$5*AM882^2+BMILMS!$F$5*AM882+BMILMS!$G$5,IF(AM882&lt;150,BMILMS!$D$6*AM882^3+BMILMS!$E$6*AM882^2+BMILMS!$F$6*AM882+BMILMS!$G$6,BMILMS!$D$7*AM882^3+BMILMS!$E$7*AM882^2+BMILMS!$F$7*AM882+BMILMS!$G$7)),IF(AM882&lt;69,BMILMS!$D$9*AM882^3+BMILMS!$E$9*AM882^2+BMILMS!$F$9*AM882+BMILMS!$G$9,IF(AM882&lt;150,BMILMS!$D$10*AM882^3+BMILMS!$E$10*AM882^2+BMILMS!$F$10*AM882+BMILMS!$G$10,BMILMS!$D$11*AM882^3+BMILMS!$E$11*AM882^2+BMILMS!$F$11*AM882+BMILMS!$G$11)))</f>
        <v>0.79584630099999998</v>
      </c>
      <c r="AK882" s="4">
        <f>IF(D882="M",(IF(AM882&lt;2.5,BMILMS!$D$21*AM882^3+BMILMS!$E$21*AM882^2+BMILMS!$F$21*AM882+BMILMS!$G$21,IF(AM882&lt;9.5,BMILMS!$D$22*AM882^3+BMILMS!$E$22*AM882^2+BMILMS!$F$22*AM882+BMILMS!$G$22,IF(AM882&lt;26.75,BMILMS!$D$23*AM882^3+BMILMS!$E$23*AM882^2+BMILMS!$F$23*AM882+BMILMS!$G$23,IF(AM882&lt;90,BMILMS!$D$24*AM882^3+BMILMS!$E$24*AM882^2+BMILMS!$F$24*AM882+BMILMS!$G$24,BMILMS!$D$25*AM882^3+BMILMS!$E$25*AM882^2+BMILMS!$F$25*AM882+BMILMS!$G$25))))),(IF(AM882&lt;2.5,BMILMS!$D$27*AM882^3+BMILMS!$E$27*AM882^2+BMILMS!$F$27*AM882+BMILMS!$G$27,IF(AM882&lt;9.5,BMILMS!$D$28*AM882^3+BMILMS!$E$28*AM882^2+BMILMS!$F$28*AM882+BMILMS!$G$28,IF(AM882&lt;26.75,BMILMS!$D$29*AM882^3+BMILMS!$E$29*AM882^2+BMILMS!$F$29*AM882+BMILMS!$G$29,IF(AM882&lt;90,BMILMS!$D$30*AM882^3+BMILMS!$E$30*AM882^2+BMILMS!$F$30*AM882+BMILMS!$G$30,IF(AM882&lt;150,BMILMS!$D$31*AM882^3+BMILMS!$E$31*AM882^2+BMILMS!$F$31*AM882+BMILMS!$G$31,BMILMS!$D$32*AM882^3+BMILMS!$E$32*AM882^2+BMILMS!$F$32*AM882+BMILMS!$G$32)))))))</f>
        <v>12.568967990000001</v>
      </c>
      <c r="AL882" s="4">
        <f>IF(D882="M",(IF(AM882&lt;90,BMILMS!$D$14*AM882^3+BMILMS!$E$14*AM882^2+BMILMS!$F$14*AM882+BMILMS!$G$14,BMILMS!$D$15*AM882^3+BMILMS!$E$15*AM882^2+BMILMS!$F$15*AM882+BMILMS!$G$15)),(IF(AM882&lt;90,BMILMS!$D$17*AM882^3+BMILMS!$E$17*AM882^2+BMILMS!$F$17*AM882+BMILMS!$G$17,BMILMS!$D$18*AM882^3+BMILMS!$E$18*AM882^2+BMILMS!$F$18*AM882+BMILMS!$G$18)))</f>
        <v>8.8969350000000003E-2</v>
      </c>
      <c r="AM882" s="4">
        <f t="shared" si="293"/>
        <v>0</v>
      </c>
      <c r="AO882" s="56">
        <f>IF(D882="M",WeightSDS!P$5*$AM882^7+WeightSDS!Q$5*$AM882^6+WeightSDS!R$5*$AM882^5+WeightSDS!S$5*$AM882^4+WeightSDS!T$5*$AM882^3+WeightSDS!U$5*$AM882^2+WeightSDS!V$5*$AM882+WeightSDS!W$5,IF($AM882&lt;186,WeightSDS!P$8*$AM882^7+WeightSDS!Q$8*$AM882^6+WeightSDS!R$8*$AM882^5+WeightSDS!S$8*$AM882^4+WeightSDS!T$8*$AM882^3+WeightSDS!U$8*$AM882^2+WeightSDS!V$8*$AM882+WeightSDS!W$8,WeightSDS!$U$9+WeightSDS!$V$9*($AM882-WeightSDS!$W$9)))</f>
        <v>0.75407122999999998</v>
      </c>
      <c r="AP882" s="4">
        <f>IF(D882="M",IF($AM882&lt;45,WeightSDS!M$23*$AM882^10+WeightSDS!N$23*$AM882^9+WeightSDS!O$23*$AM882^8+WeightSDS!P$23*$AM882^7+WeightSDS!Q$23*$AM882^6+WeightSDS!R$23*$AM882^5+WeightSDS!S$23*$AM882^4+WeightSDS!T$23*$AM882^3+WeightSDS!U$23*$AM882^2+WeightSDS!V$23*$AM882+WeightSDS!W$23,IF($AM882&lt;153,WeightSDS!M$25*$AM882^10+WeightSDS!N$25*$AM882^9+WeightSDS!O$25*$AM882^8+WeightSDS!P$25*$AM882^7+WeightSDS!Q$25*$AM882^6+WeightSDS!R$25*$AM882^5+WeightSDS!S$25*$AM882^4+WeightSDS!T$25*$AM882^3+WeightSDS!U$25*$AM882^2+WeightSDS!V$25*$AM882+WeightSDS!W$25,WeightSDS!M$27+WeightSDS!N$27/(1+EXP(WeightSDS!O$27+WeightSDS!P$27*$AM882)))),IF($AM882&lt;43.8,WeightSDS!M$29*$AM882^10+WeightSDS!N$29*$AM882^9+WeightSDS!O$29*$AM882^8+WeightSDS!P$29*$AM882^7+WeightSDS!Q$29*$AM882^6+WeightSDS!R$29*$AM882^5+WeightSDS!S$29*$AM882^4+WeightSDS!T$29*$AM882^3+WeightSDS!U$29*$AM882^2+WeightSDS!V$29*$AM882+WeightSDS!W$29-0.010431*(1-$AM882/210),IF($AM882&lt;123,WeightSDS!M$30*$AM882^10+WeightSDS!N$30*$AM882^9+WeightSDS!O$30*$AM882^8+WeightSDS!P$30*$AM882^7+WeightSDS!Q$30*$AM882^6+WeightSDS!R$30*$AM882^5+WeightSDS!S$30*$AM882^4+WeightSDS!T$30*$AM882^3+WeightSDS!U$30*$AM882^2+WeightSDS!V$30*$AM882+WeightSDS!W$30-0.010431*(1-1/$AM882),WeightSDS!M$32+WeightSDS!N$32/(1+EXP(WeightSDS!O$32+WeightSDS!P$32*$AM882))-0.010431*(1-$AM882/210))))</f>
        <v>2.9500001032655536</v>
      </c>
      <c r="AQ882" s="4">
        <f>IF(D882="M",IF($AM882&lt;162,WeightSDS!P$12*$AM882^7+WeightSDS!Q$12*$AM882^6+WeightSDS!R$12*$AM882^5+WeightSDS!S$12*$AM882^4+WeightSDS!T$12*$AM882^3+WeightSDS!U$12*$AM882^2+WeightSDS!V$12*$AM882+WeightSDS!W$12,WeightSDS!P$14*$AM882^7+WeightSDS!Q$14*$AM882^6+WeightSDS!R$14*$AM882^5+WeightSDS!S$14*$AM882^4+WeightSDS!T$14*$AM882^3+WeightSDS!U$14*$AM882^2+WeightSDS!V$14*$AM882+WeightSDS!W$14),IF($AM882&lt;156,WeightSDS!O$17*$AM882^8+WeightSDS!P$17*$AM882^7+WeightSDS!Q$17*$AM882^6+WeightSDS!R$17*$AM882^5+WeightSDS!S$17*$AM882^4+WeightSDS!T$17*$AM882^3+WeightSDS!U$17*$AM882^2+WeightSDS!V$17*$AM882+WeightSDS!W$17,IF($AM882&lt;186,WeightSDS!$U$18+(WeightSDS!$V$18-WeightSDS!$U$18)/24*($AM882-186)+WeightSDS!$W$18*(-$AM882+186)^2-0.005,WeightSDS!$U$18+(WeightSDS!$V$18-WeightSDS!$U$18)/24*($AM882-186)-0.005)))</f>
        <v>0.14604529399999999</v>
      </c>
      <c r="AT882" s="4">
        <f t="shared" si="280"/>
        <v>0.56299999999999994</v>
      </c>
      <c r="AU882" s="4">
        <f t="shared" si="281"/>
        <v>69</v>
      </c>
      <c r="AV882" s="4">
        <f t="shared" si="282"/>
        <v>0.51</v>
      </c>
    </row>
    <row r="883" spans="1:48" x14ac:dyDescent="0.15">
      <c r="A883" s="4"/>
      <c r="B883" s="21"/>
      <c r="C883" s="21"/>
      <c r="D883" s="21"/>
      <c r="E883" s="22"/>
      <c r="F883" s="22"/>
      <c r="G883" s="23"/>
      <c r="H883" s="23"/>
      <c r="I883" s="181"/>
      <c r="J883" s="8" t="str">
        <f t="shared" si="274"/>
        <v/>
      </c>
      <c r="K883" s="2" t="str">
        <f t="shared" si="283"/>
        <v/>
      </c>
      <c r="L883" s="2" t="str">
        <f t="shared" si="275"/>
        <v/>
      </c>
      <c r="M883" s="2" t="str">
        <f t="shared" si="284"/>
        <v/>
      </c>
      <c r="N883" s="2" t="str">
        <f t="shared" si="292"/>
        <v/>
      </c>
      <c r="O883" s="2" t="str">
        <f t="shared" si="285"/>
        <v/>
      </c>
      <c r="P883" s="8" t="str">
        <f t="shared" si="286"/>
        <v/>
      </c>
      <c r="Q883" s="8" t="str">
        <f t="shared" si="287"/>
        <v/>
      </c>
      <c r="R883" s="111" t="str">
        <f t="shared" si="288"/>
        <v/>
      </c>
      <c r="S883" s="44" t="str">
        <f t="shared" si="289"/>
        <v/>
      </c>
      <c r="T883" s="37" t="str">
        <f t="shared" si="290"/>
        <v/>
      </c>
      <c r="U883" s="44" t="str">
        <f t="shared" si="291"/>
        <v/>
      </c>
      <c r="V883" s="26"/>
      <c r="W883" s="26"/>
      <c r="X883" s="26"/>
      <c r="Y883" s="26"/>
      <c r="Z883" s="24"/>
      <c r="AA883" s="169">
        <f t="shared" si="276"/>
        <v>0</v>
      </c>
      <c r="AB883" s="4">
        <f t="shared" si="277"/>
        <v>0</v>
      </c>
      <c r="AC883" s="170">
        <f t="shared" si="294"/>
        <v>0</v>
      </c>
      <c r="AD883" s="58"/>
      <c r="AE883" s="58"/>
      <c r="AF883" s="58"/>
      <c r="AG883" s="59">
        <f t="shared" si="278"/>
        <v>9.0359999999999996</v>
      </c>
      <c r="AH883" s="59">
        <f t="shared" si="279"/>
        <v>-184.49199999999999</v>
      </c>
      <c r="AJ883" s="4">
        <f>IF(D883="M",IF(AM883&lt;78,BMILMS!$D$5*AM883^3+BMILMS!$E$5*AM883^2+BMILMS!$F$5*AM883+BMILMS!$G$5,IF(AM883&lt;150,BMILMS!$D$6*AM883^3+BMILMS!$E$6*AM883^2+BMILMS!$F$6*AM883+BMILMS!$G$6,BMILMS!$D$7*AM883^3+BMILMS!$E$7*AM883^2+BMILMS!$F$7*AM883+BMILMS!$G$7)),IF(AM883&lt;69,BMILMS!$D$9*AM883^3+BMILMS!$E$9*AM883^2+BMILMS!$F$9*AM883+BMILMS!$G$9,IF(AM883&lt;150,BMILMS!$D$10*AM883^3+BMILMS!$E$10*AM883^2+BMILMS!$F$10*AM883+BMILMS!$G$10,BMILMS!$D$11*AM883^3+BMILMS!$E$11*AM883^2+BMILMS!$F$11*AM883+BMILMS!$G$11)))</f>
        <v>0.79584630099999998</v>
      </c>
      <c r="AK883" s="4">
        <f>IF(D883="M",(IF(AM883&lt;2.5,BMILMS!$D$21*AM883^3+BMILMS!$E$21*AM883^2+BMILMS!$F$21*AM883+BMILMS!$G$21,IF(AM883&lt;9.5,BMILMS!$D$22*AM883^3+BMILMS!$E$22*AM883^2+BMILMS!$F$22*AM883+BMILMS!$G$22,IF(AM883&lt;26.75,BMILMS!$D$23*AM883^3+BMILMS!$E$23*AM883^2+BMILMS!$F$23*AM883+BMILMS!$G$23,IF(AM883&lt;90,BMILMS!$D$24*AM883^3+BMILMS!$E$24*AM883^2+BMILMS!$F$24*AM883+BMILMS!$G$24,BMILMS!$D$25*AM883^3+BMILMS!$E$25*AM883^2+BMILMS!$F$25*AM883+BMILMS!$G$25))))),(IF(AM883&lt;2.5,BMILMS!$D$27*AM883^3+BMILMS!$E$27*AM883^2+BMILMS!$F$27*AM883+BMILMS!$G$27,IF(AM883&lt;9.5,BMILMS!$D$28*AM883^3+BMILMS!$E$28*AM883^2+BMILMS!$F$28*AM883+BMILMS!$G$28,IF(AM883&lt;26.75,BMILMS!$D$29*AM883^3+BMILMS!$E$29*AM883^2+BMILMS!$F$29*AM883+BMILMS!$G$29,IF(AM883&lt;90,BMILMS!$D$30*AM883^3+BMILMS!$E$30*AM883^2+BMILMS!$F$30*AM883+BMILMS!$G$30,IF(AM883&lt;150,BMILMS!$D$31*AM883^3+BMILMS!$E$31*AM883^2+BMILMS!$F$31*AM883+BMILMS!$G$31,BMILMS!$D$32*AM883^3+BMILMS!$E$32*AM883^2+BMILMS!$F$32*AM883+BMILMS!$G$32)))))))</f>
        <v>12.568967990000001</v>
      </c>
      <c r="AL883" s="4">
        <f>IF(D883="M",(IF(AM883&lt;90,BMILMS!$D$14*AM883^3+BMILMS!$E$14*AM883^2+BMILMS!$F$14*AM883+BMILMS!$G$14,BMILMS!$D$15*AM883^3+BMILMS!$E$15*AM883^2+BMILMS!$F$15*AM883+BMILMS!$G$15)),(IF(AM883&lt;90,BMILMS!$D$17*AM883^3+BMILMS!$E$17*AM883^2+BMILMS!$F$17*AM883+BMILMS!$G$17,BMILMS!$D$18*AM883^3+BMILMS!$E$18*AM883^2+BMILMS!$F$18*AM883+BMILMS!$G$18)))</f>
        <v>8.8969350000000003E-2</v>
      </c>
      <c r="AM883" s="4">
        <f t="shared" si="293"/>
        <v>0</v>
      </c>
      <c r="AO883" s="56">
        <f>IF(D883="M",WeightSDS!P$5*$AM883^7+WeightSDS!Q$5*$AM883^6+WeightSDS!R$5*$AM883^5+WeightSDS!S$5*$AM883^4+WeightSDS!T$5*$AM883^3+WeightSDS!U$5*$AM883^2+WeightSDS!V$5*$AM883+WeightSDS!W$5,IF($AM883&lt;186,WeightSDS!P$8*$AM883^7+WeightSDS!Q$8*$AM883^6+WeightSDS!R$8*$AM883^5+WeightSDS!S$8*$AM883^4+WeightSDS!T$8*$AM883^3+WeightSDS!U$8*$AM883^2+WeightSDS!V$8*$AM883+WeightSDS!W$8,WeightSDS!$U$9+WeightSDS!$V$9*($AM883-WeightSDS!$W$9)))</f>
        <v>0.75407122999999998</v>
      </c>
      <c r="AP883" s="4">
        <f>IF(D883="M",IF($AM883&lt;45,WeightSDS!M$23*$AM883^10+WeightSDS!N$23*$AM883^9+WeightSDS!O$23*$AM883^8+WeightSDS!P$23*$AM883^7+WeightSDS!Q$23*$AM883^6+WeightSDS!R$23*$AM883^5+WeightSDS!S$23*$AM883^4+WeightSDS!T$23*$AM883^3+WeightSDS!U$23*$AM883^2+WeightSDS!V$23*$AM883+WeightSDS!W$23,IF($AM883&lt;153,WeightSDS!M$25*$AM883^10+WeightSDS!N$25*$AM883^9+WeightSDS!O$25*$AM883^8+WeightSDS!P$25*$AM883^7+WeightSDS!Q$25*$AM883^6+WeightSDS!R$25*$AM883^5+WeightSDS!S$25*$AM883^4+WeightSDS!T$25*$AM883^3+WeightSDS!U$25*$AM883^2+WeightSDS!V$25*$AM883+WeightSDS!W$25,WeightSDS!M$27+WeightSDS!N$27/(1+EXP(WeightSDS!O$27+WeightSDS!P$27*$AM883)))),IF($AM883&lt;43.8,WeightSDS!M$29*$AM883^10+WeightSDS!N$29*$AM883^9+WeightSDS!O$29*$AM883^8+WeightSDS!P$29*$AM883^7+WeightSDS!Q$29*$AM883^6+WeightSDS!R$29*$AM883^5+WeightSDS!S$29*$AM883^4+WeightSDS!T$29*$AM883^3+WeightSDS!U$29*$AM883^2+WeightSDS!V$29*$AM883+WeightSDS!W$29-0.010431*(1-$AM883/210),IF($AM883&lt;123,WeightSDS!M$30*$AM883^10+WeightSDS!N$30*$AM883^9+WeightSDS!O$30*$AM883^8+WeightSDS!P$30*$AM883^7+WeightSDS!Q$30*$AM883^6+WeightSDS!R$30*$AM883^5+WeightSDS!S$30*$AM883^4+WeightSDS!T$30*$AM883^3+WeightSDS!U$30*$AM883^2+WeightSDS!V$30*$AM883+WeightSDS!W$30-0.010431*(1-1/$AM883),WeightSDS!M$32+WeightSDS!N$32/(1+EXP(WeightSDS!O$32+WeightSDS!P$32*$AM883))-0.010431*(1-$AM883/210))))</f>
        <v>2.9500001032655536</v>
      </c>
      <c r="AQ883" s="4">
        <f>IF(D883="M",IF($AM883&lt;162,WeightSDS!P$12*$AM883^7+WeightSDS!Q$12*$AM883^6+WeightSDS!R$12*$AM883^5+WeightSDS!S$12*$AM883^4+WeightSDS!T$12*$AM883^3+WeightSDS!U$12*$AM883^2+WeightSDS!V$12*$AM883+WeightSDS!W$12,WeightSDS!P$14*$AM883^7+WeightSDS!Q$14*$AM883^6+WeightSDS!R$14*$AM883^5+WeightSDS!S$14*$AM883^4+WeightSDS!T$14*$AM883^3+WeightSDS!U$14*$AM883^2+WeightSDS!V$14*$AM883+WeightSDS!W$14),IF($AM883&lt;156,WeightSDS!O$17*$AM883^8+WeightSDS!P$17*$AM883^7+WeightSDS!Q$17*$AM883^6+WeightSDS!R$17*$AM883^5+WeightSDS!S$17*$AM883^4+WeightSDS!T$17*$AM883^3+WeightSDS!U$17*$AM883^2+WeightSDS!V$17*$AM883+WeightSDS!W$17,IF($AM883&lt;186,WeightSDS!$U$18+(WeightSDS!$V$18-WeightSDS!$U$18)/24*($AM883-186)+WeightSDS!$W$18*(-$AM883+186)^2-0.005,WeightSDS!$U$18+(WeightSDS!$V$18-WeightSDS!$U$18)/24*($AM883-186)-0.005)))</f>
        <v>0.14604529399999999</v>
      </c>
      <c r="AT883" s="4">
        <f t="shared" si="280"/>
        <v>0.56299999999999994</v>
      </c>
      <c r="AU883" s="4">
        <f t="shared" si="281"/>
        <v>69</v>
      </c>
      <c r="AV883" s="4">
        <f t="shared" si="282"/>
        <v>0.51</v>
      </c>
    </row>
    <row r="884" spans="1:48" x14ac:dyDescent="0.15">
      <c r="A884" s="4"/>
      <c r="B884" s="21"/>
      <c r="C884" s="21"/>
      <c r="D884" s="21"/>
      <c r="E884" s="22"/>
      <c r="F884" s="22"/>
      <c r="G884" s="23"/>
      <c r="H884" s="23"/>
      <c r="I884" s="181"/>
      <c r="J884" s="8" t="str">
        <f t="shared" si="274"/>
        <v/>
      </c>
      <c r="K884" s="2" t="str">
        <f t="shared" si="283"/>
        <v/>
      </c>
      <c r="L884" s="2" t="str">
        <f t="shared" si="275"/>
        <v/>
      </c>
      <c r="M884" s="2" t="str">
        <f t="shared" si="284"/>
        <v/>
      </c>
      <c r="N884" s="2" t="str">
        <f t="shared" si="292"/>
        <v/>
      </c>
      <c r="O884" s="2" t="str">
        <f t="shared" si="285"/>
        <v/>
      </c>
      <c r="P884" s="8" t="str">
        <f t="shared" si="286"/>
        <v/>
      </c>
      <c r="Q884" s="8" t="str">
        <f t="shared" si="287"/>
        <v/>
      </c>
      <c r="R884" s="111" t="str">
        <f t="shared" si="288"/>
        <v/>
      </c>
      <c r="S884" s="44" t="str">
        <f t="shared" si="289"/>
        <v/>
      </c>
      <c r="T884" s="37" t="str">
        <f t="shared" si="290"/>
        <v/>
      </c>
      <c r="U884" s="44" t="str">
        <f t="shared" si="291"/>
        <v/>
      </c>
      <c r="V884" s="26"/>
      <c r="W884" s="26"/>
      <c r="X884" s="26"/>
      <c r="Y884" s="26"/>
      <c r="Z884" s="24"/>
      <c r="AA884" s="169">
        <f t="shared" si="276"/>
        <v>0</v>
      </c>
      <c r="AB884" s="4">
        <f t="shared" si="277"/>
        <v>0</v>
      </c>
      <c r="AC884" s="170">
        <f t="shared" si="294"/>
        <v>0</v>
      </c>
      <c r="AD884" s="58"/>
      <c r="AE884" s="58"/>
      <c r="AF884" s="58"/>
      <c r="AG884" s="59">
        <f t="shared" si="278"/>
        <v>9.0359999999999996</v>
      </c>
      <c r="AH884" s="59">
        <f t="shared" si="279"/>
        <v>-184.49199999999999</v>
      </c>
      <c r="AJ884" s="4">
        <f>IF(D884="M",IF(AM884&lt;78,BMILMS!$D$5*AM884^3+BMILMS!$E$5*AM884^2+BMILMS!$F$5*AM884+BMILMS!$G$5,IF(AM884&lt;150,BMILMS!$D$6*AM884^3+BMILMS!$E$6*AM884^2+BMILMS!$F$6*AM884+BMILMS!$G$6,BMILMS!$D$7*AM884^3+BMILMS!$E$7*AM884^2+BMILMS!$F$7*AM884+BMILMS!$G$7)),IF(AM884&lt;69,BMILMS!$D$9*AM884^3+BMILMS!$E$9*AM884^2+BMILMS!$F$9*AM884+BMILMS!$G$9,IF(AM884&lt;150,BMILMS!$D$10*AM884^3+BMILMS!$E$10*AM884^2+BMILMS!$F$10*AM884+BMILMS!$G$10,BMILMS!$D$11*AM884^3+BMILMS!$E$11*AM884^2+BMILMS!$F$11*AM884+BMILMS!$G$11)))</f>
        <v>0.79584630099999998</v>
      </c>
      <c r="AK884" s="4">
        <f>IF(D884="M",(IF(AM884&lt;2.5,BMILMS!$D$21*AM884^3+BMILMS!$E$21*AM884^2+BMILMS!$F$21*AM884+BMILMS!$G$21,IF(AM884&lt;9.5,BMILMS!$D$22*AM884^3+BMILMS!$E$22*AM884^2+BMILMS!$F$22*AM884+BMILMS!$G$22,IF(AM884&lt;26.75,BMILMS!$D$23*AM884^3+BMILMS!$E$23*AM884^2+BMILMS!$F$23*AM884+BMILMS!$G$23,IF(AM884&lt;90,BMILMS!$D$24*AM884^3+BMILMS!$E$24*AM884^2+BMILMS!$F$24*AM884+BMILMS!$G$24,BMILMS!$D$25*AM884^3+BMILMS!$E$25*AM884^2+BMILMS!$F$25*AM884+BMILMS!$G$25))))),(IF(AM884&lt;2.5,BMILMS!$D$27*AM884^3+BMILMS!$E$27*AM884^2+BMILMS!$F$27*AM884+BMILMS!$G$27,IF(AM884&lt;9.5,BMILMS!$D$28*AM884^3+BMILMS!$E$28*AM884^2+BMILMS!$F$28*AM884+BMILMS!$G$28,IF(AM884&lt;26.75,BMILMS!$D$29*AM884^3+BMILMS!$E$29*AM884^2+BMILMS!$F$29*AM884+BMILMS!$G$29,IF(AM884&lt;90,BMILMS!$D$30*AM884^3+BMILMS!$E$30*AM884^2+BMILMS!$F$30*AM884+BMILMS!$G$30,IF(AM884&lt;150,BMILMS!$D$31*AM884^3+BMILMS!$E$31*AM884^2+BMILMS!$F$31*AM884+BMILMS!$G$31,BMILMS!$D$32*AM884^3+BMILMS!$E$32*AM884^2+BMILMS!$F$32*AM884+BMILMS!$G$32)))))))</f>
        <v>12.568967990000001</v>
      </c>
      <c r="AL884" s="4">
        <f>IF(D884="M",(IF(AM884&lt;90,BMILMS!$D$14*AM884^3+BMILMS!$E$14*AM884^2+BMILMS!$F$14*AM884+BMILMS!$G$14,BMILMS!$D$15*AM884^3+BMILMS!$E$15*AM884^2+BMILMS!$F$15*AM884+BMILMS!$G$15)),(IF(AM884&lt;90,BMILMS!$D$17*AM884^3+BMILMS!$E$17*AM884^2+BMILMS!$F$17*AM884+BMILMS!$G$17,BMILMS!$D$18*AM884^3+BMILMS!$E$18*AM884^2+BMILMS!$F$18*AM884+BMILMS!$G$18)))</f>
        <v>8.8969350000000003E-2</v>
      </c>
      <c r="AM884" s="4">
        <f t="shared" si="293"/>
        <v>0</v>
      </c>
      <c r="AO884" s="56">
        <f>IF(D884="M",WeightSDS!P$5*$AM884^7+WeightSDS!Q$5*$AM884^6+WeightSDS!R$5*$AM884^5+WeightSDS!S$5*$AM884^4+WeightSDS!T$5*$AM884^3+WeightSDS!U$5*$AM884^2+WeightSDS!V$5*$AM884+WeightSDS!W$5,IF($AM884&lt;186,WeightSDS!P$8*$AM884^7+WeightSDS!Q$8*$AM884^6+WeightSDS!R$8*$AM884^5+WeightSDS!S$8*$AM884^4+WeightSDS!T$8*$AM884^3+WeightSDS!U$8*$AM884^2+WeightSDS!V$8*$AM884+WeightSDS!W$8,WeightSDS!$U$9+WeightSDS!$V$9*($AM884-WeightSDS!$W$9)))</f>
        <v>0.75407122999999998</v>
      </c>
      <c r="AP884" s="4">
        <f>IF(D884="M",IF($AM884&lt;45,WeightSDS!M$23*$AM884^10+WeightSDS!N$23*$AM884^9+WeightSDS!O$23*$AM884^8+WeightSDS!P$23*$AM884^7+WeightSDS!Q$23*$AM884^6+WeightSDS!R$23*$AM884^5+WeightSDS!S$23*$AM884^4+WeightSDS!T$23*$AM884^3+WeightSDS!U$23*$AM884^2+WeightSDS!V$23*$AM884+WeightSDS!W$23,IF($AM884&lt;153,WeightSDS!M$25*$AM884^10+WeightSDS!N$25*$AM884^9+WeightSDS!O$25*$AM884^8+WeightSDS!P$25*$AM884^7+WeightSDS!Q$25*$AM884^6+WeightSDS!R$25*$AM884^5+WeightSDS!S$25*$AM884^4+WeightSDS!T$25*$AM884^3+WeightSDS!U$25*$AM884^2+WeightSDS!V$25*$AM884+WeightSDS!W$25,WeightSDS!M$27+WeightSDS!N$27/(1+EXP(WeightSDS!O$27+WeightSDS!P$27*$AM884)))),IF($AM884&lt;43.8,WeightSDS!M$29*$AM884^10+WeightSDS!N$29*$AM884^9+WeightSDS!O$29*$AM884^8+WeightSDS!P$29*$AM884^7+WeightSDS!Q$29*$AM884^6+WeightSDS!R$29*$AM884^5+WeightSDS!S$29*$AM884^4+WeightSDS!T$29*$AM884^3+WeightSDS!U$29*$AM884^2+WeightSDS!V$29*$AM884+WeightSDS!W$29-0.010431*(1-$AM884/210),IF($AM884&lt;123,WeightSDS!M$30*$AM884^10+WeightSDS!N$30*$AM884^9+WeightSDS!O$30*$AM884^8+WeightSDS!P$30*$AM884^7+WeightSDS!Q$30*$AM884^6+WeightSDS!R$30*$AM884^5+WeightSDS!S$30*$AM884^4+WeightSDS!T$30*$AM884^3+WeightSDS!U$30*$AM884^2+WeightSDS!V$30*$AM884+WeightSDS!W$30-0.010431*(1-1/$AM884),WeightSDS!M$32+WeightSDS!N$32/(1+EXP(WeightSDS!O$32+WeightSDS!P$32*$AM884))-0.010431*(1-$AM884/210))))</f>
        <v>2.9500001032655536</v>
      </c>
      <c r="AQ884" s="4">
        <f>IF(D884="M",IF($AM884&lt;162,WeightSDS!P$12*$AM884^7+WeightSDS!Q$12*$AM884^6+WeightSDS!R$12*$AM884^5+WeightSDS!S$12*$AM884^4+WeightSDS!T$12*$AM884^3+WeightSDS!U$12*$AM884^2+WeightSDS!V$12*$AM884+WeightSDS!W$12,WeightSDS!P$14*$AM884^7+WeightSDS!Q$14*$AM884^6+WeightSDS!R$14*$AM884^5+WeightSDS!S$14*$AM884^4+WeightSDS!T$14*$AM884^3+WeightSDS!U$14*$AM884^2+WeightSDS!V$14*$AM884+WeightSDS!W$14),IF($AM884&lt;156,WeightSDS!O$17*$AM884^8+WeightSDS!P$17*$AM884^7+WeightSDS!Q$17*$AM884^6+WeightSDS!R$17*$AM884^5+WeightSDS!S$17*$AM884^4+WeightSDS!T$17*$AM884^3+WeightSDS!U$17*$AM884^2+WeightSDS!V$17*$AM884+WeightSDS!W$17,IF($AM884&lt;186,WeightSDS!$U$18+(WeightSDS!$V$18-WeightSDS!$U$18)/24*($AM884-186)+WeightSDS!$W$18*(-$AM884+186)^2-0.005,WeightSDS!$U$18+(WeightSDS!$V$18-WeightSDS!$U$18)/24*($AM884-186)-0.005)))</f>
        <v>0.14604529399999999</v>
      </c>
      <c r="AT884" s="4">
        <f t="shared" si="280"/>
        <v>0.56299999999999994</v>
      </c>
      <c r="AU884" s="4">
        <f t="shared" si="281"/>
        <v>69</v>
      </c>
      <c r="AV884" s="4">
        <f t="shared" si="282"/>
        <v>0.51</v>
      </c>
    </row>
    <row r="885" spans="1:48" x14ac:dyDescent="0.15">
      <c r="A885" s="4"/>
      <c r="B885" s="21"/>
      <c r="C885" s="21"/>
      <c r="D885" s="21"/>
      <c r="E885" s="22"/>
      <c r="F885" s="22"/>
      <c r="G885" s="23"/>
      <c r="H885" s="23"/>
      <c r="I885" s="181"/>
      <c r="J885" s="8" t="str">
        <f t="shared" si="274"/>
        <v/>
      </c>
      <c r="K885" s="2" t="str">
        <f t="shared" si="283"/>
        <v/>
      </c>
      <c r="L885" s="2" t="str">
        <f t="shared" si="275"/>
        <v/>
      </c>
      <c r="M885" s="2" t="str">
        <f t="shared" si="284"/>
        <v/>
      </c>
      <c r="N885" s="2" t="str">
        <f t="shared" si="292"/>
        <v/>
      </c>
      <c r="O885" s="2" t="str">
        <f t="shared" si="285"/>
        <v/>
      </c>
      <c r="P885" s="8" t="str">
        <f t="shared" si="286"/>
        <v/>
      </c>
      <c r="Q885" s="8" t="str">
        <f t="shared" si="287"/>
        <v/>
      </c>
      <c r="R885" s="111" t="str">
        <f t="shared" si="288"/>
        <v/>
      </c>
      <c r="S885" s="44" t="str">
        <f t="shared" si="289"/>
        <v/>
      </c>
      <c r="T885" s="37" t="str">
        <f t="shared" si="290"/>
        <v/>
      </c>
      <c r="U885" s="44" t="str">
        <f t="shared" si="291"/>
        <v/>
      </c>
      <c r="V885" s="26"/>
      <c r="W885" s="26"/>
      <c r="X885" s="26"/>
      <c r="Y885" s="26"/>
      <c r="Z885" s="24"/>
      <c r="AA885" s="169">
        <f t="shared" si="276"/>
        <v>0</v>
      </c>
      <c r="AB885" s="4">
        <f t="shared" si="277"/>
        <v>0</v>
      </c>
      <c r="AC885" s="170">
        <f t="shared" si="294"/>
        <v>0</v>
      </c>
      <c r="AD885" s="58"/>
      <c r="AE885" s="58"/>
      <c r="AF885" s="58"/>
      <c r="AG885" s="59">
        <f t="shared" si="278"/>
        <v>9.0359999999999996</v>
      </c>
      <c r="AH885" s="59">
        <f t="shared" si="279"/>
        <v>-184.49199999999999</v>
      </c>
      <c r="AJ885" s="4">
        <f>IF(D885="M",IF(AM885&lt;78,BMILMS!$D$5*AM885^3+BMILMS!$E$5*AM885^2+BMILMS!$F$5*AM885+BMILMS!$G$5,IF(AM885&lt;150,BMILMS!$D$6*AM885^3+BMILMS!$E$6*AM885^2+BMILMS!$F$6*AM885+BMILMS!$G$6,BMILMS!$D$7*AM885^3+BMILMS!$E$7*AM885^2+BMILMS!$F$7*AM885+BMILMS!$G$7)),IF(AM885&lt;69,BMILMS!$D$9*AM885^3+BMILMS!$E$9*AM885^2+BMILMS!$F$9*AM885+BMILMS!$G$9,IF(AM885&lt;150,BMILMS!$D$10*AM885^3+BMILMS!$E$10*AM885^2+BMILMS!$F$10*AM885+BMILMS!$G$10,BMILMS!$D$11*AM885^3+BMILMS!$E$11*AM885^2+BMILMS!$F$11*AM885+BMILMS!$G$11)))</f>
        <v>0.79584630099999998</v>
      </c>
      <c r="AK885" s="4">
        <f>IF(D885="M",(IF(AM885&lt;2.5,BMILMS!$D$21*AM885^3+BMILMS!$E$21*AM885^2+BMILMS!$F$21*AM885+BMILMS!$G$21,IF(AM885&lt;9.5,BMILMS!$D$22*AM885^3+BMILMS!$E$22*AM885^2+BMILMS!$F$22*AM885+BMILMS!$G$22,IF(AM885&lt;26.75,BMILMS!$D$23*AM885^3+BMILMS!$E$23*AM885^2+BMILMS!$F$23*AM885+BMILMS!$G$23,IF(AM885&lt;90,BMILMS!$D$24*AM885^3+BMILMS!$E$24*AM885^2+BMILMS!$F$24*AM885+BMILMS!$G$24,BMILMS!$D$25*AM885^3+BMILMS!$E$25*AM885^2+BMILMS!$F$25*AM885+BMILMS!$G$25))))),(IF(AM885&lt;2.5,BMILMS!$D$27*AM885^3+BMILMS!$E$27*AM885^2+BMILMS!$F$27*AM885+BMILMS!$G$27,IF(AM885&lt;9.5,BMILMS!$D$28*AM885^3+BMILMS!$E$28*AM885^2+BMILMS!$F$28*AM885+BMILMS!$G$28,IF(AM885&lt;26.75,BMILMS!$D$29*AM885^3+BMILMS!$E$29*AM885^2+BMILMS!$F$29*AM885+BMILMS!$G$29,IF(AM885&lt;90,BMILMS!$D$30*AM885^3+BMILMS!$E$30*AM885^2+BMILMS!$F$30*AM885+BMILMS!$G$30,IF(AM885&lt;150,BMILMS!$D$31*AM885^3+BMILMS!$E$31*AM885^2+BMILMS!$F$31*AM885+BMILMS!$G$31,BMILMS!$D$32*AM885^3+BMILMS!$E$32*AM885^2+BMILMS!$F$32*AM885+BMILMS!$G$32)))))))</f>
        <v>12.568967990000001</v>
      </c>
      <c r="AL885" s="4">
        <f>IF(D885="M",(IF(AM885&lt;90,BMILMS!$D$14*AM885^3+BMILMS!$E$14*AM885^2+BMILMS!$F$14*AM885+BMILMS!$G$14,BMILMS!$D$15*AM885^3+BMILMS!$E$15*AM885^2+BMILMS!$F$15*AM885+BMILMS!$G$15)),(IF(AM885&lt;90,BMILMS!$D$17*AM885^3+BMILMS!$E$17*AM885^2+BMILMS!$F$17*AM885+BMILMS!$G$17,BMILMS!$D$18*AM885^3+BMILMS!$E$18*AM885^2+BMILMS!$F$18*AM885+BMILMS!$G$18)))</f>
        <v>8.8969350000000003E-2</v>
      </c>
      <c r="AM885" s="4">
        <f t="shared" si="293"/>
        <v>0</v>
      </c>
      <c r="AO885" s="56">
        <f>IF(D885="M",WeightSDS!P$5*$AM885^7+WeightSDS!Q$5*$AM885^6+WeightSDS!R$5*$AM885^5+WeightSDS!S$5*$AM885^4+WeightSDS!T$5*$AM885^3+WeightSDS!U$5*$AM885^2+WeightSDS!V$5*$AM885+WeightSDS!W$5,IF($AM885&lt;186,WeightSDS!P$8*$AM885^7+WeightSDS!Q$8*$AM885^6+WeightSDS!R$8*$AM885^5+WeightSDS!S$8*$AM885^4+WeightSDS!T$8*$AM885^3+WeightSDS!U$8*$AM885^2+WeightSDS!V$8*$AM885+WeightSDS!W$8,WeightSDS!$U$9+WeightSDS!$V$9*($AM885-WeightSDS!$W$9)))</f>
        <v>0.75407122999999998</v>
      </c>
      <c r="AP885" s="4">
        <f>IF(D885="M",IF($AM885&lt;45,WeightSDS!M$23*$AM885^10+WeightSDS!N$23*$AM885^9+WeightSDS!O$23*$AM885^8+WeightSDS!P$23*$AM885^7+WeightSDS!Q$23*$AM885^6+WeightSDS!R$23*$AM885^5+WeightSDS!S$23*$AM885^4+WeightSDS!T$23*$AM885^3+WeightSDS!U$23*$AM885^2+WeightSDS!V$23*$AM885+WeightSDS!W$23,IF($AM885&lt;153,WeightSDS!M$25*$AM885^10+WeightSDS!N$25*$AM885^9+WeightSDS!O$25*$AM885^8+WeightSDS!P$25*$AM885^7+WeightSDS!Q$25*$AM885^6+WeightSDS!R$25*$AM885^5+WeightSDS!S$25*$AM885^4+WeightSDS!T$25*$AM885^3+WeightSDS!U$25*$AM885^2+WeightSDS!V$25*$AM885+WeightSDS!W$25,WeightSDS!M$27+WeightSDS!N$27/(1+EXP(WeightSDS!O$27+WeightSDS!P$27*$AM885)))),IF($AM885&lt;43.8,WeightSDS!M$29*$AM885^10+WeightSDS!N$29*$AM885^9+WeightSDS!O$29*$AM885^8+WeightSDS!P$29*$AM885^7+WeightSDS!Q$29*$AM885^6+WeightSDS!R$29*$AM885^5+WeightSDS!S$29*$AM885^4+WeightSDS!T$29*$AM885^3+WeightSDS!U$29*$AM885^2+WeightSDS!V$29*$AM885+WeightSDS!W$29-0.010431*(1-$AM885/210),IF($AM885&lt;123,WeightSDS!M$30*$AM885^10+WeightSDS!N$30*$AM885^9+WeightSDS!O$30*$AM885^8+WeightSDS!P$30*$AM885^7+WeightSDS!Q$30*$AM885^6+WeightSDS!R$30*$AM885^5+WeightSDS!S$30*$AM885^4+WeightSDS!T$30*$AM885^3+WeightSDS!U$30*$AM885^2+WeightSDS!V$30*$AM885+WeightSDS!W$30-0.010431*(1-1/$AM885),WeightSDS!M$32+WeightSDS!N$32/(1+EXP(WeightSDS!O$32+WeightSDS!P$32*$AM885))-0.010431*(1-$AM885/210))))</f>
        <v>2.9500001032655536</v>
      </c>
      <c r="AQ885" s="4">
        <f>IF(D885="M",IF($AM885&lt;162,WeightSDS!P$12*$AM885^7+WeightSDS!Q$12*$AM885^6+WeightSDS!R$12*$AM885^5+WeightSDS!S$12*$AM885^4+WeightSDS!T$12*$AM885^3+WeightSDS!U$12*$AM885^2+WeightSDS!V$12*$AM885+WeightSDS!W$12,WeightSDS!P$14*$AM885^7+WeightSDS!Q$14*$AM885^6+WeightSDS!R$14*$AM885^5+WeightSDS!S$14*$AM885^4+WeightSDS!T$14*$AM885^3+WeightSDS!U$14*$AM885^2+WeightSDS!V$14*$AM885+WeightSDS!W$14),IF($AM885&lt;156,WeightSDS!O$17*$AM885^8+WeightSDS!P$17*$AM885^7+WeightSDS!Q$17*$AM885^6+WeightSDS!R$17*$AM885^5+WeightSDS!S$17*$AM885^4+WeightSDS!T$17*$AM885^3+WeightSDS!U$17*$AM885^2+WeightSDS!V$17*$AM885+WeightSDS!W$17,IF($AM885&lt;186,WeightSDS!$U$18+(WeightSDS!$V$18-WeightSDS!$U$18)/24*($AM885-186)+WeightSDS!$W$18*(-$AM885+186)^2-0.005,WeightSDS!$U$18+(WeightSDS!$V$18-WeightSDS!$U$18)/24*($AM885-186)-0.005)))</f>
        <v>0.14604529399999999</v>
      </c>
      <c r="AT885" s="4">
        <f t="shared" si="280"/>
        <v>0.56299999999999994</v>
      </c>
      <c r="AU885" s="4">
        <f t="shared" si="281"/>
        <v>69</v>
      </c>
      <c r="AV885" s="4">
        <f t="shared" si="282"/>
        <v>0.51</v>
      </c>
    </row>
    <row r="886" spans="1:48" x14ac:dyDescent="0.15">
      <c r="A886" s="4"/>
      <c r="B886" s="21"/>
      <c r="C886" s="21"/>
      <c r="D886" s="21"/>
      <c r="E886" s="22"/>
      <c r="F886" s="22"/>
      <c r="G886" s="23"/>
      <c r="H886" s="23"/>
      <c r="I886" s="181"/>
      <c r="J886" s="8" t="str">
        <f t="shared" si="274"/>
        <v/>
      </c>
      <c r="K886" s="2" t="str">
        <f t="shared" si="283"/>
        <v/>
      </c>
      <c r="L886" s="2" t="str">
        <f t="shared" si="275"/>
        <v/>
      </c>
      <c r="M886" s="2" t="str">
        <f t="shared" si="284"/>
        <v/>
      </c>
      <c r="N886" s="2" t="str">
        <f t="shared" si="292"/>
        <v/>
      </c>
      <c r="O886" s="2" t="str">
        <f t="shared" si="285"/>
        <v/>
      </c>
      <c r="P886" s="8" t="str">
        <f t="shared" si="286"/>
        <v/>
      </c>
      <c r="Q886" s="8" t="str">
        <f t="shared" si="287"/>
        <v/>
      </c>
      <c r="R886" s="111" t="str">
        <f t="shared" si="288"/>
        <v/>
      </c>
      <c r="S886" s="44" t="str">
        <f t="shared" si="289"/>
        <v/>
      </c>
      <c r="T886" s="37" t="str">
        <f t="shared" si="290"/>
        <v/>
      </c>
      <c r="U886" s="44" t="str">
        <f t="shared" si="291"/>
        <v/>
      </c>
      <c r="V886" s="26"/>
      <c r="W886" s="26"/>
      <c r="X886" s="26"/>
      <c r="Y886" s="26"/>
      <c r="Z886" s="24"/>
      <c r="AA886" s="169">
        <f t="shared" si="276"/>
        <v>0</v>
      </c>
      <c r="AB886" s="4">
        <f t="shared" si="277"/>
        <v>0</v>
      </c>
      <c r="AC886" s="170">
        <f t="shared" si="294"/>
        <v>0</v>
      </c>
      <c r="AD886" s="58"/>
      <c r="AE886" s="58"/>
      <c r="AF886" s="58"/>
      <c r="AG886" s="59">
        <f t="shared" si="278"/>
        <v>9.0359999999999996</v>
      </c>
      <c r="AH886" s="59">
        <f t="shared" si="279"/>
        <v>-184.49199999999999</v>
      </c>
      <c r="AJ886" s="4">
        <f>IF(D886="M",IF(AM886&lt;78,BMILMS!$D$5*AM886^3+BMILMS!$E$5*AM886^2+BMILMS!$F$5*AM886+BMILMS!$G$5,IF(AM886&lt;150,BMILMS!$D$6*AM886^3+BMILMS!$E$6*AM886^2+BMILMS!$F$6*AM886+BMILMS!$G$6,BMILMS!$D$7*AM886^3+BMILMS!$E$7*AM886^2+BMILMS!$F$7*AM886+BMILMS!$G$7)),IF(AM886&lt;69,BMILMS!$D$9*AM886^3+BMILMS!$E$9*AM886^2+BMILMS!$F$9*AM886+BMILMS!$G$9,IF(AM886&lt;150,BMILMS!$D$10*AM886^3+BMILMS!$E$10*AM886^2+BMILMS!$F$10*AM886+BMILMS!$G$10,BMILMS!$D$11*AM886^3+BMILMS!$E$11*AM886^2+BMILMS!$F$11*AM886+BMILMS!$G$11)))</f>
        <v>0.79584630099999998</v>
      </c>
      <c r="AK886" s="4">
        <f>IF(D886="M",(IF(AM886&lt;2.5,BMILMS!$D$21*AM886^3+BMILMS!$E$21*AM886^2+BMILMS!$F$21*AM886+BMILMS!$G$21,IF(AM886&lt;9.5,BMILMS!$D$22*AM886^3+BMILMS!$E$22*AM886^2+BMILMS!$F$22*AM886+BMILMS!$G$22,IF(AM886&lt;26.75,BMILMS!$D$23*AM886^3+BMILMS!$E$23*AM886^2+BMILMS!$F$23*AM886+BMILMS!$G$23,IF(AM886&lt;90,BMILMS!$D$24*AM886^3+BMILMS!$E$24*AM886^2+BMILMS!$F$24*AM886+BMILMS!$G$24,BMILMS!$D$25*AM886^3+BMILMS!$E$25*AM886^2+BMILMS!$F$25*AM886+BMILMS!$G$25))))),(IF(AM886&lt;2.5,BMILMS!$D$27*AM886^3+BMILMS!$E$27*AM886^2+BMILMS!$F$27*AM886+BMILMS!$G$27,IF(AM886&lt;9.5,BMILMS!$D$28*AM886^3+BMILMS!$E$28*AM886^2+BMILMS!$F$28*AM886+BMILMS!$G$28,IF(AM886&lt;26.75,BMILMS!$D$29*AM886^3+BMILMS!$E$29*AM886^2+BMILMS!$F$29*AM886+BMILMS!$G$29,IF(AM886&lt;90,BMILMS!$D$30*AM886^3+BMILMS!$E$30*AM886^2+BMILMS!$F$30*AM886+BMILMS!$G$30,IF(AM886&lt;150,BMILMS!$D$31*AM886^3+BMILMS!$E$31*AM886^2+BMILMS!$F$31*AM886+BMILMS!$G$31,BMILMS!$D$32*AM886^3+BMILMS!$E$32*AM886^2+BMILMS!$F$32*AM886+BMILMS!$G$32)))))))</f>
        <v>12.568967990000001</v>
      </c>
      <c r="AL886" s="4">
        <f>IF(D886="M",(IF(AM886&lt;90,BMILMS!$D$14*AM886^3+BMILMS!$E$14*AM886^2+BMILMS!$F$14*AM886+BMILMS!$G$14,BMILMS!$D$15*AM886^3+BMILMS!$E$15*AM886^2+BMILMS!$F$15*AM886+BMILMS!$G$15)),(IF(AM886&lt;90,BMILMS!$D$17*AM886^3+BMILMS!$E$17*AM886^2+BMILMS!$F$17*AM886+BMILMS!$G$17,BMILMS!$D$18*AM886^3+BMILMS!$E$18*AM886^2+BMILMS!$F$18*AM886+BMILMS!$G$18)))</f>
        <v>8.8969350000000003E-2</v>
      </c>
      <c r="AM886" s="4">
        <f t="shared" si="293"/>
        <v>0</v>
      </c>
      <c r="AO886" s="56">
        <f>IF(D886="M",WeightSDS!P$5*$AM886^7+WeightSDS!Q$5*$AM886^6+WeightSDS!R$5*$AM886^5+WeightSDS!S$5*$AM886^4+WeightSDS!T$5*$AM886^3+WeightSDS!U$5*$AM886^2+WeightSDS!V$5*$AM886+WeightSDS!W$5,IF($AM886&lt;186,WeightSDS!P$8*$AM886^7+WeightSDS!Q$8*$AM886^6+WeightSDS!R$8*$AM886^5+WeightSDS!S$8*$AM886^4+WeightSDS!T$8*$AM886^3+WeightSDS!U$8*$AM886^2+WeightSDS!V$8*$AM886+WeightSDS!W$8,WeightSDS!$U$9+WeightSDS!$V$9*($AM886-WeightSDS!$W$9)))</f>
        <v>0.75407122999999998</v>
      </c>
      <c r="AP886" s="4">
        <f>IF(D886="M",IF($AM886&lt;45,WeightSDS!M$23*$AM886^10+WeightSDS!N$23*$AM886^9+WeightSDS!O$23*$AM886^8+WeightSDS!P$23*$AM886^7+WeightSDS!Q$23*$AM886^6+WeightSDS!R$23*$AM886^5+WeightSDS!S$23*$AM886^4+WeightSDS!T$23*$AM886^3+WeightSDS!U$23*$AM886^2+WeightSDS!V$23*$AM886+WeightSDS!W$23,IF($AM886&lt;153,WeightSDS!M$25*$AM886^10+WeightSDS!N$25*$AM886^9+WeightSDS!O$25*$AM886^8+WeightSDS!P$25*$AM886^7+WeightSDS!Q$25*$AM886^6+WeightSDS!R$25*$AM886^5+WeightSDS!S$25*$AM886^4+WeightSDS!T$25*$AM886^3+WeightSDS!U$25*$AM886^2+WeightSDS!V$25*$AM886+WeightSDS!W$25,WeightSDS!M$27+WeightSDS!N$27/(1+EXP(WeightSDS!O$27+WeightSDS!P$27*$AM886)))),IF($AM886&lt;43.8,WeightSDS!M$29*$AM886^10+WeightSDS!N$29*$AM886^9+WeightSDS!O$29*$AM886^8+WeightSDS!P$29*$AM886^7+WeightSDS!Q$29*$AM886^6+WeightSDS!R$29*$AM886^5+WeightSDS!S$29*$AM886^4+WeightSDS!T$29*$AM886^3+WeightSDS!U$29*$AM886^2+WeightSDS!V$29*$AM886+WeightSDS!W$29-0.010431*(1-$AM886/210),IF($AM886&lt;123,WeightSDS!M$30*$AM886^10+WeightSDS!N$30*$AM886^9+WeightSDS!O$30*$AM886^8+WeightSDS!P$30*$AM886^7+WeightSDS!Q$30*$AM886^6+WeightSDS!R$30*$AM886^5+WeightSDS!S$30*$AM886^4+WeightSDS!T$30*$AM886^3+WeightSDS!U$30*$AM886^2+WeightSDS!V$30*$AM886+WeightSDS!W$30-0.010431*(1-1/$AM886),WeightSDS!M$32+WeightSDS!N$32/(1+EXP(WeightSDS!O$32+WeightSDS!P$32*$AM886))-0.010431*(1-$AM886/210))))</f>
        <v>2.9500001032655536</v>
      </c>
      <c r="AQ886" s="4">
        <f>IF(D886="M",IF($AM886&lt;162,WeightSDS!P$12*$AM886^7+WeightSDS!Q$12*$AM886^6+WeightSDS!R$12*$AM886^5+WeightSDS!S$12*$AM886^4+WeightSDS!T$12*$AM886^3+WeightSDS!U$12*$AM886^2+WeightSDS!V$12*$AM886+WeightSDS!W$12,WeightSDS!P$14*$AM886^7+WeightSDS!Q$14*$AM886^6+WeightSDS!R$14*$AM886^5+WeightSDS!S$14*$AM886^4+WeightSDS!T$14*$AM886^3+WeightSDS!U$14*$AM886^2+WeightSDS!V$14*$AM886+WeightSDS!W$14),IF($AM886&lt;156,WeightSDS!O$17*$AM886^8+WeightSDS!P$17*$AM886^7+WeightSDS!Q$17*$AM886^6+WeightSDS!R$17*$AM886^5+WeightSDS!S$17*$AM886^4+WeightSDS!T$17*$AM886^3+WeightSDS!U$17*$AM886^2+WeightSDS!V$17*$AM886+WeightSDS!W$17,IF($AM886&lt;186,WeightSDS!$U$18+(WeightSDS!$V$18-WeightSDS!$U$18)/24*($AM886-186)+WeightSDS!$W$18*(-$AM886+186)^2-0.005,WeightSDS!$U$18+(WeightSDS!$V$18-WeightSDS!$U$18)/24*($AM886-186)-0.005)))</f>
        <v>0.14604529399999999</v>
      </c>
      <c r="AT886" s="4">
        <f t="shared" si="280"/>
        <v>0.56299999999999994</v>
      </c>
      <c r="AU886" s="4">
        <f t="shared" si="281"/>
        <v>69</v>
      </c>
      <c r="AV886" s="4">
        <f t="shared" si="282"/>
        <v>0.51</v>
      </c>
    </row>
    <row r="887" spans="1:48" x14ac:dyDescent="0.15">
      <c r="A887" s="4"/>
      <c r="B887" s="21"/>
      <c r="C887" s="21"/>
      <c r="D887" s="21"/>
      <c r="E887" s="22"/>
      <c r="F887" s="22"/>
      <c r="G887" s="23"/>
      <c r="H887" s="23"/>
      <c r="I887" s="181"/>
      <c r="J887" s="8" t="str">
        <f t="shared" si="274"/>
        <v/>
      </c>
      <c r="K887" s="2" t="str">
        <f t="shared" si="283"/>
        <v/>
      </c>
      <c r="L887" s="2" t="str">
        <f t="shared" si="275"/>
        <v/>
      </c>
      <c r="M887" s="2" t="str">
        <f t="shared" si="284"/>
        <v/>
      </c>
      <c r="N887" s="2" t="str">
        <f t="shared" si="292"/>
        <v/>
      </c>
      <c r="O887" s="2" t="str">
        <f t="shared" si="285"/>
        <v/>
      </c>
      <c r="P887" s="8" t="str">
        <f t="shared" si="286"/>
        <v/>
      </c>
      <c r="Q887" s="8" t="str">
        <f t="shared" si="287"/>
        <v/>
      </c>
      <c r="R887" s="111" t="str">
        <f t="shared" si="288"/>
        <v/>
      </c>
      <c r="S887" s="44" t="str">
        <f t="shared" si="289"/>
        <v/>
      </c>
      <c r="T887" s="37" t="str">
        <f t="shared" si="290"/>
        <v/>
      </c>
      <c r="U887" s="44" t="str">
        <f t="shared" si="291"/>
        <v/>
      </c>
      <c r="V887" s="26"/>
      <c r="W887" s="26"/>
      <c r="X887" s="26"/>
      <c r="Y887" s="26"/>
      <c r="Z887" s="24"/>
      <c r="AA887" s="169">
        <f t="shared" si="276"/>
        <v>0</v>
      </c>
      <c r="AB887" s="4">
        <f t="shared" si="277"/>
        <v>0</v>
      </c>
      <c r="AC887" s="170">
        <f t="shared" si="294"/>
        <v>0</v>
      </c>
      <c r="AD887" s="58"/>
      <c r="AE887" s="58"/>
      <c r="AF887" s="58"/>
      <c r="AG887" s="59">
        <f t="shared" si="278"/>
        <v>9.0359999999999996</v>
      </c>
      <c r="AH887" s="59">
        <f t="shared" si="279"/>
        <v>-184.49199999999999</v>
      </c>
      <c r="AJ887" s="4">
        <f>IF(D887="M",IF(AM887&lt;78,BMILMS!$D$5*AM887^3+BMILMS!$E$5*AM887^2+BMILMS!$F$5*AM887+BMILMS!$G$5,IF(AM887&lt;150,BMILMS!$D$6*AM887^3+BMILMS!$E$6*AM887^2+BMILMS!$F$6*AM887+BMILMS!$G$6,BMILMS!$D$7*AM887^3+BMILMS!$E$7*AM887^2+BMILMS!$F$7*AM887+BMILMS!$G$7)),IF(AM887&lt;69,BMILMS!$D$9*AM887^3+BMILMS!$E$9*AM887^2+BMILMS!$F$9*AM887+BMILMS!$G$9,IF(AM887&lt;150,BMILMS!$D$10*AM887^3+BMILMS!$E$10*AM887^2+BMILMS!$F$10*AM887+BMILMS!$G$10,BMILMS!$D$11*AM887^3+BMILMS!$E$11*AM887^2+BMILMS!$F$11*AM887+BMILMS!$G$11)))</f>
        <v>0.79584630099999998</v>
      </c>
      <c r="AK887" s="4">
        <f>IF(D887="M",(IF(AM887&lt;2.5,BMILMS!$D$21*AM887^3+BMILMS!$E$21*AM887^2+BMILMS!$F$21*AM887+BMILMS!$G$21,IF(AM887&lt;9.5,BMILMS!$D$22*AM887^3+BMILMS!$E$22*AM887^2+BMILMS!$F$22*AM887+BMILMS!$G$22,IF(AM887&lt;26.75,BMILMS!$D$23*AM887^3+BMILMS!$E$23*AM887^2+BMILMS!$F$23*AM887+BMILMS!$G$23,IF(AM887&lt;90,BMILMS!$D$24*AM887^3+BMILMS!$E$24*AM887^2+BMILMS!$F$24*AM887+BMILMS!$G$24,BMILMS!$D$25*AM887^3+BMILMS!$E$25*AM887^2+BMILMS!$F$25*AM887+BMILMS!$G$25))))),(IF(AM887&lt;2.5,BMILMS!$D$27*AM887^3+BMILMS!$E$27*AM887^2+BMILMS!$F$27*AM887+BMILMS!$G$27,IF(AM887&lt;9.5,BMILMS!$D$28*AM887^3+BMILMS!$E$28*AM887^2+BMILMS!$F$28*AM887+BMILMS!$G$28,IF(AM887&lt;26.75,BMILMS!$D$29*AM887^3+BMILMS!$E$29*AM887^2+BMILMS!$F$29*AM887+BMILMS!$G$29,IF(AM887&lt;90,BMILMS!$D$30*AM887^3+BMILMS!$E$30*AM887^2+BMILMS!$F$30*AM887+BMILMS!$G$30,IF(AM887&lt;150,BMILMS!$D$31*AM887^3+BMILMS!$E$31*AM887^2+BMILMS!$F$31*AM887+BMILMS!$G$31,BMILMS!$D$32*AM887^3+BMILMS!$E$32*AM887^2+BMILMS!$F$32*AM887+BMILMS!$G$32)))))))</f>
        <v>12.568967990000001</v>
      </c>
      <c r="AL887" s="4">
        <f>IF(D887="M",(IF(AM887&lt;90,BMILMS!$D$14*AM887^3+BMILMS!$E$14*AM887^2+BMILMS!$F$14*AM887+BMILMS!$G$14,BMILMS!$D$15*AM887^3+BMILMS!$E$15*AM887^2+BMILMS!$F$15*AM887+BMILMS!$G$15)),(IF(AM887&lt;90,BMILMS!$D$17*AM887^3+BMILMS!$E$17*AM887^2+BMILMS!$F$17*AM887+BMILMS!$G$17,BMILMS!$D$18*AM887^3+BMILMS!$E$18*AM887^2+BMILMS!$F$18*AM887+BMILMS!$G$18)))</f>
        <v>8.8969350000000003E-2</v>
      </c>
      <c r="AM887" s="4">
        <f t="shared" si="293"/>
        <v>0</v>
      </c>
      <c r="AO887" s="56">
        <f>IF(D887="M",WeightSDS!P$5*$AM887^7+WeightSDS!Q$5*$AM887^6+WeightSDS!R$5*$AM887^5+WeightSDS!S$5*$AM887^4+WeightSDS!T$5*$AM887^3+WeightSDS!U$5*$AM887^2+WeightSDS!V$5*$AM887+WeightSDS!W$5,IF($AM887&lt;186,WeightSDS!P$8*$AM887^7+WeightSDS!Q$8*$AM887^6+WeightSDS!R$8*$AM887^5+WeightSDS!S$8*$AM887^4+WeightSDS!T$8*$AM887^3+WeightSDS!U$8*$AM887^2+WeightSDS!V$8*$AM887+WeightSDS!W$8,WeightSDS!$U$9+WeightSDS!$V$9*($AM887-WeightSDS!$W$9)))</f>
        <v>0.75407122999999998</v>
      </c>
      <c r="AP887" s="4">
        <f>IF(D887="M",IF($AM887&lt;45,WeightSDS!M$23*$AM887^10+WeightSDS!N$23*$AM887^9+WeightSDS!O$23*$AM887^8+WeightSDS!P$23*$AM887^7+WeightSDS!Q$23*$AM887^6+WeightSDS!R$23*$AM887^5+WeightSDS!S$23*$AM887^4+WeightSDS!T$23*$AM887^3+WeightSDS!U$23*$AM887^2+WeightSDS!V$23*$AM887+WeightSDS!W$23,IF($AM887&lt;153,WeightSDS!M$25*$AM887^10+WeightSDS!N$25*$AM887^9+WeightSDS!O$25*$AM887^8+WeightSDS!P$25*$AM887^7+WeightSDS!Q$25*$AM887^6+WeightSDS!R$25*$AM887^5+WeightSDS!S$25*$AM887^4+WeightSDS!T$25*$AM887^3+WeightSDS!U$25*$AM887^2+WeightSDS!V$25*$AM887+WeightSDS!W$25,WeightSDS!M$27+WeightSDS!N$27/(1+EXP(WeightSDS!O$27+WeightSDS!P$27*$AM887)))),IF($AM887&lt;43.8,WeightSDS!M$29*$AM887^10+WeightSDS!N$29*$AM887^9+WeightSDS!O$29*$AM887^8+WeightSDS!P$29*$AM887^7+WeightSDS!Q$29*$AM887^6+WeightSDS!R$29*$AM887^5+WeightSDS!S$29*$AM887^4+WeightSDS!T$29*$AM887^3+WeightSDS!U$29*$AM887^2+WeightSDS!V$29*$AM887+WeightSDS!W$29-0.010431*(1-$AM887/210),IF($AM887&lt;123,WeightSDS!M$30*$AM887^10+WeightSDS!N$30*$AM887^9+WeightSDS!O$30*$AM887^8+WeightSDS!P$30*$AM887^7+WeightSDS!Q$30*$AM887^6+WeightSDS!R$30*$AM887^5+WeightSDS!S$30*$AM887^4+WeightSDS!T$30*$AM887^3+WeightSDS!U$30*$AM887^2+WeightSDS!V$30*$AM887+WeightSDS!W$30-0.010431*(1-1/$AM887),WeightSDS!M$32+WeightSDS!N$32/(1+EXP(WeightSDS!O$32+WeightSDS!P$32*$AM887))-0.010431*(1-$AM887/210))))</f>
        <v>2.9500001032655536</v>
      </c>
      <c r="AQ887" s="4">
        <f>IF(D887="M",IF($AM887&lt;162,WeightSDS!P$12*$AM887^7+WeightSDS!Q$12*$AM887^6+WeightSDS!R$12*$AM887^5+WeightSDS!S$12*$AM887^4+WeightSDS!T$12*$AM887^3+WeightSDS!U$12*$AM887^2+WeightSDS!V$12*$AM887+WeightSDS!W$12,WeightSDS!P$14*$AM887^7+WeightSDS!Q$14*$AM887^6+WeightSDS!R$14*$AM887^5+WeightSDS!S$14*$AM887^4+WeightSDS!T$14*$AM887^3+WeightSDS!U$14*$AM887^2+WeightSDS!V$14*$AM887+WeightSDS!W$14),IF($AM887&lt;156,WeightSDS!O$17*$AM887^8+WeightSDS!P$17*$AM887^7+WeightSDS!Q$17*$AM887^6+WeightSDS!R$17*$AM887^5+WeightSDS!S$17*$AM887^4+WeightSDS!T$17*$AM887^3+WeightSDS!U$17*$AM887^2+WeightSDS!V$17*$AM887+WeightSDS!W$17,IF($AM887&lt;186,WeightSDS!$U$18+(WeightSDS!$V$18-WeightSDS!$U$18)/24*($AM887-186)+WeightSDS!$W$18*(-$AM887+186)^2-0.005,WeightSDS!$U$18+(WeightSDS!$V$18-WeightSDS!$U$18)/24*($AM887-186)-0.005)))</f>
        <v>0.14604529399999999</v>
      </c>
      <c r="AT887" s="4">
        <f t="shared" si="280"/>
        <v>0.56299999999999994</v>
      </c>
      <c r="AU887" s="4">
        <f t="shared" si="281"/>
        <v>69</v>
      </c>
      <c r="AV887" s="4">
        <f t="shared" si="282"/>
        <v>0.51</v>
      </c>
    </row>
    <row r="888" spans="1:48" x14ac:dyDescent="0.15">
      <c r="A888" s="4"/>
      <c r="B888" s="21"/>
      <c r="C888" s="21"/>
      <c r="D888" s="21"/>
      <c r="E888" s="22"/>
      <c r="F888" s="22"/>
      <c r="G888" s="23"/>
      <c r="H888" s="23"/>
      <c r="I888" s="181"/>
      <c r="J888" s="8" t="str">
        <f t="shared" si="274"/>
        <v/>
      </c>
      <c r="K888" s="2" t="str">
        <f t="shared" si="283"/>
        <v/>
      </c>
      <c r="L888" s="2" t="str">
        <f t="shared" si="275"/>
        <v/>
      </c>
      <c r="M888" s="2" t="str">
        <f t="shared" si="284"/>
        <v/>
      </c>
      <c r="N888" s="2" t="str">
        <f t="shared" si="292"/>
        <v/>
      </c>
      <c r="O888" s="2" t="str">
        <f t="shared" si="285"/>
        <v/>
      </c>
      <c r="P888" s="8" t="str">
        <f t="shared" si="286"/>
        <v/>
      </c>
      <c r="Q888" s="8" t="str">
        <f t="shared" si="287"/>
        <v/>
      </c>
      <c r="R888" s="111" t="str">
        <f t="shared" si="288"/>
        <v/>
      </c>
      <c r="S888" s="44" t="str">
        <f t="shared" si="289"/>
        <v/>
      </c>
      <c r="T888" s="37" t="str">
        <f t="shared" si="290"/>
        <v/>
      </c>
      <c r="U888" s="44" t="str">
        <f t="shared" si="291"/>
        <v/>
      </c>
      <c r="V888" s="26"/>
      <c r="W888" s="26"/>
      <c r="X888" s="26"/>
      <c r="Y888" s="26"/>
      <c r="Z888" s="24"/>
      <c r="AA888" s="169">
        <f t="shared" si="276"/>
        <v>0</v>
      </c>
      <c r="AB888" s="4">
        <f t="shared" si="277"/>
        <v>0</v>
      </c>
      <c r="AC888" s="170">
        <f t="shared" si="294"/>
        <v>0</v>
      </c>
      <c r="AD888" s="58"/>
      <c r="AE888" s="58"/>
      <c r="AF888" s="58"/>
      <c r="AG888" s="59">
        <f t="shared" si="278"/>
        <v>9.0359999999999996</v>
      </c>
      <c r="AH888" s="59">
        <f t="shared" si="279"/>
        <v>-184.49199999999999</v>
      </c>
      <c r="AJ888" s="4">
        <f>IF(D888="M",IF(AM888&lt;78,BMILMS!$D$5*AM888^3+BMILMS!$E$5*AM888^2+BMILMS!$F$5*AM888+BMILMS!$G$5,IF(AM888&lt;150,BMILMS!$D$6*AM888^3+BMILMS!$E$6*AM888^2+BMILMS!$F$6*AM888+BMILMS!$G$6,BMILMS!$D$7*AM888^3+BMILMS!$E$7*AM888^2+BMILMS!$F$7*AM888+BMILMS!$G$7)),IF(AM888&lt;69,BMILMS!$D$9*AM888^3+BMILMS!$E$9*AM888^2+BMILMS!$F$9*AM888+BMILMS!$G$9,IF(AM888&lt;150,BMILMS!$D$10*AM888^3+BMILMS!$E$10*AM888^2+BMILMS!$F$10*AM888+BMILMS!$G$10,BMILMS!$D$11*AM888^3+BMILMS!$E$11*AM888^2+BMILMS!$F$11*AM888+BMILMS!$G$11)))</f>
        <v>0.79584630099999998</v>
      </c>
      <c r="AK888" s="4">
        <f>IF(D888="M",(IF(AM888&lt;2.5,BMILMS!$D$21*AM888^3+BMILMS!$E$21*AM888^2+BMILMS!$F$21*AM888+BMILMS!$G$21,IF(AM888&lt;9.5,BMILMS!$D$22*AM888^3+BMILMS!$E$22*AM888^2+BMILMS!$F$22*AM888+BMILMS!$G$22,IF(AM888&lt;26.75,BMILMS!$D$23*AM888^3+BMILMS!$E$23*AM888^2+BMILMS!$F$23*AM888+BMILMS!$G$23,IF(AM888&lt;90,BMILMS!$D$24*AM888^3+BMILMS!$E$24*AM888^2+BMILMS!$F$24*AM888+BMILMS!$G$24,BMILMS!$D$25*AM888^3+BMILMS!$E$25*AM888^2+BMILMS!$F$25*AM888+BMILMS!$G$25))))),(IF(AM888&lt;2.5,BMILMS!$D$27*AM888^3+BMILMS!$E$27*AM888^2+BMILMS!$F$27*AM888+BMILMS!$G$27,IF(AM888&lt;9.5,BMILMS!$D$28*AM888^3+BMILMS!$E$28*AM888^2+BMILMS!$F$28*AM888+BMILMS!$G$28,IF(AM888&lt;26.75,BMILMS!$D$29*AM888^3+BMILMS!$E$29*AM888^2+BMILMS!$F$29*AM888+BMILMS!$G$29,IF(AM888&lt;90,BMILMS!$D$30*AM888^3+BMILMS!$E$30*AM888^2+BMILMS!$F$30*AM888+BMILMS!$G$30,IF(AM888&lt;150,BMILMS!$D$31*AM888^3+BMILMS!$E$31*AM888^2+BMILMS!$F$31*AM888+BMILMS!$G$31,BMILMS!$D$32*AM888^3+BMILMS!$E$32*AM888^2+BMILMS!$F$32*AM888+BMILMS!$G$32)))))))</f>
        <v>12.568967990000001</v>
      </c>
      <c r="AL888" s="4">
        <f>IF(D888="M",(IF(AM888&lt;90,BMILMS!$D$14*AM888^3+BMILMS!$E$14*AM888^2+BMILMS!$F$14*AM888+BMILMS!$G$14,BMILMS!$D$15*AM888^3+BMILMS!$E$15*AM888^2+BMILMS!$F$15*AM888+BMILMS!$G$15)),(IF(AM888&lt;90,BMILMS!$D$17*AM888^3+BMILMS!$E$17*AM888^2+BMILMS!$F$17*AM888+BMILMS!$G$17,BMILMS!$D$18*AM888^3+BMILMS!$E$18*AM888^2+BMILMS!$F$18*AM888+BMILMS!$G$18)))</f>
        <v>8.8969350000000003E-2</v>
      </c>
      <c r="AM888" s="4">
        <f t="shared" si="293"/>
        <v>0</v>
      </c>
      <c r="AO888" s="56">
        <f>IF(D888="M",WeightSDS!P$5*$AM888^7+WeightSDS!Q$5*$AM888^6+WeightSDS!R$5*$AM888^5+WeightSDS!S$5*$AM888^4+WeightSDS!T$5*$AM888^3+WeightSDS!U$5*$AM888^2+WeightSDS!V$5*$AM888+WeightSDS!W$5,IF($AM888&lt;186,WeightSDS!P$8*$AM888^7+WeightSDS!Q$8*$AM888^6+WeightSDS!R$8*$AM888^5+WeightSDS!S$8*$AM888^4+WeightSDS!T$8*$AM888^3+WeightSDS!U$8*$AM888^2+WeightSDS!V$8*$AM888+WeightSDS!W$8,WeightSDS!$U$9+WeightSDS!$V$9*($AM888-WeightSDS!$W$9)))</f>
        <v>0.75407122999999998</v>
      </c>
      <c r="AP888" s="4">
        <f>IF(D888="M",IF($AM888&lt;45,WeightSDS!M$23*$AM888^10+WeightSDS!N$23*$AM888^9+WeightSDS!O$23*$AM888^8+WeightSDS!P$23*$AM888^7+WeightSDS!Q$23*$AM888^6+WeightSDS!R$23*$AM888^5+WeightSDS!S$23*$AM888^4+WeightSDS!T$23*$AM888^3+WeightSDS!U$23*$AM888^2+WeightSDS!V$23*$AM888+WeightSDS!W$23,IF($AM888&lt;153,WeightSDS!M$25*$AM888^10+WeightSDS!N$25*$AM888^9+WeightSDS!O$25*$AM888^8+WeightSDS!P$25*$AM888^7+WeightSDS!Q$25*$AM888^6+WeightSDS!R$25*$AM888^5+WeightSDS!S$25*$AM888^4+WeightSDS!T$25*$AM888^3+WeightSDS!U$25*$AM888^2+WeightSDS!V$25*$AM888+WeightSDS!W$25,WeightSDS!M$27+WeightSDS!N$27/(1+EXP(WeightSDS!O$27+WeightSDS!P$27*$AM888)))),IF($AM888&lt;43.8,WeightSDS!M$29*$AM888^10+WeightSDS!N$29*$AM888^9+WeightSDS!O$29*$AM888^8+WeightSDS!P$29*$AM888^7+WeightSDS!Q$29*$AM888^6+WeightSDS!R$29*$AM888^5+WeightSDS!S$29*$AM888^4+WeightSDS!T$29*$AM888^3+WeightSDS!U$29*$AM888^2+WeightSDS!V$29*$AM888+WeightSDS!W$29-0.010431*(1-$AM888/210),IF($AM888&lt;123,WeightSDS!M$30*$AM888^10+WeightSDS!N$30*$AM888^9+WeightSDS!O$30*$AM888^8+WeightSDS!P$30*$AM888^7+WeightSDS!Q$30*$AM888^6+WeightSDS!R$30*$AM888^5+WeightSDS!S$30*$AM888^4+WeightSDS!T$30*$AM888^3+WeightSDS!U$30*$AM888^2+WeightSDS!V$30*$AM888+WeightSDS!W$30-0.010431*(1-1/$AM888),WeightSDS!M$32+WeightSDS!N$32/(1+EXP(WeightSDS!O$32+WeightSDS!P$32*$AM888))-0.010431*(1-$AM888/210))))</f>
        <v>2.9500001032655536</v>
      </c>
      <c r="AQ888" s="4">
        <f>IF(D888="M",IF($AM888&lt;162,WeightSDS!P$12*$AM888^7+WeightSDS!Q$12*$AM888^6+WeightSDS!R$12*$AM888^5+WeightSDS!S$12*$AM888^4+WeightSDS!T$12*$AM888^3+WeightSDS!U$12*$AM888^2+WeightSDS!V$12*$AM888+WeightSDS!W$12,WeightSDS!P$14*$AM888^7+WeightSDS!Q$14*$AM888^6+WeightSDS!R$14*$AM888^5+WeightSDS!S$14*$AM888^4+WeightSDS!T$14*$AM888^3+WeightSDS!U$14*$AM888^2+WeightSDS!V$14*$AM888+WeightSDS!W$14),IF($AM888&lt;156,WeightSDS!O$17*$AM888^8+WeightSDS!P$17*$AM888^7+WeightSDS!Q$17*$AM888^6+WeightSDS!R$17*$AM888^5+WeightSDS!S$17*$AM888^4+WeightSDS!T$17*$AM888^3+WeightSDS!U$17*$AM888^2+WeightSDS!V$17*$AM888+WeightSDS!W$17,IF($AM888&lt;186,WeightSDS!$U$18+(WeightSDS!$V$18-WeightSDS!$U$18)/24*($AM888-186)+WeightSDS!$W$18*(-$AM888+186)^2-0.005,WeightSDS!$U$18+(WeightSDS!$V$18-WeightSDS!$U$18)/24*($AM888-186)-0.005)))</f>
        <v>0.14604529399999999</v>
      </c>
      <c r="AT888" s="4">
        <f t="shared" si="280"/>
        <v>0.56299999999999994</v>
      </c>
      <c r="AU888" s="4">
        <f t="shared" si="281"/>
        <v>69</v>
      </c>
      <c r="AV888" s="4">
        <f t="shared" si="282"/>
        <v>0.51</v>
      </c>
    </row>
    <row r="889" spans="1:48" x14ac:dyDescent="0.15">
      <c r="A889" s="4"/>
      <c r="B889" s="21"/>
      <c r="C889" s="21"/>
      <c r="D889" s="21"/>
      <c r="E889" s="22"/>
      <c r="F889" s="22"/>
      <c r="G889" s="23"/>
      <c r="H889" s="23"/>
      <c r="I889" s="181"/>
      <c r="J889" s="8" t="str">
        <f t="shared" si="274"/>
        <v/>
      </c>
      <c r="K889" s="2" t="str">
        <f t="shared" si="283"/>
        <v/>
      </c>
      <c r="L889" s="2" t="str">
        <f t="shared" si="275"/>
        <v/>
      </c>
      <c r="M889" s="2" t="str">
        <f t="shared" si="284"/>
        <v/>
      </c>
      <c r="N889" s="2" t="str">
        <f t="shared" si="292"/>
        <v/>
      </c>
      <c r="O889" s="2" t="str">
        <f t="shared" si="285"/>
        <v/>
      </c>
      <c r="P889" s="8" t="str">
        <f t="shared" si="286"/>
        <v/>
      </c>
      <c r="Q889" s="8" t="str">
        <f t="shared" si="287"/>
        <v/>
      </c>
      <c r="R889" s="111" t="str">
        <f t="shared" si="288"/>
        <v/>
      </c>
      <c r="S889" s="44" t="str">
        <f t="shared" si="289"/>
        <v/>
      </c>
      <c r="T889" s="37" t="str">
        <f t="shared" si="290"/>
        <v/>
      </c>
      <c r="U889" s="44" t="str">
        <f t="shared" si="291"/>
        <v/>
      </c>
      <c r="V889" s="26"/>
      <c r="W889" s="26"/>
      <c r="X889" s="26"/>
      <c r="Y889" s="26"/>
      <c r="Z889" s="24"/>
      <c r="AA889" s="169">
        <f t="shared" si="276"/>
        <v>0</v>
      </c>
      <c r="AB889" s="4">
        <f t="shared" si="277"/>
        <v>0</v>
      </c>
      <c r="AC889" s="170">
        <f t="shared" si="294"/>
        <v>0</v>
      </c>
      <c r="AD889" s="58"/>
      <c r="AE889" s="58"/>
      <c r="AF889" s="58"/>
      <c r="AG889" s="59">
        <f t="shared" si="278"/>
        <v>9.0359999999999996</v>
      </c>
      <c r="AH889" s="59">
        <f t="shared" si="279"/>
        <v>-184.49199999999999</v>
      </c>
      <c r="AJ889" s="4">
        <f>IF(D889="M",IF(AM889&lt;78,BMILMS!$D$5*AM889^3+BMILMS!$E$5*AM889^2+BMILMS!$F$5*AM889+BMILMS!$G$5,IF(AM889&lt;150,BMILMS!$D$6*AM889^3+BMILMS!$E$6*AM889^2+BMILMS!$F$6*AM889+BMILMS!$G$6,BMILMS!$D$7*AM889^3+BMILMS!$E$7*AM889^2+BMILMS!$F$7*AM889+BMILMS!$G$7)),IF(AM889&lt;69,BMILMS!$D$9*AM889^3+BMILMS!$E$9*AM889^2+BMILMS!$F$9*AM889+BMILMS!$G$9,IF(AM889&lt;150,BMILMS!$D$10*AM889^3+BMILMS!$E$10*AM889^2+BMILMS!$F$10*AM889+BMILMS!$G$10,BMILMS!$D$11*AM889^3+BMILMS!$E$11*AM889^2+BMILMS!$F$11*AM889+BMILMS!$G$11)))</f>
        <v>0.79584630099999998</v>
      </c>
      <c r="AK889" s="4">
        <f>IF(D889="M",(IF(AM889&lt;2.5,BMILMS!$D$21*AM889^3+BMILMS!$E$21*AM889^2+BMILMS!$F$21*AM889+BMILMS!$G$21,IF(AM889&lt;9.5,BMILMS!$D$22*AM889^3+BMILMS!$E$22*AM889^2+BMILMS!$F$22*AM889+BMILMS!$G$22,IF(AM889&lt;26.75,BMILMS!$D$23*AM889^3+BMILMS!$E$23*AM889^2+BMILMS!$F$23*AM889+BMILMS!$G$23,IF(AM889&lt;90,BMILMS!$D$24*AM889^3+BMILMS!$E$24*AM889^2+BMILMS!$F$24*AM889+BMILMS!$G$24,BMILMS!$D$25*AM889^3+BMILMS!$E$25*AM889^2+BMILMS!$F$25*AM889+BMILMS!$G$25))))),(IF(AM889&lt;2.5,BMILMS!$D$27*AM889^3+BMILMS!$E$27*AM889^2+BMILMS!$F$27*AM889+BMILMS!$G$27,IF(AM889&lt;9.5,BMILMS!$D$28*AM889^3+BMILMS!$E$28*AM889^2+BMILMS!$F$28*AM889+BMILMS!$G$28,IF(AM889&lt;26.75,BMILMS!$D$29*AM889^3+BMILMS!$E$29*AM889^2+BMILMS!$F$29*AM889+BMILMS!$G$29,IF(AM889&lt;90,BMILMS!$D$30*AM889^3+BMILMS!$E$30*AM889^2+BMILMS!$F$30*AM889+BMILMS!$G$30,IF(AM889&lt;150,BMILMS!$D$31*AM889^3+BMILMS!$E$31*AM889^2+BMILMS!$F$31*AM889+BMILMS!$G$31,BMILMS!$D$32*AM889^3+BMILMS!$E$32*AM889^2+BMILMS!$F$32*AM889+BMILMS!$G$32)))))))</f>
        <v>12.568967990000001</v>
      </c>
      <c r="AL889" s="4">
        <f>IF(D889="M",(IF(AM889&lt;90,BMILMS!$D$14*AM889^3+BMILMS!$E$14*AM889^2+BMILMS!$F$14*AM889+BMILMS!$G$14,BMILMS!$D$15*AM889^3+BMILMS!$E$15*AM889^2+BMILMS!$F$15*AM889+BMILMS!$G$15)),(IF(AM889&lt;90,BMILMS!$D$17*AM889^3+BMILMS!$E$17*AM889^2+BMILMS!$F$17*AM889+BMILMS!$G$17,BMILMS!$D$18*AM889^3+BMILMS!$E$18*AM889^2+BMILMS!$F$18*AM889+BMILMS!$G$18)))</f>
        <v>8.8969350000000003E-2</v>
      </c>
      <c r="AM889" s="4">
        <f t="shared" si="293"/>
        <v>0</v>
      </c>
      <c r="AO889" s="56">
        <f>IF(D889="M",WeightSDS!P$5*$AM889^7+WeightSDS!Q$5*$AM889^6+WeightSDS!R$5*$AM889^5+WeightSDS!S$5*$AM889^4+WeightSDS!T$5*$AM889^3+WeightSDS!U$5*$AM889^2+WeightSDS!V$5*$AM889+WeightSDS!W$5,IF($AM889&lt;186,WeightSDS!P$8*$AM889^7+WeightSDS!Q$8*$AM889^6+WeightSDS!R$8*$AM889^5+WeightSDS!S$8*$AM889^4+WeightSDS!T$8*$AM889^3+WeightSDS!U$8*$AM889^2+WeightSDS!V$8*$AM889+WeightSDS!W$8,WeightSDS!$U$9+WeightSDS!$V$9*($AM889-WeightSDS!$W$9)))</f>
        <v>0.75407122999999998</v>
      </c>
      <c r="AP889" s="4">
        <f>IF(D889="M",IF($AM889&lt;45,WeightSDS!M$23*$AM889^10+WeightSDS!N$23*$AM889^9+WeightSDS!O$23*$AM889^8+WeightSDS!P$23*$AM889^7+WeightSDS!Q$23*$AM889^6+WeightSDS!R$23*$AM889^5+WeightSDS!S$23*$AM889^4+WeightSDS!T$23*$AM889^3+WeightSDS!U$23*$AM889^2+WeightSDS!V$23*$AM889+WeightSDS!W$23,IF($AM889&lt;153,WeightSDS!M$25*$AM889^10+WeightSDS!N$25*$AM889^9+WeightSDS!O$25*$AM889^8+WeightSDS!P$25*$AM889^7+WeightSDS!Q$25*$AM889^6+WeightSDS!R$25*$AM889^5+WeightSDS!S$25*$AM889^4+WeightSDS!T$25*$AM889^3+WeightSDS!U$25*$AM889^2+WeightSDS!V$25*$AM889+WeightSDS!W$25,WeightSDS!M$27+WeightSDS!N$27/(1+EXP(WeightSDS!O$27+WeightSDS!P$27*$AM889)))),IF($AM889&lt;43.8,WeightSDS!M$29*$AM889^10+WeightSDS!N$29*$AM889^9+WeightSDS!O$29*$AM889^8+WeightSDS!P$29*$AM889^7+WeightSDS!Q$29*$AM889^6+WeightSDS!R$29*$AM889^5+WeightSDS!S$29*$AM889^4+WeightSDS!T$29*$AM889^3+WeightSDS!U$29*$AM889^2+WeightSDS!V$29*$AM889+WeightSDS!W$29-0.010431*(1-$AM889/210),IF($AM889&lt;123,WeightSDS!M$30*$AM889^10+WeightSDS!N$30*$AM889^9+WeightSDS!O$30*$AM889^8+WeightSDS!P$30*$AM889^7+WeightSDS!Q$30*$AM889^6+WeightSDS!R$30*$AM889^5+WeightSDS!S$30*$AM889^4+WeightSDS!T$30*$AM889^3+WeightSDS!U$30*$AM889^2+WeightSDS!V$30*$AM889+WeightSDS!W$30-0.010431*(1-1/$AM889),WeightSDS!M$32+WeightSDS!N$32/(1+EXP(WeightSDS!O$32+WeightSDS!P$32*$AM889))-0.010431*(1-$AM889/210))))</f>
        <v>2.9500001032655536</v>
      </c>
      <c r="AQ889" s="4">
        <f>IF(D889="M",IF($AM889&lt;162,WeightSDS!P$12*$AM889^7+WeightSDS!Q$12*$AM889^6+WeightSDS!R$12*$AM889^5+WeightSDS!S$12*$AM889^4+WeightSDS!T$12*$AM889^3+WeightSDS!U$12*$AM889^2+WeightSDS!V$12*$AM889+WeightSDS!W$12,WeightSDS!P$14*$AM889^7+WeightSDS!Q$14*$AM889^6+WeightSDS!R$14*$AM889^5+WeightSDS!S$14*$AM889^4+WeightSDS!T$14*$AM889^3+WeightSDS!U$14*$AM889^2+WeightSDS!V$14*$AM889+WeightSDS!W$14),IF($AM889&lt;156,WeightSDS!O$17*$AM889^8+WeightSDS!P$17*$AM889^7+WeightSDS!Q$17*$AM889^6+WeightSDS!R$17*$AM889^5+WeightSDS!S$17*$AM889^4+WeightSDS!T$17*$AM889^3+WeightSDS!U$17*$AM889^2+WeightSDS!V$17*$AM889+WeightSDS!W$17,IF($AM889&lt;186,WeightSDS!$U$18+(WeightSDS!$V$18-WeightSDS!$U$18)/24*($AM889-186)+WeightSDS!$W$18*(-$AM889+186)^2-0.005,WeightSDS!$U$18+(WeightSDS!$V$18-WeightSDS!$U$18)/24*($AM889-186)-0.005)))</f>
        <v>0.14604529399999999</v>
      </c>
      <c r="AT889" s="4">
        <f t="shared" si="280"/>
        <v>0.56299999999999994</v>
      </c>
      <c r="AU889" s="4">
        <f t="shared" si="281"/>
        <v>69</v>
      </c>
      <c r="AV889" s="4">
        <f t="shared" si="282"/>
        <v>0.51</v>
      </c>
    </row>
    <row r="890" spans="1:48" x14ac:dyDescent="0.15">
      <c r="A890" s="4"/>
      <c r="B890" s="21"/>
      <c r="C890" s="21"/>
      <c r="D890" s="21"/>
      <c r="E890" s="22"/>
      <c r="F890" s="22"/>
      <c r="G890" s="23"/>
      <c r="H890" s="23"/>
      <c r="I890" s="181"/>
      <c r="J890" s="8" t="str">
        <f t="shared" si="274"/>
        <v/>
      </c>
      <c r="K890" s="2" t="str">
        <f t="shared" si="283"/>
        <v/>
      </c>
      <c r="L890" s="2" t="str">
        <f t="shared" si="275"/>
        <v/>
      </c>
      <c r="M890" s="2" t="str">
        <f t="shared" si="284"/>
        <v/>
      </c>
      <c r="N890" s="2" t="str">
        <f t="shared" si="292"/>
        <v/>
      </c>
      <c r="O890" s="2" t="str">
        <f t="shared" si="285"/>
        <v/>
      </c>
      <c r="P890" s="8" t="str">
        <f t="shared" si="286"/>
        <v/>
      </c>
      <c r="Q890" s="8" t="str">
        <f t="shared" si="287"/>
        <v/>
      </c>
      <c r="R890" s="111" t="str">
        <f t="shared" si="288"/>
        <v/>
      </c>
      <c r="S890" s="44" t="str">
        <f t="shared" si="289"/>
        <v/>
      </c>
      <c r="T890" s="37" t="str">
        <f t="shared" si="290"/>
        <v/>
      </c>
      <c r="U890" s="44" t="str">
        <f t="shared" si="291"/>
        <v/>
      </c>
      <c r="V890" s="26"/>
      <c r="W890" s="26"/>
      <c r="X890" s="26"/>
      <c r="Y890" s="26"/>
      <c r="Z890" s="24"/>
      <c r="AA890" s="169">
        <f t="shared" si="276"/>
        <v>0</v>
      </c>
      <c r="AB890" s="4">
        <f t="shared" si="277"/>
        <v>0</v>
      </c>
      <c r="AC890" s="170">
        <f t="shared" si="294"/>
        <v>0</v>
      </c>
      <c r="AD890" s="58"/>
      <c r="AE890" s="58"/>
      <c r="AF890" s="58"/>
      <c r="AG890" s="59">
        <f t="shared" si="278"/>
        <v>9.0359999999999996</v>
      </c>
      <c r="AH890" s="59">
        <f t="shared" si="279"/>
        <v>-184.49199999999999</v>
      </c>
      <c r="AJ890" s="4">
        <f>IF(D890="M",IF(AM890&lt;78,BMILMS!$D$5*AM890^3+BMILMS!$E$5*AM890^2+BMILMS!$F$5*AM890+BMILMS!$G$5,IF(AM890&lt;150,BMILMS!$D$6*AM890^3+BMILMS!$E$6*AM890^2+BMILMS!$F$6*AM890+BMILMS!$G$6,BMILMS!$D$7*AM890^3+BMILMS!$E$7*AM890^2+BMILMS!$F$7*AM890+BMILMS!$G$7)),IF(AM890&lt;69,BMILMS!$D$9*AM890^3+BMILMS!$E$9*AM890^2+BMILMS!$F$9*AM890+BMILMS!$G$9,IF(AM890&lt;150,BMILMS!$D$10*AM890^3+BMILMS!$E$10*AM890^2+BMILMS!$F$10*AM890+BMILMS!$G$10,BMILMS!$D$11*AM890^3+BMILMS!$E$11*AM890^2+BMILMS!$F$11*AM890+BMILMS!$G$11)))</f>
        <v>0.79584630099999998</v>
      </c>
      <c r="AK890" s="4">
        <f>IF(D890="M",(IF(AM890&lt;2.5,BMILMS!$D$21*AM890^3+BMILMS!$E$21*AM890^2+BMILMS!$F$21*AM890+BMILMS!$G$21,IF(AM890&lt;9.5,BMILMS!$D$22*AM890^3+BMILMS!$E$22*AM890^2+BMILMS!$F$22*AM890+BMILMS!$G$22,IF(AM890&lt;26.75,BMILMS!$D$23*AM890^3+BMILMS!$E$23*AM890^2+BMILMS!$F$23*AM890+BMILMS!$G$23,IF(AM890&lt;90,BMILMS!$D$24*AM890^3+BMILMS!$E$24*AM890^2+BMILMS!$F$24*AM890+BMILMS!$G$24,BMILMS!$D$25*AM890^3+BMILMS!$E$25*AM890^2+BMILMS!$F$25*AM890+BMILMS!$G$25))))),(IF(AM890&lt;2.5,BMILMS!$D$27*AM890^3+BMILMS!$E$27*AM890^2+BMILMS!$F$27*AM890+BMILMS!$G$27,IF(AM890&lt;9.5,BMILMS!$D$28*AM890^3+BMILMS!$E$28*AM890^2+BMILMS!$F$28*AM890+BMILMS!$G$28,IF(AM890&lt;26.75,BMILMS!$D$29*AM890^3+BMILMS!$E$29*AM890^2+BMILMS!$F$29*AM890+BMILMS!$G$29,IF(AM890&lt;90,BMILMS!$D$30*AM890^3+BMILMS!$E$30*AM890^2+BMILMS!$F$30*AM890+BMILMS!$G$30,IF(AM890&lt;150,BMILMS!$D$31*AM890^3+BMILMS!$E$31*AM890^2+BMILMS!$F$31*AM890+BMILMS!$G$31,BMILMS!$D$32*AM890^3+BMILMS!$E$32*AM890^2+BMILMS!$F$32*AM890+BMILMS!$G$32)))))))</f>
        <v>12.568967990000001</v>
      </c>
      <c r="AL890" s="4">
        <f>IF(D890="M",(IF(AM890&lt;90,BMILMS!$D$14*AM890^3+BMILMS!$E$14*AM890^2+BMILMS!$F$14*AM890+BMILMS!$G$14,BMILMS!$D$15*AM890^3+BMILMS!$E$15*AM890^2+BMILMS!$F$15*AM890+BMILMS!$G$15)),(IF(AM890&lt;90,BMILMS!$D$17*AM890^3+BMILMS!$E$17*AM890^2+BMILMS!$F$17*AM890+BMILMS!$G$17,BMILMS!$D$18*AM890^3+BMILMS!$E$18*AM890^2+BMILMS!$F$18*AM890+BMILMS!$G$18)))</f>
        <v>8.8969350000000003E-2</v>
      </c>
      <c r="AM890" s="4">
        <f t="shared" si="293"/>
        <v>0</v>
      </c>
      <c r="AO890" s="56">
        <f>IF(D890="M",WeightSDS!P$5*$AM890^7+WeightSDS!Q$5*$AM890^6+WeightSDS!R$5*$AM890^5+WeightSDS!S$5*$AM890^4+WeightSDS!T$5*$AM890^3+WeightSDS!U$5*$AM890^2+WeightSDS!V$5*$AM890+WeightSDS!W$5,IF($AM890&lt;186,WeightSDS!P$8*$AM890^7+WeightSDS!Q$8*$AM890^6+WeightSDS!R$8*$AM890^5+WeightSDS!S$8*$AM890^4+WeightSDS!T$8*$AM890^3+WeightSDS!U$8*$AM890^2+WeightSDS!V$8*$AM890+WeightSDS!W$8,WeightSDS!$U$9+WeightSDS!$V$9*($AM890-WeightSDS!$W$9)))</f>
        <v>0.75407122999999998</v>
      </c>
      <c r="AP890" s="4">
        <f>IF(D890="M",IF($AM890&lt;45,WeightSDS!M$23*$AM890^10+WeightSDS!N$23*$AM890^9+WeightSDS!O$23*$AM890^8+WeightSDS!P$23*$AM890^7+WeightSDS!Q$23*$AM890^6+WeightSDS!R$23*$AM890^5+WeightSDS!S$23*$AM890^4+WeightSDS!T$23*$AM890^3+WeightSDS!U$23*$AM890^2+WeightSDS!V$23*$AM890+WeightSDS!W$23,IF($AM890&lt;153,WeightSDS!M$25*$AM890^10+WeightSDS!N$25*$AM890^9+WeightSDS!O$25*$AM890^8+WeightSDS!P$25*$AM890^7+WeightSDS!Q$25*$AM890^6+WeightSDS!R$25*$AM890^5+WeightSDS!S$25*$AM890^4+WeightSDS!T$25*$AM890^3+WeightSDS!U$25*$AM890^2+WeightSDS!V$25*$AM890+WeightSDS!W$25,WeightSDS!M$27+WeightSDS!N$27/(1+EXP(WeightSDS!O$27+WeightSDS!P$27*$AM890)))),IF($AM890&lt;43.8,WeightSDS!M$29*$AM890^10+WeightSDS!N$29*$AM890^9+WeightSDS!O$29*$AM890^8+WeightSDS!P$29*$AM890^7+WeightSDS!Q$29*$AM890^6+WeightSDS!R$29*$AM890^5+WeightSDS!S$29*$AM890^4+WeightSDS!T$29*$AM890^3+WeightSDS!U$29*$AM890^2+WeightSDS!V$29*$AM890+WeightSDS!W$29-0.010431*(1-$AM890/210),IF($AM890&lt;123,WeightSDS!M$30*$AM890^10+WeightSDS!N$30*$AM890^9+WeightSDS!O$30*$AM890^8+WeightSDS!P$30*$AM890^7+WeightSDS!Q$30*$AM890^6+WeightSDS!R$30*$AM890^5+WeightSDS!S$30*$AM890^4+WeightSDS!T$30*$AM890^3+WeightSDS!U$30*$AM890^2+WeightSDS!V$30*$AM890+WeightSDS!W$30-0.010431*(1-1/$AM890),WeightSDS!M$32+WeightSDS!N$32/(1+EXP(WeightSDS!O$32+WeightSDS!P$32*$AM890))-0.010431*(1-$AM890/210))))</f>
        <v>2.9500001032655536</v>
      </c>
      <c r="AQ890" s="4">
        <f>IF(D890="M",IF($AM890&lt;162,WeightSDS!P$12*$AM890^7+WeightSDS!Q$12*$AM890^6+WeightSDS!R$12*$AM890^5+WeightSDS!S$12*$AM890^4+WeightSDS!T$12*$AM890^3+WeightSDS!U$12*$AM890^2+WeightSDS!V$12*$AM890+WeightSDS!W$12,WeightSDS!P$14*$AM890^7+WeightSDS!Q$14*$AM890^6+WeightSDS!R$14*$AM890^5+WeightSDS!S$14*$AM890^4+WeightSDS!T$14*$AM890^3+WeightSDS!U$14*$AM890^2+WeightSDS!V$14*$AM890+WeightSDS!W$14),IF($AM890&lt;156,WeightSDS!O$17*$AM890^8+WeightSDS!P$17*$AM890^7+WeightSDS!Q$17*$AM890^6+WeightSDS!R$17*$AM890^5+WeightSDS!S$17*$AM890^4+WeightSDS!T$17*$AM890^3+WeightSDS!U$17*$AM890^2+WeightSDS!V$17*$AM890+WeightSDS!W$17,IF($AM890&lt;186,WeightSDS!$U$18+(WeightSDS!$V$18-WeightSDS!$U$18)/24*($AM890-186)+WeightSDS!$W$18*(-$AM890+186)^2-0.005,WeightSDS!$U$18+(WeightSDS!$V$18-WeightSDS!$U$18)/24*($AM890-186)-0.005)))</f>
        <v>0.14604529399999999</v>
      </c>
      <c r="AT890" s="4">
        <f t="shared" si="280"/>
        <v>0.56299999999999994</v>
      </c>
      <c r="AU890" s="4">
        <f t="shared" si="281"/>
        <v>69</v>
      </c>
      <c r="AV890" s="4">
        <f t="shared" si="282"/>
        <v>0.51</v>
      </c>
    </row>
    <row r="891" spans="1:48" x14ac:dyDescent="0.15">
      <c r="A891" s="4"/>
      <c r="B891" s="21"/>
      <c r="C891" s="21"/>
      <c r="D891" s="21"/>
      <c r="E891" s="22"/>
      <c r="F891" s="22"/>
      <c r="G891" s="23"/>
      <c r="H891" s="23"/>
      <c r="I891" s="181"/>
      <c r="J891" s="8" t="str">
        <f t="shared" si="274"/>
        <v/>
      </c>
      <c r="K891" s="2" t="str">
        <f t="shared" si="283"/>
        <v/>
      </c>
      <c r="L891" s="2" t="str">
        <f t="shared" si="275"/>
        <v/>
      </c>
      <c r="M891" s="2" t="str">
        <f t="shared" si="284"/>
        <v/>
      </c>
      <c r="N891" s="2" t="str">
        <f t="shared" si="292"/>
        <v/>
      </c>
      <c r="O891" s="2" t="str">
        <f t="shared" si="285"/>
        <v/>
      </c>
      <c r="P891" s="8" t="str">
        <f t="shared" si="286"/>
        <v/>
      </c>
      <c r="Q891" s="8" t="str">
        <f t="shared" si="287"/>
        <v/>
      </c>
      <c r="R891" s="111" t="str">
        <f t="shared" si="288"/>
        <v/>
      </c>
      <c r="S891" s="44" t="str">
        <f t="shared" si="289"/>
        <v/>
      </c>
      <c r="T891" s="37" t="str">
        <f t="shared" si="290"/>
        <v/>
      </c>
      <c r="U891" s="44" t="str">
        <f t="shared" si="291"/>
        <v/>
      </c>
      <c r="V891" s="26"/>
      <c r="W891" s="26"/>
      <c r="X891" s="26"/>
      <c r="Y891" s="26"/>
      <c r="Z891" s="24"/>
      <c r="AA891" s="169">
        <f t="shared" si="276"/>
        <v>0</v>
      </c>
      <c r="AB891" s="4">
        <f t="shared" si="277"/>
        <v>0</v>
      </c>
      <c r="AC891" s="170">
        <f t="shared" si="294"/>
        <v>0</v>
      </c>
      <c r="AD891" s="58"/>
      <c r="AE891" s="58"/>
      <c r="AF891" s="58"/>
      <c r="AG891" s="59">
        <f t="shared" si="278"/>
        <v>9.0359999999999996</v>
      </c>
      <c r="AH891" s="59">
        <f t="shared" si="279"/>
        <v>-184.49199999999999</v>
      </c>
      <c r="AJ891" s="4">
        <f>IF(D891="M",IF(AM891&lt;78,BMILMS!$D$5*AM891^3+BMILMS!$E$5*AM891^2+BMILMS!$F$5*AM891+BMILMS!$G$5,IF(AM891&lt;150,BMILMS!$D$6*AM891^3+BMILMS!$E$6*AM891^2+BMILMS!$F$6*AM891+BMILMS!$G$6,BMILMS!$D$7*AM891^3+BMILMS!$E$7*AM891^2+BMILMS!$F$7*AM891+BMILMS!$G$7)),IF(AM891&lt;69,BMILMS!$D$9*AM891^3+BMILMS!$E$9*AM891^2+BMILMS!$F$9*AM891+BMILMS!$G$9,IF(AM891&lt;150,BMILMS!$D$10*AM891^3+BMILMS!$E$10*AM891^2+BMILMS!$F$10*AM891+BMILMS!$G$10,BMILMS!$D$11*AM891^3+BMILMS!$E$11*AM891^2+BMILMS!$F$11*AM891+BMILMS!$G$11)))</f>
        <v>0.79584630099999998</v>
      </c>
      <c r="AK891" s="4">
        <f>IF(D891="M",(IF(AM891&lt;2.5,BMILMS!$D$21*AM891^3+BMILMS!$E$21*AM891^2+BMILMS!$F$21*AM891+BMILMS!$G$21,IF(AM891&lt;9.5,BMILMS!$D$22*AM891^3+BMILMS!$E$22*AM891^2+BMILMS!$F$22*AM891+BMILMS!$G$22,IF(AM891&lt;26.75,BMILMS!$D$23*AM891^3+BMILMS!$E$23*AM891^2+BMILMS!$F$23*AM891+BMILMS!$G$23,IF(AM891&lt;90,BMILMS!$D$24*AM891^3+BMILMS!$E$24*AM891^2+BMILMS!$F$24*AM891+BMILMS!$G$24,BMILMS!$D$25*AM891^3+BMILMS!$E$25*AM891^2+BMILMS!$F$25*AM891+BMILMS!$G$25))))),(IF(AM891&lt;2.5,BMILMS!$D$27*AM891^3+BMILMS!$E$27*AM891^2+BMILMS!$F$27*AM891+BMILMS!$G$27,IF(AM891&lt;9.5,BMILMS!$D$28*AM891^3+BMILMS!$E$28*AM891^2+BMILMS!$F$28*AM891+BMILMS!$G$28,IF(AM891&lt;26.75,BMILMS!$D$29*AM891^3+BMILMS!$E$29*AM891^2+BMILMS!$F$29*AM891+BMILMS!$G$29,IF(AM891&lt;90,BMILMS!$D$30*AM891^3+BMILMS!$E$30*AM891^2+BMILMS!$F$30*AM891+BMILMS!$G$30,IF(AM891&lt;150,BMILMS!$D$31*AM891^3+BMILMS!$E$31*AM891^2+BMILMS!$F$31*AM891+BMILMS!$G$31,BMILMS!$D$32*AM891^3+BMILMS!$E$32*AM891^2+BMILMS!$F$32*AM891+BMILMS!$G$32)))))))</f>
        <v>12.568967990000001</v>
      </c>
      <c r="AL891" s="4">
        <f>IF(D891="M",(IF(AM891&lt;90,BMILMS!$D$14*AM891^3+BMILMS!$E$14*AM891^2+BMILMS!$F$14*AM891+BMILMS!$G$14,BMILMS!$D$15*AM891^3+BMILMS!$E$15*AM891^2+BMILMS!$F$15*AM891+BMILMS!$G$15)),(IF(AM891&lt;90,BMILMS!$D$17*AM891^3+BMILMS!$E$17*AM891^2+BMILMS!$F$17*AM891+BMILMS!$G$17,BMILMS!$D$18*AM891^3+BMILMS!$E$18*AM891^2+BMILMS!$F$18*AM891+BMILMS!$G$18)))</f>
        <v>8.8969350000000003E-2</v>
      </c>
      <c r="AM891" s="4">
        <f t="shared" si="293"/>
        <v>0</v>
      </c>
      <c r="AO891" s="56">
        <f>IF(D891="M",WeightSDS!P$5*$AM891^7+WeightSDS!Q$5*$AM891^6+WeightSDS!R$5*$AM891^5+WeightSDS!S$5*$AM891^4+WeightSDS!T$5*$AM891^3+WeightSDS!U$5*$AM891^2+WeightSDS!V$5*$AM891+WeightSDS!W$5,IF($AM891&lt;186,WeightSDS!P$8*$AM891^7+WeightSDS!Q$8*$AM891^6+WeightSDS!R$8*$AM891^5+WeightSDS!S$8*$AM891^4+WeightSDS!T$8*$AM891^3+WeightSDS!U$8*$AM891^2+WeightSDS!V$8*$AM891+WeightSDS!W$8,WeightSDS!$U$9+WeightSDS!$V$9*($AM891-WeightSDS!$W$9)))</f>
        <v>0.75407122999999998</v>
      </c>
      <c r="AP891" s="4">
        <f>IF(D891="M",IF($AM891&lt;45,WeightSDS!M$23*$AM891^10+WeightSDS!N$23*$AM891^9+WeightSDS!O$23*$AM891^8+WeightSDS!P$23*$AM891^7+WeightSDS!Q$23*$AM891^6+WeightSDS!R$23*$AM891^5+WeightSDS!S$23*$AM891^4+WeightSDS!T$23*$AM891^3+WeightSDS!U$23*$AM891^2+WeightSDS!V$23*$AM891+WeightSDS!W$23,IF($AM891&lt;153,WeightSDS!M$25*$AM891^10+WeightSDS!N$25*$AM891^9+WeightSDS!O$25*$AM891^8+WeightSDS!P$25*$AM891^7+WeightSDS!Q$25*$AM891^6+WeightSDS!R$25*$AM891^5+WeightSDS!S$25*$AM891^4+WeightSDS!T$25*$AM891^3+WeightSDS!U$25*$AM891^2+WeightSDS!V$25*$AM891+WeightSDS!W$25,WeightSDS!M$27+WeightSDS!N$27/(1+EXP(WeightSDS!O$27+WeightSDS!P$27*$AM891)))),IF($AM891&lt;43.8,WeightSDS!M$29*$AM891^10+WeightSDS!N$29*$AM891^9+WeightSDS!O$29*$AM891^8+WeightSDS!P$29*$AM891^7+WeightSDS!Q$29*$AM891^6+WeightSDS!R$29*$AM891^5+WeightSDS!S$29*$AM891^4+WeightSDS!T$29*$AM891^3+WeightSDS!U$29*$AM891^2+WeightSDS!V$29*$AM891+WeightSDS!W$29-0.010431*(1-$AM891/210),IF($AM891&lt;123,WeightSDS!M$30*$AM891^10+WeightSDS!N$30*$AM891^9+WeightSDS!O$30*$AM891^8+WeightSDS!P$30*$AM891^7+WeightSDS!Q$30*$AM891^6+WeightSDS!R$30*$AM891^5+WeightSDS!S$30*$AM891^4+WeightSDS!T$30*$AM891^3+WeightSDS!U$30*$AM891^2+WeightSDS!V$30*$AM891+WeightSDS!W$30-0.010431*(1-1/$AM891),WeightSDS!M$32+WeightSDS!N$32/(1+EXP(WeightSDS!O$32+WeightSDS!P$32*$AM891))-0.010431*(1-$AM891/210))))</f>
        <v>2.9500001032655536</v>
      </c>
      <c r="AQ891" s="4">
        <f>IF(D891="M",IF($AM891&lt;162,WeightSDS!P$12*$AM891^7+WeightSDS!Q$12*$AM891^6+WeightSDS!R$12*$AM891^5+WeightSDS!S$12*$AM891^4+WeightSDS!T$12*$AM891^3+WeightSDS!U$12*$AM891^2+WeightSDS!V$12*$AM891+WeightSDS!W$12,WeightSDS!P$14*$AM891^7+WeightSDS!Q$14*$AM891^6+WeightSDS!R$14*$AM891^5+WeightSDS!S$14*$AM891^4+WeightSDS!T$14*$AM891^3+WeightSDS!U$14*$AM891^2+WeightSDS!V$14*$AM891+WeightSDS!W$14),IF($AM891&lt;156,WeightSDS!O$17*$AM891^8+WeightSDS!P$17*$AM891^7+WeightSDS!Q$17*$AM891^6+WeightSDS!R$17*$AM891^5+WeightSDS!S$17*$AM891^4+WeightSDS!T$17*$AM891^3+WeightSDS!U$17*$AM891^2+WeightSDS!V$17*$AM891+WeightSDS!W$17,IF($AM891&lt;186,WeightSDS!$U$18+(WeightSDS!$V$18-WeightSDS!$U$18)/24*($AM891-186)+WeightSDS!$W$18*(-$AM891+186)^2-0.005,WeightSDS!$U$18+(WeightSDS!$V$18-WeightSDS!$U$18)/24*($AM891-186)-0.005)))</f>
        <v>0.14604529399999999</v>
      </c>
      <c r="AT891" s="4">
        <f t="shared" si="280"/>
        <v>0.56299999999999994</v>
      </c>
      <c r="AU891" s="4">
        <f t="shared" si="281"/>
        <v>69</v>
      </c>
      <c r="AV891" s="4">
        <f t="shared" si="282"/>
        <v>0.51</v>
      </c>
    </row>
    <row r="892" spans="1:48" x14ac:dyDescent="0.15">
      <c r="A892" s="4"/>
      <c r="B892" s="21"/>
      <c r="C892" s="21"/>
      <c r="D892" s="21"/>
      <c r="E892" s="22"/>
      <c r="F892" s="22"/>
      <c r="G892" s="23"/>
      <c r="H892" s="23"/>
      <c r="I892" s="181"/>
      <c r="J892" s="8" t="str">
        <f t="shared" si="274"/>
        <v/>
      </c>
      <c r="K892" s="2" t="str">
        <f t="shared" si="283"/>
        <v/>
      </c>
      <c r="L892" s="2" t="str">
        <f t="shared" si="275"/>
        <v/>
      </c>
      <c r="M892" s="2" t="str">
        <f t="shared" si="284"/>
        <v/>
      </c>
      <c r="N892" s="2" t="str">
        <f t="shared" si="292"/>
        <v/>
      </c>
      <c r="O892" s="2" t="str">
        <f t="shared" si="285"/>
        <v/>
      </c>
      <c r="P892" s="8" t="str">
        <f t="shared" si="286"/>
        <v/>
      </c>
      <c r="Q892" s="8" t="str">
        <f t="shared" si="287"/>
        <v/>
      </c>
      <c r="R892" s="111" t="str">
        <f t="shared" si="288"/>
        <v/>
      </c>
      <c r="S892" s="44" t="str">
        <f t="shared" si="289"/>
        <v/>
      </c>
      <c r="T892" s="37" t="str">
        <f t="shared" si="290"/>
        <v/>
      </c>
      <c r="U892" s="44" t="str">
        <f t="shared" si="291"/>
        <v/>
      </c>
      <c r="V892" s="26"/>
      <c r="W892" s="26"/>
      <c r="X892" s="26"/>
      <c r="Y892" s="26"/>
      <c r="Z892" s="24"/>
      <c r="AA892" s="169">
        <f t="shared" si="276"/>
        <v>0</v>
      </c>
      <c r="AB892" s="4">
        <f t="shared" si="277"/>
        <v>0</v>
      </c>
      <c r="AC892" s="170">
        <f t="shared" si="294"/>
        <v>0</v>
      </c>
      <c r="AD892" s="58"/>
      <c r="AE892" s="58"/>
      <c r="AF892" s="58"/>
      <c r="AG892" s="59">
        <f t="shared" si="278"/>
        <v>9.0359999999999996</v>
      </c>
      <c r="AH892" s="59">
        <f t="shared" si="279"/>
        <v>-184.49199999999999</v>
      </c>
      <c r="AJ892" s="4">
        <f>IF(D892="M",IF(AM892&lt;78,BMILMS!$D$5*AM892^3+BMILMS!$E$5*AM892^2+BMILMS!$F$5*AM892+BMILMS!$G$5,IF(AM892&lt;150,BMILMS!$D$6*AM892^3+BMILMS!$E$6*AM892^2+BMILMS!$F$6*AM892+BMILMS!$G$6,BMILMS!$D$7*AM892^3+BMILMS!$E$7*AM892^2+BMILMS!$F$7*AM892+BMILMS!$G$7)),IF(AM892&lt;69,BMILMS!$D$9*AM892^3+BMILMS!$E$9*AM892^2+BMILMS!$F$9*AM892+BMILMS!$G$9,IF(AM892&lt;150,BMILMS!$D$10*AM892^3+BMILMS!$E$10*AM892^2+BMILMS!$F$10*AM892+BMILMS!$G$10,BMILMS!$D$11*AM892^3+BMILMS!$E$11*AM892^2+BMILMS!$F$11*AM892+BMILMS!$G$11)))</f>
        <v>0.79584630099999998</v>
      </c>
      <c r="AK892" s="4">
        <f>IF(D892="M",(IF(AM892&lt;2.5,BMILMS!$D$21*AM892^3+BMILMS!$E$21*AM892^2+BMILMS!$F$21*AM892+BMILMS!$G$21,IF(AM892&lt;9.5,BMILMS!$D$22*AM892^3+BMILMS!$E$22*AM892^2+BMILMS!$F$22*AM892+BMILMS!$G$22,IF(AM892&lt;26.75,BMILMS!$D$23*AM892^3+BMILMS!$E$23*AM892^2+BMILMS!$F$23*AM892+BMILMS!$G$23,IF(AM892&lt;90,BMILMS!$D$24*AM892^3+BMILMS!$E$24*AM892^2+BMILMS!$F$24*AM892+BMILMS!$G$24,BMILMS!$D$25*AM892^3+BMILMS!$E$25*AM892^2+BMILMS!$F$25*AM892+BMILMS!$G$25))))),(IF(AM892&lt;2.5,BMILMS!$D$27*AM892^3+BMILMS!$E$27*AM892^2+BMILMS!$F$27*AM892+BMILMS!$G$27,IF(AM892&lt;9.5,BMILMS!$D$28*AM892^3+BMILMS!$E$28*AM892^2+BMILMS!$F$28*AM892+BMILMS!$G$28,IF(AM892&lt;26.75,BMILMS!$D$29*AM892^3+BMILMS!$E$29*AM892^2+BMILMS!$F$29*AM892+BMILMS!$G$29,IF(AM892&lt;90,BMILMS!$D$30*AM892^3+BMILMS!$E$30*AM892^2+BMILMS!$F$30*AM892+BMILMS!$G$30,IF(AM892&lt;150,BMILMS!$D$31*AM892^3+BMILMS!$E$31*AM892^2+BMILMS!$F$31*AM892+BMILMS!$G$31,BMILMS!$D$32*AM892^3+BMILMS!$E$32*AM892^2+BMILMS!$F$32*AM892+BMILMS!$G$32)))))))</f>
        <v>12.568967990000001</v>
      </c>
      <c r="AL892" s="4">
        <f>IF(D892="M",(IF(AM892&lt;90,BMILMS!$D$14*AM892^3+BMILMS!$E$14*AM892^2+BMILMS!$F$14*AM892+BMILMS!$G$14,BMILMS!$D$15*AM892^3+BMILMS!$E$15*AM892^2+BMILMS!$F$15*AM892+BMILMS!$G$15)),(IF(AM892&lt;90,BMILMS!$D$17*AM892^3+BMILMS!$E$17*AM892^2+BMILMS!$F$17*AM892+BMILMS!$G$17,BMILMS!$D$18*AM892^3+BMILMS!$E$18*AM892^2+BMILMS!$F$18*AM892+BMILMS!$G$18)))</f>
        <v>8.8969350000000003E-2</v>
      </c>
      <c r="AM892" s="4">
        <f t="shared" si="293"/>
        <v>0</v>
      </c>
      <c r="AO892" s="56">
        <f>IF(D892="M",WeightSDS!P$5*$AM892^7+WeightSDS!Q$5*$AM892^6+WeightSDS!R$5*$AM892^5+WeightSDS!S$5*$AM892^4+WeightSDS!T$5*$AM892^3+WeightSDS!U$5*$AM892^2+WeightSDS!V$5*$AM892+WeightSDS!W$5,IF($AM892&lt;186,WeightSDS!P$8*$AM892^7+WeightSDS!Q$8*$AM892^6+WeightSDS!R$8*$AM892^5+WeightSDS!S$8*$AM892^4+WeightSDS!T$8*$AM892^3+WeightSDS!U$8*$AM892^2+WeightSDS!V$8*$AM892+WeightSDS!W$8,WeightSDS!$U$9+WeightSDS!$V$9*($AM892-WeightSDS!$W$9)))</f>
        <v>0.75407122999999998</v>
      </c>
      <c r="AP892" s="4">
        <f>IF(D892="M",IF($AM892&lt;45,WeightSDS!M$23*$AM892^10+WeightSDS!N$23*$AM892^9+WeightSDS!O$23*$AM892^8+WeightSDS!P$23*$AM892^7+WeightSDS!Q$23*$AM892^6+WeightSDS!R$23*$AM892^5+WeightSDS!S$23*$AM892^4+WeightSDS!T$23*$AM892^3+WeightSDS!U$23*$AM892^2+WeightSDS!V$23*$AM892+WeightSDS!W$23,IF($AM892&lt;153,WeightSDS!M$25*$AM892^10+WeightSDS!N$25*$AM892^9+WeightSDS!O$25*$AM892^8+WeightSDS!P$25*$AM892^7+WeightSDS!Q$25*$AM892^6+WeightSDS!R$25*$AM892^5+WeightSDS!S$25*$AM892^4+WeightSDS!T$25*$AM892^3+WeightSDS!U$25*$AM892^2+WeightSDS!V$25*$AM892+WeightSDS!W$25,WeightSDS!M$27+WeightSDS!N$27/(1+EXP(WeightSDS!O$27+WeightSDS!P$27*$AM892)))),IF($AM892&lt;43.8,WeightSDS!M$29*$AM892^10+WeightSDS!N$29*$AM892^9+WeightSDS!O$29*$AM892^8+WeightSDS!P$29*$AM892^7+WeightSDS!Q$29*$AM892^6+WeightSDS!R$29*$AM892^5+WeightSDS!S$29*$AM892^4+WeightSDS!T$29*$AM892^3+WeightSDS!U$29*$AM892^2+WeightSDS!V$29*$AM892+WeightSDS!W$29-0.010431*(1-$AM892/210),IF($AM892&lt;123,WeightSDS!M$30*$AM892^10+WeightSDS!N$30*$AM892^9+WeightSDS!O$30*$AM892^8+WeightSDS!P$30*$AM892^7+WeightSDS!Q$30*$AM892^6+WeightSDS!R$30*$AM892^5+WeightSDS!S$30*$AM892^4+WeightSDS!T$30*$AM892^3+WeightSDS!U$30*$AM892^2+WeightSDS!V$30*$AM892+WeightSDS!W$30-0.010431*(1-1/$AM892),WeightSDS!M$32+WeightSDS!N$32/(1+EXP(WeightSDS!O$32+WeightSDS!P$32*$AM892))-0.010431*(1-$AM892/210))))</f>
        <v>2.9500001032655536</v>
      </c>
      <c r="AQ892" s="4">
        <f>IF(D892="M",IF($AM892&lt;162,WeightSDS!P$12*$AM892^7+WeightSDS!Q$12*$AM892^6+WeightSDS!R$12*$AM892^5+WeightSDS!S$12*$AM892^4+WeightSDS!T$12*$AM892^3+WeightSDS!U$12*$AM892^2+WeightSDS!V$12*$AM892+WeightSDS!W$12,WeightSDS!P$14*$AM892^7+WeightSDS!Q$14*$AM892^6+WeightSDS!R$14*$AM892^5+WeightSDS!S$14*$AM892^4+WeightSDS!T$14*$AM892^3+WeightSDS!U$14*$AM892^2+WeightSDS!V$14*$AM892+WeightSDS!W$14),IF($AM892&lt;156,WeightSDS!O$17*$AM892^8+WeightSDS!P$17*$AM892^7+WeightSDS!Q$17*$AM892^6+WeightSDS!R$17*$AM892^5+WeightSDS!S$17*$AM892^4+WeightSDS!T$17*$AM892^3+WeightSDS!U$17*$AM892^2+WeightSDS!V$17*$AM892+WeightSDS!W$17,IF($AM892&lt;186,WeightSDS!$U$18+(WeightSDS!$V$18-WeightSDS!$U$18)/24*($AM892-186)+WeightSDS!$W$18*(-$AM892+186)^2-0.005,WeightSDS!$U$18+(WeightSDS!$V$18-WeightSDS!$U$18)/24*($AM892-186)-0.005)))</f>
        <v>0.14604529399999999</v>
      </c>
      <c r="AT892" s="4">
        <f t="shared" si="280"/>
        <v>0.56299999999999994</v>
      </c>
      <c r="AU892" s="4">
        <f t="shared" si="281"/>
        <v>69</v>
      </c>
      <c r="AV892" s="4">
        <f t="shared" si="282"/>
        <v>0.51</v>
      </c>
    </row>
    <row r="893" spans="1:48" x14ac:dyDescent="0.15">
      <c r="A893" s="4"/>
      <c r="B893" s="21"/>
      <c r="C893" s="21"/>
      <c r="D893" s="21"/>
      <c r="E893" s="22"/>
      <c r="F893" s="22"/>
      <c r="G893" s="23"/>
      <c r="H893" s="23"/>
      <c r="I893" s="181"/>
      <c r="J893" s="8" t="str">
        <f t="shared" si="274"/>
        <v/>
      </c>
      <c r="K893" s="2" t="str">
        <f t="shared" si="283"/>
        <v/>
      </c>
      <c r="L893" s="2" t="str">
        <f t="shared" si="275"/>
        <v/>
      </c>
      <c r="M893" s="2" t="str">
        <f t="shared" si="284"/>
        <v/>
      </c>
      <c r="N893" s="2" t="str">
        <f t="shared" si="292"/>
        <v/>
      </c>
      <c r="O893" s="2" t="str">
        <f t="shared" si="285"/>
        <v/>
      </c>
      <c r="P893" s="8" t="str">
        <f t="shared" si="286"/>
        <v/>
      </c>
      <c r="Q893" s="8" t="str">
        <f t="shared" si="287"/>
        <v/>
      </c>
      <c r="R893" s="111" t="str">
        <f t="shared" si="288"/>
        <v/>
      </c>
      <c r="S893" s="44" t="str">
        <f t="shared" si="289"/>
        <v/>
      </c>
      <c r="T893" s="37" t="str">
        <f t="shared" si="290"/>
        <v/>
      </c>
      <c r="U893" s="44" t="str">
        <f t="shared" si="291"/>
        <v/>
      </c>
      <c r="V893" s="26"/>
      <c r="W893" s="26"/>
      <c r="X893" s="26"/>
      <c r="Y893" s="26"/>
      <c r="Z893" s="24"/>
      <c r="AA893" s="169">
        <f t="shared" si="276"/>
        <v>0</v>
      </c>
      <c r="AB893" s="4">
        <f t="shared" si="277"/>
        <v>0</v>
      </c>
      <c r="AC893" s="170">
        <f t="shared" si="294"/>
        <v>0</v>
      </c>
      <c r="AD893" s="58"/>
      <c r="AE893" s="58"/>
      <c r="AF893" s="58"/>
      <c r="AG893" s="59">
        <f t="shared" si="278"/>
        <v>9.0359999999999996</v>
      </c>
      <c r="AH893" s="59">
        <f t="shared" si="279"/>
        <v>-184.49199999999999</v>
      </c>
      <c r="AJ893" s="4">
        <f>IF(D893="M",IF(AM893&lt;78,BMILMS!$D$5*AM893^3+BMILMS!$E$5*AM893^2+BMILMS!$F$5*AM893+BMILMS!$G$5,IF(AM893&lt;150,BMILMS!$D$6*AM893^3+BMILMS!$E$6*AM893^2+BMILMS!$F$6*AM893+BMILMS!$G$6,BMILMS!$D$7*AM893^3+BMILMS!$E$7*AM893^2+BMILMS!$F$7*AM893+BMILMS!$G$7)),IF(AM893&lt;69,BMILMS!$D$9*AM893^3+BMILMS!$E$9*AM893^2+BMILMS!$F$9*AM893+BMILMS!$G$9,IF(AM893&lt;150,BMILMS!$D$10*AM893^3+BMILMS!$E$10*AM893^2+BMILMS!$F$10*AM893+BMILMS!$G$10,BMILMS!$D$11*AM893^3+BMILMS!$E$11*AM893^2+BMILMS!$F$11*AM893+BMILMS!$G$11)))</f>
        <v>0.79584630099999998</v>
      </c>
      <c r="AK893" s="4">
        <f>IF(D893="M",(IF(AM893&lt;2.5,BMILMS!$D$21*AM893^3+BMILMS!$E$21*AM893^2+BMILMS!$F$21*AM893+BMILMS!$G$21,IF(AM893&lt;9.5,BMILMS!$D$22*AM893^3+BMILMS!$E$22*AM893^2+BMILMS!$F$22*AM893+BMILMS!$G$22,IF(AM893&lt;26.75,BMILMS!$D$23*AM893^3+BMILMS!$E$23*AM893^2+BMILMS!$F$23*AM893+BMILMS!$G$23,IF(AM893&lt;90,BMILMS!$D$24*AM893^3+BMILMS!$E$24*AM893^2+BMILMS!$F$24*AM893+BMILMS!$G$24,BMILMS!$D$25*AM893^3+BMILMS!$E$25*AM893^2+BMILMS!$F$25*AM893+BMILMS!$G$25))))),(IF(AM893&lt;2.5,BMILMS!$D$27*AM893^3+BMILMS!$E$27*AM893^2+BMILMS!$F$27*AM893+BMILMS!$G$27,IF(AM893&lt;9.5,BMILMS!$D$28*AM893^3+BMILMS!$E$28*AM893^2+BMILMS!$F$28*AM893+BMILMS!$G$28,IF(AM893&lt;26.75,BMILMS!$D$29*AM893^3+BMILMS!$E$29*AM893^2+BMILMS!$F$29*AM893+BMILMS!$G$29,IF(AM893&lt;90,BMILMS!$D$30*AM893^3+BMILMS!$E$30*AM893^2+BMILMS!$F$30*AM893+BMILMS!$G$30,IF(AM893&lt;150,BMILMS!$D$31*AM893^3+BMILMS!$E$31*AM893^2+BMILMS!$F$31*AM893+BMILMS!$G$31,BMILMS!$D$32*AM893^3+BMILMS!$E$32*AM893^2+BMILMS!$F$32*AM893+BMILMS!$G$32)))))))</f>
        <v>12.568967990000001</v>
      </c>
      <c r="AL893" s="4">
        <f>IF(D893="M",(IF(AM893&lt;90,BMILMS!$D$14*AM893^3+BMILMS!$E$14*AM893^2+BMILMS!$F$14*AM893+BMILMS!$G$14,BMILMS!$D$15*AM893^3+BMILMS!$E$15*AM893^2+BMILMS!$F$15*AM893+BMILMS!$G$15)),(IF(AM893&lt;90,BMILMS!$D$17*AM893^3+BMILMS!$E$17*AM893^2+BMILMS!$F$17*AM893+BMILMS!$G$17,BMILMS!$D$18*AM893^3+BMILMS!$E$18*AM893^2+BMILMS!$F$18*AM893+BMILMS!$G$18)))</f>
        <v>8.8969350000000003E-2</v>
      </c>
      <c r="AM893" s="4">
        <f t="shared" si="293"/>
        <v>0</v>
      </c>
      <c r="AO893" s="56">
        <f>IF(D893="M",WeightSDS!P$5*$AM893^7+WeightSDS!Q$5*$AM893^6+WeightSDS!R$5*$AM893^5+WeightSDS!S$5*$AM893^4+WeightSDS!T$5*$AM893^3+WeightSDS!U$5*$AM893^2+WeightSDS!V$5*$AM893+WeightSDS!W$5,IF($AM893&lt;186,WeightSDS!P$8*$AM893^7+WeightSDS!Q$8*$AM893^6+WeightSDS!R$8*$AM893^5+WeightSDS!S$8*$AM893^4+WeightSDS!T$8*$AM893^3+WeightSDS!U$8*$AM893^2+WeightSDS!V$8*$AM893+WeightSDS!W$8,WeightSDS!$U$9+WeightSDS!$V$9*($AM893-WeightSDS!$W$9)))</f>
        <v>0.75407122999999998</v>
      </c>
      <c r="AP893" s="4">
        <f>IF(D893="M",IF($AM893&lt;45,WeightSDS!M$23*$AM893^10+WeightSDS!N$23*$AM893^9+WeightSDS!O$23*$AM893^8+WeightSDS!P$23*$AM893^7+WeightSDS!Q$23*$AM893^6+WeightSDS!R$23*$AM893^5+WeightSDS!S$23*$AM893^4+WeightSDS!T$23*$AM893^3+WeightSDS!U$23*$AM893^2+WeightSDS!V$23*$AM893+WeightSDS!W$23,IF($AM893&lt;153,WeightSDS!M$25*$AM893^10+WeightSDS!N$25*$AM893^9+WeightSDS!O$25*$AM893^8+WeightSDS!P$25*$AM893^7+WeightSDS!Q$25*$AM893^6+WeightSDS!R$25*$AM893^5+WeightSDS!S$25*$AM893^4+WeightSDS!T$25*$AM893^3+WeightSDS!U$25*$AM893^2+WeightSDS!V$25*$AM893+WeightSDS!W$25,WeightSDS!M$27+WeightSDS!N$27/(1+EXP(WeightSDS!O$27+WeightSDS!P$27*$AM893)))),IF($AM893&lt;43.8,WeightSDS!M$29*$AM893^10+WeightSDS!N$29*$AM893^9+WeightSDS!O$29*$AM893^8+WeightSDS!P$29*$AM893^7+WeightSDS!Q$29*$AM893^6+WeightSDS!R$29*$AM893^5+WeightSDS!S$29*$AM893^4+WeightSDS!T$29*$AM893^3+WeightSDS!U$29*$AM893^2+WeightSDS!V$29*$AM893+WeightSDS!W$29-0.010431*(1-$AM893/210),IF($AM893&lt;123,WeightSDS!M$30*$AM893^10+WeightSDS!N$30*$AM893^9+WeightSDS!O$30*$AM893^8+WeightSDS!P$30*$AM893^7+WeightSDS!Q$30*$AM893^6+WeightSDS!R$30*$AM893^5+WeightSDS!S$30*$AM893^4+WeightSDS!T$30*$AM893^3+WeightSDS!U$30*$AM893^2+WeightSDS!V$30*$AM893+WeightSDS!W$30-0.010431*(1-1/$AM893),WeightSDS!M$32+WeightSDS!N$32/(1+EXP(WeightSDS!O$32+WeightSDS!P$32*$AM893))-0.010431*(1-$AM893/210))))</f>
        <v>2.9500001032655536</v>
      </c>
      <c r="AQ893" s="4">
        <f>IF(D893="M",IF($AM893&lt;162,WeightSDS!P$12*$AM893^7+WeightSDS!Q$12*$AM893^6+WeightSDS!R$12*$AM893^5+WeightSDS!S$12*$AM893^4+WeightSDS!T$12*$AM893^3+WeightSDS!U$12*$AM893^2+WeightSDS!V$12*$AM893+WeightSDS!W$12,WeightSDS!P$14*$AM893^7+WeightSDS!Q$14*$AM893^6+WeightSDS!R$14*$AM893^5+WeightSDS!S$14*$AM893^4+WeightSDS!T$14*$AM893^3+WeightSDS!U$14*$AM893^2+WeightSDS!V$14*$AM893+WeightSDS!W$14),IF($AM893&lt;156,WeightSDS!O$17*$AM893^8+WeightSDS!P$17*$AM893^7+WeightSDS!Q$17*$AM893^6+WeightSDS!R$17*$AM893^5+WeightSDS!S$17*$AM893^4+WeightSDS!T$17*$AM893^3+WeightSDS!U$17*$AM893^2+WeightSDS!V$17*$AM893+WeightSDS!W$17,IF($AM893&lt;186,WeightSDS!$U$18+(WeightSDS!$V$18-WeightSDS!$U$18)/24*($AM893-186)+WeightSDS!$W$18*(-$AM893+186)^2-0.005,WeightSDS!$U$18+(WeightSDS!$V$18-WeightSDS!$U$18)/24*($AM893-186)-0.005)))</f>
        <v>0.14604529399999999</v>
      </c>
      <c r="AT893" s="4">
        <f t="shared" si="280"/>
        <v>0.56299999999999994</v>
      </c>
      <c r="AU893" s="4">
        <f t="shared" si="281"/>
        <v>69</v>
      </c>
      <c r="AV893" s="4">
        <f t="shared" si="282"/>
        <v>0.51</v>
      </c>
    </row>
    <row r="894" spans="1:48" x14ac:dyDescent="0.15">
      <c r="A894" s="4"/>
      <c r="B894" s="21"/>
      <c r="C894" s="21"/>
      <c r="D894" s="21"/>
      <c r="E894" s="22"/>
      <c r="F894" s="22"/>
      <c r="G894" s="23"/>
      <c r="H894" s="23"/>
      <c r="I894" s="181"/>
      <c r="J894" s="8" t="str">
        <f t="shared" si="274"/>
        <v/>
      </c>
      <c r="K894" s="2" t="str">
        <f t="shared" si="283"/>
        <v/>
      </c>
      <c r="L894" s="2" t="str">
        <f t="shared" si="275"/>
        <v/>
      </c>
      <c r="M894" s="2" t="str">
        <f t="shared" si="284"/>
        <v/>
      </c>
      <c r="N894" s="2" t="str">
        <f t="shared" si="292"/>
        <v/>
      </c>
      <c r="O894" s="2" t="str">
        <f t="shared" si="285"/>
        <v/>
      </c>
      <c r="P894" s="8" t="str">
        <f t="shared" si="286"/>
        <v/>
      </c>
      <c r="Q894" s="8" t="str">
        <f t="shared" si="287"/>
        <v/>
      </c>
      <c r="R894" s="111" t="str">
        <f t="shared" si="288"/>
        <v/>
      </c>
      <c r="S894" s="44" t="str">
        <f t="shared" si="289"/>
        <v/>
      </c>
      <c r="T894" s="37" t="str">
        <f t="shared" si="290"/>
        <v/>
      </c>
      <c r="U894" s="44" t="str">
        <f t="shared" si="291"/>
        <v/>
      </c>
      <c r="V894" s="26"/>
      <c r="W894" s="26"/>
      <c r="X894" s="26"/>
      <c r="Y894" s="26"/>
      <c r="Z894" s="24"/>
      <c r="AA894" s="169">
        <f t="shared" si="276"/>
        <v>0</v>
      </c>
      <c r="AB894" s="4">
        <f t="shared" si="277"/>
        <v>0</v>
      </c>
      <c r="AC894" s="170">
        <f t="shared" si="294"/>
        <v>0</v>
      </c>
      <c r="AD894" s="58"/>
      <c r="AE894" s="58"/>
      <c r="AF894" s="58"/>
      <c r="AG894" s="59">
        <f t="shared" si="278"/>
        <v>9.0359999999999996</v>
      </c>
      <c r="AH894" s="59">
        <f t="shared" si="279"/>
        <v>-184.49199999999999</v>
      </c>
      <c r="AJ894" s="4">
        <f>IF(D894="M",IF(AM894&lt;78,BMILMS!$D$5*AM894^3+BMILMS!$E$5*AM894^2+BMILMS!$F$5*AM894+BMILMS!$G$5,IF(AM894&lt;150,BMILMS!$D$6*AM894^3+BMILMS!$E$6*AM894^2+BMILMS!$F$6*AM894+BMILMS!$G$6,BMILMS!$D$7*AM894^3+BMILMS!$E$7*AM894^2+BMILMS!$F$7*AM894+BMILMS!$G$7)),IF(AM894&lt;69,BMILMS!$D$9*AM894^3+BMILMS!$E$9*AM894^2+BMILMS!$F$9*AM894+BMILMS!$G$9,IF(AM894&lt;150,BMILMS!$D$10*AM894^3+BMILMS!$E$10*AM894^2+BMILMS!$F$10*AM894+BMILMS!$G$10,BMILMS!$D$11*AM894^3+BMILMS!$E$11*AM894^2+BMILMS!$F$11*AM894+BMILMS!$G$11)))</f>
        <v>0.79584630099999998</v>
      </c>
      <c r="AK894" s="4">
        <f>IF(D894="M",(IF(AM894&lt;2.5,BMILMS!$D$21*AM894^3+BMILMS!$E$21*AM894^2+BMILMS!$F$21*AM894+BMILMS!$G$21,IF(AM894&lt;9.5,BMILMS!$D$22*AM894^3+BMILMS!$E$22*AM894^2+BMILMS!$F$22*AM894+BMILMS!$G$22,IF(AM894&lt;26.75,BMILMS!$D$23*AM894^3+BMILMS!$E$23*AM894^2+BMILMS!$F$23*AM894+BMILMS!$G$23,IF(AM894&lt;90,BMILMS!$D$24*AM894^3+BMILMS!$E$24*AM894^2+BMILMS!$F$24*AM894+BMILMS!$G$24,BMILMS!$D$25*AM894^3+BMILMS!$E$25*AM894^2+BMILMS!$F$25*AM894+BMILMS!$G$25))))),(IF(AM894&lt;2.5,BMILMS!$D$27*AM894^3+BMILMS!$E$27*AM894^2+BMILMS!$F$27*AM894+BMILMS!$G$27,IF(AM894&lt;9.5,BMILMS!$D$28*AM894^3+BMILMS!$E$28*AM894^2+BMILMS!$F$28*AM894+BMILMS!$G$28,IF(AM894&lt;26.75,BMILMS!$D$29*AM894^3+BMILMS!$E$29*AM894^2+BMILMS!$F$29*AM894+BMILMS!$G$29,IF(AM894&lt;90,BMILMS!$D$30*AM894^3+BMILMS!$E$30*AM894^2+BMILMS!$F$30*AM894+BMILMS!$G$30,IF(AM894&lt;150,BMILMS!$D$31*AM894^3+BMILMS!$E$31*AM894^2+BMILMS!$F$31*AM894+BMILMS!$G$31,BMILMS!$D$32*AM894^3+BMILMS!$E$32*AM894^2+BMILMS!$F$32*AM894+BMILMS!$G$32)))))))</f>
        <v>12.568967990000001</v>
      </c>
      <c r="AL894" s="4">
        <f>IF(D894="M",(IF(AM894&lt;90,BMILMS!$D$14*AM894^3+BMILMS!$E$14*AM894^2+BMILMS!$F$14*AM894+BMILMS!$G$14,BMILMS!$D$15*AM894^3+BMILMS!$E$15*AM894^2+BMILMS!$F$15*AM894+BMILMS!$G$15)),(IF(AM894&lt;90,BMILMS!$D$17*AM894^3+BMILMS!$E$17*AM894^2+BMILMS!$F$17*AM894+BMILMS!$G$17,BMILMS!$D$18*AM894^3+BMILMS!$E$18*AM894^2+BMILMS!$F$18*AM894+BMILMS!$G$18)))</f>
        <v>8.8969350000000003E-2</v>
      </c>
      <c r="AM894" s="4">
        <f t="shared" si="293"/>
        <v>0</v>
      </c>
      <c r="AO894" s="56">
        <f>IF(D894="M",WeightSDS!P$5*$AM894^7+WeightSDS!Q$5*$AM894^6+WeightSDS!R$5*$AM894^5+WeightSDS!S$5*$AM894^4+WeightSDS!T$5*$AM894^3+WeightSDS!U$5*$AM894^2+WeightSDS!V$5*$AM894+WeightSDS!W$5,IF($AM894&lt;186,WeightSDS!P$8*$AM894^7+WeightSDS!Q$8*$AM894^6+WeightSDS!R$8*$AM894^5+WeightSDS!S$8*$AM894^4+WeightSDS!T$8*$AM894^3+WeightSDS!U$8*$AM894^2+WeightSDS!V$8*$AM894+WeightSDS!W$8,WeightSDS!$U$9+WeightSDS!$V$9*($AM894-WeightSDS!$W$9)))</f>
        <v>0.75407122999999998</v>
      </c>
      <c r="AP894" s="4">
        <f>IF(D894="M",IF($AM894&lt;45,WeightSDS!M$23*$AM894^10+WeightSDS!N$23*$AM894^9+WeightSDS!O$23*$AM894^8+WeightSDS!P$23*$AM894^7+WeightSDS!Q$23*$AM894^6+WeightSDS!R$23*$AM894^5+WeightSDS!S$23*$AM894^4+WeightSDS!T$23*$AM894^3+WeightSDS!U$23*$AM894^2+WeightSDS!V$23*$AM894+WeightSDS!W$23,IF($AM894&lt;153,WeightSDS!M$25*$AM894^10+WeightSDS!N$25*$AM894^9+WeightSDS!O$25*$AM894^8+WeightSDS!P$25*$AM894^7+WeightSDS!Q$25*$AM894^6+WeightSDS!R$25*$AM894^5+WeightSDS!S$25*$AM894^4+WeightSDS!T$25*$AM894^3+WeightSDS!U$25*$AM894^2+WeightSDS!V$25*$AM894+WeightSDS!W$25,WeightSDS!M$27+WeightSDS!N$27/(1+EXP(WeightSDS!O$27+WeightSDS!P$27*$AM894)))),IF($AM894&lt;43.8,WeightSDS!M$29*$AM894^10+WeightSDS!N$29*$AM894^9+WeightSDS!O$29*$AM894^8+WeightSDS!P$29*$AM894^7+WeightSDS!Q$29*$AM894^6+WeightSDS!R$29*$AM894^5+WeightSDS!S$29*$AM894^4+WeightSDS!T$29*$AM894^3+WeightSDS!U$29*$AM894^2+WeightSDS!V$29*$AM894+WeightSDS!W$29-0.010431*(1-$AM894/210),IF($AM894&lt;123,WeightSDS!M$30*$AM894^10+WeightSDS!N$30*$AM894^9+WeightSDS!O$30*$AM894^8+WeightSDS!P$30*$AM894^7+WeightSDS!Q$30*$AM894^6+WeightSDS!R$30*$AM894^5+WeightSDS!S$30*$AM894^4+WeightSDS!T$30*$AM894^3+WeightSDS!U$30*$AM894^2+WeightSDS!V$30*$AM894+WeightSDS!W$30-0.010431*(1-1/$AM894),WeightSDS!M$32+WeightSDS!N$32/(1+EXP(WeightSDS!O$32+WeightSDS!P$32*$AM894))-0.010431*(1-$AM894/210))))</f>
        <v>2.9500001032655536</v>
      </c>
      <c r="AQ894" s="4">
        <f>IF(D894="M",IF($AM894&lt;162,WeightSDS!P$12*$AM894^7+WeightSDS!Q$12*$AM894^6+WeightSDS!R$12*$AM894^5+WeightSDS!S$12*$AM894^4+WeightSDS!T$12*$AM894^3+WeightSDS!U$12*$AM894^2+WeightSDS!V$12*$AM894+WeightSDS!W$12,WeightSDS!P$14*$AM894^7+WeightSDS!Q$14*$AM894^6+WeightSDS!R$14*$AM894^5+WeightSDS!S$14*$AM894^4+WeightSDS!T$14*$AM894^3+WeightSDS!U$14*$AM894^2+WeightSDS!V$14*$AM894+WeightSDS!W$14),IF($AM894&lt;156,WeightSDS!O$17*$AM894^8+WeightSDS!P$17*$AM894^7+WeightSDS!Q$17*$AM894^6+WeightSDS!R$17*$AM894^5+WeightSDS!S$17*$AM894^4+WeightSDS!T$17*$AM894^3+WeightSDS!U$17*$AM894^2+WeightSDS!V$17*$AM894+WeightSDS!W$17,IF($AM894&lt;186,WeightSDS!$U$18+(WeightSDS!$V$18-WeightSDS!$U$18)/24*($AM894-186)+WeightSDS!$W$18*(-$AM894+186)^2-0.005,WeightSDS!$U$18+(WeightSDS!$V$18-WeightSDS!$U$18)/24*($AM894-186)-0.005)))</f>
        <v>0.14604529399999999</v>
      </c>
      <c r="AT894" s="4">
        <f t="shared" si="280"/>
        <v>0.56299999999999994</v>
      </c>
      <c r="AU894" s="4">
        <f t="shared" si="281"/>
        <v>69</v>
      </c>
      <c r="AV894" s="4">
        <f t="shared" si="282"/>
        <v>0.51</v>
      </c>
    </row>
    <row r="895" spans="1:48" x14ac:dyDescent="0.15">
      <c r="A895" s="4"/>
      <c r="B895" s="21"/>
      <c r="C895" s="21"/>
      <c r="D895" s="21"/>
      <c r="E895" s="22"/>
      <c r="F895" s="22"/>
      <c r="G895" s="23"/>
      <c r="H895" s="23"/>
      <c r="I895" s="181"/>
      <c r="J895" s="8" t="str">
        <f t="shared" si="274"/>
        <v/>
      </c>
      <c r="K895" s="2" t="str">
        <f t="shared" si="283"/>
        <v/>
      </c>
      <c r="L895" s="2" t="str">
        <f t="shared" si="275"/>
        <v/>
      </c>
      <c r="M895" s="2" t="str">
        <f t="shared" si="284"/>
        <v/>
      </c>
      <c r="N895" s="2" t="str">
        <f t="shared" si="292"/>
        <v/>
      </c>
      <c r="O895" s="2" t="str">
        <f t="shared" si="285"/>
        <v/>
      </c>
      <c r="P895" s="8" t="str">
        <f t="shared" si="286"/>
        <v/>
      </c>
      <c r="Q895" s="8" t="str">
        <f t="shared" si="287"/>
        <v/>
      </c>
      <c r="R895" s="111" t="str">
        <f t="shared" si="288"/>
        <v/>
      </c>
      <c r="S895" s="44" t="str">
        <f t="shared" si="289"/>
        <v/>
      </c>
      <c r="T895" s="37" t="str">
        <f t="shared" si="290"/>
        <v/>
      </c>
      <c r="U895" s="44" t="str">
        <f t="shared" si="291"/>
        <v/>
      </c>
      <c r="V895" s="26"/>
      <c r="W895" s="26"/>
      <c r="X895" s="26"/>
      <c r="Y895" s="26"/>
      <c r="Z895" s="24"/>
      <c r="AA895" s="169">
        <f t="shared" si="276"/>
        <v>0</v>
      </c>
      <c r="AB895" s="4">
        <f t="shared" si="277"/>
        <v>0</v>
      </c>
      <c r="AC895" s="170">
        <f t="shared" si="294"/>
        <v>0</v>
      </c>
      <c r="AD895" s="58"/>
      <c r="AE895" s="58"/>
      <c r="AF895" s="58"/>
      <c r="AG895" s="59">
        <f t="shared" si="278"/>
        <v>9.0359999999999996</v>
      </c>
      <c r="AH895" s="59">
        <f t="shared" si="279"/>
        <v>-184.49199999999999</v>
      </c>
      <c r="AJ895" s="4">
        <f>IF(D895="M",IF(AM895&lt;78,BMILMS!$D$5*AM895^3+BMILMS!$E$5*AM895^2+BMILMS!$F$5*AM895+BMILMS!$G$5,IF(AM895&lt;150,BMILMS!$D$6*AM895^3+BMILMS!$E$6*AM895^2+BMILMS!$F$6*AM895+BMILMS!$G$6,BMILMS!$D$7*AM895^3+BMILMS!$E$7*AM895^2+BMILMS!$F$7*AM895+BMILMS!$G$7)),IF(AM895&lt;69,BMILMS!$D$9*AM895^3+BMILMS!$E$9*AM895^2+BMILMS!$F$9*AM895+BMILMS!$G$9,IF(AM895&lt;150,BMILMS!$D$10*AM895^3+BMILMS!$E$10*AM895^2+BMILMS!$F$10*AM895+BMILMS!$G$10,BMILMS!$D$11*AM895^3+BMILMS!$E$11*AM895^2+BMILMS!$F$11*AM895+BMILMS!$G$11)))</f>
        <v>0.79584630099999998</v>
      </c>
      <c r="AK895" s="4">
        <f>IF(D895="M",(IF(AM895&lt;2.5,BMILMS!$D$21*AM895^3+BMILMS!$E$21*AM895^2+BMILMS!$F$21*AM895+BMILMS!$G$21,IF(AM895&lt;9.5,BMILMS!$D$22*AM895^3+BMILMS!$E$22*AM895^2+BMILMS!$F$22*AM895+BMILMS!$G$22,IF(AM895&lt;26.75,BMILMS!$D$23*AM895^3+BMILMS!$E$23*AM895^2+BMILMS!$F$23*AM895+BMILMS!$G$23,IF(AM895&lt;90,BMILMS!$D$24*AM895^3+BMILMS!$E$24*AM895^2+BMILMS!$F$24*AM895+BMILMS!$G$24,BMILMS!$D$25*AM895^3+BMILMS!$E$25*AM895^2+BMILMS!$F$25*AM895+BMILMS!$G$25))))),(IF(AM895&lt;2.5,BMILMS!$D$27*AM895^3+BMILMS!$E$27*AM895^2+BMILMS!$F$27*AM895+BMILMS!$G$27,IF(AM895&lt;9.5,BMILMS!$D$28*AM895^3+BMILMS!$E$28*AM895^2+BMILMS!$F$28*AM895+BMILMS!$G$28,IF(AM895&lt;26.75,BMILMS!$D$29*AM895^3+BMILMS!$E$29*AM895^2+BMILMS!$F$29*AM895+BMILMS!$G$29,IF(AM895&lt;90,BMILMS!$D$30*AM895^3+BMILMS!$E$30*AM895^2+BMILMS!$F$30*AM895+BMILMS!$G$30,IF(AM895&lt;150,BMILMS!$D$31*AM895^3+BMILMS!$E$31*AM895^2+BMILMS!$F$31*AM895+BMILMS!$G$31,BMILMS!$D$32*AM895^3+BMILMS!$E$32*AM895^2+BMILMS!$F$32*AM895+BMILMS!$G$32)))))))</f>
        <v>12.568967990000001</v>
      </c>
      <c r="AL895" s="4">
        <f>IF(D895="M",(IF(AM895&lt;90,BMILMS!$D$14*AM895^3+BMILMS!$E$14*AM895^2+BMILMS!$F$14*AM895+BMILMS!$G$14,BMILMS!$D$15*AM895^3+BMILMS!$E$15*AM895^2+BMILMS!$F$15*AM895+BMILMS!$G$15)),(IF(AM895&lt;90,BMILMS!$D$17*AM895^3+BMILMS!$E$17*AM895^2+BMILMS!$F$17*AM895+BMILMS!$G$17,BMILMS!$D$18*AM895^3+BMILMS!$E$18*AM895^2+BMILMS!$F$18*AM895+BMILMS!$G$18)))</f>
        <v>8.8969350000000003E-2</v>
      </c>
      <c r="AM895" s="4">
        <f t="shared" si="293"/>
        <v>0</v>
      </c>
      <c r="AO895" s="56">
        <f>IF(D895="M",WeightSDS!P$5*$AM895^7+WeightSDS!Q$5*$AM895^6+WeightSDS!R$5*$AM895^5+WeightSDS!S$5*$AM895^4+WeightSDS!T$5*$AM895^3+WeightSDS!U$5*$AM895^2+WeightSDS!V$5*$AM895+WeightSDS!W$5,IF($AM895&lt;186,WeightSDS!P$8*$AM895^7+WeightSDS!Q$8*$AM895^6+WeightSDS!R$8*$AM895^5+WeightSDS!S$8*$AM895^4+WeightSDS!T$8*$AM895^3+WeightSDS!U$8*$AM895^2+WeightSDS!V$8*$AM895+WeightSDS!W$8,WeightSDS!$U$9+WeightSDS!$V$9*($AM895-WeightSDS!$W$9)))</f>
        <v>0.75407122999999998</v>
      </c>
      <c r="AP895" s="4">
        <f>IF(D895="M",IF($AM895&lt;45,WeightSDS!M$23*$AM895^10+WeightSDS!N$23*$AM895^9+WeightSDS!O$23*$AM895^8+WeightSDS!P$23*$AM895^7+WeightSDS!Q$23*$AM895^6+WeightSDS!R$23*$AM895^5+WeightSDS!S$23*$AM895^4+WeightSDS!T$23*$AM895^3+WeightSDS!U$23*$AM895^2+WeightSDS!V$23*$AM895+WeightSDS!W$23,IF($AM895&lt;153,WeightSDS!M$25*$AM895^10+WeightSDS!N$25*$AM895^9+WeightSDS!O$25*$AM895^8+WeightSDS!P$25*$AM895^7+WeightSDS!Q$25*$AM895^6+WeightSDS!R$25*$AM895^5+WeightSDS!S$25*$AM895^4+WeightSDS!T$25*$AM895^3+WeightSDS!U$25*$AM895^2+WeightSDS!V$25*$AM895+WeightSDS!W$25,WeightSDS!M$27+WeightSDS!N$27/(1+EXP(WeightSDS!O$27+WeightSDS!P$27*$AM895)))),IF($AM895&lt;43.8,WeightSDS!M$29*$AM895^10+WeightSDS!N$29*$AM895^9+WeightSDS!O$29*$AM895^8+WeightSDS!P$29*$AM895^7+WeightSDS!Q$29*$AM895^6+WeightSDS!R$29*$AM895^5+WeightSDS!S$29*$AM895^4+WeightSDS!T$29*$AM895^3+WeightSDS!U$29*$AM895^2+WeightSDS!V$29*$AM895+WeightSDS!W$29-0.010431*(1-$AM895/210),IF($AM895&lt;123,WeightSDS!M$30*$AM895^10+WeightSDS!N$30*$AM895^9+WeightSDS!O$30*$AM895^8+WeightSDS!P$30*$AM895^7+WeightSDS!Q$30*$AM895^6+WeightSDS!R$30*$AM895^5+WeightSDS!S$30*$AM895^4+WeightSDS!T$30*$AM895^3+WeightSDS!U$30*$AM895^2+WeightSDS!V$30*$AM895+WeightSDS!W$30-0.010431*(1-1/$AM895),WeightSDS!M$32+WeightSDS!N$32/(1+EXP(WeightSDS!O$32+WeightSDS!P$32*$AM895))-0.010431*(1-$AM895/210))))</f>
        <v>2.9500001032655536</v>
      </c>
      <c r="AQ895" s="4">
        <f>IF(D895="M",IF($AM895&lt;162,WeightSDS!P$12*$AM895^7+WeightSDS!Q$12*$AM895^6+WeightSDS!R$12*$AM895^5+WeightSDS!S$12*$AM895^4+WeightSDS!T$12*$AM895^3+WeightSDS!U$12*$AM895^2+WeightSDS!V$12*$AM895+WeightSDS!W$12,WeightSDS!P$14*$AM895^7+WeightSDS!Q$14*$AM895^6+WeightSDS!R$14*$AM895^5+WeightSDS!S$14*$AM895^4+WeightSDS!T$14*$AM895^3+WeightSDS!U$14*$AM895^2+WeightSDS!V$14*$AM895+WeightSDS!W$14),IF($AM895&lt;156,WeightSDS!O$17*$AM895^8+WeightSDS!P$17*$AM895^7+WeightSDS!Q$17*$AM895^6+WeightSDS!R$17*$AM895^5+WeightSDS!S$17*$AM895^4+WeightSDS!T$17*$AM895^3+WeightSDS!U$17*$AM895^2+WeightSDS!V$17*$AM895+WeightSDS!W$17,IF($AM895&lt;186,WeightSDS!$U$18+(WeightSDS!$V$18-WeightSDS!$U$18)/24*($AM895-186)+WeightSDS!$W$18*(-$AM895+186)^2-0.005,WeightSDS!$U$18+(WeightSDS!$V$18-WeightSDS!$U$18)/24*($AM895-186)-0.005)))</f>
        <v>0.14604529399999999</v>
      </c>
      <c r="AT895" s="4">
        <f t="shared" si="280"/>
        <v>0.56299999999999994</v>
      </c>
      <c r="AU895" s="4">
        <f t="shared" si="281"/>
        <v>69</v>
      </c>
      <c r="AV895" s="4">
        <f t="shared" si="282"/>
        <v>0.51</v>
      </c>
    </row>
    <row r="896" spans="1:48" x14ac:dyDescent="0.15">
      <c r="A896" s="4"/>
      <c r="B896" s="21"/>
      <c r="C896" s="21"/>
      <c r="D896" s="21"/>
      <c r="E896" s="22"/>
      <c r="F896" s="22"/>
      <c r="G896" s="23"/>
      <c r="H896" s="23"/>
      <c r="I896" s="181"/>
      <c r="J896" s="8" t="str">
        <f t="shared" si="274"/>
        <v/>
      </c>
      <c r="K896" s="2" t="str">
        <f t="shared" si="283"/>
        <v/>
      </c>
      <c r="L896" s="2" t="str">
        <f t="shared" si="275"/>
        <v/>
      </c>
      <c r="M896" s="2" t="str">
        <f t="shared" si="284"/>
        <v/>
      </c>
      <c r="N896" s="2" t="str">
        <f t="shared" si="292"/>
        <v/>
      </c>
      <c r="O896" s="2" t="str">
        <f t="shared" si="285"/>
        <v/>
      </c>
      <c r="P896" s="8" t="str">
        <f t="shared" si="286"/>
        <v/>
      </c>
      <c r="Q896" s="8" t="str">
        <f t="shared" si="287"/>
        <v/>
      </c>
      <c r="R896" s="111" t="str">
        <f t="shared" si="288"/>
        <v/>
      </c>
      <c r="S896" s="44" t="str">
        <f t="shared" si="289"/>
        <v/>
      </c>
      <c r="T896" s="37" t="str">
        <f t="shared" si="290"/>
        <v/>
      </c>
      <c r="U896" s="44" t="str">
        <f t="shared" si="291"/>
        <v/>
      </c>
      <c r="V896" s="26"/>
      <c r="W896" s="26"/>
      <c r="X896" s="26"/>
      <c r="Y896" s="26"/>
      <c r="Z896" s="24"/>
      <c r="AA896" s="169">
        <f t="shared" si="276"/>
        <v>0</v>
      </c>
      <c r="AB896" s="4">
        <f t="shared" si="277"/>
        <v>0</v>
      </c>
      <c r="AC896" s="170">
        <f t="shared" si="294"/>
        <v>0</v>
      </c>
      <c r="AD896" s="58"/>
      <c r="AE896" s="58"/>
      <c r="AF896" s="58"/>
      <c r="AG896" s="59">
        <f t="shared" si="278"/>
        <v>9.0359999999999996</v>
      </c>
      <c r="AH896" s="59">
        <f t="shared" si="279"/>
        <v>-184.49199999999999</v>
      </c>
      <c r="AJ896" s="4">
        <f>IF(D896="M",IF(AM896&lt;78,BMILMS!$D$5*AM896^3+BMILMS!$E$5*AM896^2+BMILMS!$F$5*AM896+BMILMS!$G$5,IF(AM896&lt;150,BMILMS!$D$6*AM896^3+BMILMS!$E$6*AM896^2+BMILMS!$F$6*AM896+BMILMS!$G$6,BMILMS!$D$7*AM896^3+BMILMS!$E$7*AM896^2+BMILMS!$F$7*AM896+BMILMS!$G$7)),IF(AM896&lt;69,BMILMS!$D$9*AM896^3+BMILMS!$E$9*AM896^2+BMILMS!$F$9*AM896+BMILMS!$G$9,IF(AM896&lt;150,BMILMS!$D$10*AM896^3+BMILMS!$E$10*AM896^2+BMILMS!$F$10*AM896+BMILMS!$G$10,BMILMS!$D$11*AM896^3+BMILMS!$E$11*AM896^2+BMILMS!$F$11*AM896+BMILMS!$G$11)))</f>
        <v>0.79584630099999998</v>
      </c>
      <c r="AK896" s="4">
        <f>IF(D896="M",(IF(AM896&lt;2.5,BMILMS!$D$21*AM896^3+BMILMS!$E$21*AM896^2+BMILMS!$F$21*AM896+BMILMS!$G$21,IF(AM896&lt;9.5,BMILMS!$D$22*AM896^3+BMILMS!$E$22*AM896^2+BMILMS!$F$22*AM896+BMILMS!$G$22,IF(AM896&lt;26.75,BMILMS!$D$23*AM896^3+BMILMS!$E$23*AM896^2+BMILMS!$F$23*AM896+BMILMS!$G$23,IF(AM896&lt;90,BMILMS!$D$24*AM896^3+BMILMS!$E$24*AM896^2+BMILMS!$F$24*AM896+BMILMS!$G$24,BMILMS!$D$25*AM896^3+BMILMS!$E$25*AM896^2+BMILMS!$F$25*AM896+BMILMS!$G$25))))),(IF(AM896&lt;2.5,BMILMS!$D$27*AM896^3+BMILMS!$E$27*AM896^2+BMILMS!$F$27*AM896+BMILMS!$G$27,IF(AM896&lt;9.5,BMILMS!$D$28*AM896^3+BMILMS!$E$28*AM896^2+BMILMS!$F$28*AM896+BMILMS!$G$28,IF(AM896&lt;26.75,BMILMS!$D$29*AM896^3+BMILMS!$E$29*AM896^2+BMILMS!$F$29*AM896+BMILMS!$G$29,IF(AM896&lt;90,BMILMS!$D$30*AM896^3+BMILMS!$E$30*AM896^2+BMILMS!$F$30*AM896+BMILMS!$G$30,IF(AM896&lt;150,BMILMS!$D$31*AM896^3+BMILMS!$E$31*AM896^2+BMILMS!$F$31*AM896+BMILMS!$G$31,BMILMS!$D$32*AM896^3+BMILMS!$E$32*AM896^2+BMILMS!$F$32*AM896+BMILMS!$G$32)))))))</f>
        <v>12.568967990000001</v>
      </c>
      <c r="AL896" s="4">
        <f>IF(D896="M",(IF(AM896&lt;90,BMILMS!$D$14*AM896^3+BMILMS!$E$14*AM896^2+BMILMS!$F$14*AM896+BMILMS!$G$14,BMILMS!$D$15*AM896^3+BMILMS!$E$15*AM896^2+BMILMS!$F$15*AM896+BMILMS!$G$15)),(IF(AM896&lt;90,BMILMS!$D$17*AM896^3+BMILMS!$E$17*AM896^2+BMILMS!$F$17*AM896+BMILMS!$G$17,BMILMS!$D$18*AM896^3+BMILMS!$E$18*AM896^2+BMILMS!$F$18*AM896+BMILMS!$G$18)))</f>
        <v>8.8969350000000003E-2</v>
      </c>
      <c r="AM896" s="4">
        <f t="shared" si="293"/>
        <v>0</v>
      </c>
      <c r="AO896" s="56">
        <f>IF(D896="M",WeightSDS!P$5*$AM896^7+WeightSDS!Q$5*$AM896^6+WeightSDS!R$5*$AM896^5+WeightSDS!S$5*$AM896^4+WeightSDS!T$5*$AM896^3+WeightSDS!U$5*$AM896^2+WeightSDS!V$5*$AM896+WeightSDS!W$5,IF($AM896&lt;186,WeightSDS!P$8*$AM896^7+WeightSDS!Q$8*$AM896^6+WeightSDS!R$8*$AM896^5+WeightSDS!S$8*$AM896^4+WeightSDS!T$8*$AM896^3+WeightSDS!U$8*$AM896^2+WeightSDS!V$8*$AM896+WeightSDS!W$8,WeightSDS!$U$9+WeightSDS!$V$9*($AM896-WeightSDS!$W$9)))</f>
        <v>0.75407122999999998</v>
      </c>
      <c r="AP896" s="4">
        <f>IF(D896="M",IF($AM896&lt;45,WeightSDS!M$23*$AM896^10+WeightSDS!N$23*$AM896^9+WeightSDS!O$23*$AM896^8+WeightSDS!P$23*$AM896^7+WeightSDS!Q$23*$AM896^6+WeightSDS!R$23*$AM896^5+WeightSDS!S$23*$AM896^4+WeightSDS!T$23*$AM896^3+WeightSDS!U$23*$AM896^2+WeightSDS!V$23*$AM896+WeightSDS!W$23,IF($AM896&lt;153,WeightSDS!M$25*$AM896^10+WeightSDS!N$25*$AM896^9+WeightSDS!O$25*$AM896^8+WeightSDS!P$25*$AM896^7+WeightSDS!Q$25*$AM896^6+WeightSDS!R$25*$AM896^5+WeightSDS!S$25*$AM896^4+WeightSDS!T$25*$AM896^3+WeightSDS!U$25*$AM896^2+WeightSDS!V$25*$AM896+WeightSDS!W$25,WeightSDS!M$27+WeightSDS!N$27/(1+EXP(WeightSDS!O$27+WeightSDS!P$27*$AM896)))),IF($AM896&lt;43.8,WeightSDS!M$29*$AM896^10+WeightSDS!N$29*$AM896^9+WeightSDS!O$29*$AM896^8+WeightSDS!P$29*$AM896^7+WeightSDS!Q$29*$AM896^6+WeightSDS!R$29*$AM896^5+WeightSDS!S$29*$AM896^4+WeightSDS!T$29*$AM896^3+WeightSDS!U$29*$AM896^2+WeightSDS!V$29*$AM896+WeightSDS!W$29-0.010431*(1-$AM896/210),IF($AM896&lt;123,WeightSDS!M$30*$AM896^10+WeightSDS!N$30*$AM896^9+WeightSDS!O$30*$AM896^8+WeightSDS!P$30*$AM896^7+WeightSDS!Q$30*$AM896^6+WeightSDS!R$30*$AM896^5+WeightSDS!S$30*$AM896^4+WeightSDS!T$30*$AM896^3+WeightSDS!U$30*$AM896^2+WeightSDS!V$30*$AM896+WeightSDS!W$30-0.010431*(1-1/$AM896),WeightSDS!M$32+WeightSDS!N$32/(1+EXP(WeightSDS!O$32+WeightSDS!P$32*$AM896))-0.010431*(1-$AM896/210))))</f>
        <v>2.9500001032655536</v>
      </c>
      <c r="AQ896" s="4">
        <f>IF(D896="M",IF($AM896&lt;162,WeightSDS!P$12*$AM896^7+WeightSDS!Q$12*$AM896^6+WeightSDS!R$12*$AM896^5+WeightSDS!S$12*$AM896^4+WeightSDS!T$12*$AM896^3+WeightSDS!U$12*$AM896^2+WeightSDS!V$12*$AM896+WeightSDS!W$12,WeightSDS!P$14*$AM896^7+WeightSDS!Q$14*$AM896^6+WeightSDS!R$14*$AM896^5+WeightSDS!S$14*$AM896^4+WeightSDS!T$14*$AM896^3+WeightSDS!U$14*$AM896^2+WeightSDS!V$14*$AM896+WeightSDS!W$14),IF($AM896&lt;156,WeightSDS!O$17*$AM896^8+WeightSDS!P$17*$AM896^7+WeightSDS!Q$17*$AM896^6+WeightSDS!R$17*$AM896^5+WeightSDS!S$17*$AM896^4+WeightSDS!T$17*$AM896^3+WeightSDS!U$17*$AM896^2+WeightSDS!V$17*$AM896+WeightSDS!W$17,IF($AM896&lt;186,WeightSDS!$U$18+(WeightSDS!$V$18-WeightSDS!$U$18)/24*($AM896-186)+WeightSDS!$W$18*(-$AM896+186)^2-0.005,WeightSDS!$U$18+(WeightSDS!$V$18-WeightSDS!$U$18)/24*($AM896-186)-0.005)))</f>
        <v>0.14604529399999999</v>
      </c>
      <c r="AT896" s="4">
        <f t="shared" si="280"/>
        <v>0.56299999999999994</v>
      </c>
      <c r="AU896" s="4">
        <f t="shared" si="281"/>
        <v>69</v>
      </c>
      <c r="AV896" s="4">
        <f t="shared" si="282"/>
        <v>0.51</v>
      </c>
    </row>
    <row r="897" spans="1:48" x14ac:dyDescent="0.15">
      <c r="A897" s="4"/>
      <c r="B897" s="21"/>
      <c r="C897" s="21"/>
      <c r="D897" s="21"/>
      <c r="E897" s="22"/>
      <c r="F897" s="22"/>
      <c r="G897" s="23"/>
      <c r="H897" s="23"/>
      <c r="I897" s="181"/>
      <c r="J897" s="8" t="str">
        <f t="shared" si="274"/>
        <v/>
      </c>
      <c r="K897" s="2" t="str">
        <f t="shared" si="283"/>
        <v/>
      </c>
      <c r="L897" s="2" t="str">
        <f t="shared" si="275"/>
        <v/>
      </c>
      <c r="M897" s="2" t="str">
        <f t="shared" si="284"/>
        <v/>
      </c>
      <c r="N897" s="2" t="str">
        <f t="shared" si="292"/>
        <v/>
      </c>
      <c r="O897" s="2" t="str">
        <f t="shared" si="285"/>
        <v/>
      </c>
      <c r="P897" s="8" t="str">
        <f t="shared" si="286"/>
        <v/>
      </c>
      <c r="Q897" s="8" t="str">
        <f t="shared" si="287"/>
        <v/>
      </c>
      <c r="R897" s="111" t="str">
        <f t="shared" si="288"/>
        <v/>
      </c>
      <c r="S897" s="44" t="str">
        <f t="shared" si="289"/>
        <v/>
      </c>
      <c r="T897" s="37" t="str">
        <f t="shared" si="290"/>
        <v/>
      </c>
      <c r="U897" s="44" t="str">
        <f t="shared" si="291"/>
        <v/>
      </c>
      <c r="V897" s="26"/>
      <c r="W897" s="26"/>
      <c r="X897" s="26"/>
      <c r="Y897" s="26"/>
      <c r="Z897" s="24"/>
      <c r="AA897" s="169">
        <f t="shared" si="276"/>
        <v>0</v>
      </c>
      <c r="AB897" s="4">
        <f t="shared" si="277"/>
        <v>0</v>
      </c>
      <c r="AC897" s="170">
        <f t="shared" si="294"/>
        <v>0</v>
      </c>
      <c r="AD897" s="58"/>
      <c r="AE897" s="58"/>
      <c r="AF897" s="58"/>
      <c r="AG897" s="59">
        <f t="shared" si="278"/>
        <v>9.0359999999999996</v>
      </c>
      <c r="AH897" s="59">
        <f t="shared" si="279"/>
        <v>-184.49199999999999</v>
      </c>
      <c r="AJ897" s="4">
        <f>IF(D897="M",IF(AM897&lt;78,BMILMS!$D$5*AM897^3+BMILMS!$E$5*AM897^2+BMILMS!$F$5*AM897+BMILMS!$G$5,IF(AM897&lt;150,BMILMS!$D$6*AM897^3+BMILMS!$E$6*AM897^2+BMILMS!$F$6*AM897+BMILMS!$G$6,BMILMS!$D$7*AM897^3+BMILMS!$E$7*AM897^2+BMILMS!$F$7*AM897+BMILMS!$G$7)),IF(AM897&lt;69,BMILMS!$D$9*AM897^3+BMILMS!$E$9*AM897^2+BMILMS!$F$9*AM897+BMILMS!$G$9,IF(AM897&lt;150,BMILMS!$D$10*AM897^3+BMILMS!$E$10*AM897^2+BMILMS!$F$10*AM897+BMILMS!$G$10,BMILMS!$D$11*AM897^3+BMILMS!$E$11*AM897^2+BMILMS!$F$11*AM897+BMILMS!$G$11)))</f>
        <v>0.79584630099999998</v>
      </c>
      <c r="AK897" s="4">
        <f>IF(D897="M",(IF(AM897&lt;2.5,BMILMS!$D$21*AM897^3+BMILMS!$E$21*AM897^2+BMILMS!$F$21*AM897+BMILMS!$G$21,IF(AM897&lt;9.5,BMILMS!$D$22*AM897^3+BMILMS!$E$22*AM897^2+BMILMS!$F$22*AM897+BMILMS!$G$22,IF(AM897&lt;26.75,BMILMS!$D$23*AM897^3+BMILMS!$E$23*AM897^2+BMILMS!$F$23*AM897+BMILMS!$G$23,IF(AM897&lt;90,BMILMS!$D$24*AM897^3+BMILMS!$E$24*AM897^2+BMILMS!$F$24*AM897+BMILMS!$G$24,BMILMS!$D$25*AM897^3+BMILMS!$E$25*AM897^2+BMILMS!$F$25*AM897+BMILMS!$G$25))))),(IF(AM897&lt;2.5,BMILMS!$D$27*AM897^3+BMILMS!$E$27*AM897^2+BMILMS!$F$27*AM897+BMILMS!$G$27,IF(AM897&lt;9.5,BMILMS!$D$28*AM897^3+BMILMS!$E$28*AM897^2+BMILMS!$F$28*AM897+BMILMS!$G$28,IF(AM897&lt;26.75,BMILMS!$D$29*AM897^3+BMILMS!$E$29*AM897^2+BMILMS!$F$29*AM897+BMILMS!$G$29,IF(AM897&lt;90,BMILMS!$D$30*AM897^3+BMILMS!$E$30*AM897^2+BMILMS!$F$30*AM897+BMILMS!$G$30,IF(AM897&lt;150,BMILMS!$D$31*AM897^3+BMILMS!$E$31*AM897^2+BMILMS!$F$31*AM897+BMILMS!$G$31,BMILMS!$D$32*AM897^3+BMILMS!$E$32*AM897^2+BMILMS!$F$32*AM897+BMILMS!$G$32)))))))</f>
        <v>12.568967990000001</v>
      </c>
      <c r="AL897" s="4">
        <f>IF(D897="M",(IF(AM897&lt;90,BMILMS!$D$14*AM897^3+BMILMS!$E$14*AM897^2+BMILMS!$F$14*AM897+BMILMS!$G$14,BMILMS!$D$15*AM897^3+BMILMS!$E$15*AM897^2+BMILMS!$F$15*AM897+BMILMS!$G$15)),(IF(AM897&lt;90,BMILMS!$D$17*AM897^3+BMILMS!$E$17*AM897^2+BMILMS!$F$17*AM897+BMILMS!$G$17,BMILMS!$D$18*AM897^3+BMILMS!$E$18*AM897^2+BMILMS!$F$18*AM897+BMILMS!$G$18)))</f>
        <v>8.8969350000000003E-2</v>
      </c>
      <c r="AM897" s="4">
        <f t="shared" si="293"/>
        <v>0</v>
      </c>
      <c r="AO897" s="56">
        <f>IF(D897="M",WeightSDS!P$5*$AM897^7+WeightSDS!Q$5*$AM897^6+WeightSDS!R$5*$AM897^5+WeightSDS!S$5*$AM897^4+WeightSDS!T$5*$AM897^3+WeightSDS!U$5*$AM897^2+WeightSDS!V$5*$AM897+WeightSDS!W$5,IF($AM897&lt;186,WeightSDS!P$8*$AM897^7+WeightSDS!Q$8*$AM897^6+WeightSDS!R$8*$AM897^5+WeightSDS!S$8*$AM897^4+WeightSDS!T$8*$AM897^3+WeightSDS!U$8*$AM897^2+WeightSDS!V$8*$AM897+WeightSDS!W$8,WeightSDS!$U$9+WeightSDS!$V$9*($AM897-WeightSDS!$W$9)))</f>
        <v>0.75407122999999998</v>
      </c>
      <c r="AP897" s="4">
        <f>IF(D897="M",IF($AM897&lt;45,WeightSDS!M$23*$AM897^10+WeightSDS!N$23*$AM897^9+WeightSDS!O$23*$AM897^8+WeightSDS!P$23*$AM897^7+WeightSDS!Q$23*$AM897^6+WeightSDS!R$23*$AM897^5+WeightSDS!S$23*$AM897^4+WeightSDS!T$23*$AM897^3+WeightSDS!U$23*$AM897^2+WeightSDS!V$23*$AM897+WeightSDS!W$23,IF($AM897&lt;153,WeightSDS!M$25*$AM897^10+WeightSDS!N$25*$AM897^9+WeightSDS!O$25*$AM897^8+WeightSDS!P$25*$AM897^7+WeightSDS!Q$25*$AM897^6+WeightSDS!R$25*$AM897^5+WeightSDS!S$25*$AM897^4+WeightSDS!T$25*$AM897^3+WeightSDS!U$25*$AM897^2+WeightSDS!V$25*$AM897+WeightSDS!W$25,WeightSDS!M$27+WeightSDS!N$27/(1+EXP(WeightSDS!O$27+WeightSDS!P$27*$AM897)))),IF($AM897&lt;43.8,WeightSDS!M$29*$AM897^10+WeightSDS!N$29*$AM897^9+WeightSDS!O$29*$AM897^8+WeightSDS!P$29*$AM897^7+WeightSDS!Q$29*$AM897^6+WeightSDS!R$29*$AM897^5+WeightSDS!S$29*$AM897^4+WeightSDS!T$29*$AM897^3+WeightSDS!U$29*$AM897^2+WeightSDS!V$29*$AM897+WeightSDS!W$29-0.010431*(1-$AM897/210),IF($AM897&lt;123,WeightSDS!M$30*$AM897^10+WeightSDS!N$30*$AM897^9+WeightSDS!O$30*$AM897^8+WeightSDS!P$30*$AM897^7+WeightSDS!Q$30*$AM897^6+WeightSDS!R$30*$AM897^5+WeightSDS!S$30*$AM897^4+WeightSDS!T$30*$AM897^3+WeightSDS!U$30*$AM897^2+WeightSDS!V$30*$AM897+WeightSDS!W$30-0.010431*(1-1/$AM897),WeightSDS!M$32+WeightSDS!N$32/(1+EXP(WeightSDS!O$32+WeightSDS!P$32*$AM897))-0.010431*(1-$AM897/210))))</f>
        <v>2.9500001032655536</v>
      </c>
      <c r="AQ897" s="4">
        <f>IF(D897="M",IF($AM897&lt;162,WeightSDS!P$12*$AM897^7+WeightSDS!Q$12*$AM897^6+WeightSDS!R$12*$AM897^5+WeightSDS!S$12*$AM897^4+WeightSDS!T$12*$AM897^3+WeightSDS!U$12*$AM897^2+WeightSDS!V$12*$AM897+WeightSDS!W$12,WeightSDS!P$14*$AM897^7+WeightSDS!Q$14*$AM897^6+WeightSDS!R$14*$AM897^5+WeightSDS!S$14*$AM897^4+WeightSDS!T$14*$AM897^3+WeightSDS!U$14*$AM897^2+WeightSDS!V$14*$AM897+WeightSDS!W$14),IF($AM897&lt;156,WeightSDS!O$17*$AM897^8+WeightSDS!P$17*$AM897^7+WeightSDS!Q$17*$AM897^6+WeightSDS!R$17*$AM897^5+WeightSDS!S$17*$AM897^4+WeightSDS!T$17*$AM897^3+WeightSDS!U$17*$AM897^2+WeightSDS!V$17*$AM897+WeightSDS!W$17,IF($AM897&lt;186,WeightSDS!$U$18+(WeightSDS!$V$18-WeightSDS!$U$18)/24*($AM897-186)+WeightSDS!$W$18*(-$AM897+186)^2-0.005,WeightSDS!$U$18+(WeightSDS!$V$18-WeightSDS!$U$18)/24*($AM897-186)-0.005)))</f>
        <v>0.14604529399999999</v>
      </c>
      <c r="AT897" s="4">
        <f t="shared" si="280"/>
        <v>0.56299999999999994</v>
      </c>
      <c r="AU897" s="4">
        <f t="shared" si="281"/>
        <v>69</v>
      </c>
      <c r="AV897" s="4">
        <f t="shared" si="282"/>
        <v>0.51</v>
      </c>
    </row>
    <row r="898" spans="1:48" x14ac:dyDescent="0.15">
      <c r="A898" s="4"/>
      <c r="B898" s="21"/>
      <c r="C898" s="21"/>
      <c r="D898" s="21"/>
      <c r="E898" s="22"/>
      <c r="F898" s="22"/>
      <c r="G898" s="23"/>
      <c r="H898" s="23"/>
      <c r="I898" s="181"/>
      <c r="J898" s="8" t="str">
        <f t="shared" si="274"/>
        <v/>
      </c>
      <c r="K898" s="2" t="str">
        <f t="shared" si="283"/>
        <v/>
      </c>
      <c r="L898" s="2" t="str">
        <f t="shared" si="275"/>
        <v/>
      </c>
      <c r="M898" s="2" t="str">
        <f t="shared" si="284"/>
        <v/>
      </c>
      <c r="N898" s="2" t="str">
        <f t="shared" si="292"/>
        <v/>
      </c>
      <c r="O898" s="2" t="str">
        <f t="shared" si="285"/>
        <v/>
      </c>
      <c r="P898" s="8" t="str">
        <f t="shared" si="286"/>
        <v/>
      </c>
      <c r="Q898" s="8" t="str">
        <f t="shared" si="287"/>
        <v/>
      </c>
      <c r="R898" s="111" t="str">
        <f t="shared" si="288"/>
        <v/>
      </c>
      <c r="S898" s="44" t="str">
        <f t="shared" si="289"/>
        <v/>
      </c>
      <c r="T898" s="37" t="str">
        <f t="shared" si="290"/>
        <v/>
      </c>
      <c r="U898" s="44" t="str">
        <f t="shared" si="291"/>
        <v/>
      </c>
      <c r="V898" s="26"/>
      <c r="W898" s="26"/>
      <c r="X898" s="26"/>
      <c r="Y898" s="26"/>
      <c r="Z898" s="24"/>
      <c r="AA898" s="169">
        <f t="shared" si="276"/>
        <v>0</v>
      </c>
      <c r="AB898" s="4">
        <f t="shared" si="277"/>
        <v>0</v>
      </c>
      <c r="AC898" s="170">
        <f t="shared" si="294"/>
        <v>0</v>
      </c>
      <c r="AD898" s="58"/>
      <c r="AE898" s="58"/>
      <c r="AF898" s="58"/>
      <c r="AG898" s="59">
        <f t="shared" si="278"/>
        <v>9.0359999999999996</v>
      </c>
      <c r="AH898" s="59">
        <f t="shared" si="279"/>
        <v>-184.49199999999999</v>
      </c>
      <c r="AJ898" s="4">
        <f>IF(D898="M",IF(AM898&lt;78,BMILMS!$D$5*AM898^3+BMILMS!$E$5*AM898^2+BMILMS!$F$5*AM898+BMILMS!$G$5,IF(AM898&lt;150,BMILMS!$D$6*AM898^3+BMILMS!$E$6*AM898^2+BMILMS!$F$6*AM898+BMILMS!$G$6,BMILMS!$D$7*AM898^3+BMILMS!$E$7*AM898^2+BMILMS!$F$7*AM898+BMILMS!$G$7)),IF(AM898&lt;69,BMILMS!$D$9*AM898^3+BMILMS!$E$9*AM898^2+BMILMS!$F$9*AM898+BMILMS!$G$9,IF(AM898&lt;150,BMILMS!$D$10*AM898^3+BMILMS!$E$10*AM898^2+BMILMS!$F$10*AM898+BMILMS!$G$10,BMILMS!$D$11*AM898^3+BMILMS!$E$11*AM898^2+BMILMS!$F$11*AM898+BMILMS!$G$11)))</f>
        <v>0.79584630099999998</v>
      </c>
      <c r="AK898" s="4">
        <f>IF(D898="M",(IF(AM898&lt;2.5,BMILMS!$D$21*AM898^3+BMILMS!$E$21*AM898^2+BMILMS!$F$21*AM898+BMILMS!$G$21,IF(AM898&lt;9.5,BMILMS!$D$22*AM898^3+BMILMS!$E$22*AM898^2+BMILMS!$F$22*AM898+BMILMS!$G$22,IF(AM898&lt;26.75,BMILMS!$D$23*AM898^3+BMILMS!$E$23*AM898^2+BMILMS!$F$23*AM898+BMILMS!$G$23,IF(AM898&lt;90,BMILMS!$D$24*AM898^3+BMILMS!$E$24*AM898^2+BMILMS!$F$24*AM898+BMILMS!$G$24,BMILMS!$D$25*AM898^3+BMILMS!$E$25*AM898^2+BMILMS!$F$25*AM898+BMILMS!$G$25))))),(IF(AM898&lt;2.5,BMILMS!$D$27*AM898^3+BMILMS!$E$27*AM898^2+BMILMS!$F$27*AM898+BMILMS!$G$27,IF(AM898&lt;9.5,BMILMS!$D$28*AM898^3+BMILMS!$E$28*AM898^2+BMILMS!$F$28*AM898+BMILMS!$G$28,IF(AM898&lt;26.75,BMILMS!$D$29*AM898^3+BMILMS!$E$29*AM898^2+BMILMS!$F$29*AM898+BMILMS!$G$29,IF(AM898&lt;90,BMILMS!$D$30*AM898^3+BMILMS!$E$30*AM898^2+BMILMS!$F$30*AM898+BMILMS!$G$30,IF(AM898&lt;150,BMILMS!$D$31*AM898^3+BMILMS!$E$31*AM898^2+BMILMS!$F$31*AM898+BMILMS!$G$31,BMILMS!$D$32*AM898^3+BMILMS!$E$32*AM898^2+BMILMS!$F$32*AM898+BMILMS!$G$32)))))))</f>
        <v>12.568967990000001</v>
      </c>
      <c r="AL898" s="4">
        <f>IF(D898="M",(IF(AM898&lt;90,BMILMS!$D$14*AM898^3+BMILMS!$E$14*AM898^2+BMILMS!$F$14*AM898+BMILMS!$G$14,BMILMS!$D$15*AM898^3+BMILMS!$E$15*AM898^2+BMILMS!$F$15*AM898+BMILMS!$G$15)),(IF(AM898&lt;90,BMILMS!$D$17*AM898^3+BMILMS!$E$17*AM898^2+BMILMS!$F$17*AM898+BMILMS!$G$17,BMILMS!$D$18*AM898^3+BMILMS!$E$18*AM898^2+BMILMS!$F$18*AM898+BMILMS!$G$18)))</f>
        <v>8.8969350000000003E-2</v>
      </c>
      <c r="AM898" s="4">
        <f t="shared" si="293"/>
        <v>0</v>
      </c>
      <c r="AO898" s="56">
        <f>IF(D898="M",WeightSDS!P$5*$AM898^7+WeightSDS!Q$5*$AM898^6+WeightSDS!R$5*$AM898^5+WeightSDS!S$5*$AM898^4+WeightSDS!T$5*$AM898^3+WeightSDS!U$5*$AM898^2+WeightSDS!V$5*$AM898+WeightSDS!W$5,IF($AM898&lt;186,WeightSDS!P$8*$AM898^7+WeightSDS!Q$8*$AM898^6+WeightSDS!R$8*$AM898^5+WeightSDS!S$8*$AM898^4+WeightSDS!T$8*$AM898^3+WeightSDS!U$8*$AM898^2+WeightSDS!V$8*$AM898+WeightSDS!W$8,WeightSDS!$U$9+WeightSDS!$V$9*($AM898-WeightSDS!$W$9)))</f>
        <v>0.75407122999999998</v>
      </c>
      <c r="AP898" s="4">
        <f>IF(D898="M",IF($AM898&lt;45,WeightSDS!M$23*$AM898^10+WeightSDS!N$23*$AM898^9+WeightSDS!O$23*$AM898^8+WeightSDS!P$23*$AM898^7+WeightSDS!Q$23*$AM898^6+WeightSDS!R$23*$AM898^5+WeightSDS!S$23*$AM898^4+WeightSDS!T$23*$AM898^3+WeightSDS!U$23*$AM898^2+WeightSDS!V$23*$AM898+WeightSDS!W$23,IF($AM898&lt;153,WeightSDS!M$25*$AM898^10+WeightSDS!N$25*$AM898^9+WeightSDS!O$25*$AM898^8+WeightSDS!P$25*$AM898^7+WeightSDS!Q$25*$AM898^6+WeightSDS!R$25*$AM898^5+WeightSDS!S$25*$AM898^4+WeightSDS!T$25*$AM898^3+WeightSDS!U$25*$AM898^2+WeightSDS!V$25*$AM898+WeightSDS!W$25,WeightSDS!M$27+WeightSDS!N$27/(1+EXP(WeightSDS!O$27+WeightSDS!P$27*$AM898)))),IF($AM898&lt;43.8,WeightSDS!M$29*$AM898^10+WeightSDS!N$29*$AM898^9+WeightSDS!O$29*$AM898^8+WeightSDS!P$29*$AM898^7+WeightSDS!Q$29*$AM898^6+WeightSDS!R$29*$AM898^5+WeightSDS!S$29*$AM898^4+WeightSDS!T$29*$AM898^3+WeightSDS!U$29*$AM898^2+WeightSDS!V$29*$AM898+WeightSDS!W$29-0.010431*(1-$AM898/210),IF($AM898&lt;123,WeightSDS!M$30*$AM898^10+WeightSDS!N$30*$AM898^9+WeightSDS!O$30*$AM898^8+WeightSDS!P$30*$AM898^7+WeightSDS!Q$30*$AM898^6+WeightSDS!R$30*$AM898^5+WeightSDS!S$30*$AM898^4+WeightSDS!T$30*$AM898^3+WeightSDS!U$30*$AM898^2+WeightSDS!V$30*$AM898+WeightSDS!W$30-0.010431*(1-1/$AM898),WeightSDS!M$32+WeightSDS!N$32/(1+EXP(WeightSDS!O$32+WeightSDS!P$32*$AM898))-0.010431*(1-$AM898/210))))</f>
        <v>2.9500001032655536</v>
      </c>
      <c r="AQ898" s="4">
        <f>IF(D898="M",IF($AM898&lt;162,WeightSDS!P$12*$AM898^7+WeightSDS!Q$12*$AM898^6+WeightSDS!R$12*$AM898^5+WeightSDS!S$12*$AM898^4+WeightSDS!T$12*$AM898^3+WeightSDS!U$12*$AM898^2+WeightSDS!V$12*$AM898+WeightSDS!W$12,WeightSDS!P$14*$AM898^7+WeightSDS!Q$14*$AM898^6+WeightSDS!R$14*$AM898^5+WeightSDS!S$14*$AM898^4+WeightSDS!T$14*$AM898^3+WeightSDS!U$14*$AM898^2+WeightSDS!V$14*$AM898+WeightSDS!W$14),IF($AM898&lt;156,WeightSDS!O$17*$AM898^8+WeightSDS!P$17*$AM898^7+WeightSDS!Q$17*$AM898^6+WeightSDS!R$17*$AM898^5+WeightSDS!S$17*$AM898^4+WeightSDS!T$17*$AM898^3+WeightSDS!U$17*$AM898^2+WeightSDS!V$17*$AM898+WeightSDS!W$17,IF($AM898&lt;186,WeightSDS!$U$18+(WeightSDS!$V$18-WeightSDS!$U$18)/24*($AM898-186)+WeightSDS!$W$18*(-$AM898+186)^2-0.005,WeightSDS!$U$18+(WeightSDS!$V$18-WeightSDS!$U$18)/24*($AM898-186)-0.005)))</f>
        <v>0.14604529399999999</v>
      </c>
      <c r="AT898" s="4">
        <f t="shared" si="280"/>
        <v>0.56299999999999994</v>
      </c>
      <c r="AU898" s="4">
        <f t="shared" si="281"/>
        <v>69</v>
      </c>
      <c r="AV898" s="4">
        <f t="shared" si="282"/>
        <v>0.51</v>
      </c>
    </row>
    <row r="899" spans="1:48" x14ac:dyDescent="0.15">
      <c r="A899" s="4"/>
      <c r="B899" s="21"/>
      <c r="C899" s="21"/>
      <c r="D899" s="21"/>
      <c r="E899" s="22"/>
      <c r="F899" s="22"/>
      <c r="G899" s="23"/>
      <c r="H899" s="23"/>
      <c r="I899" s="181"/>
      <c r="J899" s="8" t="str">
        <f t="shared" ref="J899:J962" si="295">IF(COUNTA(D899,E899,F899,G899)=4,IF(AA899+AB899/12&gt;17.583,"       *",(G899-(INDEX(IF(D899="F",Hfemalemean,Hmalemean),AB899+1,AA899+1)))/(INDEX(IF(D899="F",Hfemalesd,Hmalesd),AB899+1,AA899+1))),"")</f>
        <v/>
      </c>
      <c r="K899" s="2" t="str">
        <f t="shared" si="283"/>
        <v/>
      </c>
      <c r="L899" s="2" t="str">
        <f t="shared" ref="L899:L962" si="296">IF(COUNTA(D899,E899,F899,G899,H899)&lt;5,"",IF(T899&lt;6,"       *",IF(AA899+AB899/12&gt;=17.583,"       *",(H899-G899*INDEX(IF(D899="F",muratafemale,muratamale),AA899-4,1)-INDEX(IF(D899="F",muratafemale,muratamale),AA899-4,2))/(G899*INDEX(IF(D899="F",muratafemale,muratamale),AA899-4,1)+INDEX(IF(D899="F",muratafemale,muratamale),AA899-4,2))*100)))</f>
        <v/>
      </c>
      <c r="M899" s="2" t="str">
        <f t="shared" si="284"/>
        <v/>
      </c>
      <c r="N899" s="2" t="str">
        <f t="shared" si="292"/>
        <v/>
      </c>
      <c r="O899" s="2" t="str">
        <f t="shared" si="285"/>
        <v/>
      </c>
      <c r="P899" s="8" t="str">
        <f t="shared" si="286"/>
        <v/>
      </c>
      <c r="Q899" s="8" t="str">
        <f t="shared" si="287"/>
        <v/>
      </c>
      <c r="R899" s="111" t="str">
        <f t="shared" si="288"/>
        <v/>
      </c>
      <c r="S899" s="44" t="str">
        <f t="shared" si="289"/>
        <v/>
      </c>
      <c r="T899" s="37" t="str">
        <f t="shared" si="290"/>
        <v/>
      </c>
      <c r="U899" s="44" t="str">
        <f t="shared" si="291"/>
        <v/>
      </c>
      <c r="V899" s="26"/>
      <c r="W899" s="26"/>
      <c r="X899" s="26"/>
      <c r="Y899" s="26"/>
      <c r="Z899" s="24"/>
      <c r="AA899" s="169">
        <f t="shared" ref="AA899:AA963" si="297">DATEDIF(E899,F899,"Y")</f>
        <v>0</v>
      </c>
      <c r="AB899" s="4">
        <f t="shared" ref="AB899:AB965" si="298">DATEDIF(E899,F899,"YM")</f>
        <v>0</v>
      </c>
      <c r="AC899" s="170">
        <f t="shared" si="294"/>
        <v>0</v>
      </c>
      <c r="AD899" s="58"/>
      <c r="AE899" s="58"/>
      <c r="AF899" s="58"/>
      <c r="AG899" s="59">
        <f t="shared" ref="AG899:AG962" si="299">IF(D899="M",2.06*10^-3*G899^2-0.1166*G899+6.5273,2.49*10^-3*G899^2-0.1858*G899+9.036)</f>
        <v>9.0359999999999996</v>
      </c>
      <c r="AH899" s="59">
        <f t="shared" ref="AH899:AH962" si="300">((G899/100)^3*INDEX(itoOI,IF(D899="M",0,3)+IF(G899&lt;140,1,IF(G899&lt;=149,2,3)),1)+(G899/100)^2*INDEX(itoOI,IF(D899="M",0,3)+IF(G899&lt;140,1,IF(G899&lt;=149,2,3)),2)+(G899/100)*INDEX(itoOI,IF(D899="M",0,3)+IF(G899&lt;140,1,IF(G899&lt;=149,2,3)),3)+INDEX(itoOI,IF(D899="M",0,3)+IF(G899&lt;140,1,IF(G899&lt;=149,2,3)),4))</f>
        <v>-184.49199999999999</v>
      </c>
      <c r="AJ899" s="4">
        <f>IF(D899="M",IF(AM899&lt;78,BMILMS!$D$5*AM899^3+BMILMS!$E$5*AM899^2+BMILMS!$F$5*AM899+BMILMS!$G$5,IF(AM899&lt;150,BMILMS!$D$6*AM899^3+BMILMS!$E$6*AM899^2+BMILMS!$F$6*AM899+BMILMS!$G$6,BMILMS!$D$7*AM899^3+BMILMS!$E$7*AM899^2+BMILMS!$F$7*AM899+BMILMS!$G$7)),IF(AM899&lt;69,BMILMS!$D$9*AM899^3+BMILMS!$E$9*AM899^2+BMILMS!$F$9*AM899+BMILMS!$G$9,IF(AM899&lt;150,BMILMS!$D$10*AM899^3+BMILMS!$E$10*AM899^2+BMILMS!$F$10*AM899+BMILMS!$G$10,BMILMS!$D$11*AM899^3+BMILMS!$E$11*AM899^2+BMILMS!$F$11*AM899+BMILMS!$G$11)))</f>
        <v>0.79584630099999998</v>
      </c>
      <c r="AK899" s="4">
        <f>IF(D899="M",(IF(AM899&lt;2.5,BMILMS!$D$21*AM899^3+BMILMS!$E$21*AM899^2+BMILMS!$F$21*AM899+BMILMS!$G$21,IF(AM899&lt;9.5,BMILMS!$D$22*AM899^3+BMILMS!$E$22*AM899^2+BMILMS!$F$22*AM899+BMILMS!$G$22,IF(AM899&lt;26.75,BMILMS!$D$23*AM899^3+BMILMS!$E$23*AM899^2+BMILMS!$F$23*AM899+BMILMS!$G$23,IF(AM899&lt;90,BMILMS!$D$24*AM899^3+BMILMS!$E$24*AM899^2+BMILMS!$F$24*AM899+BMILMS!$G$24,BMILMS!$D$25*AM899^3+BMILMS!$E$25*AM899^2+BMILMS!$F$25*AM899+BMILMS!$G$25))))),(IF(AM899&lt;2.5,BMILMS!$D$27*AM899^3+BMILMS!$E$27*AM899^2+BMILMS!$F$27*AM899+BMILMS!$G$27,IF(AM899&lt;9.5,BMILMS!$D$28*AM899^3+BMILMS!$E$28*AM899^2+BMILMS!$F$28*AM899+BMILMS!$G$28,IF(AM899&lt;26.75,BMILMS!$D$29*AM899^3+BMILMS!$E$29*AM899^2+BMILMS!$F$29*AM899+BMILMS!$G$29,IF(AM899&lt;90,BMILMS!$D$30*AM899^3+BMILMS!$E$30*AM899^2+BMILMS!$F$30*AM899+BMILMS!$G$30,IF(AM899&lt;150,BMILMS!$D$31*AM899^3+BMILMS!$E$31*AM899^2+BMILMS!$F$31*AM899+BMILMS!$G$31,BMILMS!$D$32*AM899^3+BMILMS!$E$32*AM899^2+BMILMS!$F$32*AM899+BMILMS!$G$32)))))))</f>
        <v>12.568967990000001</v>
      </c>
      <c r="AL899" s="4">
        <f>IF(D899="M",(IF(AM899&lt;90,BMILMS!$D$14*AM899^3+BMILMS!$E$14*AM899^2+BMILMS!$F$14*AM899+BMILMS!$G$14,BMILMS!$D$15*AM899^3+BMILMS!$E$15*AM899^2+BMILMS!$F$15*AM899+BMILMS!$G$15)),(IF(AM899&lt;90,BMILMS!$D$17*AM899^3+BMILMS!$E$17*AM899^2+BMILMS!$F$17*AM899+BMILMS!$G$17,BMILMS!$D$18*AM899^3+BMILMS!$E$18*AM899^2+BMILMS!$F$18*AM899+BMILMS!$G$18)))</f>
        <v>8.8969350000000003E-2</v>
      </c>
      <c r="AM899" s="4">
        <f t="shared" si="293"/>
        <v>0</v>
      </c>
      <c r="AO899" s="56">
        <f>IF(D899="M",WeightSDS!P$5*$AM899^7+WeightSDS!Q$5*$AM899^6+WeightSDS!R$5*$AM899^5+WeightSDS!S$5*$AM899^4+WeightSDS!T$5*$AM899^3+WeightSDS!U$5*$AM899^2+WeightSDS!V$5*$AM899+WeightSDS!W$5,IF($AM899&lt;186,WeightSDS!P$8*$AM899^7+WeightSDS!Q$8*$AM899^6+WeightSDS!R$8*$AM899^5+WeightSDS!S$8*$AM899^4+WeightSDS!T$8*$AM899^3+WeightSDS!U$8*$AM899^2+WeightSDS!V$8*$AM899+WeightSDS!W$8,WeightSDS!$U$9+WeightSDS!$V$9*($AM899-WeightSDS!$W$9)))</f>
        <v>0.75407122999999998</v>
      </c>
      <c r="AP899" s="4">
        <f>IF(D899="M",IF($AM899&lt;45,WeightSDS!M$23*$AM899^10+WeightSDS!N$23*$AM899^9+WeightSDS!O$23*$AM899^8+WeightSDS!P$23*$AM899^7+WeightSDS!Q$23*$AM899^6+WeightSDS!R$23*$AM899^5+WeightSDS!S$23*$AM899^4+WeightSDS!T$23*$AM899^3+WeightSDS!U$23*$AM899^2+WeightSDS!V$23*$AM899+WeightSDS!W$23,IF($AM899&lt;153,WeightSDS!M$25*$AM899^10+WeightSDS!N$25*$AM899^9+WeightSDS!O$25*$AM899^8+WeightSDS!P$25*$AM899^7+WeightSDS!Q$25*$AM899^6+WeightSDS!R$25*$AM899^5+WeightSDS!S$25*$AM899^4+WeightSDS!T$25*$AM899^3+WeightSDS!U$25*$AM899^2+WeightSDS!V$25*$AM899+WeightSDS!W$25,WeightSDS!M$27+WeightSDS!N$27/(1+EXP(WeightSDS!O$27+WeightSDS!P$27*$AM899)))),IF($AM899&lt;43.8,WeightSDS!M$29*$AM899^10+WeightSDS!N$29*$AM899^9+WeightSDS!O$29*$AM899^8+WeightSDS!P$29*$AM899^7+WeightSDS!Q$29*$AM899^6+WeightSDS!R$29*$AM899^5+WeightSDS!S$29*$AM899^4+WeightSDS!T$29*$AM899^3+WeightSDS!U$29*$AM899^2+WeightSDS!V$29*$AM899+WeightSDS!W$29-0.010431*(1-$AM899/210),IF($AM899&lt;123,WeightSDS!M$30*$AM899^10+WeightSDS!N$30*$AM899^9+WeightSDS!O$30*$AM899^8+WeightSDS!P$30*$AM899^7+WeightSDS!Q$30*$AM899^6+WeightSDS!R$30*$AM899^5+WeightSDS!S$30*$AM899^4+WeightSDS!T$30*$AM899^3+WeightSDS!U$30*$AM899^2+WeightSDS!V$30*$AM899+WeightSDS!W$30-0.010431*(1-1/$AM899),WeightSDS!M$32+WeightSDS!N$32/(1+EXP(WeightSDS!O$32+WeightSDS!P$32*$AM899))-0.010431*(1-$AM899/210))))</f>
        <v>2.9500001032655536</v>
      </c>
      <c r="AQ899" s="4">
        <f>IF(D899="M",IF($AM899&lt;162,WeightSDS!P$12*$AM899^7+WeightSDS!Q$12*$AM899^6+WeightSDS!R$12*$AM899^5+WeightSDS!S$12*$AM899^4+WeightSDS!T$12*$AM899^3+WeightSDS!U$12*$AM899^2+WeightSDS!V$12*$AM899+WeightSDS!W$12,WeightSDS!P$14*$AM899^7+WeightSDS!Q$14*$AM899^6+WeightSDS!R$14*$AM899^5+WeightSDS!S$14*$AM899^4+WeightSDS!T$14*$AM899^3+WeightSDS!U$14*$AM899^2+WeightSDS!V$14*$AM899+WeightSDS!W$14),IF($AM899&lt;156,WeightSDS!O$17*$AM899^8+WeightSDS!P$17*$AM899^7+WeightSDS!Q$17*$AM899^6+WeightSDS!R$17*$AM899^5+WeightSDS!S$17*$AM899^4+WeightSDS!T$17*$AM899^3+WeightSDS!U$17*$AM899^2+WeightSDS!V$17*$AM899+WeightSDS!W$17,IF($AM899&lt;186,WeightSDS!$U$18+(WeightSDS!$V$18-WeightSDS!$U$18)/24*($AM899-186)+WeightSDS!$W$18*(-$AM899+186)^2-0.005,WeightSDS!$U$18+(WeightSDS!$V$18-WeightSDS!$U$18)/24*($AM899-186)-0.005)))</f>
        <v>0.14604529399999999</v>
      </c>
      <c r="AT899" s="4">
        <f t="shared" ref="AT899:AT962" si="301">INDEX(IF(D899="M",IGFmale, IGFfemale), AA899+1,1)</f>
        <v>0.56299999999999994</v>
      </c>
      <c r="AU899" s="4">
        <f t="shared" ref="AU899:AU962" si="302">INDEX(IF(D899="M",IGFmale, IGFfemale), AA899+1,2)</f>
        <v>69</v>
      </c>
      <c r="AV899" s="4">
        <f t="shared" ref="AV899:AV962" si="303">INDEX(IF(D899="M",IGFmale, IGFfemale), AA899+1,3)</f>
        <v>0.51</v>
      </c>
    </row>
    <row r="900" spans="1:48" x14ac:dyDescent="0.15">
      <c r="A900" s="4"/>
      <c r="B900" s="21"/>
      <c r="C900" s="21"/>
      <c r="D900" s="21"/>
      <c r="E900" s="22"/>
      <c r="F900" s="22"/>
      <c r="G900" s="23"/>
      <c r="H900" s="23"/>
      <c r="I900" s="181"/>
      <c r="J900" s="8" t="str">
        <f t="shared" si="295"/>
        <v/>
      </c>
      <c r="K900" s="2" t="str">
        <f t="shared" ref="K900:K963" si="304">IF(COUNTA(D900,E900,F900,G900,H900)=5,IF(T900&lt;1,"       *",IF(T900&gt;=6,"       *",IF(G900&gt;=120,"       *",IF(G900&lt;70,"       *",(H900-AG900)/AG900*100)))),"")</f>
        <v/>
      </c>
      <c r="L900" s="2" t="str">
        <f t="shared" si="296"/>
        <v/>
      </c>
      <c r="M900" s="2" t="str">
        <f t="shared" ref="M900:M963" si="305">IF(COUNTA(D900,E900,F900,G900,H900)=5,IF(G900&gt;=IF(D900="M",181,174),"*",IF(G900&lt;101,"       *",IF(T900&lt;6,"       *",IF(AA900+AB900/12&gt;=17.583,"*",(H900-AH900)/AH900*100)))),"")</f>
        <v/>
      </c>
      <c r="N900" s="2" t="str">
        <f t="shared" si="292"/>
        <v/>
      </c>
      <c r="O900" s="2" t="str">
        <f t="shared" ref="O900:O963" si="306">IF(COUNTA(D900,E900,F900,G900,H900)=5,IF(AA900+AB900/12&gt;17.583,"   *",NORMSDIST(((N900/AK900)^(AJ900)-1)/AJ900/AL900)*100),"")</f>
        <v/>
      </c>
      <c r="P900" s="8" t="str">
        <f t="shared" ref="P900:P963" si="307">IF(COUNTA(D900,E900,F900,G900,H900)=5,IF(AA900+AB900/12&gt;17.583,"   *",((N900/AK900)^(AJ900)-1)/AJ900/AL900),"")</f>
        <v/>
      </c>
      <c r="Q900" s="8" t="str">
        <f t="shared" ref="Q900:Q963" si="308">IF(COUNTA(D900,E900,F900,H900)=4,IF(AA900+AB900/12&gt;17.583,"   *",((H900/AP900)^(AO900)-1)/AO900/AQ900),"")</f>
        <v/>
      </c>
      <c r="R900" s="111" t="str">
        <f t="shared" ref="R900:R963" si="309">IF(COUNTA(D900,E900,F900,I900)=4,IF(AC900&gt;77,"*",NORMSDIST(((I900/AU900)^(AT900)-1)/AT900/AV900)*100),"")</f>
        <v/>
      </c>
      <c r="S900" s="44" t="str">
        <f t="shared" ref="S900:S963" si="310">IF(COUNTA(D900,E900,F900,I900)=4,IF(AC900&gt;77,"*",((I900/AU900)^(AT900)-1)/AT900/AV900),"")</f>
        <v/>
      </c>
      <c r="T900" s="37" t="str">
        <f t="shared" ref="T900:T963" si="311">IF(COUNTA(E900,F900)=2,AC900,"")</f>
        <v/>
      </c>
      <c r="U900" s="44" t="str">
        <f t="shared" ref="U900:U963" si="312">IF(COUNTA(E900,F900)=2,AA900&amp;"歳"&amp;AB900&amp;"か月","")</f>
        <v/>
      </c>
      <c r="V900" s="26"/>
      <c r="W900" s="26"/>
      <c r="X900" s="26"/>
      <c r="Y900" s="26"/>
      <c r="Z900" s="24"/>
      <c r="AA900" s="169">
        <f t="shared" si="297"/>
        <v>0</v>
      </c>
      <c r="AB900" s="4">
        <f t="shared" si="298"/>
        <v>0</v>
      </c>
      <c r="AC900" s="170">
        <f t="shared" si="294"/>
        <v>0</v>
      </c>
      <c r="AD900" s="58"/>
      <c r="AE900" s="58"/>
      <c r="AF900" s="58"/>
      <c r="AG900" s="59">
        <f t="shared" si="299"/>
        <v>9.0359999999999996</v>
      </c>
      <c r="AH900" s="59">
        <f t="shared" si="300"/>
        <v>-184.49199999999999</v>
      </c>
      <c r="AJ900" s="4">
        <f>IF(D900="M",IF(AM900&lt;78,BMILMS!$D$5*AM900^3+BMILMS!$E$5*AM900^2+BMILMS!$F$5*AM900+BMILMS!$G$5,IF(AM900&lt;150,BMILMS!$D$6*AM900^3+BMILMS!$E$6*AM900^2+BMILMS!$F$6*AM900+BMILMS!$G$6,BMILMS!$D$7*AM900^3+BMILMS!$E$7*AM900^2+BMILMS!$F$7*AM900+BMILMS!$G$7)),IF(AM900&lt;69,BMILMS!$D$9*AM900^3+BMILMS!$E$9*AM900^2+BMILMS!$F$9*AM900+BMILMS!$G$9,IF(AM900&lt;150,BMILMS!$D$10*AM900^3+BMILMS!$E$10*AM900^2+BMILMS!$F$10*AM900+BMILMS!$G$10,BMILMS!$D$11*AM900^3+BMILMS!$E$11*AM900^2+BMILMS!$F$11*AM900+BMILMS!$G$11)))</f>
        <v>0.79584630099999998</v>
      </c>
      <c r="AK900" s="4">
        <f>IF(D900="M",(IF(AM900&lt;2.5,BMILMS!$D$21*AM900^3+BMILMS!$E$21*AM900^2+BMILMS!$F$21*AM900+BMILMS!$G$21,IF(AM900&lt;9.5,BMILMS!$D$22*AM900^3+BMILMS!$E$22*AM900^2+BMILMS!$F$22*AM900+BMILMS!$G$22,IF(AM900&lt;26.75,BMILMS!$D$23*AM900^3+BMILMS!$E$23*AM900^2+BMILMS!$F$23*AM900+BMILMS!$G$23,IF(AM900&lt;90,BMILMS!$D$24*AM900^3+BMILMS!$E$24*AM900^2+BMILMS!$F$24*AM900+BMILMS!$G$24,BMILMS!$D$25*AM900^3+BMILMS!$E$25*AM900^2+BMILMS!$F$25*AM900+BMILMS!$G$25))))),(IF(AM900&lt;2.5,BMILMS!$D$27*AM900^3+BMILMS!$E$27*AM900^2+BMILMS!$F$27*AM900+BMILMS!$G$27,IF(AM900&lt;9.5,BMILMS!$D$28*AM900^3+BMILMS!$E$28*AM900^2+BMILMS!$F$28*AM900+BMILMS!$G$28,IF(AM900&lt;26.75,BMILMS!$D$29*AM900^3+BMILMS!$E$29*AM900^2+BMILMS!$F$29*AM900+BMILMS!$G$29,IF(AM900&lt;90,BMILMS!$D$30*AM900^3+BMILMS!$E$30*AM900^2+BMILMS!$F$30*AM900+BMILMS!$G$30,IF(AM900&lt;150,BMILMS!$D$31*AM900^3+BMILMS!$E$31*AM900^2+BMILMS!$F$31*AM900+BMILMS!$G$31,BMILMS!$D$32*AM900^3+BMILMS!$E$32*AM900^2+BMILMS!$F$32*AM900+BMILMS!$G$32)))))))</f>
        <v>12.568967990000001</v>
      </c>
      <c r="AL900" s="4">
        <f>IF(D900="M",(IF(AM900&lt;90,BMILMS!$D$14*AM900^3+BMILMS!$E$14*AM900^2+BMILMS!$F$14*AM900+BMILMS!$G$14,BMILMS!$D$15*AM900^3+BMILMS!$E$15*AM900^2+BMILMS!$F$15*AM900+BMILMS!$G$15)),(IF(AM900&lt;90,BMILMS!$D$17*AM900^3+BMILMS!$E$17*AM900^2+BMILMS!$F$17*AM900+BMILMS!$G$17,BMILMS!$D$18*AM900^3+BMILMS!$E$18*AM900^2+BMILMS!$F$18*AM900+BMILMS!$G$18)))</f>
        <v>8.8969350000000003E-2</v>
      </c>
      <c r="AM900" s="4">
        <f t="shared" si="293"/>
        <v>0</v>
      </c>
      <c r="AO900" s="56">
        <f>IF(D900="M",WeightSDS!P$5*$AM900^7+WeightSDS!Q$5*$AM900^6+WeightSDS!R$5*$AM900^5+WeightSDS!S$5*$AM900^4+WeightSDS!T$5*$AM900^3+WeightSDS!U$5*$AM900^2+WeightSDS!V$5*$AM900+WeightSDS!W$5,IF($AM900&lt;186,WeightSDS!P$8*$AM900^7+WeightSDS!Q$8*$AM900^6+WeightSDS!R$8*$AM900^5+WeightSDS!S$8*$AM900^4+WeightSDS!T$8*$AM900^3+WeightSDS!U$8*$AM900^2+WeightSDS!V$8*$AM900+WeightSDS!W$8,WeightSDS!$U$9+WeightSDS!$V$9*($AM900-WeightSDS!$W$9)))</f>
        <v>0.75407122999999998</v>
      </c>
      <c r="AP900" s="4">
        <f>IF(D900="M",IF($AM900&lt;45,WeightSDS!M$23*$AM900^10+WeightSDS!N$23*$AM900^9+WeightSDS!O$23*$AM900^8+WeightSDS!P$23*$AM900^7+WeightSDS!Q$23*$AM900^6+WeightSDS!R$23*$AM900^5+WeightSDS!S$23*$AM900^4+WeightSDS!T$23*$AM900^3+WeightSDS!U$23*$AM900^2+WeightSDS!V$23*$AM900+WeightSDS!W$23,IF($AM900&lt;153,WeightSDS!M$25*$AM900^10+WeightSDS!N$25*$AM900^9+WeightSDS!O$25*$AM900^8+WeightSDS!P$25*$AM900^7+WeightSDS!Q$25*$AM900^6+WeightSDS!R$25*$AM900^5+WeightSDS!S$25*$AM900^4+WeightSDS!T$25*$AM900^3+WeightSDS!U$25*$AM900^2+WeightSDS!V$25*$AM900+WeightSDS!W$25,WeightSDS!M$27+WeightSDS!N$27/(1+EXP(WeightSDS!O$27+WeightSDS!P$27*$AM900)))),IF($AM900&lt;43.8,WeightSDS!M$29*$AM900^10+WeightSDS!N$29*$AM900^9+WeightSDS!O$29*$AM900^8+WeightSDS!P$29*$AM900^7+WeightSDS!Q$29*$AM900^6+WeightSDS!R$29*$AM900^5+WeightSDS!S$29*$AM900^4+WeightSDS!T$29*$AM900^3+WeightSDS!U$29*$AM900^2+WeightSDS!V$29*$AM900+WeightSDS!W$29-0.010431*(1-$AM900/210),IF($AM900&lt;123,WeightSDS!M$30*$AM900^10+WeightSDS!N$30*$AM900^9+WeightSDS!O$30*$AM900^8+WeightSDS!P$30*$AM900^7+WeightSDS!Q$30*$AM900^6+WeightSDS!R$30*$AM900^5+WeightSDS!S$30*$AM900^4+WeightSDS!T$30*$AM900^3+WeightSDS!U$30*$AM900^2+WeightSDS!V$30*$AM900+WeightSDS!W$30-0.010431*(1-1/$AM900),WeightSDS!M$32+WeightSDS!N$32/(1+EXP(WeightSDS!O$32+WeightSDS!P$32*$AM900))-0.010431*(1-$AM900/210))))</f>
        <v>2.9500001032655536</v>
      </c>
      <c r="AQ900" s="4">
        <f>IF(D900="M",IF($AM900&lt;162,WeightSDS!P$12*$AM900^7+WeightSDS!Q$12*$AM900^6+WeightSDS!R$12*$AM900^5+WeightSDS!S$12*$AM900^4+WeightSDS!T$12*$AM900^3+WeightSDS!U$12*$AM900^2+WeightSDS!V$12*$AM900+WeightSDS!W$12,WeightSDS!P$14*$AM900^7+WeightSDS!Q$14*$AM900^6+WeightSDS!R$14*$AM900^5+WeightSDS!S$14*$AM900^4+WeightSDS!T$14*$AM900^3+WeightSDS!U$14*$AM900^2+WeightSDS!V$14*$AM900+WeightSDS!W$14),IF($AM900&lt;156,WeightSDS!O$17*$AM900^8+WeightSDS!P$17*$AM900^7+WeightSDS!Q$17*$AM900^6+WeightSDS!R$17*$AM900^5+WeightSDS!S$17*$AM900^4+WeightSDS!T$17*$AM900^3+WeightSDS!U$17*$AM900^2+WeightSDS!V$17*$AM900+WeightSDS!W$17,IF($AM900&lt;186,WeightSDS!$U$18+(WeightSDS!$V$18-WeightSDS!$U$18)/24*($AM900-186)+WeightSDS!$W$18*(-$AM900+186)^2-0.005,WeightSDS!$U$18+(WeightSDS!$V$18-WeightSDS!$U$18)/24*($AM900-186)-0.005)))</f>
        <v>0.14604529399999999</v>
      </c>
      <c r="AT900" s="4">
        <f t="shared" si="301"/>
        <v>0.56299999999999994</v>
      </c>
      <c r="AU900" s="4">
        <f t="shared" si="302"/>
        <v>69</v>
      </c>
      <c r="AV900" s="4">
        <f t="shared" si="303"/>
        <v>0.51</v>
      </c>
    </row>
    <row r="901" spans="1:48" x14ac:dyDescent="0.15">
      <c r="A901" s="4"/>
      <c r="B901" s="21"/>
      <c r="C901" s="21"/>
      <c r="D901" s="21"/>
      <c r="E901" s="22"/>
      <c r="F901" s="22"/>
      <c r="G901" s="23"/>
      <c r="H901" s="23"/>
      <c r="I901" s="181"/>
      <c r="J901" s="8" t="str">
        <f t="shared" si="295"/>
        <v/>
      </c>
      <c r="K901" s="2" t="str">
        <f t="shared" si="304"/>
        <v/>
      </c>
      <c r="L901" s="2" t="str">
        <f t="shared" si="296"/>
        <v/>
      </c>
      <c r="M901" s="2" t="str">
        <f t="shared" si="305"/>
        <v/>
      </c>
      <c r="N901" s="2" t="str">
        <f t="shared" si="292"/>
        <v/>
      </c>
      <c r="O901" s="2" t="str">
        <f t="shared" si="306"/>
        <v/>
      </c>
      <c r="P901" s="8" t="str">
        <f t="shared" si="307"/>
        <v/>
      </c>
      <c r="Q901" s="8" t="str">
        <f t="shared" si="308"/>
        <v/>
      </c>
      <c r="R901" s="111" t="str">
        <f t="shared" si="309"/>
        <v/>
      </c>
      <c r="S901" s="44" t="str">
        <f t="shared" si="310"/>
        <v/>
      </c>
      <c r="T901" s="37" t="str">
        <f t="shared" si="311"/>
        <v/>
      </c>
      <c r="U901" s="44" t="str">
        <f t="shared" si="312"/>
        <v/>
      </c>
      <c r="V901" s="26"/>
      <c r="W901" s="26"/>
      <c r="X901" s="26"/>
      <c r="Y901" s="26"/>
      <c r="Z901" s="24"/>
      <c r="AA901" s="169">
        <f t="shared" si="297"/>
        <v>0</v>
      </c>
      <c r="AB901" s="4">
        <f t="shared" si="298"/>
        <v>0</v>
      </c>
      <c r="AC901" s="170">
        <f t="shared" si="294"/>
        <v>0</v>
      </c>
      <c r="AD901" s="58"/>
      <c r="AE901" s="58"/>
      <c r="AF901" s="58"/>
      <c r="AG901" s="59">
        <f t="shared" si="299"/>
        <v>9.0359999999999996</v>
      </c>
      <c r="AH901" s="59">
        <f t="shared" si="300"/>
        <v>-184.49199999999999</v>
      </c>
      <c r="AJ901" s="4">
        <f>IF(D901="M",IF(AM901&lt;78,BMILMS!$D$5*AM901^3+BMILMS!$E$5*AM901^2+BMILMS!$F$5*AM901+BMILMS!$G$5,IF(AM901&lt;150,BMILMS!$D$6*AM901^3+BMILMS!$E$6*AM901^2+BMILMS!$F$6*AM901+BMILMS!$G$6,BMILMS!$D$7*AM901^3+BMILMS!$E$7*AM901^2+BMILMS!$F$7*AM901+BMILMS!$G$7)),IF(AM901&lt;69,BMILMS!$D$9*AM901^3+BMILMS!$E$9*AM901^2+BMILMS!$F$9*AM901+BMILMS!$G$9,IF(AM901&lt;150,BMILMS!$D$10*AM901^3+BMILMS!$E$10*AM901^2+BMILMS!$F$10*AM901+BMILMS!$G$10,BMILMS!$D$11*AM901^3+BMILMS!$E$11*AM901^2+BMILMS!$F$11*AM901+BMILMS!$G$11)))</f>
        <v>0.79584630099999998</v>
      </c>
      <c r="AK901" s="4">
        <f>IF(D901="M",(IF(AM901&lt;2.5,BMILMS!$D$21*AM901^3+BMILMS!$E$21*AM901^2+BMILMS!$F$21*AM901+BMILMS!$G$21,IF(AM901&lt;9.5,BMILMS!$D$22*AM901^3+BMILMS!$E$22*AM901^2+BMILMS!$F$22*AM901+BMILMS!$G$22,IF(AM901&lt;26.75,BMILMS!$D$23*AM901^3+BMILMS!$E$23*AM901^2+BMILMS!$F$23*AM901+BMILMS!$G$23,IF(AM901&lt;90,BMILMS!$D$24*AM901^3+BMILMS!$E$24*AM901^2+BMILMS!$F$24*AM901+BMILMS!$G$24,BMILMS!$D$25*AM901^3+BMILMS!$E$25*AM901^2+BMILMS!$F$25*AM901+BMILMS!$G$25))))),(IF(AM901&lt;2.5,BMILMS!$D$27*AM901^3+BMILMS!$E$27*AM901^2+BMILMS!$F$27*AM901+BMILMS!$G$27,IF(AM901&lt;9.5,BMILMS!$D$28*AM901^3+BMILMS!$E$28*AM901^2+BMILMS!$F$28*AM901+BMILMS!$G$28,IF(AM901&lt;26.75,BMILMS!$D$29*AM901^3+BMILMS!$E$29*AM901^2+BMILMS!$F$29*AM901+BMILMS!$G$29,IF(AM901&lt;90,BMILMS!$D$30*AM901^3+BMILMS!$E$30*AM901^2+BMILMS!$F$30*AM901+BMILMS!$G$30,IF(AM901&lt;150,BMILMS!$D$31*AM901^3+BMILMS!$E$31*AM901^2+BMILMS!$F$31*AM901+BMILMS!$G$31,BMILMS!$D$32*AM901^3+BMILMS!$E$32*AM901^2+BMILMS!$F$32*AM901+BMILMS!$G$32)))))))</f>
        <v>12.568967990000001</v>
      </c>
      <c r="AL901" s="4">
        <f>IF(D901="M",(IF(AM901&lt;90,BMILMS!$D$14*AM901^3+BMILMS!$E$14*AM901^2+BMILMS!$F$14*AM901+BMILMS!$G$14,BMILMS!$D$15*AM901^3+BMILMS!$E$15*AM901^2+BMILMS!$F$15*AM901+BMILMS!$G$15)),(IF(AM901&lt;90,BMILMS!$D$17*AM901^3+BMILMS!$E$17*AM901^2+BMILMS!$F$17*AM901+BMILMS!$G$17,BMILMS!$D$18*AM901^3+BMILMS!$E$18*AM901^2+BMILMS!$F$18*AM901+BMILMS!$G$18)))</f>
        <v>8.8969350000000003E-2</v>
      </c>
      <c r="AM901" s="4">
        <f t="shared" si="293"/>
        <v>0</v>
      </c>
      <c r="AO901" s="56">
        <f>IF(D901="M",WeightSDS!P$5*$AM901^7+WeightSDS!Q$5*$AM901^6+WeightSDS!R$5*$AM901^5+WeightSDS!S$5*$AM901^4+WeightSDS!T$5*$AM901^3+WeightSDS!U$5*$AM901^2+WeightSDS!V$5*$AM901+WeightSDS!W$5,IF($AM901&lt;186,WeightSDS!P$8*$AM901^7+WeightSDS!Q$8*$AM901^6+WeightSDS!R$8*$AM901^5+WeightSDS!S$8*$AM901^4+WeightSDS!T$8*$AM901^3+WeightSDS!U$8*$AM901^2+WeightSDS!V$8*$AM901+WeightSDS!W$8,WeightSDS!$U$9+WeightSDS!$V$9*($AM901-WeightSDS!$W$9)))</f>
        <v>0.75407122999999998</v>
      </c>
      <c r="AP901" s="4">
        <f>IF(D901="M",IF($AM901&lt;45,WeightSDS!M$23*$AM901^10+WeightSDS!N$23*$AM901^9+WeightSDS!O$23*$AM901^8+WeightSDS!P$23*$AM901^7+WeightSDS!Q$23*$AM901^6+WeightSDS!R$23*$AM901^5+WeightSDS!S$23*$AM901^4+WeightSDS!T$23*$AM901^3+WeightSDS!U$23*$AM901^2+WeightSDS!V$23*$AM901+WeightSDS!W$23,IF($AM901&lt;153,WeightSDS!M$25*$AM901^10+WeightSDS!N$25*$AM901^9+WeightSDS!O$25*$AM901^8+WeightSDS!P$25*$AM901^7+WeightSDS!Q$25*$AM901^6+WeightSDS!R$25*$AM901^5+WeightSDS!S$25*$AM901^4+WeightSDS!T$25*$AM901^3+WeightSDS!U$25*$AM901^2+WeightSDS!V$25*$AM901+WeightSDS!W$25,WeightSDS!M$27+WeightSDS!N$27/(1+EXP(WeightSDS!O$27+WeightSDS!P$27*$AM901)))),IF($AM901&lt;43.8,WeightSDS!M$29*$AM901^10+WeightSDS!N$29*$AM901^9+WeightSDS!O$29*$AM901^8+WeightSDS!P$29*$AM901^7+WeightSDS!Q$29*$AM901^6+WeightSDS!R$29*$AM901^5+WeightSDS!S$29*$AM901^4+WeightSDS!T$29*$AM901^3+WeightSDS!U$29*$AM901^2+WeightSDS!V$29*$AM901+WeightSDS!W$29-0.010431*(1-$AM901/210),IF($AM901&lt;123,WeightSDS!M$30*$AM901^10+WeightSDS!N$30*$AM901^9+WeightSDS!O$30*$AM901^8+WeightSDS!P$30*$AM901^7+WeightSDS!Q$30*$AM901^6+WeightSDS!R$30*$AM901^5+WeightSDS!S$30*$AM901^4+WeightSDS!T$30*$AM901^3+WeightSDS!U$30*$AM901^2+WeightSDS!V$30*$AM901+WeightSDS!W$30-0.010431*(1-1/$AM901),WeightSDS!M$32+WeightSDS!N$32/(1+EXP(WeightSDS!O$32+WeightSDS!P$32*$AM901))-0.010431*(1-$AM901/210))))</f>
        <v>2.9500001032655536</v>
      </c>
      <c r="AQ901" s="4">
        <f>IF(D901="M",IF($AM901&lt;162,WeightSDS!P$12*$AM901^7+WeightSDS!Q$12*$AM901^6+WeightSDS!R$12*$AM901^5+WeightSDS!S$12*$AM901^4+WeightSDS!T$12*$AM901^3+WeightSDS!U$12*$AM901^2+WeightSDS!V$12*$AM901+WeightSDS!W$12,WeightSDS!P$14*$AM901^7+WeightSDS!Q$14*$AM901^6+WeightSDS!R$14*$AM901^5+WeightSDS!S$14*$AM901^4+WeightSDS!T$14*$AM901^3+WeightSDS!U$14*$AM901^2+WeightSDS!V$14*$AM901+WeightSDS!W$14),IF($AM901&lt;156,WeightSDS!O$17*$AM901^8+WeightSDS!P$17*$AM901^7+WeightSDS!Q$17*$AM901^6+WeightSDS!R$17*$AM901^5+WeightSDS!S$17*$AM901^4+WeightSDS!T$17*$AM901^3+WeightSDS!U$17*$AM901^2+WeightSDS!V$17*$AM901+WeightSDS!W$17,IF($AM901&lt;186,WeightSDS!$U$18+(WeightSDS!$V$18-WeightSDS!$U$18)/24*($AM901-186)+WeightSDS!$W$18*(-$AM901+186)^2-0.005,WeightSDS!$U$18+(WeightSDS!$V$18-WeightSDS!$U$18)/24*($AM901-186)-0.005)))</f>
        <v>0.14604529399999999</v>
      </c>
      <c r="AT901" s="4">
        <f t="shared" si="301"/>
        <v>0.56299999999999994</v>
      </c>
      <c r="AU901" s="4">
        <f t="shared" si="302"/>
        <v>69</v>
      </c>
      <c r="AV901" s="4">
        <f t="shared" si="303"/>
        <v>0.51</v>
      </c>
    </row>
    <row r="902" spans="1:48" x14ac:dyDescent="0.15">
      <c r="A902" s="4"/>
      <c r="B902" s="21"/>
      <c r="C902" s="21"/>
      <c r="D902" s="21"/>
      <c r="E902" s="22"/>
      <c r="F902" s="22"/>
      <c r="G902" s="23"/>
      <c r="H902" s="23"/>
      <c r="I902" s="181"/>
      <c r="J902" s="8" t="str">
        <f t="shared" si="295"/>
        <v/>
      </c>
      <c r="K902" s="2" t="str">
        <f t="shared" si="304"/>
        <v/>
      </c>
      <c r="L902" s="2" t="str">
        <f t="shared" si="296"/>
        <v/>
      </c>
      <c r="M902" s="2" t="str">
        <f t="shared" si="305"/>
        <v/>
      </c>
      <c r="N902" s="2" t="str">
        <f t="shared" si="292"/>
        <v/>
      </c>
      <c r="O902" s="2" t="str">
        <f t="shared" si="306"/>
        <v/>
      </c>
      <c r="P902" s="8" t="str">
        <f t="shared" si="307"/>
        <v/>
      </c>
      <c r="Q902" s="8" t="str">
        <f t="shared" si="308"/>
        <v/>
      </c>
      <c r="R902" s="111" t="str">
        <f t="shared" si="309"/>
        <v/>
      </c>
      <c r="S902" s="44" t="str">
        <f t="shared" si="310"/>
        <v/>
      </c>
      <c r="T902" s="37" t="str">
        <f t="shared" si="311"/>
        <v/>
      </c>
      <c r="U902" s="44" t="str">
        <f t="shared" si="312"/>
        <v/>
      </c>
      <c r="V902" s="26"/>
      <c r="W902" s="26"/>
      <c r="X902" s="26"/>
      <c r="Y902" s="26"/>
      <c r="Z902" s="24"/>
      <c r="AA902" s="169">
        <f t="shared" si="297"/>
        <v>0</v>
      </c>
      <c r="AB902" s="4">
        <f t="shared" si="298"/>
        <v>0</v>
      </c>
      <c r="AC902" s="170">
        <f t="shared" si="294"/>
        <v>0</v>
      </c>
      <c r="AD902" s="58"/>
      <c r="AE902" s="58"/>
      <c r="AF902" s="58"/>
      <c r="AG902" s="59">
        <f t="shared" si="299"/>
        <v>9.0359999999999996</v>
      </c>
      <c r="AH902" s="59">
        <f t="shared" si="300"/>
        <v>-184.49199999999999</v>
      </c>
      <c r="AJ902" s="4">
        <f>IF(D902="M",IF(AM902&lt;78,BMILMS!$D$5*AM902^3+BMILMS!$E$5*AM902^2+BMILMS!$F$5*AM902+BMILMS!$G$5,IF(AM902&lt;150,BMILMS!$D$6*AM902^3+BMILMS!$E$6*AM902^2+BMILMS!$F$6*AM902+BMILMS!$G$6,BMILMS!$D$7*AM902^3+BMILMS!$E$7*AM902^2+BMILMS!$F$7*AM902+BMILMS!$G$7)),IF(AM902&lt;69,BMILMS!$D$9*AM902^3+BMILMS!$E$9*AM902^2+BMILMS!$F$9*AM902+BMILMS!$G$9,IF(AM902&lt;150,BMILMS!$D$10*AM902^3+BMILMS!$E$10*AM902^2+BMILMS!$F$10*AM902+BMILMS!$G$10,BMILMS!$D$11*AM902^3+BMILMS!$E$11*AM902^2+BMILMS!$F$11*AM902+BMILMS!$G$11)))</f>
        <v>0.79584630099999998</v>
      </c>
      <c r="AK902" s="4">
        <f>IF(D902="M",(IF(AM902&lt;2.5,BMILMS!$D$21*AM902^3+BMILMS!$E$21*AM902^2+BMILMS!$F$21*AM902+BMILMS!$G$21,IF(AM902&lt;9.5,BMILMS!$D$22*AM902^3+BMILMS!$E$22*AM902^2+BMILMS!$F$22*AM902+BMILMS!$G$22,IF(AM902&lt;26.75,BMILMS!$D$23*AM902^3+BMILMS!$E$23*AM902^2+BMILMS!$F$23*AM902+BMILMS!$G$23,IF(AM902&lt;90,BMILMS!$D$24*AM902^3+BMILMS!$E$24*AM902^2+BMILMS!$F$24*AM902+BMILMS!$G$24,BMILMS!$D$25*AM902^3+BMILMS!$E$25*AM902^2+BMILMS!$F$25*AM902+BMILMS!$G$25))))),(IF(AM902&lt;2.5,BMILMS!$D$27*AM902^3+BMILMS!$E$27*AM902^2+BMILMS!$F$27*AM902+BMILMS!$G$27,IF(AM902&lt;9.5,BMILMS!$D$28*AM902^3+BMILMS!$E$28*AM902^2+BMILMS!$F$28*AM902+BMILMS!$G$28,IF(AM902&lt;26.75,BMILMS!$D$29*AM902^3+BMILMS!$E$29*AM902^2+BMILMS!$F$29*AM902+BMILMS!$G$29,IF(AM902&lt;90,BMILMS!$D$30*AM902^3+BMILMS!$E$30*AM902^2+BMILMS!$F$30*AM902+BMILMS!$G$30,IF(AM902&lt;150,BMILMS!$D$31*AM902^3+BMILMS!$E$31*AM902^2+BMILMS!$F$31*AM902+BMILMS!$G$31,BMILMS!$D$32*AM902^3+BMILMS!$E$32*AM902^2+BMILMS!$F$32*AM902+BMILMS!$G$32)))))))</f>
        <v>12.568967990000001</v>
      </c>
      <c r="AL902" s="4">
        <f>IF(D902="M",(IF(AM902&lt;90,BMILMS!$D$14*AM902^3+BMILMS!$E$14*AM902^2+BMILMS!$F$14*AM902+BMILMS!$G$14,BMILMS!$D$15*AM902^3+BMILMS!$E$15*AM902^2+BMILMS!$F$15*AM902+BMILMS!$G$15)),(IF(AM902&lt;90,BMILMS!$D$17*AM902^3+BMILMS!$E$17*AM902^2+BMILMS!$F$17*AM902+BMILMS!$G$17,BMILMS!$D$18*AM902^3+BMILMS!$E$18*AM902^2+BMILMS!$F$18*AM902+BMILMS!$G$18)))</f>
        <v>8.8969350000000003E-2</v>
      </c>
      <c r="AM902" s="4">
        <f t="shared" si="293"/>
        <v>0</v>
      </c>
      <c r="AO902" s="56">
        <f>IF(D902="M",WeightSDS!P$5*$AM902^7+WeightSDS!Q$5*$AM902^6+WeightSDS!R$5*$AM902^5+WeightSDS!S$5*$AM902^4+WeightSDS!T$5*$AM902^3+WeightSDS!U$5*$AM902^2+WeightSDS!V$5*$AM902+WeightSDS!W$5,IF($AM902&lt;186,WeightSDS!P$8*$AM902^7+WeightSDS!Q$8*$AM902^6+WeightSDS!R$8*$AM902^5+WeightSDS!S$8*$AM902^4+WeightSDS!T$8*$AM902^3+WeightSDS!U$8*$AM902^2+WeightSDS!V$8*$AM902+WeightSDS!W$8,WeightSDS!$U$9+WeightSDS!$V$9*($AM902-WeightSDS!$W$9)))</f>
        <v>0.75407122999999998</v>
      </c>
      <c r="AP902" s="4">
        <f>IF(D902="M",IF($AM902&lt;45,WeightSDS!M$23*$AM902^10+WeightSDS!N$23*$AM902^9+WeightSDS!O$23*$AM902^8+WeightSDS!P$23*$AM902^7+WeightSDS!Q$23*$AM902^6+WeightSDS!R$23*$AM902^5+WeightSDS!S$23*$AM902^4+WeightSDS!T$23*$AM902^3+WeightSDS!U$23*$AM902^2+WeightSDS!V$23*$AM902+WeightSDS!W$23,IF($AM902&lt;153,WeightSDS!M$25*$AM902^10+WeightSDS!N$25*$AM902^9+WeightSDS!O$25*$AM902^8+WeightSDS!P$25*$AM902^7+WeightSDS!Q$25*$AM902^6+WeightSDS!R$25*$AM902^5+WeightSDS!S$25*$AM902^4+WeightSDS!T$25*$AM902^3+WeightSDS!U$25*$AM902^2+WeightSDS!V$25*$AM902+WeightSDS!W$25,WeightSDS!M$27+WeightSDS!N$27/(1+EXP(WeightSDS!O$27+WeightSDS!P$27*$AM902)))),IF($AM902&lt;43.8,WeightSDS!M$29*$AM902^10+WeightSDS!N$29*$AM902^9+WeightSDS!O$29*$AM902^8+WeightSDS!P$29*$AM902^7+WeightSDS!Q$29*$AM902^6+WeightSDS!R$29*$AM902^5+WeightSDS!S$29*$AM902^4+WeightSDS!T$29*$AM902^3+WeightSDS!U$29*$AM902^2+WeightSDS!V$29*$AM902+WeightSDS!W$29-0.010431*(1-$AM902/210),IF($AM902&lt;123,WeightSDS!M$30*$AM902^10+WeightSDS!N$30*$AM902^9+WeightSDS!O$30*$AM902^8+WeightSDS!P$30*$AM902^7+WeightSDS!Q$30*$AM902^6+WeightSDS!R$30*$AM902^5+WeightSDS!S$30*$AM902^4+WeightSDS!T$30*$AM902^3+WeightSDS!U$30*$AM902^2+WeightSDS!V$30*$AM902+WeightSDS!W$30-0.010431*(1-1/$AM902),WeightSDS!M$32+WeightSDS!N$32/(1+EXP(WeightSDS!O$32+WeightSDS!P$32*$AM902))-0.010431*(1-$AM902/210))))</f>
        <v>2.9500001032655536</v>
      </c>
      <c r="AQ902" s="4">
        <f>IF(D902="M",IF($AM902&lt;162,WeightSDS!P$12*$AM902^7+WeightSDS!Q$12*$AM902^6+WeightSDS!R$12*$AM902^5+WeightSDS!S$12*$AM902^4+WeightSDS!T$12*$AM902^3+WeightSDS!U$12*$AM902^2+WeightSDS!V$12*$AM902+WeightSDS!W$12,WeightSDS!P$14*$AM902^7+WeightSDS!Q$14*$AM902^6+WeightSDS!R$14*$AM902^5+WeightSDS!S$14*$AM902^4+WeightSDS!T$14*$AM902^3+WeightSDS!U$14*$AM902^2+WeightSDS!V$14*$AM902+WeightSDS!W$14),IF($AM902&lt;156,WeightSDS!O$17*$AM902^8+WeightSDS!P$17*$AM902^7+WeightSDS!Q$17*$AM902^6+WeightSDS!R$17*$AM902^5+WeightSDS!S$17*$AM902^4+WeightSDS!T$17*$AM902^3+WeightSDS!U$17*$AM902^2+WeightSDS!V$17*$AM902+WeightSDS!W$17,IF($AM902&lt;186,WeightSDS!$U$18+(WeightSDS!$V$18-WeightSDS!$U$18)/24*($AM902-186)+WeightSDS!$W$18*(-$AM902+186)^2-0.005,WeightSDS!$U$18+(WeightSDS!$V$18-WeightSDS!$U$18)/24*($AM902-186)-0.005)))</f>
        <v>0.14604529399999999</v>
      </c>
      <c r="AT902" s="4">
        <f t="shared" si="301"/>
        <v>0.56299999999999994</v>
      </c>
      <c r="AU902" s="4">
        <f t="shared" si="302"/>
        <v>69</v>
      </c>
      <c r="AV902" s="4">
        <f t="shared" si="303"/>
        <v>0.51</v>
      </c>
    </row>
    <row r="903" spans="1:48" x14ac:dyDescent="0.15">
      <c r="A903" s="4"/>
      <c r="B903" s="21"/>
      <c r="C903" s="21"/>
      <c r="D903" s="21"/>
      <c r="E903" s="22"/>
      <c r="F903" s="22"/>
      <c r="G903" s="23"/>
      <c r="H903" s="23"/>
      <c r="I903" s="181"/>
      <c r="J903" s="8" t="str">
        <f t="shared" si="295"/>
        <v/>
      </c>
      <c r="K903" s="2" t="str">
        <f t="shared" si="304"/>
        <v/>
      </c>
      <c r="L903" s="2" t="str">
        <f t="shared" si="296"/>
        <v/>
      </c>
      <c r="M903" s="2" t="str">
        <f t="shared" si="305"/>
        <v/>
      </c>
      <c r="N903" s="2" t="str">
        <f t="shared" si="292"/>
        <v/>
      </c>
      <c r="O903" s="2" t="str">
        <f t="shared" si="306"/>
        <v/>
      </c>
      <c r="P903" s="8" t="str">
        <f t="shared" si="307"/>
        <v/>
      </c>
      <c r="Q903" s="8" t="str">
        <f t="shared" si="308"/>
        <v/>
      </c>
      <c r="R903" s="111" t="str">
        <f t="shared" si="309"/>
        <v/>
      </c>
      <c r="S903" s="44" t="str">
        <f t="shared" si="310"/>
        <v/>
      </c>
      <c r="T903" s="37" t="str">
        <f t="shared" si="311"/>
        <v/>
      </c>
      <c r="U903" s="44" t="str">
        <f t="shared" si="312"/>
        <v/>
      </c>
      <c r="V903" s="26"/>
      <c r="W903" s="26"/>
      <c r="X903" s="26"/>
      <c r="Y903" s="26"/>
      <c r="Z903" s="24"/>
      <c r="AA903" s="169">
        <f t="shared" si="297"/>
        <v>0</v>
      </c>
      <c r="AB903" s="4">
        <f t="shared" si="298"/>
        <v>0</v>
      </c>
      <c r="AC903" s="170">
        <f t="shared" si="294"/>
        <v>0</v>
      </c>
      <c r="AD903" s="58"/>
      <c r="AE903" s="58"/>
      <c r="AF903" s="58"/>
      <c r="AG903" s="59">
        <f t="shared" si="299"/>
        <v>9.0359999999999996</v>
      </c>
      <c r="AH903" s="59">
        <f t="shared" si="300"/>
        <v>-184.49199999999999</v>
      </c>
      <c r="AJ903" s="4">
        <f>IF(D903="M",IF(AM903&lt;78,BMILMS!$D$5*AM903^3+BMILMS!$E$5*AM903^2+BMILMS!$F$5*AM903+BMILMS!$G$5,IF(AM903&lt;150,BMILMS!$D$6*AM903^3+BMILMS!$E$6*AM903^2+BMILMS!$F$6*AM903+BMILMS!$G$6,BMILMS!$D$7*AM903^3+BMILMS!$E$7*AM903^2+BMILMS!$F$7*AM903+BMILMS!$G$7)),IF(AM903&lt;69,BMILMS!$D$9*AM903^3+BMILMS!$E$9*AM903^2+BMILMS!$F$9*AM903+BMILMS!$G$9,IF(AM903&lt;150,BMILMS!$D$10*AM903^3+BMILMS!$E$10*AM903^2+BMILMS!$F$10*AM903+BMILMS!$G$10,BMILMS!$D$11*AM903^3+BMILMS!$E$11*AM903^2+BMILMS!$F$11*AM903+BMILMS!$G$11)))</f>
        <v>0.79584630099999998</v>
      </c>
      <c r="AK903" s="4">
        <f>IF(D903="M",(IF(AM903&lt;2.5,BMILMS!$D$21*AM903^3+BMILMS!$E$21*AM903^2+BMILMS!$F$21*AM903+BMILMS!$G$21,IF(AM903&lt;9.5,BMILMS!$D$22*AM903^3+BMILMS!$E$22*AM903^2+BMILMS!$F$22*AM903+BMILMS!$G$22,IF(AM903&lt;26.75,BMILMS!$D$23*AM903^3+BMILMS!$E$23*AM903^2+BMILMS!$F$23*AM903+BMILMS!$G$23,IF(AM903&lt;90,BMILMS!$D$24*AM903^3+BMILMS!$E$24*AM903^2+BMILMS!$F$24*AM903+BMILMS!$G$24,BMILMS!$D$25*AM903^3+BMILMS!$E$25*AM903^2+BMILMS!$F$25*AM903+BMILMS!$G$25))))),(IF(AM903&lt;2.5,BMILMS!$D$27*AM903^3+BMILMS!$E$27*AM903^2+BMILMS!$F$27*AM903+BMILMS!$G$27,IF(AM903&lt;9.5,BMILMS!$D$28*AM903^3+BMILMS!$E$28*AM903^2+BMILMS!$F$28*AM903+BMILMS!$G$28,IF(AM903&lt;26.75,BMILMS!$D$29*AM903^3+BMILMS!$E$29*AM903^2+BMILMS!$F$29*AM903+BMILMS!$G$29,IF(AM903&lt;90,BMILMS!$D$30*AM903^3+BMILMS!$E$30*AM903^2+BMILMS!$F$30*AM903+BMILMS!$G$30,IF(AM903&lt;150,BMILMS!$D$31*AM903^3+BMILMS!$E$31*AM903^2+BMILMS!$F$31*AM903+BMILMS!$G$31,BMILMS!$D$32*AM903^3+BMILMS!$E$32*AM903^2+BMILMS!$F$32*AM903+BMILMS!$G$32)))))))</f>
        <v>12.568967990000001</v>
      </c>
      <c r="AL903" s="4">
        <f>IF(D903="M",(IF(AM903&lt;90,BMILMS!$D$14*AM903^3+BMILMS!$E$14*AM903^2+BMILMS!$F$14*AM903+BMILMS!$G$14,BMILMS!$D$15*AM903^3+BMILMS!$E$15*AM903^2+BMILMS!$F$15*AM903+BMILMS!$G$15)),(IF(AM903&lt;90,BMILMS!$D$17*AM903^3+BMILMS!$E$17*AM903^2+BMILMS!$F$17*AM903+BMILMS!$G$17,BMILMS!$D$18*AM903^3+BMILMS!$E$18*AM903^2+BMILMS!$F$18*AM903+BMILMS!$G$18)))</f>
        <v>8.8969350000000003E-2</v>
      </c>
      <c r="AM903" s="4">
        <f t="shared" si="293"/>
        <v>0</v>
      </c>
      <c r="AO903" s="56">
        <f>IF(D903="M",WeightSDS!P$5*$AM903^7+WeightSDS!Q$5*$AM903^6+WeightSDS!R$5*$AM903^5+WeightSDS!S$5*$AM903^4+WeightSDS!T$5*$AM903^3+WeightSDS!U$5*$AM903^2+WeightSDS!V$5*$AM903+WeightSDS!W$5,IF($AM903&lt;186,WeightSDS!P$8*$AM903^7+WeightSDS!Q$8*$AM903^6+WeightSDS!R$8*$AM903^5+WeightSDS!S$8*$AM903^4+WeightSDS!T$8*$AM903^3+WeightSDS!U$8*$AM903^2+WeightSDS!V$8*$AM903+WeightSDS!W$8,WeightSDS!$U$9+WeightSDS!$V$9*($AM903-WeightSDS!$W$9)))</f>
        <v>0.75407122999999998</v>
      </c>
      <c r="AP903" s="4">
        <f>IF(D903="M",IF($AM903&lt;45,WeightSDS!M$23*$AM903^10+WeightSDS!N$23*$AM903^9+WeightSDS!O$23*$AM903^8+WeightSDS!P$23*$AM903^7+WeightSDS!Q$23*$AM903^6+WeightSDS!R$23*$AM903^5+WeightSDS!S$23*$AM903^4+WeightSDS!T$23*$AM903^3+WeightSDS!U$23*$AM903^2+WeightSDS!V$23*$AM903+WeightSDS!W$23,IF($AM903&lt;153,WeightSDS!M$25*$AM903^10+WeightSDS!N$25*$AM903^9+WeightSDS!O$25*$AM903^8+WeightSDS!P$25*$AM903^7+WeightSDS!Q$25*$AM903^6+WeightSDS!R$25*$AM903^5+WeightSDS!S$25*$AM903^4+WeightSDS!T$25*$AM903^3+WeightSDS!U$25*$AM903^2+WeightSDS!V$25*$AM903+WeightSDS!W$25,WeightSDS!M$27+WeightSDS!N$27/(1+EXP(WeightSDS!O$27+WeightSDS!P$27*$AM903)))),IF($AM903&lt;43.8,WeightSDS!M$29*$AM903^10+WeightSDS!N$29*$AM903^9+WeightSDS!O$29*$AM903^8+WeightSDS!P$29*$AM903^7+WeightSDS!Q$29*$AM903^6+WeightSDS!R$29*$AM903^5+WeightSDS!S$29*$AM903^4+WeightSDS!T$29*$AM903^3+WeightSDS!U$29*$AM903^2+WeightSDS!V$29*$AM903+WeightSDS!W$29-0.010431*(1-$AM903/210),IF($AM903&lt;123,WeightSDS!M$30*$AM903^10+WeightSDS!N$30*$AM903^9+WeightSDS!O$30*$AM903^8+WeightSDS!P$30*$AM903^7+WeightSDS!Q$30*$AM903^6+WeightSDS!R$30*$AM903^5+WeightSDS!S$30*$AM903^4+WeightSDS!T$30*$AM903^3+WeightSDS!U$30*$AM903^2+WeightSDS!V$30*$AM903+WeightSDS!W$30-0.010431*(1-1/$AM903),WeightSDS!M$32+WeightSDS!N$32/(1+EXP(WeightSDS!O$32+WeightSDS!P$32*$AM903))-0.010431*(1-$AM903/210))))</f>
        <v>2.9500001032655536</v>
      </c>
      <c r="AQ903" s="4">
        <f>IF(D903="M",IF($AM903&lt;162,WeightSDS!P$12*$AM903^7+WeightSDS!Q$12*$AM903^6+WeightSDS!R$12*$AM903^5+WeightSDS!S$12*$AM903^4+WeightSDS!T$12*$AM903^3+WeightSDS!U$12*$AM903^2+WeightSDS!V$12*$AM903+WeightSDS!W$12,WeightSDS!P$14*$AM903^7+WeightSDS!Q$14*$AM903^6+WeightSDS!R$14*$AM903^5+WeightSDS!S$14*$AM903^4+WeightSDS!T$14*$AM903^3+WeightSDS!U$14*$AM903^2+WeightSDS!V$14*$AM903+WeightSDS!W$14),IF($AM903&lt;156,WeightSDS!O$17*$AM903^8+WeightSDS!P$17*$AM903^7+WeightSDS!Q$17*$AM903^6+WeightSDS!R$17*$AM903^5+WeightSDS!S$17*$AM903^4+WeightSDS!T$17*$AM903^3+WeightSDS!U$17*$AM903^2+WeightSDS!V$17*$AM903+WeightSDS!W$17,IF($AM903&lt;186,WeightSDS!$U$18+(WeightSDS!$V$18-WeightSDS!$U$18)/24*($AM903-186)+WeightSDS!$W$18*(-$AM903+186)^2-0.005,WeightSDS!$U$18+(WeightSDS!$V$18-WeightSDS!$U$18)/24*($AM903-186)-0.005)))</f>
        <v>0.14604529399999999</v>
      </c>
      <c r="AT903" s="4">
        <f t="shared" si="301"/>
        <v>0.56299999999999994</v>
      </c>
      <c r="AU903" s="4">
        <f t="shared" si="302"/>
        <v>69</v>
      </c>
      <c r="AV903" s="4">
        <f t="shared" si="303"/>
        <v>0.51</v>
      </c>
    </row>
    <row r="904" spans="1:48" x14ac:dyDescent="0.15">
      <c r="A904" s="4"/>
      <c r="B904" s="21"/>
      <c r="C904" s="21"/>
      <c r="D904" s="21"/>
      <c r="E904" s="22"/>
      <c r="F904" s="22"/>
      <c r="G904" s="23"/>
      <c r="H904" s="23"/>
      <c r="I904" s="181"/>
      <c r="J904" s="8" t="str">
        <f t="shared" si="295"/>
        <v/>
      </c>
      <c r="K904" s="2" t="str">
        <f t="shared" si="304"/>
        <v/>
      </c>
      <c r="L904" s="2" t="str">
        <f t="shared" si="296"/>
        <v/>
      </c>
      <c r="M904" s="2" t="str">
        <f t="shared" si="305"/>
        <v/>
      </c>
      <c r="N904" s="2" t="str">
        <f t="shared" ref="N904:N967" si="313">IF(COUNTA(D904,E904,F904,G904,H904)=5,H904/G904^2*10000,"")</f>
        <v/>
      </c>
      <c r="O904" s="2" t="str">
        <f t="shared" si="306"/>
        <v/>
      </c>
      <c r="P904" s="8" t="str">
        <f t="shared" si="307"/>
        <v/>
      </c>
      <c r="Q904" s="8" t="str">
        <f t="shared" si="308"/>
        <v/>
      </c>
      <c r="R904" s="111" t="str">
        <f t="shared" si="309"/>
        <v/>
      </c>
      <c r="S904" s="44" t="str">
        <f t="shared" si="310"/>
        <v/>
      </c>
      <c r="T904" s="37" t="str">
        <f t="shared" si="311"/>
        <v/>
      </c>
      <c r="U904" s="44" t="str">
        <f t="shared" si="312"/>
        <v/>
      </c>
      <c r="V904" s="26"/>
      <c r="W904" s="26"/>
      <c r="X904" s="26"/>
      <c r="Y904" s="26"/>
      <c r="Z904" s="24"/>
      <c r="AA904" s="169">
        <f t="shared" si="297"/>
        <v>0</v>
      </c>
      <c r="AB904" s="4">
        <f t="shared" si="298"/>
        <v>0</v>
      </c>
      <c r="AC904" s="170">
        <f t="shared" si="294"/>
        <v>0</v>
      </c>
      <c r="AD904" s="58"/>
      <c r="AE904" s="58"/>
      <c r="AF904" s="58"/>
      <c r="AG904" s="59">
        <f t="shared" si="299"/>
        <v>9.0359999999999996</v>
      </c>
      <c r="AH904" s="59">
        <f t="shared" si="300"/>
        <v>-184.49199999999999</v>
      </c>
      <c r="AJ904" s="4">
        <f>IF(D904="M",IF(AM904&lt;78,BMILMS!$D$5*AM904^3+BMILMS!$E$5*AM904^2+BMILMS!$F$5*AM904+BMILMS!$G$5,IF(AM904&lt;150,BMILMS!$D$6*AM904^3+BMILMS!$E$6*AM904^2+BMILMS!$F$6*AM904+BMILMS!$G$6,BMILMS!$D$7*AM904^3+BMILMS!$E$7*AM904^2+BMILMS!$F$7*AM904+BMILMS!$G$7)),IF(AM904&lt;69,BMILMS!$D$9*AM904^3+BMILMS!$E$9*AM904^2+BMILMS!$F$9*AM904+BMILMS!$G$9,IF(AM904&lt;150,BMILMS!$D$10*AM904^3+BMILMS!$E$10*AM904^2+BMILMS!$F$10*AM904+BMILMS!$G$10,BMILMS!$D$11*AM904^3+BMILMS!$E$11*AM904^2+BMILMS!$F$11*AM904+BMILMS!$G$11)))</f>
        <v>0.79584630099999998</v>
      </c>
      <c r="AK904" s="4">
        <f>IF(D904="M",(IF(AM904&lt;2.5,BMILMS!$D$21*AM904^3+BMILMS!$E$21*AM904^2+BMILMS!$F$21*AM904+BMILMS!$G$21,IF(AM904&lt;9.5,BMILMS!$D$22*AM904^3+BMILMS!$E$22*AM904^2+BMILMS!$F$22*AM904+BMILMS!$G$22,IF(AM904&lt;26.75,BMILMS!$D$23*AM904^3+BMILMS!$E$23*AM904^2+BMILMS!$F$23*AM904+BMILMS!$G$23,IF(AM904&lt;90,BMILMS!$D$24*AM904^3+BMILMS!$E$24*AM904^2+BMILMS!$F$24*AM904+BMILMS!$G$24,BMILMS!$D$25*AM904^3+BMILMS!$E$25*AM904^2+BMILMS!$F$25*AM904+BMILMS!$G$25))))),(IF(AM904&lt;2.5,BMILMS!$D$27*AM904^3+BMILMS!$E$27*AM904^2+BMILMS!$F$27*AM904+BMILMS!$G$27,IF(AM904&lt;9.5,BMILMS!$D$28*AM904^3+BMILMS!$E$28*AM904^2+BMILMS!$F$28*AM904+BMILMS!$G$28,IF(AM904&lt;26.75,BMILMS!$D$29*AM904^3+BMILMS!$E$29*AM904^2+BMILMS!$F$29*AM904+BMILMS!$G$29,IF(AM904&lt;90,BMILMS!$D$30*AM904^3+BMILMS!$E$30*AM904^2+BMILMS!$F$30*AM904+BMILMS!$G$30,IF(AM904&lt;150,BMILMS!$D$31*AM904^3+BMILMS!$E$31*AM904^2+BMILMS!$F$31*AM904+BMILMS!$G$31,BMILMS!$D$32*AM904^3+BMILMS!$E$32*AM904^2+BMILMS!$F$32*AM904+BMILMS!$G$32)))))))</f>
        <v>12.568967990000001</v>
      </c>
      <c r="AL904" s="4">
        <f>IF(D904="M",(IF(AM904&lt;90,BMILMS!$D$14*AM904^3+BMILMS!$E$14*AM904^2+BMILMS!$F$14*AM904+BMILMS!$G$14,BMILMS!$D$15*AM904^3+BMILMS!$E$15*AM904^2+BMILMS!$F$15*AM904+BMILMS!$G$15)),(IF(AM904&lt;90,BMILMS!$D$17*AM904^3+BMILMS!$E$17*AM904^2+BMILMS!$F$17*AM904+BMILMS!$G$17,BMILMS!$D$18*AM904^3+BMILMS!$E$18*AM904^2+BMILMS!$F$18*AM904+BMILMS!$G$18)))</f>
        <v>8.8969350000000003E-2</v>
      </c>
      <c r="AM904" s="4">
        <f t="shared" ref="AM904:AM967" si="314">AA904*12+AB904</f>
        <v>0</v>
      </c>
      <c r="AO904" s="56">
        <f>IF(D904="M",WeightSDS!P$5*$AM904^7+WeightSDS!Q$5*$AM904^6+WeightSDS!R$5*$AM904^5+WeightSDS!S$5*$AM904^4+WeightSDS!T$5*$AM904^3+WeightSDS!U$5*$AM904^2+WeightSDS!V$5*$AM904+WeightSDS!W$5,IF($AM904&lt;186,WeightSDS!P$8*$AM904^7+WeightSDS!Q$8*$AM904^6+WeightSDS!R$8*$AM904^5+WeightSDS!S$8*$AM904^4+WeightSDS!T$8*$AM904^3+WeightSDS!U$8*$AM904^2+WeightSDS!V$8*$AM904+WeightSDS!W$8,WeightSDS!$U$9+WeightSDS!$V$9*($AM904-WeightSDS!$W$9)))</f>
        <v>0.75407122999999998</v>
      </c>
      <c r="AP904" s="4">
        <f>IF(D904="M",IF($AM904&lt;45,WeightSDS!M$23*$AM904^10+WeightSDS!N$23*$AM904^9+WeightSDS!O$23*$AM904^8+WeightSDS!P$23*$AM904^7+WeightSDS!Q$23*$AM904^6+WeightSDS!R$23*$AM904^5+WeightSDS!S$23*$AM904^4+WeightSDS!T$23*$AM904^3+WeightSDS!U$23*$AM904^2+WeightSDS!V$23*$AM904+WeightSDS!W$23,IF($AM904&lt;153,WeightSDS!M$25*$AM904^10+WeightSDS!N$25*$AM904^9+WeightSDS!O$25*$AM904^8+WeightSDS!P$25*$AM904^7+WeightSDS!Q$25*$AM904^6+WeightSDS!R$25*$AM904^5+WeightSDS!S$25*$AM904^4+WeightSDS!T$25*$AM904^3+WeightSDS!U$25*$AM904^2+WeightSDS!V$25*$AM904+WeightSDS!W$25,WeightSDS!M$27+WeightSDS!N$27/(1+EXP(WeightSDS!O$27+WeightSDS!P$27*$AM904)))),IF($AM904&lt;43.8,WeightSDS!M$29*$AM904^10+WeightSDS!N$29*$AM904^9+WeightSDS!O$29*$AM904^8+WeightSDS!P$29*$AM904^7+WeightSDS!Q$29*$AM904^6+WeightSDS!R$29*$AM904^5+WeightSDS!S$29*$AM904^4+WeightSDS!T$29*$AM904^3+WeightSDS!U$29*$AM904^2+WeightSDS!V$29*$AM904+WeightSDS!W$29-0.010431*(1-$AM904/210),IF($AM904&lt;123,WeightSDS!M$30*$AM904^10+WeightSDS!N$30*$AM904^9+WeightSDS!O$30*$AM904^8+WeightSDS!P$30*$AM904^7+WeightSDS!Q$30*$AM904^6+WeightSDS!R$30*$AM904^5+WeightSDS!S$30*$AM904^4+WeightSDS!T$30*$AM904^3+WeightSDS!U$30*$AM904^2+WeightSDS!V$30*$AM904+WeightSDS!W$30-0.010431*(1-1/$AM904),WeightSDS!M$32+WeightSDS!N$32/(1+EXP(WeightSDS!O$32+WeightSDS!P$32*$AM904))-0.010431*(1-$AM904/210))))</f>
        <v>2.9500001032655536</v>
      </c>
      <c r="AQ904" s="4">
        <f>IF(D904="M",IF($AM904&lt;162,WeightSDS!P$12*$AM904^7+WeightSDS!Q$12*$AM904^6+WeightSDS!R$12*$AM904^5+WeightSDS!S$12*$AM904^4+WeightSDS!T$12*$AM904^3+WeightSDS!U$12*$AM904^2+WeightSDS!V$12*$AM904+WeightSDS!W$12,WeightSDS!P$14*$AM904^7+WeightSDS!Q$14*$AM904^6+WeightSDS!R$14*$AM904^5+WeightSDS!S$14*$AM904^4+WeightSDS!T$14*$AM904^3+WeightSDS!U$14*$AM904^2+WeightSDS!V$14*$AM904+WeightSDS!W$14),IF($AM904&lt;156,WeightSDS!O$17*$AM904^8+WeightSDS!P$17*$AM904^7+WeightSDS!Q$17*$AM904^6+WeightSDS!R$17*$AM904^5+WeightSDS!S$17*$AM904^4+WeightSDS!T$17*$AM904^3+WeightSDS!U$17*$AM904^2+WeightSDS!V$17*$AM904+WeightSDS!W$17,IF($AM904&lt;186,WeightSDS!$U$18+(WeightSDS!$V$18-WeightSDS!$U$18)/24*($AM904-186)+WeightSDS!$W$18*(-$AM904+186)^2-0.005,WeightSDS!$U$18+(WeightSDS!$V$18-WeightSDS!$U$18)/24*($AM904-186)-0.005)))</f>
        <v>0.14604529399999999</v>
      </c>
      <c r="AT904" s="4">
        <f t="shared" si="301"/>
        <v>0.56299999999999994</v>
      </c>
      <c r="AU904" s="4">
        <f t="shared" si="302"/>
        <v>69</v>
      </c>
      <c r="AV904" s="4">
        <f t="shared" si="303"/>
        <v>0.51</v>
      </c>
    </row>
    <row r="905" spans="1:48" x14ac:dyDescent="0.15">
      <c r="A905" s="4"/>
      <c r="B905" s="21"/>
      <c r="C905" s="21"/>
      <c r="D905" s="21"/>
      <c r="E905" s="22"/>
      <c r="F905" s="22"/>
      <c r="G905" s="23"/>
      <c r="H905" s="23"/>
      <c r="I905" s="181"/>
      <c r="J905" s="8" t="str">
        <f t="shared" si="295"/>
        <v/>
      </c>
      <c r="K905" s="2" t="str">
        <f t="shared" si="304"/>
        <v/>
      </c>
      <c r="L905" s="2" t="str">
        <f t="shared" si="296"/>
        <v/>
      </c>
      <c r="M905" s="2" t="str">
        <f t="shared" si="305"/>
        <v/>
      </c>
      <c r="N905" s="2" t="str">
        <f t="shared" si="313"/>
        <v/>
      </c>
      <c r="O905" s="2" t="str">
        <f t="shared" si="306"/>
        <v/>
      </c>
      <c r="P905" s="8" t="str">
        <f t="shared" si="307"/>
        <v/>
      </c>
      <c r="Q905" s="8" t="str">
        <f t="shared" si="308"/>
        <v/>
      </c>
      <c r="R905" s="111" t="str">
        <f t="shared" si="309"/>
        <v/>
      </c>
      <c r="S905" s="44" t="str">
        <f t="shared" si="310"/>
        <v/>
      </c>
      <c r="T905" s="37" t="str">
        <f t="shared" si="311"/>
        <v/>
      </c>
      <c r="U905" s="44" t="str">
        <f t="shared" si="312"/>
        <v/>
      </c>
      <c r="V905" s="26"/>
      <c r="W905" s="26"/>
      <c r="X905" s="26"/>
      <c r="Y905" s="26"/>
      <c r="Z905" s="24"/>
      <c r="AA905" s="169">
        <f t="shared" si="297"/>
        <v>0</v>
      </c>
      <c r="AB905" s="4">
        <f t="shared" si="298"/>
        <v>0</v>
      </c>
      <c r="AC905" s="170">
        <f t="shared" si="294"/>
        <v>0</v>
      </c>
      <c r="AD905" s="58"/>
      <c r="AE905" s="58"/>
      <c r="AF905" s="58"/>
      <c r="AG905" s="59">
        <f t="shared" si="299"/>
        <v>9.0359999999999996</v>
      </c>
      <c r="AH905" s="59">
        <f t="shared" si="300"/>
        <v>-184.49199999999999</v>
      </c>
      <c r="AJ905" s="4">
        <f>IF(D905="M",IF(AM905&lt;78,BMILMS!$D$5*AM905^3+BMILMS!$E$5*AM905^2+BMILMS!$F$5*AM905+BMILMS!$G$5,IF(AM905&lt;150,BMILMS!$D$6*AM905^3+BMILMS!$E$6*AM905^2+BMILMS!$F$6*AM905+BMILMS!$G$6,BMILMS!$D$7*AM905^3+BMILMS!$E$7*AM905^2+BMILMS!$F$7*AM905+BMILMS!$G$7)),IF(AM905&lt;69,BMILMS!$D$9*AM905^3+BMILMS!$E$9*AM905^2+BMILMS!$F$9*AM905+BMILMS!$G$9,IF(AM905&lt;150,BMILMS!$D$10*AM905^3+BMILMS!$E$10*AM905^2+BMILMS!$F$10*AM905+BMILMS!$G$10,BMILMS!$D$11*AM905^3+BMILMS!$E$11*AM905^2+BMILMS!$F$11*AM905+BMILMS!$G$11)))</f>
        <v>0.79584630099999998</v>
      </c>
      <c r="AK905" s="4">
        <f>IF(D905="M",(IF(AM905&lt;2.5,BMILMS!$D$21*AM905^3+BMILMS!$E$21*AM905^2+BMILMS!$F$21*AM905+BMILMS!$G$21,IF(AM905&lt;9.5,BMILMS!$D$22*AM905^3+BMILMS!$E$22*AM905^2+BMILMS!$F$22*AM905+BMILMS!$G$22,IF(AM905&lt;26.75,BMILMS!$D$23*AM905^3+BMILMS!$E$23*AM905^2+BMILMS!$F$23*AM905+BMILMS!$G$23,IF(AM905&lt;90,BMILMS!$D$24*AM905^3+BMILMS!$E$24*AM905^2+BMILMS!$F$24*AM905+BMILMS!$G$24,BMILMS!$D$25*AM905^3+BMILMS!$E$25*AM905^2+BMILMS!$F$25*AM905+BMILMS!$G$25))))),(IF(AM905&lt;2.5,BMILMS!$D$27*AM905^3+BMILMS!$E$27*AM905^2+BMILMS!$F$27*AM905+BMILMS!$G$27,IF(AM905&lt;9.5,BMILMS!$D$28*AM905^3+BMILMS!$E$28*AM905^2+BMILMS!$F$28*AM905+BMILMS!$G$28,IF(AM905&lt;26.75,BMILMS!$D$29*AM905^3+BMILMS!$E$29*AM905^2+BMILMS!$F$29*AM905+BMILMS!$G$29,IF(AM905&lt;90,BMILMS!$D$30*AM905^3+BMILMS!$E$30*AM905^2+BMILMS!$F$30*AM905+BMILMS!$G$30,IF(AM905&lt;150,BMILMS!$D$31*AM905^3+BMILMS!$E$31*AM905^2+BMILMS!$F$31*AM905+BMILMS!$G$31,BMILMS!$D$32*AM905^3+BMILMS!$E$32*AM905^2+BMILMS!$F$32*AM905+BMILMS!$G$32)))))))</f>
        <v>12.568967990000001</v>
      </c>
      <c r="AL905" s="4">
        <f>IF(D905="M",(IF(AM905&lt;90,BMILMS!$D$14*AM905^3+BMILMS!$E$14*AM905^2+BMILMS!$F$14*AM905+BMILMS!$G$14,BMILMS!$D$15*AM905^3+BMILMS!$E$15*AM905^2+BMILMS!$F$15*AM905+BMILMS!$G$15)),(IF(AM905&lt;90,BMILMS!$D$17*AM905^3+BMILMS!$E$17*AM905^2+BMILMS!$F$17*AM905+BMILMS!$G$17,BMILMS!$D$18*AM905^3+BMILMS!$E$18*AM905^2+BMILMS!$F$18*AM905+BMILMS!$G$18)))</f>
        <v>8.8969350000000003E-2</v>
      </c>
      <c r="AM905" s="4">
        <f t="shared" si="314"/>
        <v>0</v>
      </c>
      <c r="AO905" s="56">
        <f>IF(D905="M",WeightSDS!P$5*$AM905^7+WeightSDS!Q$5*$AM905^6+WeightSDS!R$5*$AM905^5+WeightSDS!S$5*$AM905^4+WeightSDS!T$5*$AM905^3+WeightSDS!U$5*$AM905^2+WeightSDS!V$5*$AM905+WeightSDS!W$5,IF($AM905&lt;186,WeightSDS!P$8*$AM905^7+WeightSDS!Q$8*$AM905^6+WeightSDS!R$8*$AM905^5+WeightSDS!S$8*$AM905^4+WeightSDS!T$8*$AM905^3+WeightSDS!U$8*$AM905^2+WeightSDS!V$8*$AM905+WeightSDS!W$8,WeightSDS!$U$9+WeightSDS!$V$9*($AM905-WeightSDS!$W$9)))</f>
        <v>0.75407122999999998</v>
      </c>
      <c r="AP905" s="4">
        <f>IF(D905="M",IF($AM905&lt;45,WeightSDS!M$23*$AM905^10+WeightSDS!N$23*$AM905^9+WeightSDS!O$23*$AM905^8+WeightSDS!P$23*$AM905^7+WeightSDS!Q$23*$AM905^6+WeightSDS!R$23*$AM905^5+WeightSDS!S$23*$AM905^4+WeightSDS!T$23*$AM905^3+WeightSDS!U$23*$AM905^2+WeightSDS!V$23*$AM905+WeightSDS!W$23,IF($AM905&lt;153,WeightSDS!M$25*$AM905^10+WeightSDS!N$25*$AM905^9+WeightSDS!O$25*$AM905^8+WeightSDS!P$25*$AM905^7+WeightSDS!Q$25*$AM905^6+WeightSDS!R$25*$AM905^5+WeightSDS!S$25*$AM905^4+WeightSDS!T$25*$AM905^3+WeightSDS!U$25*$AM905^2+WeightSDS!V$25*$AM905+WeightSDS!W$25,WeightSDS!M$27+WeightSDS!N$27/(1+EXP(WeightSDS!O$27+WeightSDS!P$27*$AM905)))),IF($AM905&lt;43.8,WeightSDS!M$29*$AM905^10+WeightSDS!N$29*$AM905^9+WeightSDS!O$29*$AM905^8+WeightSDS!P$29*$AM905^7+WeightSDS!Q$29*$AM905^6+WeightSDS!R$29*$AM905^5+WeightSDS!S$29*$AM905^4+WeightSDS!T$29*$AM905^3+WeightSDS!U$29*$AM905^2+WeightSDS!V$29*$AM905+WeightSDS!W$29-0.010431*(1-$AM905/210),IF($AM905&lt;123,WeightSDS!M$30*$AM905^10+WeightSDS!N$30*$AM905^9+WeightSDS!O$30*$AM905^8+WeightSDS!P$30*$AM905^7+WeightSDS!Q$30*$AM905^6+WeightSDS!R$30*$AM905^5+WeightSDS!S$30*$AM905^4+WeightSDS!T$30*$AM905^3+WeightSDS!U$30*$AM905^2+WeightSDS!V$30*$AM905+WeightSDS!W$30-0.010431*(1-1/$AM905),WeightSDS!M$32+WeightSDS!N$32/(1+EXP(WeightSDS!O$32+WeightSDS!P$32*$AM905))-0.010431*(1-$AM905/210))))</f>
        <v>2.9500001032655536</v>
      </c>
      <c r="AQ905" s="4">
        <f>IF(D905="M",IF($AM905&lt;162,WeightSDS!P$12*$AM905^7+WeightSDS!Q$12*$AM905^6+WeightSDS!R$12*$AM905^5+WeightSDS!S$12*$AM905^4+WeightSDS!T$12*$AM905^3+WeightSDS!U$12*$AM905^2+WeightSDS!V$12*$AM905+WeightSDS!W$12,WeightSDS!P$14*$AM905^7+WeightSDS!Q$14*$AM905^6+WeightSDS!R$14*$AM905^5+WeightSDS!S$14*$AM905^4+WeightSDS!T$14*$AM905^3+WeightSDS!U$14*$AM905^2+WeightSDS!V$14*$AM905+WeightSDS!W$14),IF($AM905&lt;156,WeightSDS!O$17*$AM905^8+WeightSDS!P$17*$AM905^7+WeightSDS!Q$17*$AM905^6+WeightSDS!R$17*$AM905^5+WeightSDS!S$17*$AM905^4+WeightSDS!T$17*$AM905^3+WeightSDS!U$17*$AM905^2+WeightSDS!V$17*$AM905+WeightSDS!W$17,IF($AM905&lt;186,WeightSDS!$U$18+(WeightSDS!$V$18-WeightSDS!$U$18)/24*($AM905-186)+WeightSDS!$W$18*(-$AM905+186)^2-0.005,WeightSDS!$U$18+(WeightSDS!$V$18-WeightSDS!$U$18)/24*($AM905-186)-0.005)))</f>
        <v>0.14604529399999999</v>
      </c>
      <c r="AT905" s="4">
        <f t="shared" si="301"/>
        <v>0.56299999999999994</v>
      </c>
      <c r="AU905" s="4">
        <f t="shared" si="302"/>
        <v>69</v>
      </c>
      <c r="AV905" s="4">
        <f t="shared" si="303"/>
        <v>0.51</v>
      </c>
    </row>
    <row r="906" spans="1:48" x14ac:dyDescent="0.15">
      <c r="A906" s="4"/>
      <c r="B906" s="21"/>
      <c r="C906" s="21"/>
      <c r="D906" s="21"/>
      <c r="E906" s="22"/>
      <c r="F906" s="22"/>
      <c r="G906" s="23"/>
      <c r="H906" s="23"/>
      <c r="I906" s="181"/>
      <c r="J906" s="8" t="str">
        <f t="shared" si="295"/>
        <v/>
      </c>
      <c r="K906" s="2" t="str">
        <f t="shared" si="304"/>
        <v/>
      </c>
      <c r="L906" s="2" t="str">
        <f t="shared" si="296"/>
        <v/>
      </c>
      <c r="M906" s="2" t="str">
        <f t="shared" si="305"/>
        <v/>
      </c>
      <c r="N906" s="2" t="str">
        <f t="shared" si="313"/>
        <v/>
      </c>
      <c r="O906" s="2" t="str">
        <f t="shared" si="306"/>
        <v/>
      </c>
      <c r="P906" s="8" t="str">
        <f t="shared" si="307"/>
        <v/>
      </c>
      <c r="Q906" s="8" t="str">
        <f t="shared" si="308"/>
        <v/>
      </c>
      <c r="R906" s="111" t="str">
        <f t="shared" si="309"/>
        <v/>
      </c>
      <c r="S906" s="44" t="str">
        <f t="shared" si="310"/>
        <v/>
      </c>
      <c r="T906" s="37" t="str">
        <f t="shared" si="311"/>
        <v/>
      </c>
      <c r="U906" s="44" t="str">
        <f t="shared" si="312"/>
        <v/>
      </c>
      <c r="V906" s="26"/>
      <c r="W906" s="26"/>
      <c r="X906" s="26"/>
      <c r="Y906" s="26"/>
      <c r="Z906" s="24"/>
      <c r="AA906" s="169">
        <f t="shared" si="297"/>
        <v>0</v>
      </c>
      <c r="AB906" s="4">
        <f t="shared" si="298"/>
        <v>0</v>
      </c>
      <c r="AC906" s="170">
        <f t="shared" si="294"/>
        <v>0</v>
      </c>
      <c r="AD906" s="58"/>
      <c r="AE906" s="58"/>
      <c r="AF906" s="58"/>
      <c r="AG906" s="59">
        <f t="shared" si="299"/>
        <v>9.0359999999999996</v>
      </c>
      <c r="AH906" s="59">
        <f t="shared" si="300"/>
        <v>-184.49199999999999</v>
      </c>
      <c r="AJ906" s="4">
        <f>IF(D906="M",IF(AM906&lt;78,BMILMS!$D$5*AM906^3+BMILMS!$E$5*AM906^2+BMILMS!$F$5*AM906+BMILMS!$G$5,IF(AM906&lt;150,BMILMS!$D$6*AM906^3+BMILMS!$E$6*AM906^2+BMILMS!$F$6*AM906+BMILMS!$G$6,BMILMS!$D$7*AM906^3+BMILMS!$E$7*AM906^2+BMILMS!$F$7*AM906+BMILMS!$G$7)),IF(AM906&lt;69,BMILMS!$D$9*AM906^3+BMILMS!$E$9*AM906^2+BMILMS!$F$9*AM906+BMILMS!$G$9,IF(AM906&lt;150,BMILMS!$D$10*AM906^3+BMILMS!$E$10*AM906^2+BMILMS!$F$10*AM906+BMILMS!$G$10,BMILMS!$D$11*AM906^3+BMILMS!$E$11*AM906^2+BMILMS!$F$11*AM906+BMILMS!$G$11)))</f>
        <v>0.79584630099999998</v>
      </c>
      <c r="AK906" s="4">
        <f>IF(D906="M",(IF(AM906&lt;2.5,BMILMS!$D$21*AM906^3+BMILMS!$E$21*AM906^2+BMILMS!$F$21*AM906+BMILMS!$G$21,IF(AM906&lt;9.5,BMILMS!$D$22*AM906^3+BMILMS!$E$22*AM906^2+BMILMS!$F$22*AM906+BMILMS!$G$22,IF(AM906&lt;26.75,BMILMS!$D$23*AM906^3+BMILMS!$E$23*AM906^2+BMILMS!$F$23*AM906+BMILMS!$G$23,IF(AM906&lt;90,BMILMS!$D$24*AM906^3+BMILMS!$E$24*AM906^2+BMILMS!$F$24*AM906+BMILMS!$G$24,BMILMS!$D$25*AM906^3+BMILMS!$E$25*AM906^2+BMILMS!$F$25*AM906+BMILMS!$G$25))))),(IF(AM906&lt;2.5,BMILMS!$D$27*AM906^3+BMILMS!$E$27*AM906^2+BMILMS!$F$27*AM906+BMILMS!$G$27,IF(AM906&lt;9.5,BMILMS!$D$28*AM906^3+BMILMS!$E$28*AM906^2+BMILMS!$F$28*AM906+BMILMS!$G$28,IF(AM906&lt;26.75,BMILMS!$D$29*AM906^3+BMILMS!$E$29*AM906^2+BMILMS!$F$29*AM906+BMILMS!$G$29,IF(AM906&lt;90,BMILMS!$D$30*AM906^3+BMILMS!$E$30*AM906^2+BMILMS!$F$30*AM906+BMILMS!$G$30,IF(AM906&lt;150,BMILMS!$D$31*AM906^3+BMILMS!$E$31*AM906^2+BMILMS!$F$31*AM906+BMILMS!$G$31,BMILMS!$D$32*AM906^3+BMILMS!$E$32*AM906^2+BMILMS!$F$32*AM906+BMILMS!$G$32)))))))</f>
        <v>12.568967990000001</v>
      </c>
      <c r="AL906" s="4">
        <f>IF(D906="M",(IF(AM906&lt;90,BMILMS!$D$14*AM906^3+BMILMS!$E$14*AM906^2+BMILMS!$F$14*AM906+BMILMS!$G$14,BMILMS!$D$15*AM906^3+BMILMS!$E$15*AM906^2+BMILMS!$F$15*AM906+BMILMS!$G$15)),(IF(AM906&lt;90,BMILMS!$D$17*AM906^3+BMILMS!$E$17*AM906^2+BMILMS!$F$17*AM906+BMILMS!$G$17,BMILMS!$D$18*AM906^3+BMILMS!$E$18*AM906^2+BMILMS!$F$18*AM906+BMILMS!$G$18)))</f>
        <v>8.8969350000000003E-2</v>
      </c>
      <c r="AM906" s="4">
        <f t="shared" si="314"/>
        <v>0</v>
      </c>
      <c r="AO906" s="56">
        <f>IF(D906="M",WeightSDS!P$5*$AM906^7+WeightSDS!Q$5*$AM906^6+WeightSDS!R$5*$AM906^5+WeightSDS!S$5*$AM906^4+WeightSDS!T$5*$AM906^3+WeightSDS!U$5*$AM906^2+WeightSDS!V$5*$AM906+WeightSDS!W$5,IF($AM906&lt;186,WeightSDS!P$8*$AM906^7+WeightSDS!Q$8*$AM906^6+WeightSDS!R$8*$AM906^5+WeightSDS!S$8*$AM906^4+WeightSDS!T$8*$AM906^3+WeightSDS!U$8*$AM906^2+WeightSDS!V$8*$AM906+WeightSDS!W$8,WeightSDS!$U$9+WeightSDS!$V$9*($AM906-WeightSDS!$W$9)))</f>
        <v>0.75407122999999998</v>
      </c>
      <c r="AP906" s="4">
        <f>IF(D906="M",IF($AM906&lt;45,WeightSDS!M$23*$AM906^10+WeightSDS!N$23*$AM906^9+WeightSDS!O$23*$AM906^8+WeightSDS!P$23*$AM906^7+WeightSDS!Q$23*$AM906^6+WeightSDS!R$23*$AM906^5+WeightSDS!S$23*$AM906^4+WeightSDS!T$23*$AM906^3+WeightSDS!U$23*$AM906^2+WeightSDS!V$23*$AM906+WeightSDS!W$23,IF($AM906&lt;153,WeightSDS!M$25*$AM906^10+WeightSDS!N$25*$AM906^9+WeightSDS!O$25*$AM906^8+WeightSDS!P$25*$AM906^7+WeightSDS!Q$25*$AM906^6+WeightSDS!R$25*$AM906^5+WeightSDS!S$25*$AM906^4+WeightSDS!T$25*$AM906^3+WeightSDS!U$25*$AM906^2+WeightSDS!V$25*$AM906+WeightSDS!W$25,WeightSDS!M$27+WeightSDS!N$27/(1+EXP(WeightSDS!O$27+WeightSDS!P$27*$AM906)))),IF($AM906&lt;43.8,WeightSDS!M$29*$AM906^10+WeightSDS!N$29*$AM906^9+WeightSDS!O$29*$AM906^8+WeightSDS!P$29*$AM906^7+WeightSDS!Q$29*$AM906^6+WeightSDS!R$29*$AM906^5+WeightSDS!S$29*$AM906^4+WeightSDS!T$29*$AM906^3+WeightSDS!U$29*$AM906^2+WeightSDS!V$29*$AM906+WeightSDS!W$29-0.010431*(1-$AM906/210),IF($AM906&lt;123,WeightSDS!M$30*$AM906^10+WeightSDS!N$30*$AM906^9+WeightSDS!O$30*$AM906^8+WeightSDS!P$30*$AM906^7+WeightSDS!Q$30*$AM906^6+WeightSDS!R$30*$AM906^5+WeightSDS!S$30*$AM906^4+WeightSDS!T$30*$AM906^3+WeightSDS!U$30*$AM906^2+WeightSDS!V$30*$AM906+WeightSDS!W$30-0.010431*(1-1/$AM906),WeightSDS!M$32+WeightSDS!N$32/(1+EXP(WeightSDS!O$32+WeightSDS!P$32*$AM906))-0.010431*(1-$AM906/210))))</f>
        <v>2.9500001032655536</v>
      </c>
      <c r="AQ906" s="4">
        <f>IF(D906="M",IF($AM906&lt;162,WeightSDS!P$12*$AM906^7+WeightSDS!Q$12*$AM906^6+WeightSDS!R$12*$AM906^5+WeightSDS!S$12*$AM906^4+WeightSDS!T$12*$AM906^3+WeightSDS!U$12*$AM906^2+WeightSDS!V$12*$AM906+WeightSDS!W$12,WeightSDS!P$14*$AM906^7+WeightSDS!Q$14*$AM906^6+WeightSDS!R$14*$AM906^5+WeightSDS!S$14*$AM906^4+WeightSDS!T$14*$AM906^3+WeightSDS!U$14*$AM906^2+WeightSDS!V$14*$AM906+WeightSDS!W$14),IF($AM906&lt;156,WeightSDS!O$17*$AM906^8+WeightSDS!P$17*$AM906^7+WeightSDS!Q$17*$AM906^6+WeightSDS!R$17*$AM906^5+WeightSDS!S$17*$AM906^4+WeightSDS!T$17*$AM906^3+WeightSDS!U$17*$AM906^2+WeightSDS!V$17*$AM906+WeightSDS!W$17,IF($AM906&lt;186,WeightSDS!$U$18+(WeightSDS!$V$18-WeightSDS!$U$18)/24*($AM906-186)+WeightSDS!$W$18*(-$AM906+186)^2-0.005,WeightSDS!$U$18+(WeightSDS!$V$18-WeightSDS!$U$18)/24*($AM906-186)-0.005)))</f>
        <v>0.14604529399999999</v>
      </c>
      <c r="AT906" s="4">
        <f t="shared" si="301"/>
        <v>0.56299999999999994</v>
      </c>
      <c r="AU906" s="4">
        <f t="shared" si="302"/>
        <v>69</v>
      </c>
      <c r="AV906" s="4">
        <f t="shared" si="303"/>
        <v>0.51</v>
      </c>
    </row>
    <row r="907" spans="1:48" x14ac:dyDescent="0.15">
      <c r="A907" s="4"/>
      <c r="B907" s="21"/>
      <c r="C907" s="21"/>
      <c r="D907" s="21"/>
      <c r="E907" s="22"/>
      <c r="F907" s="22"/>
      <c r="G907" s="23"/>
      <c r="H907" s="23"/>
      <c r="I907" s="181"/>
      <c r="J907" s="8" t="str">
        <f t="shared" si="295"/>
        <v/>
      </c>
      <c r="K907" s="2" t="str">
        <f t="shared" si="304"/>
        <v/>
      </c>
      <c r="L907" s="2" t="str">
        <f t="shared" si="296"/>
        <v/>
      </c>
      <c r="M907" s="2" t="str">
        <f t="shared" si="305"/>
        <v/>
      </c>
      <c r="N907" s="2" t="str">
        <f t="shared" si="313"/>
        <v/>
      </c>
      <c r="O907" s="2" t="str">
        <f t="shared" si="306"/>
        <v/>
      </c>
      <c r="P907" s="8" t="str">
        <f t="shared" si="307"/>
        <v/>
      </c>
      <c r="Q907" s="8" t="str">
        <f t="shared" si="308"/>
        <v/>
      </c>
      <c r="R907" s="111" t="str">
        <f t="shared" si="309"/>
        <v/>
      </c>
      <c r="S907" s="44" t="str">
        <f t="shared" si="310"/>
        <v/>
      </c>
      <c r="T907" s="37" t="str">
        <f t="shared" si="311"/>
        <v/>
      </c>
      <c r="U907" s="44" t="str">
        <f t="shared" si="312"/>
        <v/>
      </c>
      <c r="V907" s="26"/>
      <c r="W907" s="26"/>
      <c r="X907" s="26"/>
      <c r="Y907" s="26"/>
      <c r="Z907" s="24"/>
      <c r="AA907" s="169">
        <f t="shared" si="297"/>
        <v>0</v>
      </c>
      <c r="AB907" s="4">
        <f t="shared" si="298"/>
        <v>0</v>
      </c>
      <c r="AC907" s="170">
        <f t="shared" si="294"/>
        <v>0</v>
      </c>
      <c r="AD907" s="58"/>
      <c r="AE907" s="58"/>
      <c r="AF907" s="58"/>
      <c r="AG907" s="59">
        <f t="shared" si="299"/>
        <v>9.0359999999999996</v>
      </c>
      <c r="AH907" s="59">
        <f t="shared" si="300"/>
        <v>-184.49199999999999</v>
      </c>
      <c r="AJ907" s="4">
        <f>IF(D907="M",IF(AM907&lt;78,BMILMS!$D$5*AM907^3+BMILMS!$E$5*AM907^2+BMILMS!$F$5*AM907+BMILMS!$G$5,IF(AM907&lt;150,BMILMS!$D$6*AM907^3+BMILMS!$E$6*AM907^2+BMILMS!$F$6*AM907+BMILMS!$G$6,BMILMS!$D$7*AM907^3+BMILMS!$E$7*AM907^2+BMILMS!$F$7*AM907+BMILMS!$G$7)),IF(AM907&lt;69,BMILMS!$D$9*AM907^3+BMILMS!$E$9*AM907^2+BMILMS!$F$9*AM907+BMILMS!$G$9,IF(AM907&lt;150,BMILMS!$D$10*AM907^3+BMILMS!$E$10*AM907^2+BMILMS!$F$10*AM907+BMILMS!$G$10,BMILMS!$D$11*AM907^3+BMILMS!$E$11*AM907^2+BMILMS!$F$11*AM907+BMILMS!$G$11)))</f>
        <v>0.79584630099999998</v>
      </c>
      <c r="AK907" s="4">
        <f>IF(D907="M",(IF(AM907&lt;2.5,BMILMS!$D$21*AM907^3+BMILMS!$E$21*AM907^2+BMILMS!$F$21*AM907+BMILMS!$G$21,IF(AM907&lt;9.5,BMILMS!$D$22*AM907^3+BMILMS!$E$22*AM907^2+BMILMS!$F$22*AM907+BMILMS!$G$22,IF(AM907&lt;26.75,BMILMS!$D$23*AM907^3+BMILMS!$E$23*AM907^2+BMILMS!$F$23*AM907+BMILMS!$G$23,IF(AM907&lt;90,BMILMS!$D$24*AM907^3+BMILMS!$E$24*AM907^2+BMILMS!$F$24*AM907+BMILMS!$G$24,BMILMS!$D$25*AM907^3+BMILMS!$E$25*AM907^2+BMILMS!$F$25*AM907+BMILMS!$G$25))))),(IF(AM907&lt;2.5,BMILMS!$D$27*AM907^3+BMILMS!$E$27*AM907^2+BMILMS!$F$27*AM907+BMILMS!$G$27,IF(AM907&lt;9.5,BMILMS!$D$28*AM907^3+BMILMS!$E$28*AM907^2+BMILMS!$F$28*AM907+BMILMS!$G$28,IF(AM907&lt;26.75,BMILMS!$D$29*AM907^3+BMILMS!$E$29*AM907^2+BMILMS!$F$29*AM907+BMILMS!$G$29,IF(AM907&lt;90,BMILMS!$D$30*AM907^3+BMILMS!$E$30*AM907^2+BMILMS!$F$30*AM907+BMILMS!$G$30,IF(AM907&lt;150,BMILMS!$D$31*AM907^3+BMILMS!$E$31*AM907^2+BMILMS!$F$31*AM907+BMILMS!$G$31,BMILMS!$D$32*AM907^3+BMILMS!$E$32*AM907^2+BMILMS!$F$32*AM907+BMILMS!$G$32)))))))</f>
        <v>12.568967990000001</v>
      </c>
      <c r="AL907" s="4">
        <f>IF(D907="M",(IF(AM907&lt;90,BMILMS!$D$14*AM907^3+BMILMS!$E$14*AM907^2+BMILMS!$F$14*AM907+BMILMS!$G$14,BMILMS!$D$15*AM907^3+BMILMS!$E$15*AM907^2+BMILMS!$F$15*AM907+BMILMS!$G$15)),(IF(AM907&lt;90,BMILMS!$D$17*AM907^3+BMILMS!$E$17*AM907^2+BMILMS!$F$17*AM907+BMILMS!$G$17,BMILMS!$D$18*AM907^3+BMILMS!$E$18*AM907^2+BMILMS!$F$18*AM907+BMILMS!$G$18)))</f>
        <v>8.8969350000000003E-2</v>
      </c>
      <c r="AM907" s="4">
        <f t="shared" si="314"/>
        <v>0</v>
      </c>
      <c r="AO907" s="56">
        <f>IF(D907="M",WeightSDS!P$5*$AM907^7+WeightSDS!Q$5*$AM907^6+WeightSDS!R$5*$AM907^5+WeightSDS!S$5*$AM907^4+WeightSDS!T$5*$AM907^3+WeightSDS!U$5*$AM907^2+WeightSDS!V$5*$AM907+WeightSDS!W$5,IF($AM907&lt;186,WeightSDS!P$8*$AM907^7+WeightSDS!Q$8*$AM907^6+WeightSDS!R$8*$AM907^5+WeightSDS!S$8*$AM907^4+WeightSDS!T$8*$AM907^3+WeightSDS!U$8*$AM907^2+WeightSDS!V$8*$AM907+WeightSDS!W$8,WeightSDS!$U$9+WeightSDS!$V$9*($AM907-WeightSDS!$W$9)))</f>
        <v>0.75407122999999998</v>
      </c>
      <c r="AP907" s="4">
        <f>IF(D907="M",IF($AM907&lt;45,WeightSDS!M$23*$AM907^10+WeightSDS!N$23*$AM907^9+WeightSDS!O$23*$AM907^8+WeightSDS!P$23*$AM907^7+WeightSDS!Q$23*$AM907^6+WeightSDS!R$23*$AM907^5+WeightSDS!S$23*$AM907^4+WeightSDS!T$23*$AM907^3+WeightSDS!U$23*$AM907^2+WeightSDS!V$23*$AM907+WeightSDS!W$23,IF($AM907&lt;153,WeightSDS!M$25*$AM907^10+WeightSDS!N$25*$AM907^9+WeightSDS!O$25*$AM907^8+WeightSDS!P$25*$AM907^7+WeightSDS!Q$25*$AM907^6+WeightSDS!R$25*$AM907^5+WeightSDS!S$25*$AM907^4+WeightSDS!T$25*$AM907^3+WeightSDS!U$25*$AM907^2+WeightSDS!V$25*$AM907+WeightSDS!W$25,WeightSDS!M$27+WeightSDS!N$27/(1+EXP(WeightSDS!O$27+WeightSDS!P$27*$AM907)))),IF($AM907&lt;43.8,WeightSDS!M$29*$AM907^10+WeightSDS!N$29*$AM907^9+WeightSDS!O$29*$AM907^8+WeightSDS!P$29*$AM907^7+WeightSDS!Q$29*$AM907^6+WeightSDS!R$29*$AM907^5+WeightSDS!S$29*$AM907^4+WeightSDS!T$29*$AM907^3+WeightSDS!U$29*$AM907^2+WeightSDS!V$29*$AM907+WeightSDS!W$29-0.010431*(1-$AM907/210),IF($AM907&lt;123,WeightSDS!M$30*$AM907^10+WeightSDS!N$30*$AM907^9+WeightSDS!O$30*$AM907^8+WeightSDS!P$30*$AM907^7+WeightSDS!Q$30*$AM907^6+WeightSDS!R$30*$AM907^5+WeightSDS!S$30*$AM907^4+WeightSDS!T$30*$AM907^3+WeightSDS!U$30*$AM907^2+WeightSDS!V$30*$AM907+WeightSDS!W$30-0.010431*(1-1/$AM907),WeightSDS!M$32+WeightSDS!N$32/(1+EXP(WeightSDS!O$32+WeightSDS!P$32*$AM907))-0.010431*(1-$AM907/210))))</f>
        <v>2.9500001032655536</v>
      </c>
      <c r="AQ907" s="4">
        <f>IF(D907="M",IF($AM907&lt;162,WeightSDS!P$12*$AM907^7+WeightSDS!Q$12*$AM907^6+WeightSDS!R$12*$AM907^5+WeightSDS!S$12*$AM907^4+WeightSDS!T$12*$AM907^3+WeightSDS!U$12*$AM907^2+WeightSDS!V$12*$AM907+WeightSDS!W$12,WeightSDS!P$14*$AM907^7+WeightSDS!Q$14*$AM907^6+WeightSDS!R$14*$AM907^5+WeightSDS!S$14*$AM907^4+WeightSDS!T$14*$AM907^3+WeightSDS!U$14*$AM907^2+WeightSDS!V$14*$AM907+WeightSDS!W$14),IF($AM907&lt;156,WeightSDS!O$17*$AM907^8+WeightSDS!P$17*$AM907^7+WeightSDS!Q$17*$AM907^6+WeightSDS!R$17*$AM907^5+WeightSDS!S$17*$AM907^4+WeightSDS!T$17*$AM907^3+WeightSDS!U$17*$AM907^2+WeightSDS!V$17*$AM907+WeightSDS!W$17,IF($AM907&lt;186,WeightSDS!$U$18+(WeightSDS!$V$18-WeightSDS!$U$18)/24*($AM907-186)+WeightSDS!$W$18*(-$AM907+186)^2-0.005,WeightSDS!$U$18+(WeightSDS!$V$18-WeightSDS!$U$18)/24*($AM907-186)-0.005)))</f>
        <v>0.14604529399999999</v>
      </c>
      <c r="AT907" s="4">
        <f t="shared" si="301"/>
        <v>0.56299999999999994</v>
      </c>
      <c r="AU907" s="4">
        <f t="shared" si="302"/>
        <v>69</v>
      </c>
      <c r="AV907" s="4">
        <f t="shared" si="303"/>
        <v>0.51</v>
      </c>
    </row>
    <row r="908" spans="1:48" x14ac:dyDescent="0.15">
      <c r="A908" s="4"/>
      <c r="B908" s="21"/>
      <c r="C908" s="21"/>
      <c r="D908" s="21"/>
      <c r="E908" s="22"/>
      <c r="F908" s="22"/>
      <c r="G908" s="23"/>
      <c r="H908" s="23"/>
      <c r="I908" s="181"/>
      <c r="J908" s="8" t="str">
        <f t="shared" si="295"/>
        <v/>
      </c>
      <c r="K908" s="2" t="str">
        <f t="shared" si="304"/>
        <v/>
      </c>
      <c r="L908" s="2" t="str">
        <f t="shared" si="296"/>
        <v/>
      </c>
      <c r="M908" s="2" t="str">
        <f t="shared" si="305"/>
        <v/>
      </c>
      <c r="N908" s="2" t="str">
        <f t="shared" si="313"/>
        <v/>
      </c>
      <c r="O908" s="2" t="str">
        <f t="shared" si="306"/>
        <v/>
      </c>
      <c r="P908" s="8" t="str">
        <f t="shared" si="307"/>
        <v/>
      </c>
      <c r="Q908" s="8" t="str">
        <f t="shared" si="308"/>
        <v/>
      </c>
      <c r="R908" s="111" t="str">
        <f t="shared" si="309"/>
        <v/>
      </c>
      <c r="S908" s="44" t="str">
        <f t="shared" si="310"/>
        <v/>
      </c>
      <c r="T908" s="37" t="str">
        <f t="shared" si="311"/>
        <v/>
      </c>
      <c r="U908" s="44" t="str">
        <f t="shared" si="312"/>
        <v/>
      </c>
      <c r="V908" s="26"/>
      <c r="W908" s="26"/>
      <c r="X908" s="26"/>
      <c r="Y908" s="26"/>
      <c r="Z908" s="24"/>
      <c r="AA908" s="169">
        <f t="shared" si="297"/>
        <v>0</v>
      </c>
      <c r="AB908" s="4">
        <f t="shared" si="298"/>
        <v>0</v>
      </c>
      <c r="AC908" s="170">
        <f t="shared" si="294"/>
        <v>0</v>
      </c>
      <c r="AD908" s="58"/>
      <c r="AE908" s="58"/>
      <c r="AF908" s="58"/>
      <c r="AG908" s="59">
        <f t="shared" si="299"/>
        <v>9.0359999999999996</v>
      </c>
      <c r="AH908" s="59">
        <f t="shared" si="300"/>
        <v>-184.49199999999999</v>
      </c>
      <c r="AJ908" s="4">
        <f>IF(D908="M",IF(AM908&lt;78,BMILMS!$D$5*AM908^3+BMILMS!$E$5*AM908^2+BMILMS!$F$5*AM908+BMILMS!$G$5,IF(AM908&lt;150,BMILMS!$D$6*AM908^3+BMILMS!$E$6*AM908^2+BMILMS!$F$6*AM908+BMILMS!$G$6,BMILMS!$D$7*AM908^3+BMILMS!$E$7*AM908^2+BMILMS!$F$7*AM908+BMILMS!$G$7)),IF(AM908&lt;69,BMILMS!$D$9*AM908^3+BMILMS!$E$9*AM908^2+BMILMS!$F$9*AM908+BMILMS!$G$9,IF(AM908&lt;150,BMILMS!$D$10*AM908^3+BMILMS!$E$10*AM908^2+BMILMS!$F$10*AM908+BMILMS!$G$10,BMILMS!$D$11*AM908^3+BMILMS!$E$11*AM908^2+BMILMS!$F$11*AM908+BMILMS!$G$11)))</f>
        <v>0.79584630099999998</v>
      </c>
      <c r="AK908" s="4">
        <f>IF(D908="M",(IF(AM908&lt;2.5,BMILMS!$D$21*AM908^3+BMILMS!$E$21*AM908^2+BMILMS!$F$21*AM908+BMILMS!$G$21,IF(AM908&lt;9.5,BMILMS!$D$22*AM908^3+BMILMS!$E$22*AM908^2+BMILMS!$F$22*AM908+BMILMS!$G$22,IF(AM908&lt;26.75,BMILMS!$D$23*AM908^3+BMILMS!$E$23*AM908^2+BMILMS!$F$23*AM908+BMILMS!$G$23,IF(AM908&lt;90,BMILMS!$D$24*AM908^3+BMILMS!$E$24*AM908^2+BMILMS!$F$24*AM908+BMILMS!$G$24,BMILMS!$D$25*AM908^3+BMILMS!$E$25*AM908^2+BMILMS!$F$25*AM908+BMILMS!$G$25))))),(IF(AM908&lt;2.5,BMILMS!$D$27*AM908^3+BMILMS!$E$27*AM908^2+BMILMS!$F$27*AM908+BMILMS!$G$27,IF(AM908&lt;9.5,BMILMS!$D$28*AM908^3+BMILMS!$E$28*AM908^2+BMILMS!$F$28*AM908+BMILMS!$G$28,IF(AM908&lt;26.75,BMILMS!$D$29*AM908^3+BMILMS!$E$29*AM908^2+BMILMS!$F$29*AM908+BMILMS!$G$29,IF(AM908&lt;90,BMILMS!$D$30*AM908^3+BMILMS!$E$30*AM908^2+BMILMS!$F$30*AM908+BMILMS!$G$30,IF(AM908&lt;150,BMILMS!$D$31*AM908^3+BMILMS!$E$31*AM908^2+BMILMS!$F$31*AM908+BMILMS!$G$31,BMILMS!$D$32*AM908^3+BMILMS!$E$32*AM908^2+BMILMS!$F$32*AM908+BMILMS!$G$32)))))))</f>
        <v>12.568967990000001</v>
      </c>
      <c r="AL908" s="4">
        <f>IF(D908="M",(IF(AM908&lt;90,BMILMS!$D$14*AM908^3+BMILMS!$E$14*AM908^2+BMILMS!$F$14*AM908+BMILMS!$G$14,BMILMS!$D$15*AM908^3+BMILMS!$E$15*AM908^2+BMILMS!$F$15*AM908+BMILMS!$G$15)),(IF(AM908&lt;90,BMILMS!$D$17*AM908^3+BMILMS!$E$17*AM908^2+BMILMS!$F$17*AM908+BMILMS!$G$17,BMILMS!$D$18*AM908^3+BMILMS!$E$18*AM908^2+BMILMS!$F$18*AM908+BMILMS!$G$18)))</f>
        <v>8.8969350000000003E-2</v>
      </c>
      <c r="AM908" s="4">
        <f t="shared" si="314"/>
        <v>0</v>
      </c>
      <c r="AO908" s="56">
        <f>IF(D908="M",WeightSDS!P$5*$AM908^7+WeightSDS!Q$5*$AM908^6+WeightSDS!R$5*$AM908^5+WeightSDS!S$5*$AM908^4+WeightSDS!T$5*$AM908^3+WeightSDS!U$5*$AM908^2+WeightSDS!V$5*$AM908+WeightSDS!W$5,IF($AM908&lt;186,WeightSDS!P$8*$AM908^7+WeightSDS!Q$8*$AM908^6+WeightSDS!R$8*$AM908^5+WeightSDS!S$8*$AM908^4+WeightSDS!T$8*$AM908^3+WeightSDS!U$8*$AM908^2+WeightSDS!V$8*$AM908+WeightSDS!W$8,WeightSDS!$U$9+WeightSDS!$V$9*($AM908-WeightSDS!$W$9)))</f>
        <v>0.75407122999999998</v>
      </c>
      <c r="AP908" s="4">
        <f>IF(D908="M",IF($AM908&lt;45,WeightSDS!M$23*$AM908^10+WeightSDS!N$23*$AM908^9+WeightSDS!O$23*$AM908^8+WeightSDS!P$23*$AM908^7+WeightSDS!Q$23*$AM908^6+WeightSDS!R$23*$AM908^5+WeightSDS!S$23*$AM908^4+WeightSDS!T$23*$AM908^3+WeightSDS!U$23*$AM908^2+WeightSDS!V$23*$AM908+WeightSDS!W$23,IF($AM908&lt;153,WeightSDS!M$25*$AM908^10+WeightSDS!N$25*$AM908^9+WeightSDS!O$25*$AM908^8+WeightSDS!P$25*$AM908^7+WeightSDS!Q$25*$AM908^6+WeightSDS!R$25*$AM908^5+WeightSDS!S$25*$AM908^4+WeightSDS!T$25*$AM908^3+WeightSDS!U$25*$AM908^2+WeightSDS!V$25*$AM908+WeightSDS!W$25,WeightSDS!M$27+WeightSDS!N$27/(1+EXP(WeightSDS!O$27+WeightSDS!P$27*$AM908)))),IF($AM908&lt;43.8,WeightSDS!M$29*$AM908^10+WeightSDS!N$29*$AM908^9+WeightSDS!O$29*$AM908^8+WeightSDS!P$29*$AM908^7+WeightSDS!Q$29*$AM908^6+WeightSDS!R$29*$AM908^5+WeightSDS!S$29*$AM908^4+WeightSDS!T$29*$AM908^3+WeightSDS!U$29*$AM908^2+WeightSDS!V$29*$AM908+WeightSDS!W$29-0.010431*(1-$AM908/210),IF($AM908&lt;123,WeightSDS!M$30*$AM908^10+WeightSDS!N$30*$AM908^9+WeightSDS!O$30*$AM908^8+WeightSDS!P$30*$AM908^7+WeightSDS!Q$30*$AM908^6+WeightSDS!R$30*$AM908^5+WeightSDS!S$30*$AM908^4+WeightSDS!T$30*$AM908^3+WeightSDS!U$30*$AM908^2+WeightSDS!V$30*$AM908+WeightSDS!W$30-0.010431*(1-1/$AM908),WeightSDS!M$32+WeightSDS!N$32/(1+EXP(WeightSDS!O$32+WeightSDS!P$32*$AM908))-0.010431*(1-$AM908/210))))</f>
        <v>2.9500001032655536</v>
      </c>
      <c r="AQ908" s="4">
        <f>IF(D908="M",IF($AM908&lt;162,WeightSDS!P$12*$AM908^7+WeightSDS!Q$12*$AM908^6+WeightSDS!R$12*$AM908^5+WeightSDS!S$12*$AM908^4+WeightSDS!T$12*$AM908^3+WeightSDS!U$12*$AM908^2+WeightSDS!V$12*$AM908+WeightSDS!W$12,WeightSDS!P$14*$AM908^7+WeightSDS!Q$14*$AM908^6+WeightSDS!R$14*$AM908^5+WeightSDS!S$14*$AM908^4+WeightSDS!T$14*$AM908^3+WeightSDS!U$14*$AM908^2+WeightSDS!V$14*$AM908+WeightSDS!W$14),IF($AM908&lt;156,WeightSDS!O$17*$AM908^8+WeightSDS!P$17*$AM908^7+WeightSDS!Q$17*$AM908^6+WeightSDS!R$17*$AM908^5+WeightSDS!S$17*$AM908^4+WeightSDS!T$17*$AM908^3+WeightSDS!U$17*$AM908^2+WeightSDS!V$17*$AM908+WeightSDS!W$17,IF($AM908&lt;186,WeightSDS!$U$18+(WeightSDS!$V$18-WeightSDS!$U$18)/24*($AM908-186)+WeightSDS!$W$18*(-$AM908+186)^2-0.005,WeightSDS!$U$18+(WeightSDS!$V$18-WeightSDS!$U$18)/24*($AM908-186)-0.005)))</f>
        <v>0.14604529399999999</v>
      </c>
      <c r="AT908" s="4">
        <f t="shared" si="301"/>
        <v>0.56299999999999994</v>
      </c>
      <c r="AU908" s="4">
        <f t="shared" si="302"/>
        <v>69</v>
      </c>
      <c r="AV908" s="4">
        <f t="shared" si="303"/>
        <v>0.51</v>
      </c>
    </row>
    <row r="909" spans="1:48" x14ac:dyDescent="0.15">
      <c r="A909" s="4"/>
      <c r="B909" s="21"/>
      <c r="C909" s="21"/>
      <c r="D909" s="21"/>
      <c r="E909" s="22"/>
      <c r="F909" s="22"/>
      <c r="G909" s="23"/>
      <c r="H909" s="23"/>
      <c r="I909" s="181"/>
      <c r="J909" s="8" t="str">
        <f t="shared" si="295"/>
        <v/>
      </c>
      <c r="K909" s="2" t="str">
        <f t="shared" si="304"/>
        <v/>
      </c>
      <c r="L909" s="2" t="str">
        <f t="shared" si="296"/>
        <v/>
      </c>
      <c r="M909" s="2" t="str">
        <f t="shared" si="305"/>
        <v/>
      </c>
      <c r="N909" s="2" t="str">
        <f t="shared" si="313"/>
        <v/>
      </c>
      <c r="O909" s="2" t="str">
        <f t="shared" si="306"/>
        <v/>
      </c>
      <c r="P909" s="8" t="str">
        <f t="shared" si="307"/>
        <v/>
      </c>
      <c r="Q909" s="8" t="str">
        <f t="shared" si="308"/>
        <v/>
      </c>
      <c r="R909" s="111" t="str">
        <f t="shared" si="309"/>
        <v/>
      </c>
      <c r="S909" s="44" t="str">
        <f t="shared" si="310"/>
        <v/>
      </c>
      <c r="T909" s="37" t="str">
        <f t="shared" si="311"/>
        <v/>
      </c>
      <c r="U909" s="44" t="str">
        <f t="shared" si="312"/>
        <v/>
      </c>
      <c r="V909" s="26"/>
      <c r="W909" s="26"/>
      <c r="X909" s="26"/>
      <c r="Y909" s="26"/>
      <c r="Z909" s="24"/>
      <c r="AA909" s="169">
        <f t="shared" si="297"/>
        <v>0</v>
      </c>
      <c r="AB909" s="4">
        <f t="shared" si="298"/>
        <v>0</v>
      </c>
      <c r="AC909" s="170">
        <f t="shared" si="294"/>
        <v>0</v>
      </c>
      <c r="AD909" s="58"/>
      <c r="AE909" s="58"/>
      <c r="AF909" s="58"/>
      <c r="AG909" s="59">
        <f t="shared" si="299"/>
        <v>9.0359999999999996</v>
      </c>
      <c r="AH909" s="59">
        <f t="shared" si="300"/>
        <v>-184.49199999999999</v>
      </c>
      <c r="AJ909" s="4">
        <f>IF(D909="M",IF(AM909&lt;78,BMILMS!$D$5*AM909^3+BMILMS!$E$5*AM909^2+BMILMS!$F$5*AM909+BMILMS!$G$5,IF(AM909&lt;150,BMILMS!$D$6*AM909^3+BMILMS!$E$6*AM909^2+BMILMS!$F$6*AM909+BMILMS!$G$6,BMILMS!$D$7*AM909^3+BMILMS!$E$7*AM909^2+BMILMS!$F$7*AM909+BMILMS!$G$7)),IF(AM909&lt;69,BMILMS!$D$9*AM909^3+BMILMS!$E$9*AM909^2+BMILMS!$F$9*AM909+BMILMS!$G$9,IF(AM909&lt;150,BMILMS!$D$10*AM909^3+BMILMS!$E$10*AM909^2+BMILMS!$F$10*AM909+BMILMS!$G$10,BMILMS!$D$11*AM909^3+BMILMS!$E$11*AM909^2+BMILMS!$F$11*AM909+BMILMS!$G$11)))</f>
        <v>0.79584630099999998</v>
      </c>
      <c r="AK909" s="4">
        <f>IF(D909="M",(IF(AM909&lt;2.5,BMILMS!$D$21*AM909^3+BMILMS!$E$21*AM909^2+BMILMS!$F$21*AM909+BMILMS!$G$21,IF(AM909&lt;9.5,BMILMS!$D$22*AM909^3+BMILMS!$E$22*AM909^2+BMILMS!$F$22*AM909+BMILMS!$G$22,IF(AM909&lt;26.75,BMILMS!$D$23*AM909^3+BMILMS!$E$23*AM909^2+BMILMS!$F$23*AM909+BMILMS!$G$23,IF(AM909&lt;90,BMILMS!$D$24*AM909^3+BMILMS!$E$24*AM909^2+BMILMS!$F$24*AM909+BMILMS!$G$24,BMILMS!$D$25*AM909^3+BMILMS!$E$25*AM909^2+BMILMS!$F$25*AM909+BMILMS!$G$25))))),(IF(AM909&lt;2.5,BMILMS!$D$27*AM909^3+BMILMS!$E$27*AM909^2+BMILMS!$F$27*AM909+BMILMS!$G$27,IF(AM909&lt;9.5,BMILMS!$D$28*AM909^3+BMILMS!$E$28*AM909^2+BMILMS!$F$28*AM909+BMILMS!$G$28,IF(AM909&lt;26.75,BMILMS!$D$29*AM909^3+BMILMS!$E$29*AM909^2+BMILMS!$F$29*AM909+BMILMS!$G$29,IF(AM909&lt;90,BMILMS!$D$30*AM909^3+BMILMS!$E$30*AM909^2+BMILMS!$F$30*AM909+BMILMS!$G$30,IF(AM909&lt;150,BMILMS!$D$31*AM909^3+BMILMS!$E$31*AM909^2+BMILMS!$F$31*AM909+BMILMS!$G$31,BMILMS!$D$32*AM909^3+BMILMS!$E$32*AM909^2+BMILMS!$F$32*AM909+BMILMS!$G$32)))))))</f>
        <v>12.568967990000001</v>
      </c>
      <c r="AL909" s="4">
        <f>IF(D909="M",(IF(AM909&lt;90,BMILMS!$D$14*AM909^3+BMILMS!$E$14*AM909^2+BMILMS!$F$14*AM909+BMILMS!$G$14,BMILMS!$D$15*AM909^3+BMILMS!$E$15*AM909^2+BMILMS!$F$15*AM909+BMILMS!$G$15)),(IF(AM909&lt;90,BMILMS!$D$17*AM909^3+BMILMS!$E$17*AM909^2+BMILMS!$F$17*AM909+BMILMS!$G$17,BMILMS!$D$18*AM909^3+BMILMS!$E$18*AM909^2+BMILMS!$F$18*AM909+BMILMS!$G$18)))</f>
        <v>8.8969350000000003E-2</v>
      </c>
      <c r="AM909" s="4">
        <f t="shared" si="314"/>
        <v>0</v>
      </c>
      <c r="AO909" s="56">
        <f>IF(D909="M",WeightSDS!P$5*$AM909^7+WeightSDS!Q$5*$AM909^6+WeightSDS!R$5*$AM909^5+WeightSDS!S$5*$AM909^4+WeightSDS!T$5*$AM909^3+WeightSDS!U$5*$AM909^2+WeightSDS!V$5*$AM909+WeightSDS!W$5,IF($AM909&lt;186,WeightSDS!P$8*$AM909^7+WeightSDS!Q$8*$AM909^6+WeightSDS!R$8*$AM909^5+WeightSDS!S$8*$AM909^4+WeightSDS!T$8*$AM909^3+WeightSDS!U$8*$AM909^2+WeightSDS!V$8*$AM909+WeightSDS!W$8,WeightSDS!$U$9+WeightSDS!$V$9*($AM909-WeightSDS!$W$9)))</f>
        <v>0.75407122999999998</v>
      </c>
      <c r="AP909" s="4">
        <f>IF(D909="M",IF($AM909&lt;45,WeightSDS!M$23*$AM909^10+WeightSDS!N$23*$AM909^9+WeightSDS!O$23*$AM909^8+WeightSDS!P$23*$AM909^7+WeightSDS!Q$23*$AM909^6+WeightSDS!R$23*$AM909^5+WeightSDS!S$23*$AM909^4+WeightSDS!T$23*$AM909^3+WeightSDS!U$23*$AM909^2+WeightSDS!V$23*$AM909+WeightSDS!W$23,IF($AM909&lt;153,WeightSDS!M$25*$AM909^10+WeightSDS!N$25*$AM909^9+WeightSDS!O$25*$AM909^8+WeightSDS!P$25*$AM909^7+WeightSDS!Q$25*$AM909^6+WeightSDS!R$25*$AM909^5+WeightSDS!S$25*$AM909^4+WeightSDS!T$25*$AM909^3+WeightSDS!U$25*$AM909^2+WeightSDS!V$25*$AM909+WeightSDS!W$25,WeightSDS!M$27+WeightSDS!N$27/(1+EXP(WeightSDS!O$27+WeightSDS!P$27*$AM909)))),IF($AM909&lt;43.8,WeightSDS!M$29*$AM909^10+WeightSDS!N$29*$AM909^9+WeightSDS!O$29*$AM909^8+WeightSDS!P$29*$AM909^7+WeightSDS!Q$29*$AM909^6+WeightSDS!R$29*$AM909^5+WeightSDS!S$29*$AM909^4+WeightSDS!T$29*$AM909^3+WeightSDS!U$29*$AM909^2+WeightSDS!V$29*$AM909+WeightSDS!W$29-0.010431*(1-$AM909/210),IF($AM909&lt;123,WeightSDS!M$30*$AM909^10+WeightSDS!N$30*$AM909^9+WeightSDS!O$30*$AM909^8+WeightSDS!P$30*$AM909^7+WeightSDS!Q$30*$AM909^6+WeightSDS!R$30*$AM909^5+WeightSDS!S$30*$AM909^4+WeightSDS!T$30*$AM909^3+WeightSDS!U$30*$AM909^2+WeightSDS!V$30*$AM909+WeightSDS!W$30-0.010431*(1-1/$AM909),WeightSDS!M$32+WeightSDS!N$32/(1+EXP(WeightSDS!O$32+WeightSDS!P$32*$AM909))-0.010431*(1-$AM909/210))))</f>
        <v>2.9500001032655536</v>
      </c>
      <c r="AQ909" s="4">
        <f>IF(D909="M",IF($AM909&lt;162,WeightSDS!P$12*$AM909^7+WeightSDS!Q$12*$AM909^6+WeightSDS!R$12*$AM909^5+WeightSDS!S$12*$AM909^4+WeightSDS!T$12*$AM909^3+WeightSDS!U$12*$AM909^2+WeightSDS!V$12*$AM909+WeightSDS!W$12,WeightSDS!P$14*$AM909^7+WeightSDS!Q$14*$AM909^6+WeightSDS!R$14*$AM909^5+WeightSDS!S$14*$AM909^4+WeightSDS!T$14*$AM909^3+WeightSDS!U$14*$AM909^2+WeightSDS!V$14*$AM909+WeightSDS!W$14),IF($AM909&lt;156,WeightSDS!O$17*$AM909^8+WeightSDS!P$17*$AM909^7+WeightSDS!Q$17*$AM909^6+WeightSDS!R$17*$AM909^5+WeightSDS!S$17*$AM909^4+WeightSDS!T$17*$AM909^3+WeightSDS!U$17*$AM909^2+WeightSDS!V$17*$AM909+WeightSDS!W$17,IF($AM909&lt;186,WeightSDS!$U$18+(WeightSDS!$V$18-WeightSDS!$U$18)/24*($AM909-186)+WeightSDS!$W$18*(-$AM909+186)^2-0.005,WeightSDS!$U$18+(WeightSDS!$V$18-WeightSDS!$U$18)/24*($AM909-186)-0.005)))</f>
        <v>0.14604529399999999</v>
      </c>
      <c r="AT909" s="4">
        <f t="shared" si="301"/>
        <v>0.56299999999999994</v>
      </c>
      <c r="AU909" s="4">
        <f t="shared" si="302"/>
        <v>69</v>
      </c>
      <c r="AV909" s="4">
        <f t="shared" si="303"/>
        <v>0.51</v>
      </c>
    </row>
    <row r="910" spans="1:48" x14ac:dyDescent="0.15">
      <c r="A910" s="4"/>
      <c r="B910" s="21"/>
      <c r="C910" s="21"/>
      <c r="D910" s="21"/>
      <c r="E910" s="22"/>
      <c r="F910" s="22"/>
      <c r="G910" s="23"/>
      <c r="H910" s="23"/>
      <c r="I910" s="181"/>
      <c r="J910" s="8" t="str">
        <f t="shared" si="295"/>
        <v/>
      </c>
      <c r="K910" s="2" t="str">
        <f t="shared" si="304"/>
        <v/>
      </c>
      <c r="L910" s="2" t="str">
        <f t="shared" si="296"/>
        <v/>
      </c>
      <c r="M910" s="2" t="str">
        <f t="shared" si="305"/>
        <v/>
      </c>
      <c r="N910" s="2" t="str">
        <f t="shared" si="313"/>
        <v/>
      </c>
      <c r="O910" s="2" t="str">
        <f t="shared" si="306"/>
        <v/>
      </c>
      <c r="P910" s="8" t="str">
        <f t="shared" si="307"/>
        <v/>
      </c>
      <c r="Q910" s="8" t="str">
        <f t="shared" si="308"/>
        <v/>
      </c>
      <c r="R910" s="111" t="str">
        <f t="shared" si="309"/>
        <v/>
      </c>
      <c r="S910" s="44" t="str">
        <f t="shared" si="310"/>
        <v/>
      </c>
      <c r="T910" s="37" t="str">
        <f t="shared" si="311"/>
        <v/>
      </c>
      <c r="U910" s="44" t="str">
        <f t="shared" si="312"/>
        <v/>
      </c>
      <c r="V910" s="26"/>
      <c r="W910" s="26"/>
      <c r="X910" s="26"/>
      <c r="Y910" s="26"/>
      <c r="Z910" s="24"/>
      <c r="AA910" s="169">
        <f t="shared" si="297"/>
        <v>0</v>
      </c>
      <c r="AB910" s="4">
        <f t="shared" si="298"/>
        <v>0</v>
      </c>
      <c r="AC910" s="170">
        <f t="shared" si="294"/>
        <v>0</v>
      </c>
      <c r="AD910" s="58"/>
      <c r="AE910" s="58"/>
      <c r="AF910" s="58"/>
      <c r="AG910" s="59">
        <f t="shared" si="299"/>
        <v>9.0359999999999996</v>
      </c>
      <c r="AH910" s="59">
        <f t="shared" si="300"/>
        <v>-184.49199999999999</v>
      </c>
      <c r="AJ910" s="4">
        <f>IF(D910="M",IF(AM910&lt;78,BMILMS!$D$5*AM910^3+BMILMS!$E$5*AM910^2+BMILMS!$F$5*AM910+BMILMS!$G$5,IF(AM910&lt;150,BMILMS!$D$6*AM910^3+BMILMS!$E$6*AM910^2+BMILMS!$F$6*AM910+BMILMS!$G$6,BMILMS!$D$7*AM910^3+BMILMS!$E$7*AM910^2+BMILMS!$F$7*AM910+BMILMS!$G$7)),IF(AM910&lt;69,BMILMS!$D$9*AM910^3+BMILMS!$E$9*AM910^2+BMILMS!$F$9*AM910+BMILMS!$G$9,IF(AM910&lt;150,BMILMS!$D$10*AM910^3+BMILMS!$E$10*AM910^2+BMILMS!$F$10*AM910+BMILMS!$G$10,BMILMS!$D$11*AM910^3+BMILMS!$E$11*AM910^2+BMILMS!$F$11*AM910+BMILMS!$G$11)))</f>
        <v>0.79584630099999998</v>
      </c>
      <c r="AK910" s="4">
        <f>IF(D910="M",(IF(AM910&lt;2.5,BMILMS!$D$21*AM910^3+BMILMS!$E$21*AM910^2+BMILMS!$F$21*AM910+BMILMS!$G$21,IF(AM910&lt;9.5,BMILMS!$D$22*AM910^3+BMILMS!$E$22*AM910^2+BMILMS!$F$22*AM910+BMILMS!$G$22,IF(AM910&lt;26.75,BMILMS!$D$23*AM910^3+BMILMS!$E$23*AM910^2+BMILMS!$F$23*AM910+BMILMS!$G$23,IF(AM910&lt;90,BMILMS!$D$24*AM910^3+BMILMS!$E$24*AM910^2+BMILMS!$F$24*AM910+BMILMS!$G$24,BMILMS!$D$25*AM910^3+BMILMS!$E$25*AM910^2+BMILMS!$F$25*AM910+BMILMS!$G$25))))),(IF(AM910&lt;2.5,BMILMS!$D$27*AM910^3+BMILMS!$E$27*AM910^2+BMILMS!$F$27*AM910+BMILMS!$G$27,IF(AM910&lt;9.5,BMILMS!$D$28*AM910^3+BMILMS!$E$28*AM910^2+BMILMS!$F$28*AM910+BMILMS!$G$28,IF(AM910&lt;26.75,BMILMS!$D$29*AM910^3+BMILMS!$E$29*AM910^2+BMILMS!$F$29*AM910+BMILMS!$G$29,IF(AM910&lt;90,BMILMS!$D$30*AM910^3+BMILMS!$E$30*AM910^2+BMILMS!$F$30*AM910+BMILMS!$G$30,IF(AM910&lt;150,BMILMS!$D$31*AM910^3+BMILMS!$E$31*AM910^2+BMILMS!$F$31*AM910+BMILMS!$G$31,BMILMS!$D$32*AM910^3+BMILMS!$E$32*AM910^2+BMILMS!$F$32*AM910+BMILMS!$G$32)))))))</f>
        <v>12.568967990000001</v>
      </c>
      <c r="AL910" s="4">
        <f>IF(D910="M",(IF(AM910&lt;90,BMILMS!$D$14*AM910^3+BMILMS!$E$14*AM910^2+BMILMS!$F$14*AM910+BMILMS!$G$14,BMILMS!$D$15*AM910^3+BMILMS!$E$15*AM910^2+BMILMS!$F$15*AM910+BMILMS!$G$15)),(IF(AM910&lt;90,BMILMS!$D$17*AM910^3+BMILMS!$E$17*AM910^2+BMILMS!$F$17*AM910+BMILMS!$G$17,BMILMS!$D$18*AM910^3+BMILMS!$E$18*AM910^2+BMILMS!$F$18*AM910+BMILMS!$G$18)))</f>
        <v>8.8969350000000003E-2</v>
      </c>
      <c r="AM910" s="4">
        <f t="shared" si="314"/>
        <v>0</v>
      </c>
      <c r="AO910" s="56">
        <f>IF(D910="M",WeightSDS!P$5*$AM910^7+WeightSDS!Q$5*$AM910^6+WeightSDS!R$5*$AM910^5+WeightSDS!S$5*$AM910^4+WeightSDS!T$5*$AM910^3+WeightSDS!U$5*$AM910^2+WeightSDS!V$5*$AM910+WeightSDS!W$5,IF($AM910&lt;186,WeightSDS!P$8*$AM910^7+WeightSDS!Q$8*$AM910^6+WeightSDS!R$8*$AM910^5+WeightSDS!S$8*$AM910^4+WeightSDS!T$8*$AM910^3+WeightSDS!U$8*$AM910^2+WeightSDS!V$8*$AM910+WeightSDS!W$8,WeightSDS!$U$9+WeightSDS!$V$9*($AM910-WeightSDS!$W$9)))</f>
        <v>0.75407122999999998</v>
      </c>
      <c r="AP910" s="4">
        <f>IF(D910="M",IF($AM910&lt;45,WeightSDS!M$23*$AM910^10+WeightSDS!N$23*$AM910^9+WeightSDS!O$23*$AM910^8+WeightSDS!P$23*$AM910^7+WeightSDS!Q$23*$AM910^6+WeightSDS!R$23*$AM910^5+WeightSDS!S$23*$AM910^4+WeightSDS!T$23*$AM910^3+WeightSDS!U$23*$AM910^2+WeightSDS!V$23*$AM910+WeightSDS!W$23,IF($AM910&lt;153,WeightSDS!M$25*$AM910^10+WeightSDS!N$25*$AM910^9+WeightSDS!O$25*$AM910^8+WeightSDS!P$25*$AM910^7+WeightSDS!Q$25*$AM910^6+WeightSDS!R$25*$AM910^5+WeightSDS!S$25*$AM910^4+WeightSDS!T$25*$AM910^3+WeightSDS!U$25*$AM910^2+WeightSDS!V$25*$AM910+WeightSDS!W$25,WeightSDS!M$27+WeightSDS!N$27/(1+EXP(WeightSDS!O$27+WeightSDS!P$27*$AM910)))),IF($AM910&lt;43.8,WeightSDS!M$29*$AM910^10+WeightSDS!N$29*$AM910^9+WeightSDS!O$29*$AM910^8+WeightSDS!P$29*$AM910^7+WeightSDS!Q$29*$AM910^6+WeightSDS!R$29*$AM910^5+WeightSDS!S$29*$AM910^4+WeightSDS!T$29*$AM910^3+WeightSDS!U$29*$AM910^2+WeightSDS!V$29*$AM910+WeightSDS!W$29-0.010431*(1-$AM910/210),IF($AM910&lt;123,WeightSDS!M$30*$AM910^10+WeightSDS!N$30*$AM910^9+WeightSDS!O$30*$AM910^8+WeightSDS!P$30*$AM910^7+WeightSDS!Q$30*$AM910^6+WeightSDS!R$30*$AM910^5+WeightSDS!S$30*$AM910^4+WeightSDS!T$30*$AM910^3+WeightSDS!U$30*$AM910^2+WeightSDS!V$30*$AM910+WeightSDS!W$30-0.010431*(1-1/$AM910),WeightSDS!M$32+WeightSDS!N$32/(1+EXP(WeightSDS!O$32+WeightSDS!P$32*$AM910))-0.010431*(1-$AM910/210))))</f>
        <v>2.9500001032655536</v>
      </c>
      <c r="AQ910" s="4">
        <f>IF(D910="M",IF($AM910&lt;162,WeightSDS!P$12*$AM910^7+WeightSDS!Q$12*$AM910^6+WeightSDS!R$12*$AM910^5+WeightSDS!S$12*$AM910^4+WeightSDS!T$12*$AM910^3+WeightSDS!U$12*$AM910^2+WeightSDS!V$12*$AM910+WeightSDS!W$12,WeightSDS!P$14*$AM910^7+WeightSDS!Q$14*$AM910^6+WeightSDS!R$14*$AM910^5+WeightSDS!S$14*$AM910^4+WeightSDS!T$14*$AM910^3+WeightSDS!U$14*$AM910^2+WeightSDS!V$14*$AM910+WeightSDS!W$14),IF($AM910&lt;156,WeightSDS!O$17*$AM910^8+WeightSDS!P$17*$AM910^7+WeightSDS!Q$17*$AM910^6+WeightSDS!R$17*$AM910^5+WeightSDS!S$17*$AM910^4+WeightSDS!T$17*$AM910^3+WeightSDS!U$17*$AM910^2+WeightSDS!V$17*$AM910+WeightSDS!W$17,IF($AM910&lt;186,WeightSDS!$U$18+(WeightSDS!$V$18-WeightSDS!$U$18)/24*($AM910-186)+WeightSDS!$W$18*(-$AM910+186)^2-0.005,WeightSDS!$U$18+(WeightSDS!$V$18-WeightSDS!$U$18)/24*($AM910-186)-0.005)))</f>
        <v>0.14604529399999999</v>
      </c>
      <c r="AT910" s="4">
        <f t="shared" si="301"/>
        <v>0.56299999999999994</v>
      </c>
      <c r="AU910" s="4">
        <f t="shared" si="302"/>
        <v>69</v>
      </c>
      <c r="AV910" s="4">
        <f t="shared" si="303"/>
        <v>0.51</v>
      </c>
    </row>
    <row r="911" spans="1:48" x14ac:dyDescent="0.15">
      <c r="A911" s="4"/>
      <c r="B911" s="21"/>
      <c r="C911" s="21"/>
      <c r="D911" s="21"/>
      <c r="E911" s="22"/>
      <c r="F911" s="22"/>
      <c r="G911" s="23"/>
      <c r="H911" s="23"/>
      <c r="I911" s="181"/>
      <c r="J911" s="8" t="str">
        <f t="shared" si="295"/>
        <v/>
      </c>
      <c r="K911" s="2" t="str">
        <f t="shared" si="304"/>
        <v/>
      </c>
      <c r="L911" s="2" t="str">
        <f t="shared" si="296"/>
        <v/>
      </c>
      <c r="M911" s="2" t="str">
        <f t="shared" si="305"/>
        <v/>
      </c>
      <c r="N911" s="2" t="str">
        <f t="shared" si="313"/>
        <v/>
      </c>
      <c r="O911" s="2" t="str">
        <f t="shared" si="306"/>
        <v/>
      </c>
      <c r="P911" s="8" t="str">
        <f t="shared" si="307"/>
        <v/>
      </c>
      <c r="Q911" s="8" t="str">
        <f t="shared" si="308"/>
        <v/>
      </c>
      <c r="R911" s="111" t="str">
        <f t="shared" si="309"/>
        <v/>
      </c>
      <c r="S911" s="44" t="str">
        <f t="shared" si="310"/>
        <v/>
      </c>
      <c r="T911" s="37" t="str">
        <f t="shared" si="311"/>
        <v/>
      </c>
      <c r="U911" s="44" t="str">
        <f t="shared" si="312"/>
        <v/>
      </c>
      <c r="V911" s="26"/>
      <c r="W911" s="26"/>
      <c r="X911" s="26"/>
      <c r="Y911" s="26"/>
      <c r="Z911" s="24"/>
      <c r="AA911" s="169">
        <f t="shared" si="297"/>
        <v>0</v>
      </c>
      <c r="AB911" s="4">
        <f t="shared" si="298"/>
        <v>0</v>
      </c>
      <c r="AC911" s="170">
        <f t="shared" si="294"/>
        <v>0</v>
      </c>
      <c r="AD911" s="58"/>
      <c r="AE911" s="58"/>
      <c r="AF911" s="58"/>
      <c r="AG911" s="59">
        <f t="shared" si="299"/>
        <v>9.0359999999999996</v>
      </c>
      <c r="AH911" s="59">
        <f t="shared" si="300"/>
        <v>-184.49199999999999</v>
      </c>
      <c r="AJ911" s="4">
        <f>IF(D911="M",IF(AM911&lt;78,BMILMS!$D$5*AM911^3+BMILMS!$E$5*AM911^2+BMILMS!$F$5*AM911+BMILMS!$G$5,IF(AM911&lt;150,BMILMS!$D$6*AM911^3+BMILMS!$E$6*AM911^2+BMILMS!$F$6*AM911+BMILMS!$G$6,BMILMS!$D$7*AM911^3+BMILMS!$E$7*AM911^2+BMILMS!$F$7*AM911+BMILMS!$G$7)),IF(AM911&lt;69,BMILMS!$D$9*AM911^3+BMILMS!$E$9*AM911^2+BMILMS!$F$9*AM911+BMILMS!$G$9,IF(AM911&lt;150,BMILMS!$D$10*AM911^3+BMILMS!$E$10*AM911^2+BMILMS!$F$10*AM911+BMILMS!$G$10,BMILMS!$D$11*AM911^3+BMILMS!$E$11*AM911^2+BMILMS!$F$11*AM911+BMILMS!$G$11)))</f>
        <v>0.79584630099999998</v>
      </c>
      <c r="AK911" s="4">
        <f>IF(D911="M",(IF(AM911&lt;2.5,BMILMS!$D$21*AM911^3+BMILMS!$E$21*AM911^2+BMILMS!$F$21*AM911+BMILMS!$G$21,IF(AM911&lt;9.5,BMILMS!$D$22*AM911^3+BMILMS!$E$22*AM911^2+BMILMS!$F$22*AM911+BMILMS!$G$22,IF(AM911&lt;26.75,BMILMS!$D$23*AM911^3+BMILMS!$E$23*AM911^2+BMILMS!$F$23*AM911+BMILMS!$G$23,IF(AM911&lt;90,BMILMS!$D$24*AM911^3+BMILMS!$E$24*AM911^2+BMILMS!$F$24*AM911+BMILMS!$G$24,BMILMS!$D$25*AM911^3+BMILMS!$E$25*AM911^2+BMILMS!$F$25*AM911+BMILMS!$G$25))))),(IF(AM911&lt;2.5,BMILMS!$D$27*AM911^3+BMILMS!$E$27*AM911^2+BMILMS!$F$27*AM911+BMILMS!$G$27,IF(AM911&lt;9.5,BMILMS!$D$28*AM911^3+BMILMS!$E$28*AM911^2+BMILMS!$F$28*AM911+BMILMS!$G$28,IF(AM911&lt;26.75,BMILMS!$D$29*AM911^3+BMILMS!$E$29*AM911^2+BMILMS!$F$29*AM911+BMILMS!$G$29,IF(AM911&lt;90,BMILMS!$D$30*AM911^3+BMILMS!$E$30*AM911^2+BMILMS!$F$30*AM911+BMILMS!$G$30,IF(AM911&lt;150,BMILMS!$D$31*AM911^3+BMILMS!$E$31*AM911^2+BMILMS!$F$31*AM911+BMILMS!$G$31,BMILMS!$D$32*AM911^3+BMILMS!$E$32*AM911^2+BMILMS!$F$32*AM911+BMILMS!$G$32)))))))</f>
        <v>12.568967990000001</v>
      </c>
      <c r="AL911" s="4">
        <f>IF(D911="M",(IF(AM911&lt;90,BMILMS!$D$14*AM911^3+BMILMS!$E$14*AM911^2+BMILMS!$F$14*AM911+BMILMS!$G$14,BMILMS!$D$15*AM911^3+BMILMS!$E$15*AM911^2+BMILMS!$F$15*AM911+BMILMS!$G$15)),(IF(AM911&lt;90,BMILMS!$D$17*AM911^3+BMILMS!$E$17*AM911^2+BMILMS!$F$17*AM911+BMILMS!$G$17,BMILMS!$D$18*AM911^3+BMILMS!$E$18*AM911^2+BMILMS!$F$18*AM911+BMILMS!$G$18)))</f>
        <v>8.8969350000000003E-2</v>
      </c>
      <c r="AM911" s="4">
        <f t="shared" si="314"/>
        <v>0</v>
      </c>
      <c r="AO911" s="56">
        <f>IF(D911="M",WeightSDS!P$5*$AM911^7+WeightSDS!Q$5*$AM911^6+WeightSDS!R$5*$AM911^5+WeightSDS!S$5*$AM911^4+WeightSDS!T$5*$AM911^3+WeightSDS!U$5*$AM911^2+WeightSDS!V$5*$AM911+WeightSDS!W$5,IF($AM911&lt;186,WeightSDS!P$8*$AM911^7+WeightSDS!Q$8*$AM911^6+WeightSDS!R$8*$AM911^5+WeightSDS!S$8*$AM911^4+WeightSDS!T$8*$AM911^3+WeightSDS!U$8*$AM911^2+WeightSDS!V$8*$AM911+WeightSDS!W$8,WeightSDS!$U$9+WeightSDS!$V$9*($AM911-WeightSDS!$W$9)))</f>
        <v>0.75407122999999998</v>
      </c>
      <c r="AP911" s="4">
        <f>IF(D911="M",IF($AM911&lt;45,WeightSDS!M$23*$AM911^10+WeightSDS!N$23*$AM911^9+WeightSDS!O$23*$AM911^8+WeightSDS!P$23*$AM911^7+WeightSDS!Q$23*$AM911^6+WeightSDS!R$23*$AM911^5+WeightSDS!S$23*$AM911^4+WeightSDS!T$23*$AM911^3+WeightSDS!U$23*$AM911^2+WeightSDS!V$23*$AM911+WeightSDS!W$23,IF($AM911&lt;153,WeightSDS!M$25*$AM911^10+WeightSDS!N$25*$AM911^9+WeightSDS!O$25*$AM911^8+WeightSDS!P$25*$AM911^7+WeightSDS!Q$25*$AM911^6+WeightSDS!R$25*$AM911^5+WeightSDS!S$25*$AM911^4+WeightSDS!T$25*$AM911^3+WeightSDS!U$25*$AM911^2+WeightSDS!V$25*$AM911+WeightSDS!W$25,WeightSDS!M$27+WeightSDS!N$27/(1+EXP(WeightSDS!O$27+WeightSDS!P$27*$AM911)))),IF($AM911&lt;43.8,WeightSDS!M$29*$AM911^10+WeightSDS!N$29*$AM911^9+WeightSDS!O$29*$AM911^8+WeightSDS!P$29*$AM911^7+WeightSDS!Q$29*$AM911^6+WeightSDS!R$29*$AM911^5+WeightSDS!S$29*$AM911^4+WeightSDS!T$29*$AM911^3+WeightSDS!U$29*$AM911^2+WeightSDS!V$29*$AM911+WeightSDS!W$29-0.010431*(1-$AM911/210),IF($AM911&lt;123,WeightSDS!M$30*$AM911^10+WeightSDS!N$30*$AM911^9+WeightSDS!O$30*$AM911^8+WeightSDS!P$30*$AM911^7+WeightSDS!Q$30*$AM911^6+WeightSDS!R$30*$AM911^5+WeightSDS!S$30*$AM911^4+WeightSDS!T$30*$AM911^3+WeightSDS!U$30*$AM911^2+WeightSDS!V$30*$AM911+WeightSDS!W$30-0.010431*(1-1/$AM911),WeightSDS!M$32+WeightSDS!N$32/(1+EXP(WeightSDS!O$32+WeightSDS!P$32*$AM911))-0.010431*(1-$AM911/210))))</f>
        <v>2.9500001032655536</v>
      </c>
      <c r="AQ911" s="4">
        <f>IF(D911="M",IF($AM911&lt;162,WeightSDS!P$12*$AM911^7+WeightSDS!Q$12*$AM911^6+WeightSDS!R$12*$AM911^5+WeightSDS!S$12*$AM911^4+WeightSDS!T$12*$AM911^3+WeightSDS!U$12*$AM911^2+WeightSDS!V$12*$AM911+WeightSDS!W$12,WeightSDS!P$14*$AM911^7+WeightSDS!Q$14*$AM911^6+WeightSDS!R$14*$AM911^5+WeightSDS!S$14*$AM911^4+WeightSDS!T$14*$AM911^3+WeightSDS!U$14*$AM911^2+WeightSDS!V$14*$AM911+WeightSDS!W$14),IF($AM911&lt;156,WeightSDS!O$17*$AM911^8+WeightSDS!P$17*$AM911^7+WeightSDS!Q$17*$AM911^6+WeightSDS!R$17*$AM911^5+WeightSDS!S$17*$AM911^4+WeightSDS!T$17*$AM911^3+WeightSDS!U$17*$AM911^2+WeightSDS!V$17*$AM911+WeightSDS!W$17,IF($AM911&lt;186,WeightSDS!$U$18+(WeightSDS!$V$18-WeightSDS!$U$18)/24*($AM911-186)+WeightSDS!$W$18*(-$AM911+186)^2-0.005,WeightSDS!$U$18+(WeightSDS!$V$18-WeightSDS!$U$18)/24*($AM911-186)-0.005)))</f>
        <v>0.14604529399999999</v>
      </c>
      <c r="AT911" s="4">
        <f t="shared" si="301"/>
        <v>0.56299999999999994</v>
      </c>
      <c r="AU911" s="4">
        <f t="shared" si="302"/>
        <v>69</v>
      </c>
      <c r="AV911" s="4">
        <f t="shared" si="303"/>
        <v>0.51</v>
      </c>
    </row>
    <row r="912" spans="1:48" x14ac:dyDescent="0.15">
      <c r="A912" s="4"/>
      <c r="B912" s="21"/>
      <c r="C912" s="21"/>
      <c r="D912" s="21"/>
      <c r="E912" s="22"/>
      <c r="F912" s="22"/>
      <c r="G912" s="23"/>
      <c r="H912" s="23"/>
      <c r="I912" s="181"/>
      <c r="J912" s="8" t="str">
        <f t="shared" si="295"/>
        <v/>
      </c>
      <c r="K912" s="2" t="str">
        <f t="shared" si="304"/>
        <v/>
      </c>
      <c r="L912" s="2" t="str">
        <f t="shared" si="296"/>
        <v/>
      </c>
      <c r="M912" s="2" t="str">
        <f t="shared" si="305"/>
        <v/>
      </c>
      <c r="N912" s="2" t="str">
        <f t="shared" si="313"/>
        <v/>
      </c>
      <c r="O912" s="2" t="str">
        <f t="shared" si="306"/>
        <v/>
      </c>
      <c r="P912" s="8" t="str">
        <f t="shared" si="307"/>
        <v/>
      </c>
      <c r="Q912" s="8" t="str">
        <f t="shared" si="308"/>
        <v/>
      </c>
      <c r="R912" s="111" t="str">
        <f t="shared" si="309"/>
        <v/>
      </c>
      <c r="S912" s="44" t="str">
        <f t="shared" si="310"/>
        <v/>
      </c>
      <c r="T912" s="37" t="str">
        <f t="shared" si="311"/>
        <v/>
      </c>
      <c r="U912" s="44" t="str">
        <f t="shared" si="312"/>
        <v/>
      </c>
      <c r="V912" s="26"/>
      <c r="W912" s="26"/>
      <c r="X912" s="26"/>
      <c r="Y912" s="26"/>
      <c r="Z912" s="24"/>
      <c r="AA912" s="169">
        <f t="shared" si="297"/>
        <v>0</v>
      </c>
      <c r="AB912" s="4">
        <f t="shared" si="298"/>
        <v>0</v>
      </c>
      <c r="AC912" s="170">
        <f t="shared" si="294"/>
        <v>0</v>
      </c>
      <c r="AD912" s="58"/>
      <c r="AE912" s="58"/>
      <c r="AF912" s="58"/>
      <c r="AG912" s="59">
        <f t="shared" si="299"/>
        <v>9.0359999999999996</v>
      </c>
      <c r="AH912" s="59">
        <f t="shared" si="300"/>
        <v>-184.49199999999999</v>
      </c>
      <c r="AJ912" s="4">
        <f>IF(D912="M",IF(AM912&lt;78,BMILMS!$D$5*AM912^3+BMILMS!$E$5*AM912^2+BMILMS!$F$5*AM912+BMILMS!$G$5,IF(AM912&lt;150,BMILMS!$D$6*AM912^3+BMILMS!$E$6*AM912^2+BMILMS!$F$6*AM912+BMILMS!$G$6,BMILMS!$D$7*AM912^3+BMILMS!$E$7*AM912^2+BMILMS!$F$7*AM912+BMILMS!$G$7)),IF(AM912&lt;69,BMILMS!$D$9*AM912^3+BMILMS!$E$9*AM912^2+BMILMS!$F$9*AM912+BMILMS!$G$9,IF(AM912&lt;150,BMILMS!$D$10*AM912^3+BMILMS!$E$10*AM912^2+BMILMS!$F$10*AM912+BMILMS!$G$10,BMILMS!$D$11*AM912^3+BMILMS!$E$11*AM912^2+BMILMS!$F$11*AM912+BMILMS!$G$11)))</f>
        <v>0.79584630099999998</v>
      </c>
      <c r="AK912" s="4">
        <f>IF(D912="M",(IF(AM912&lt;2.5,BMILMS!$D$21*AM912^3+BMILMS!$E$21*AM912^2+BMILMS!$F$21*AM912+BMILMS!$G$21,IF(AM912&lt;9.5,BMILMS!$D$22*AM912^3+BMILMS!$E$22*AM912^2+BMILMS!$F$22*AM912+BMILMS!$G$22,IF(AM912&lt;26.75,BMILMS!$D$23*AM912^3+BMILMS!$E$23*AM912^2+BMILMS!$F$23*AM912+BMILMS!$G$23,IF(AM912&lt;90,BMILMS!$D$24*AM912^3+BMILMS!$E$24*AM912^2+BMILMS!$F$24*AM912+BMILMS!$G$24,BMILMS!$D$25*AM912^3+BMILMS!$E$25*AM912^2+BMILMS!$F$25*AM912+BMILMS!$G$25))))),(IF(AM912&lt;2.5,BMILMS!$D$27*AM912^3+BMILMS!$E$27*AM912^2+BMILMS!$F$27*AM912+BMILMS!$G$27,IF(AM912&lt;9.5,BMILMS!$D$28*AM912^3+BMILMS!$E$28*AM912^2+BMILMS!$F$28*AM912+BMILMS!$G$28,IF(AM912&lt;26.75,BMILMS!$D$29*AM912^3+BMILMS!$E$29*AM912^2+BMILMS!$F$29*AM912+BMILMS!$G$29,IF(AM912&lt;90,BMILMS!$D$30*AM912^3+BMILMS!$E$30*AM912^2+BMILMS!$F$30*AM912+BMILMS!$G$30,IF(AM912&lt;150,BMILMS!$D$31*AM912^3+BMILMS!$E$31*AM912^2+BMILMS!$F$31*AM912+BMILMS!$G$31,BMILMS!$D$32*AM912^3+BMILMS!$E$32*AM912^2+BMILMS!$F$32*AM912+BMILMS!$G$32)))))))</f>
        <v>12.568967990000001</v>
      </c>
      <c r="AL912" s="4">
        <f>IF(D912="M",(IF(AM912&lt;90,BMILMS!$D$14*AM912^3+BMILMS!$E$14*AM912^2+BMILMS!$F$14*AM912+BMILMS!$G$14,BMILMS!$D$15*AM912^3+BMILMS!$E$15*AM912^2+BMILMS!$F$15*AM912+BMILMS!$G$15)),(IF(AM912&lt;90,BMILMS!$D$17*AM912^3+BMILMS!$E$17*AM912^2+BMILMS!$F$17*AM912+BMILMS!$G$17,BMILMS!$D$18*AM912^3+BMILMS!$E$18*AM912^2+BMILMS!$F$18*AM912+BMILMS!$G$18)))</f>
        <v>8.8969350000000003E-2</v>
      </c>
      <c r="AM912" s="4">
        <f t="shared" si="314"/>
        <v>0</v>
      </c>
      <c r="AO912" s="56">
        <f>IF(D912="M",WeightSDS!P$5*$AM912^7+WeightSDS!Q$5*$AM912^6+WeightSDS!R$5*$AM912^5+WeightSDS!S$5*$AM912^4+WeightSDS!T$5*$AM912^3+WeightSDS!U$5*$AM912^2+WeightSDS!V$5*$AM912+WeightSDS!W$5,IF($AM912&lt;186,WeightSDS!P$8*$AM912^7+WeightSDS!Q$8*$AM912^6+WeightSDS!R$8*$AM912^5+WeightSDS!S$8*$AM912^4+WeightSDS!T$8*$AM912^3+WeightSDS!U$8*$AM912^2+WeightSDS!V$8*$AM912+WeightSDS!W$8,WeightSDS!$U$9+WeightSDS!$V$9*($AM912-WeightSDS!$W$9)))</f>
        <v>0.75407122999999998</v>
      </c>
      <c r="AP912" s="4">
        <f>IF(D912="M",IF($AM912&lt;45,WeightSDS!M$23*$AM912^10+WeightSDS!N$23*$AM912^9+WeightSDS!O$23*$AM912^8+WeightSDS!P$23*$AM912^7+WeightSDS!Q$23*$AM912^6+WeightSDS!R$23*$AM912^5+WeightSDS!S$23*$AM912^4+WeightSDS!T$23*$AM912^3+WeightSDS!U$23*$AM912^2+WeightSDS!V$23*$AM912+WeightSDS!W$23,IF($AM912&lt;153,WeightSDS!M$25*$AM912^10+WeightSDS!N$25*$AM912^9+WeightSDS!O$25*$AM912^8+WeightSDS!P$25*$AM912^7+WeightSDS!Q$25*$AM912^6+WeightSDS!R$25*$AM912^5+WeightSDS!S$25*$AM912^4+WeightSDS!T$25*$AM912^3+WeightSDS!U$25*$AM912^2+WeightSDS!V$25*$AM912+WeightSDS!W$25,WeightSDS!M$27+WeightSDS!N$27/(1+EXP(WeightSDS!O$27+WeightSDS!P$27*$AM912)))),IF($AM912&lt;43.8,WeightSDS!M$29*$AM912^10+WeightSDS!N$29*$AM912^9+WeightSDS!O$29*$AM912^8+WeightSDS!P$29*$AM912^7+WeightSDS!Q$29*$AM912^6+WeightSDS!R$29*$AM912^5+WeightSDS!S$29*$AM912^4+WeightSDS!T$29*$AM912^3+WeightSDS!U$29*$AM912^2+WeightSDS!V$29*$AM912+WeightSDS!W$29-0.010431*(1-$AM912/210),IF($AM912&lt;123,WeightSDS!M$30*$AM912^10+WeightSDS!N$30*$AM912^9+WeightSDS!O$30*$AM912^8+WeightSDS!P$30*$AM912^7+WeightSDS!Q$30*$AM912^6+WeightSDS!R$30*$AM912^5+WeightSDS!S$30*$AM912^4+WeightSDS!T$30*$AM912^3+WeightSDS!U$30*$AM912^2+WeightSDS!V$30*$AM912+WeightSDS!W$30-0.010431*(1-1/$AM912),WeightSDS!M$32+WeightSDS!N$32/(1+EXP(WeightSDS!O$32+WeightSDS!P$32*$AM912))-0.010431*(1-$AM912/210))))</f>
        <v>2.9500001032655536</v>
      </c>
      <c r="AQ912" s="4">
        <f>IF(D912="M",IF($AM912&lt;162,WeightSDS!P$12*$AM912^7+WeightSDS!Q$12*$AM912^6+WeightSDS!R$12*$AM912^5+WeightSDS!S$12*$AM912^4+WeightSDS!T$12*$AM912^3+WeightSDS!U$12*$AM912^2+WeightSDS!V$12*$AM912+WeightSDS!W$12,WeightSDS!P$14*$AM912^7+WeightSDS!Q$14*$AM912^6+WeightSDS!R$14*$AM912^5+WeightSDS!S$14*$AM912^4+WeightSDS!T$14*$AM912^3+WeightSDS!U$14*$AM912^2+WeightSDS!V$14*$AM912+WeightSDS!W$14),IF($AM912&lt;156,WeightSDS!O$17*$AM912^8+WeightSDS!P$17*$AM912^7+WeightSDS!Q$17*$AM912^6+WeightSDS!R$17*$AM912^5+WeightSDS!S$17*$AM912^4+WeightSDS!T$17*$AM912^3+WeightSDS!U$17*$AM912^2+WeightSDS!V$17*$AM912+WeightSDS!W$17,IF($AM912&lt;186,WeightSDS!$U$18+(WeightSDS!$V$18-WeightSDS!$U$18)/24*($AM912-186)+WeightSDS!$W$18*(-$AM912+186)^2-0.005,WeightSDS!$U$18+(WeightSDS!$V$18-WeightSDS!$U$18)/24*($AM912-186)-0.005)))</f>
        <v>0.14604529399999999</v>
      </c>
      <c r="AT912" s="4">
        <f t="shared" si="301"/>
        <v>0.56299999999999994</v>
      </c>
      <c r="AU912" s="4">
        <f t="shared" si="302"/>
        <v>69</v>
      </c>
      <c r="AV912" s="4">
        <f t="shared" si="303"/>
        <v>0.51</v>
      </c>
    </row>
    <row r="913" spans="1:48" x14ac:dyDescent="0.15">
      <c r="A913" s="4"/>
      <c r="B913" s="21"/>
      <c r="C913" s="21"/>
      <c r="D913" s="21"/>
      <c r="E913" s="22"/>
      <c r="F913" s="22"/>
      <c r="G913" s="23"/>
      <c r="H913" s="23"/>
      <c r="I913" s="181"/>
      <c r="J913" s="8" t="str">
        <f t="shared" si="295"/>
        <v/>
      </c>
      <c r="K913" s="2" t="str">
        <f t="shared" si="304"/>
        <v/>
      </c>
      <c r="L913" s="2" t="str">
        <f t="shared" si="296"/>
        <v/>
      </c>
      <c r="M913" s="2" t="str">
        <f t="shared" si="305"/>
        <v/>
      </c>
      <c r="N913" s="2" t="str">
        <f t="shared" si="313"/>
        <v/>
      </c>
      <c r="O913" s="2" t="str">
        <f t="shared" si="306"/>
        <v/>
      </c>
      <c r="P913" s="8" t="str">
        <f t="shared" si="307"/>
        <v/>
      </c>
      <c r="Q913" s="8" t="str">
        <f t="shared" si="308"/>
        <v/>
      </c>
      <c r="R913" s="111" t="str">
        <f t="shared" si="309"/>
        <v/>
      </c>
      <c r="S913" s="44" t="str">
        <f t="shared" si="310"/>
        <v/>
      </c>
      <c r="T913" s="37" t="str">
        <f t="shared" si="311"/>
        <v/>
      </c>
      <c r="U913" s="44" t="str">
        <f t="shared" si="312"/>
        <v/>
      </c>
      <c r="V913" s="26"/>
      <c r="W913" s="26"/>
      <c r="X913" s="26"/>
      <c r="Y913" s="26"/>
      <c r="Z913" s="24"/>
      <c r="AA913" s="169">
        <f t="shared" si="297"/>
        <v>0</v>
      </c>
      <c r="AB913" s="4">
        <f t="shared" si="298"/>
        <v>0</v>
      </c>
      <c r="AC913" s="170">
        <f t="shared" si="294"/>
        <v>0</v>
      </c>
      <c r="AD913" s="58"/>
      <c r="AE913" s="58"/>
      <c r="AF913" s="58"/>
      <c r="AG913" s="59">
        <f t="shared" si="299"/>
        <v>9.0359999999999996</v>
      </c>
      <c r="AH913" s="59">
        <f t="shared" si="300"/>
        <v>-184.49199999999999</v>
      </c>
      <c r="AJ913" s="4">
        <f>IF(D913="M",IF(AM913&lt;78,BMILMS!$D$5*AM913^3+BMILMS!$E$5*AM913^2+BMILMS!$F$5*AM913+BMILMS!$G$5,IF(AM913&lt;150,BMILMS!$D$6*AM913^3+BMILMS!$E$6*AM913^2+BMILMS!$F$6*AM913+BMILMS!$G$6,BMILMS!$D$7*AM913^3+BMILMS!$E$7*AM913^2+BMILMS!$F$7*AM913+BMILMS!$G$7)),IF(AM913&lt;69,BMILMS!$D$9*AM913^3+BMILMS!$E$9*AM913^2+BMILMS!$F$9*AM913+BMILMS!$G$9,IF(AM913&lt;150,BMILMS!$D$10*AM913^3+BMILMS!$E$10*AM913^2+BMILMS!$F$10*AM913+BMILMS!$G$10,BMILMS!$D$11*AM913^3+BMILMS!$E$11*AM913^2+BMILMS!$F$11*AM913+BMILMS!$G$11)))</f>
        <v>0.79584630099999998</v>
      </c>
      <c r="AK913" s="4">
        <f>IF(D913="M",(IF(AM913&lt;2.5,BMILMS!$D$21*AM913^3+BMILMS!$E$21*AM913^2+BMILMS!$F$21*AM913+BMILMS!$G$21,IF(AM913&lt;9.5,BMILMS!$D$22*AM913^3+BMILMS!$E$22*AM913^2+BMILMS!$F$22*AM913+BMILMS!$G$22,IF(AM913&lt;26.75,BMILMS!$D$23*AM913^3+BMILMS!$E$23*AM913^2+BMILMS!$F$23*AM913+BMILMS!$G$23,IF(AM913&lt;90,BMILMS!$D$24*AM913^3+BMILMS!$E$24*AM913^2+BMILMS!$F$24*AM913+BMILMS!$G$24,BMILMS!$D$25*AM913^3+BMILMS!$E$25*AM913^2+BMILMS!$F$25*AM913+BMILMS!$G$25))))),(IF(AM913&lt;2.5,BMILMS!$D$27*AM913^3+BMILMS!$E$27*AM913^2+BMILMS!$F$27*AM913+BMILMS!$G$27,IF(AM913&lt;9.5,BMILMS!$D$28*AM913^3+BMILMS!$E$28*AM913^2+BMILMS!$F$28*AM913+BMILMS!$G$28,IF(AM913&lt;26.75,BMILMS!$D$29*AM913^3+BMILMS!$E$29*AM913^2+BMILMS!$F$29*AM913+BMILMS!$G$29,IF(AM913&lt;90,BMILMS!$D$30*AM913^3+BMILMS!$E$30*AM913^2+BMILMS!$F$30*AM913+BMILMS!$G$30,IF(AM913&lt;150,BMILMS!$D$31*AM913^3+BMILMS!$E$31*AM913^2+BMILMS!$F$31*AM913+BMILMS!$G$31,BMILMS!$D$32*AM913^3+BMILMS!$E$32*AM913^2+BMILMS!$F$32*AM913+BMILMS!$G$32)))))))</f>
        <v>12.568967990000001</v>
      </c>
      <c r="AL913" s="4">
        <f>IF(D913="M",(IF(AM913&lt;90,BMILMS!$D$14*AM913^3+BMILMS!$E$14*AM913^2+BMILMS!$F$14*AM913+BMILMS!$G$14,BMILMS!$D$15*AM913^3+BMILMS!$E$15*AM913^2+BMILMS!$F$15*AM913+BMILMS!$G$15)),(IF(AM913&lt;90,BMILMS!$D$17*AM913^3+BMILMS!$E$17*AM913^2+BMILMS!$F$17*AM913+BMILMS!$G$17,BMILMS!$D$18*AM913^3+BMILMS!$E$18*AM913^2+BMILMS!$F$18*AM913+BMILMS!$G$18)))</f>
        <v>8.8969350000000003E-2</v>
      </c>
      <c r="AM913" s="4">
        <f t="shared" si="314"/>
        <v>0</v>
      </c>
      <c r="AO913" s="56">
        <f>IF(D913="M",WeightSDS!P$5*$AM913^7+WeightSDS!Q$5*$AM913^6+WeightSDS!R$5*$AM913^5+WeightSDS!S$5*$AM913^4+WeightSDS!T$5*$AM913^3+WeightSDS!U$5*$AM913^2+WeightSDS!V$5*$AM913+WeightSDS!W$5,IF($AM913&lt;186,WeightSDS!P$8*$AM913^7+WeightSDS!Q$8*$AM913^6+WeightSDS!R$8*$AM913^5+WeightSDS!S$8*$AM913^4+WeightSDS!T$8*$AM913^3+WeightSDS!U$8*$AM913^2+WeightSDS!V$8*$AM913+WeightSDS!W$8,WeightSDS!$U$9+WeightSDS!$V$9*($AM913-WeightSDS!$W$9)))</f>
        <v>0.75407122999999998</v>
      </c>
      <c r="AP913" s="4">
        <f>IF(D913="M",IF($AM913&lt;45,WeightSDS!M$23*$AM913^10+WeightSDS!N$23*$AM913^9+WeightSDS!O$23*$AM913^8+WeightSDS!P$23*$AM913^7+WeightSDS!Q$23*$AM913^6+WeightSDS!R$23*$AM913^5+WeightSDS!S$23*$AM913^4+WeightSDS!T$23*$AM913^3+WeightSDS!U$23*$AM913^2+WeightSDS!V$23*$AM913+WeightSDS!W$23,IF($AM913&lt;153,WeightSDS!M$25*$AM913^10+WeightSDS!N$25*$AM913^9+WeightSDS!O$25*$AM913^8+WeightSDS!P$25*$AM913^7+WeightSDS!Q$25*$AM913^6+WeightSDS!R$25*$AM913^5+WeightSDS!S$25*$AM913^4+WeightSDS!T$25*$AM913^3+WeightSDS!U$25*$AM913^2+WeightSDS!V$25*$AM913+WeightSDS!W$25,WeightSDS!M$27+WeightSDS!N$27/(1+EXP(WeightSDS!O$27+WeightSDS!P$27*$AM913)))),IF($AM913&lt;43.8,WeightSDS!M$29*$AM913^10+WeightSDS!N$29*$AM913^9+WeightSDS!O$29*$AM913^8+WeightSDS!P$29*$AM913^7+WeightSDS!Q$29*$AM913^6+WeightSDS!R$29*$AM913^5+WeightSDS!S$29*$AM913^4+WeightSDS!T$29*$AM913^3+WeightSDS!U$29*$AM913^2+WeightSDS!V$29*$AM913+WeightSDS!W$29-0.010431*(1-$AM913/210),IF($AM913&lt;123,WeightSDS!M$30*$AM913^10+WeightSDS!N$30*$AM913^9+WeightSDS!O$30*$AM913^8+WeightSDS!P$30*$AM913^7+WeightSDS!Q$30*$AM913^6+WeightSDS!R$30*$AM913^5+WeightSDS!S$30*$AM913^4+WeightSDS!T$30*$AM913^3+WeightSDS!U$30*$AM913^2+WeightSDS!V$30*$AM913+WeightSDS!W$30-0.010431*(1-1/$AM913),WeightSDS!M$32+WeightSDS!N$32/(1+EXP(WeightSDS!O$32+WeightSDS!P$32*$AM913))-0.010431*(1-$AM913/210))))</f>
        <v>2.9500001032655536</v>
      </c>
      <c r="AQ913" s="4">
        <f>IF(D913="M",IF($AM913&lt;162,WeightSDS!P$12*$AM913^7+WeightSDS!Q$12*$AM913^6+WeightSDS!R$12*$AM913^5+WeightSDS!S$12*$AM913^4+WeightSDS!T$12*$AM913^3+WeightSDS!U$12*$AM913^2+WeightSDS!V$12*$AM913+WeightSDS!W$12,WeightSDS!P$14*$AM913^7+WeightSDS!Q$14*$AM913^6+WeightSDS!R$14*$AM913^5+WeightSDS!S$14*$AM913^4+WeightSDS!T$14*$AM913^3+WeightSDS!U$14*$AM913^2+WeightSDS!V$14*$AM913+WeightSDS!W$14),IF($AM913&lt;156,WeightSDS!O$17*$AM913^8+WeightSDS!P$17*$AM913^7+WeightSDS!Q$17*$AM913^6+WeightSDS!R$17*$AM913^5+WeightSDS!S$17*$AM913^4+WeightSDS!T$17*$AM913^3+WeightSDS!U$17*$AM913^2+WeightSDS!V$17*$AM913+WeightSDS!W$17,IF($AM913&lt;186,WeightSDS!$U$18+(WeightSDS!$V$18-WeightSDS!$U$18)/24*($AM913-186)+WeightSDS!$W$18*(-$AM913+186)^2-0.005,WeightSDS!$U$18+(WeightSDS!$V$18-WeightSDS!$U$18)/24*($AM913-186)-0.005)))</f>
        <v>0.14604529399999999</v>
      </c>
      <c r="AT913" s="4">
        <f t="shared" si="301"/>
        <v>0.56299999999999994</v>
      </c>
      <c r="AU913" s="4">
        <f t="shared" si="302"/>
        <v>69</v>
      </c>
      <c r="AV913" s="4">
        <f t="shared" si="303"/>
        <v>0.51</v>
      </c>
    </row>
    <row r="914" spans="1:48" x14ac:dyDescent="0.15">
      <c r="A914" s="4"/>
      <c r="B914" s="21"/>
      <c r="C914" s="21"/>
      <c r="D914" s="21"/>
      <c r="E914" s="22"/>
      <c r="F914" s="22"/>
      <c r="G914" s="23"/>
      <c r="H914" s="23"/>
      <c r="I914" s="181"/>
      <c r="J914" s="8" t="str">
        <f t="shared" si="295"/>
        <v/>
      </c>
      <c r="K914" s="2" t="str">
        <f t="shared" si="304"/>
        <v/>
      </c>
      <c r="L914" s="2" t="str">
        <f t="shared" si="296"/>
        <v/>
      </c>
      <c r="M914" s="2" t="str">
        <f t="shared" si="305"/>
        <v/>
      </c>
      <c r="N914" s="2" t="str">
        <f t="shared" si="313"/>
        <v/>
      </c>
      <c r="O914" s="2" t="str">
        <f t="shared" si="306"/>
        <v/>
      </c>
      <c r="P914" s="8" t="str">
        <f t="shared" si="307"/>
        <v/>
      </c>
      <c r="Q914" s="8" t="str">
        <f t="shared" si="308"/>
        <v/>
      </c>
      <c r="R914" s="111" t="str">
        <f t="shared" si="309"/>
        <v/>
      </c>
      <c r="S914" s="44" t="str">
        <f t="shared" si="310"/>
        <v/>
      </c>
      <c r="T914" s="37" t="str">
        <f t="shared" si="311"/>
        <v/>
      </c>
      <c r="U914" s="44" t="str">
        <f t="shared" si="312"/>
        <v/>
      </c>
      <c r="V914" s="26"/>
      <c r="W914" s="26"/>
      <c r="X914" s="26"/>
      <c r="Y914" s="26"/>
      <c r="Z914" s="24"/>
      <c r="AA914" s="169">
        <f t="shared" si="297"/>
        <v>0</v>
      </c>
      <c r="AB914" s="4">
        <f t="shared" si="298"/>
        <v>0</v>
      </c>
      <c r="AC914" s="170">
        <f t="shared" si="294"/>
        <v>0</v>
      </c>
      <c r="AD914" s="58"/>
      <c r="AE914" s="58"/>
      <c r="AF914" s="58"/>
      <c r="AG914" s="59">
        <f t="shared" si="299"/>
        <v>9.0359999999999996</v>
      </c>
      <c r="AH914" s="59">
        <f t="shared" si="300"/>
        <v>-184.49199999999999</v>
      </c>
      <c r="AJ914" s="4">
        <f>IF(D914="M",IF(AM914&lt;78,BMILMS!$D$5*AM914^3+BMILMS!$E$5*AM914^2+BMILMS!$F$5*AM914+BMILMS!$G$5,IF(AM914&lt;150,BMILMS!$D$6*AM914^3+BMILMS!$E$6*AM914^2+BMILMS!$F$6*AM914+BMILMS!$G$6,BMILMS!$D$7*AM914^3+BMILMS!$E$7*AM914^2+BMILMS!$F$7*AM914+BMILMS!$G$7)),IF(AM914&lt;69,BMILMS!$D$9*AM914^3+BMILMS!$E$9*AM914^2+BMILMS!$F$9*AM914+BMILMS!$G$9,IF(AM914&lt;150,BMILMS!$D$10*AM914^3+BMILMS!$E$10*AM914^2+BMILMS!$F$10*AM914+BMILMS!$G$10,BMILMS!$D$11*AM914^3+BMILMS!$E$11*AM914^2+BMILMS!$F$11*AM914+BMILMS!$G$11)))</f>
        <v>0.79584630099999998</v>
      </c>
      <c r="AK914" s="4">
        <f>IF(D914="M",(IF(AM914&lt;2.5,BMILMS!$D$21*AM914^3+BMILMS!$E$21*AM914^2+BMILMS!$F$21*AM914+BMILMS!$G$21,IF(AM914&lt;9.5,BMILMS!$D$22*AM914^3+BMILMS!$E$22*AM914^2+BMILMS!$F$22*AM914+BMILMS!$G$22,IF(AM914&lt;26.75,BMILMS!$D$23*AM914^3+BMILMS!$E$23*AM914^2+BMILMS!$F$23*AM914+BMILMS!$G$23,IF(AM914&lt;90,BMILMS!$D$24*AM914^3+BMILMS!$E$24*AM914^2+BMILMS!$F$24*AM914+BMILMS!$G$24,BMILMS!$D$25*AM914^3+BMILMS!$E$25*AM914^2+BMILMS!$F$25*AM914+BMILMS!$G$25))))),(IF(AM914&lt;2.5,BMILMS!$D$27*AM914^3+BMILMS!$E$27*AM914^2+BMILMS!$F$27*AM914+BMILMS!$G$27,IF(AM914&lt;9.5,BMILMS!$D$28*AM914^3+BMILMS!$E$28*AM914^2+BMILMS!$F$28*AM914+BMILMS!$G$28,IF(AM914&lt;26.75,BMILMS!$D$29*AM914^3+BMILMS!$E$29*AM914^2+BMILMS!$F$29*AM914+BMILMS!$G$29,IF(AM914&lt;90,BMILMS!$D$30*AM914^3+BMILMS!$E$30*AM914^2+BMILMS!$F$30*AM914+BMILMS!$G$30,IF(AM914&lt;150,BMILMS!$D$31*AM914^3+BMILMS!$E$31*AM914^2+BMILMS!$F$31*AM914+BMILMS!$G$31,BMILMS!$D$32*AM914^3+BMILMS!$E$32*AM914^2+BMILMS!$F$32*AM914+BMILMS!$G$32)))))))</f>
        <v>12.568967990000001</v>
      </c>
      <c r="AL914" s="4">
        <f>IF(D914="M",(IF(AM914&lt;90,BMILMS!$D$14*AM914^3+BMILMS!$E$14*AM914^2+BMILMS!$F$14*AM914+BMILMS!$G$14,BMILMS!$D$15*AM914^3+BMILMS!$E$15*AM914^2+BMILMS!$F$15*AM914+BMILMS!$G$15)),(IF(AM914&lt;90,BMILMS!$D$17*AM914^3+BMILMS!$E$17*AM914^2+BMILMS!$F$17*AM914+BMILMS!$G$17,BMILMS!$D$18*AM914^3+BMILMS!$E$18*AM914^2+BMILMS!$F$18*AM914+BMILMS!$G$18)))</f>
        <v>8.8969350000000003E-2</v>
      </c>
      <c r="AM914" s="4">
        <f t="shared" si="314"/>
        <v>0</v>
      </c>
      <c r="AO914" s="56">
        <f>IF(D914="M",WeightSDS!P$5*$AM914^7+WeightSDS!Q$5*$AM914^6+WeightSDS!R$5*$AM914^5+WeightSDS!S$5*$AM914^4+WeightSDS!T$5*$AM914^3+WeightSDS!U$5*$AM914^2+WeightSDS!V$5*$AM914+WeightSDS!W$5,IF($AM914&lt;186,WeightSDS!P$8*$AM914^7+WeightSDS!Q$8*$AM914^6+WeightSDS!R$8*$AM914^5+WeightSDS!S$8*$AM914^4+WeightSDS!T$8*$AM914^3+WeightSDS!U$8*$AM914^2+WeightSDS!V$8*$AM914+WeightSDS!W$8,WeightSDS!$U$9+WeightSDS!$V$9*($AM914-WeightSDS!$W$9)))</f>
        <v>0.75407122999999998</v>
      </c>
      <c r="AP914" s="4">
        <f>IF(D914="M",IF($AM914&lt;45,WeightSDS!M$23*$AM914^10+WeightSDS!N$23*$AM914^9+WeightSDS!O$23*$AM914^8+WeightSDS!P$23*$AM914^7+WeightSDS!Q$23*$AM914^6+WeightSDS!R$23*$AM914^5+WeightSDS!S$23*$AM914^4+WeightSDS!T$23*$AM914^3+WeightSDS!U$23*$AM914^2+WeightSDS!V$23*$AM914+WeightSDS!W$23,IF($AM914&lt;153,WeightSDS!M$25*$AM914^10+WeightSDS!N$25*$AM914^9+WeightSDS!O$25*$AM914^8+WeightSDS!P$25*$AM914^7+WeightSDS!Q$25*$AM914^6+WeightSDS!R$25*$AM914^5+WeightSDS!S$25*$AM914^4+WeightSDS!T$25*$AM914^3+WeightSDS!U$25*$AM914^2+WeightSDS!V$25*$AM914+WeightSDS!W$25,WeightSDS!M$27+WeightSDS!N$27/(1+EXP(WeightSDS!O$27+WeightSDS!P$27*$AM914)))),IF($AM914&lt;43.8,WeightSDS!M$29*$AM914^10+WeightSDS!N$29*$AM914^9+WeightSDS!O$29*$AM914^8+WeightSDS!P$29*$AM914^7+WeightSDS!Q$29*$AM914^6+WeightSDS!R$29*$AM914^5+WeightSDS!S$29*$AM914^4+WeightSDS!T$29*$AM914^3+WeightSDS!U$29*$AM914^2+WeightSDS!V$29*$AM914+WeightSDS!W$29-0.010431*(1-$AM914/210),IF($AM914&lt;123,WeightSDS!M$30*$AM914^10+WeightSDS!N$30*$AM914^9+WeightSDS!O$30*$AM914^8+WeightSDS!P$30*$AM914^7+WeightSDS!Q$30*$AM914^6+WeightSDS!R$30*$AM914^5+WeightSDS!S$30*$AM914^4+WeightSDS!T$30*$AM914^3+WeightSDS!U$30*$AM914^2+WeightSDS!V$30*$AM914+WeightSDS!W$30-0.010431*(1-1/$AM914),WeightSDS!M$32+WeightSDS!N$32/(1+EXP(WeightSDS!O$32+WeightSDS!P$32*$AM914))-0.010431*(1-$AM914/210))))</f>
        <v>2.9500001032655536</v>
      </c>
      <c r="AQ914" s="4">
        <f>IF(D914="M",IF($AM914&lt;162,WeightSDS!P$12*$AM914^7+WeightSDS!Q$12*$AM914^6+WeightSDS!R$12*$AM914^5+WeightSDS!S$12*$AM914^4+WeightSDS!T$12*$AM914^3+WeightSDS!U$12*$AM914^2+WeightSDS!V$12*$AM914+WeightSDS!W$12,WeightSDS!P$14*$AM914^7+WeightSDS!Q$14*$AM914^6+WeightSDS!R$14*$AM914^5+WeightSDS!S$14*$AM914^4+WeightSDS!T$14*$AM914^3+WeightSDS!U$14*$AM914^2+WeightSDS!V$14*$AM914+WeightSDS!W$14),IF($AM914&lt;156,WeightSDS!O$17*$AM914^8+WeightSDS!P$17*$AM914^7+WeightSDS!Q$17*$AM914^6+WeightSDS!R$17*$AM914^5+WeightSDS!S$17*$AM914^4+WeightSDS!T$17*$AM914^3+WeightSDS!U$17*$AM914^2+WeightSDS!V$17*$AM914+WeightSDS!W$17,IF($AM914&lt;186,WeightSDS!$U$18+(WeightSDS!$V$18-WeightSDS!$U$18)/24*($AM914-186)+WeightSDS!$W$18*(-$AM914+186)^2-0.005,WeightSDS!$U$18+(WeightSDS!$V$18-WeightSDS!$U$18)/24*($AM914-186)-0.005)))</f>
        <v>0.14604529399999999</v>
      </c>
      <c r="AT914" s="4">
        <f t="shared" si="301"/>
        <v>0.56299999999999994</v>
      </c>
      <c r="AU914" s="4">
        <f t="shared" si="302"/>
        <v>69</v>
      </c>
      <c r="AV914" s="4">
        <f t="shared" si="303"/>
        <v>0.51</v>
      </c>
    </row>
    <row r="915" spans="1:48" x14ac:dyDescent="0.15">
      <c r="A915" s="4"/>
      <c r="B915" s="21"/>
      <c r="C915" s="21"/>
      <c r="D915" s="21"/>
      <c r="E915" s="22"/>
      <c r="F915" s="22"/>
      <c r="G915" s="23"/>
      <c r="H915" s="23"/>
      <c r="I915" s="181"/>
      <c r="J915" s="8" t="str">
        <f t="shared" si="295"/>
        <v/>
      </c>
      <c r="K915" s="2" t="str">
        <f t="shared" si="304"/>
        <v/>
      </c>
      <c r="L915" s="2" t="str">
        <f t="shared" si="296"/>
        <v/>
      </c>
      <c r="M915" s="2" t="str">
        <f t="shared" si="305"/>
        <v/>
      </c>
      <c r="N915" s="2" t="str">
        <f t="shared" si="313"/>
        <v/>
      </c>
      <c r="O915" s="2" t="str">
        <f t="shared" si="306"/>
        <v/>
      </c>
      <c r="P915" s="8" t="str">
        <f t="shared" si="307"/>
        <v/>
      </c>
      <c r="Q915" s="8" t="str">
        <f t="shared" si="308"/>
        <v/>
      </c>
      <c r="R915" s="111" t="str">
        <f t="shared" si="309"/>
        <v/>
      </c>
      <c r="S915" s="44" t="str">
        <f t="shared" si="310"/>
        <v/>
      </c>
      <c r="T915" s="37" t="str">
        <f t="shared" si="311"/>
        <v/>
      </c>
      <c r="U915" s="44" t="str">
        <f t="shared" si="312"/>
        <v/>
      </c>
      <c r="V915" s="26"/>
      <c r="W915" s="26"/>
      <c r="X915" s="26"/>
      <c r="Y915" s="26"/>
      <c r="Z915" s="24"/>
      <c r="AA915" s="169">
        <f t="shared" si="297"/>
        <v>0</v>
      </c>
      <c r="AB915" s="4">
        <f t="shared" si="298"/>
        <v>0</v>
      </c>
      <c r="AC915" s="170">
        <f t="shared" si="294"/>
        <v>0</v>
      </c>
      <c r="AD915" s="58"/>
      <c r="AE915" s="58"/>
      <c r="AF915" s="58"/>
      <c r="AG915" s="59">
        <f t="shared" si="299"/>
        <v>9.0359999999999996</v>
      </c>
      <c r="AH915" s="59">
        <f t="shared" si="300"/>
        <v>-184.49199999999999</v>
      </c>
      <c r="AJ915" s="4">
        <f>IF(D915="M",IF(AM915&lt;78,BMILMS!$D$5*AM915^3+BMILMS!$E$5*AM915^2+BMILMS!$F$5*AM915+BMILMS!$G$5,IF(AM915&lt;150,BMILMS!$D$6*AM915^3+BMILMS!$E$6*AM915^2+BMILMS!$F$6*AM915+BMILMS!$G$6,BMILMS!$D$7*AM915^3+BMILMS!$E$7*AM915^2+BMILMS!$F$7*AM915+BMILMS!$G$7)),IF(AM915&lt;69,BMILMS!$D$9*AM915^3+BMILMS!$E$9*AM915^2+BMILMS!$F$9*AM915+BMILMS!$G$9,IF(AM915&lt;150,BMILMS!$D$10*AM915^3+BMILMS!$E$10*AM915^2+BMILMS!$F$10*AM915+BMILMS!$G$10,BMILMS!$D$11*AM915^3+BMILMS!$E$11*AM915^2+BMILMS!$F$11*AM915+BMILMS!$G$11)))</f>
        <v>0.79584630099999998</v>
      </c>
      <c r="AK915" s="4">
        <f>IF(D915="M",(IF(AM915&lt;2.5,BMILMS!$D$21*AM915^3+BMILMS!$E$21*AM915^2+BMILMS!$F$21*AM915+BMILMS!$G$21,IF(AM915&lt;9.5,BMILMS!$D$22*AM915^3+BMILMS!$E$22*AM915^2+BMILMS!$F$22*AM915+BMILMS!$G$22,IF(AM915&lt;26.75,BMILMS!$D$23*AM915^3+BMILMS!$E$23*AM915^2+BMILMS!$F$23*AM915+BMILMS!$G$23,IF(AM915&lt;90,BMILMS!$D$24*AM915^3+BMILMS!$E$24*AM915^2+BMILMS!$F$24*AM915+BMILMS!$G$24,BMILMS!$D$25*AM915^3+BMILMS!$E$25*AM915^2+BMILMS!$F$25*AM915+BMILMS!$G$25))))),(IF(AM915&lt;2.5,BMILMS!$D$27*AM915^3+BMILMS!$E$27*AM915^2+BMILMS!$F$27*AM915+BMILMS!$G$27,IF(AM915&lt;9.5,BMILMS!$D$28*AM915^3+BMILMS!$E$28*AM915^2+BMILMS!$F$28*AM915+BMILMS!$G$28,IF(AM915&lt;26.75,BMILMS!$D$29*AM915^3+BMILMS!$E$29*AM915^2+BMILMS!$F$29*AM915+BMILMS!$G$29,IF(AM915&lt;90,BMILMS!$D$30*AM915^3+BMILMS!$E$30*AM915^2+BMILMS!$F$30*AM915+BMILMS!$G$30,IF(AM915&lt;150,BMILMS!$D$31*AM915^3+BMILMS!$E$31*AM915^2+BMILMS!$F$31*AM915+BMILMS!$G$31,BMILMS!$D$32*AM915^3+BMILMS!$E$32*AM915^2+BMILMS!$F$32*AM915+BMILMS!$G$32)))))))</f>
        <v>12.568967990000001</v>
      </c>
      <c r="AL915" s="4">
        <f>IF(D915="M",(IF(AM915&lt;90,BMILMS!$D$14*AM915^3+BMILMS!$E$14*AM915^2+BMILMS!$F$14*AM915+BMILMS!$G$14,BMILMS!$D$15*AM915^3+BMILMS!$E$15*AM915^2+BMILMS!$F$15*AM915+BMILMS!$G$15)),(IF(AM915&lt;90,BMILMS!$D$17*AM915^3+BMILMS!$E$17*AM915^2+BMILMS!$F$17*AM915+BMILMS!$G$17,BMILMS!$D$18*AM915^3+BMILMS!$E$18*AM915^2+BMILMS!$F$18*AM915+BMILMS!$G$18)))</f>
        <v>8.8969350000000003E-2</v>
      </c>
      <c r="AM915" s="4">
        <f t="shared" si="314"/>
        <v>0</v>
      </c>
      <c r="AO915" s="56">
        <f>IF(D915="M",WeightSDS!P$5*$AM915^7+WeightSDS!Q$5*$AM915^6+WeightSDS!R$5*$AM915^5+WeightSDS!S$5*$AM915^4+WeightSDS!T$5*$AM915^3+WeightSDS!U$5*$AM915^2+WeightSDS!V$5*$AM915+WeightSDS!W$5,IF($AM915&lt;186,WeightSDS!P$8*$AM915^7+WeightSDS!Q$8*$AM915^6+WeightSDS!R$8*$AM915^5+WeightSDS!S$8*$AM915^4+WeightSDS!T$8*$AM915^3+WeightSDS!U$8*$AM915^2+WeightSDS!V$8*$AM915+WeightSDS!W$8,WeightSDS!$U$9+WeightSDS!$V$9*($AM915-WeightSDS!$W$9)))</f>
        <v>0.75407122999999998</v>
      </c>
      <c r="AP915" s="4">
        <f>IF(D915="M",IF($AM915&lt;45,WeightSDS!M$23*$AM915^10+WeightSDS!N$23*$AM915^9+WeightSDS!O$23*$AM915^8+WeightSDS!P$23*$AM915^7+WeightSDS!Q$23*$AM915^6+WeightSDS!R$23*$AM915^5+WeightSDS!S$23*$AM915^4+WeightSDS!T$23*$AM915^3+WeightSDS!U$23*$AM915^2+WeightSDS!V$23*$AM915+WeightSDS!W$23,IF($AM915&lt;153,WeightSDS!M$25*$AM915^10+WeightSDS!N$25*$AM915^9+WeightSDS!O$25*$AM915^8+WeightSDS!P$25*$AM915^7+WeightSDS!Q$25*$AM915^6+WeightSDS!R$25*$AM915^5+WeightSDS!S$25*$AM915^4+WeightSDS!T$25*$AM915^3+WeightSDS!U$25*$AM915^2+WeightSDS!V$25*$AM915+WeightSDS!W$25,WeightSDS!M$27+WeightSDS!N$27/(1+EXP(WeightSDS!O$27+WeightSDS!P$27*$AM915)))),IF($AM915&lt;43.8,WeightSDS!M$29*$AM915^10+WeightSDS!N$29*$AM915^9+WeightSDS!O$29*$AM915^8+WeightSDS!P$29*$AM915^7+WeightSDS!Q$29*$AM915^6+WeightSDS!R$29*$AM915^5+WeightSDS!S$29*$AM915^4+WeightSDS!T$29*$AM915^3+WeightSDS!U$29*$AM915^2+WeightSDS!V$29*$AM915+WeightSDS!W$29-0.010431*(1-$AM915/210),IF($AM915&lt;123,WeightSDS!M$30*$AM915^10+WeightSDS!N$30*$AM915^9+WeightSDS!O$30*$AM915^8+WeightSDS!P$30*$AM915^7+WeightSDS!Q$30*$AM915^6+WeightSDS!R$30*$AM915^5+WeightSDS!S$30*$AM915^4+WeightSDS!T$30*$AM915^3+WeightSDS!U$30*$AM915^2+WeightSDS!V$30*$AM915+WeightSDS!W$30-0.010431*(1-1/$AM915),WeightSDS!M$32+WeightSDS!N$32/(1+EXP(WeightSDS!O$32+WeightSDS!P$32*$AM915))-0.010431*(1-$AM915/210))))</f>
        <v>2.9500001032655536</v>
      </c>
      <c r="AQ915" s="4">
        <f>IF(D915="M",IF($AM915&lt;162,WeightSDS!P$12*$AM915^7+WeightSDS!Q$12*$AM915^6+WeightSDS!R$12*$AM915^5+WeightSDS!S$12*$AM915^4+WeightSDS!T$12*$AM915^3+WeightSDS!U$12*$AM915^2+WeightSDS!V$12*$AM915+WeightSDS!W$12,WeightSDS!P$14*$AM915^7+WeightSDS!Q$14*$AM915^6+WeightSDS!R$14*$AM915^5+WeightSDS!S$14*$AM915^4+WeightSDS!T$14*$AM915^3+WeightSDS!U$14*$AM915^2+WeightSDS!V$14*$AM915+WeightSDS!W$14),IF($AM915&lt;156,WeightSDS!O$17*$AM915^8+WeightSDS!P$17*$AM915^7+WeightSDS!Q$17*$AM915^6+WeightSDS!R$17*$AM915^5+WeightSDS!S$17*$AM915^4+WeightSDS!T$17*$AM915^3+WeightSDS!U$17*$AM915^2+WeightSDS!V$17*$AM915+WeightSDS!W$17,IF($AM915&lt;186,WeightSDS!$U$18+(WeightSDS!$V$18-WeightSDS!$U$18)/24*($AM915-186)+WeightSDS!$W$18*(-$AM915+186)^2-0.005,WeightSDS!$U$18+(WeightSDS!$V$18-WeightSDS!$U$18)/24*($AM915-186)-0.005)))</f>
        <v>0.14604529399999999</v>
      </c>
      <c r="AT915" s="4">
        <f t="shared" si="301"/>
        <v>0.56299999999999994</v>
      </c>
      <c r="AU915" s="4">
        <f t="shared" si="302"/>
        <v>69</v>
      </c>
      <c r="AV915" s="4">
        <f t="shared" si="303"/>
        <v>0.51</v>
      </c>
    </row>
    <row r="916" spans="1:48" x14ac:dyDescent="0.15">
      <c r="A916" s="4"/>
      <c r="B916" s="21"/>
      <c r="C916" s="21"/>
      <c r="D916" s="21"/>
      <c r="E916" s="22"/>
      <c r="F916" s="22"/>
      <c r="G916" s="23"/>
      <c r="H916" s="23"/>
      <c r="I916" s="181"/>
      <c r="J916" s="8" t="str">
        <f t="shared" si="295"/>
        <v/>
      </c>
      <c r="K916" s="2" t="str">
        <f t="shared" si="304"/>
        <v/>
      </c>
      <c r="L916" s="2" t="str">
        <f t="shared" si="296"/>
        <v/>
      </c>
      <c r="M916" s="2" t="str">
        <f t="shared" si="305"/>
        <v/>
      </c>
      <c r="N916" s="2" t="str">
        <f t="shared" si="313"/>
        <v/>
      </c>
      <c r="O916" s="2" t="str">
        <f t="shared" si="306"/>
        <v/>
      </c>
      <c r="P916" s="8" t="str">
        <f t="shared" si="307"/>
        <v/>
      </c>
      <c r="Q916" s="8" t="str">
        <f t="shared" si="308"/>
        <v/>
      </c>
      <c r="R916" s="111" t="str">
        <f t="shared" si="309"/>
        <v/>
      </c>
      <c r="S916" s="44" t="str">
        <f t="shared" si="310"/>
        <v/>
      </c>
      <c r="T916" s="37" t="str">
        <f t="shared" si="311"/>
        <v/>
      </c>
      <c r="U916" s="44" t="str">
        <f t="shared" si="312"/>
        <v/>
      </c>
      <c r="V916" s="26"/>
      <c r="W916" s="26"/>
      <c r="X916" s="26"/>
      <c r="Y916" s="26"/>
      <c r="Z916" s="24"/>
      <c r="AA916" s="169">
        <f t="shared" si="297"/>
        <v>0</v>
      </c>
      <c r="AB916" s="4">
        <f t="shared" si="298"/>
        <v>0</v>
      </c>
      <c r="AC916" s="170">
        <f t="shared" si="294"/>
        <v>0</v>
      </c>
      <c r="AD916" s="58"/>
      <c r="AE916" s="58"/>
      <c r="AF916" s="58"/>
      <c r="AG916" s="59">
        <f t="shared" si="299"/>
        <v>9.0359999999999996</v>
      </c>
      <c r="AH916" s="59">
        <f t="shared" si="300"/>
        <v>-184.49199999999999</v>
      </c>
      <c r="AJ916" s="4">
        <f>IF(D916="M",IF(AM916&lt;78,BMILMS!$D$5*AM916^3+BMILMS!$E$5*AM916^2+BMILMS!$F$5*AM916+BMILMS!$G$5,IF(AM916&lt;150,BMILMS!$D$6*AM916^3+BMILMS!$E$6*AM916^2+BMILMS!$F$6*AM916+BMILMS!$G$6,BMILMS!$D$7*AM916^3+BMILMS!$E$7*AM916^2+BMILMS!$F$7*AM916+BMILMS!$G$7)),IF(AM916&lt;69,BMILMS!$D$9*AM916^3+BMILMS!$E$9*AM916^2+BMILMS!$F$9*AM916+BMILMS!$G$9,IF(AM916&lt;150,BMILMS!$D$10*AM916^3+BMILMS!$E$10*AM916^2+BMILMS!$F$10*AM916+BMILMS!$G$10,BMILMS!$D$11*AM916^3+BMILMS!$E$11*AM916^2+BMILMS!$F$11*AM916+BMILMS!$G$11)))</f>
        <v>0.79584630099999998</v>
      </c>
      <c r="AK916" s="4">
        <f>IF(D916="M",(IF(AM916&lt;2.5,BMILMS!$D$21*AM916^3+BMILMS!$E$21*AM916^2+BMILMS!$F$21*AM916+BMILMS!$G$21,IF(AM916&lt;9.5,BMILMS!$D$22*AM916^3+BMILMS!$E$22*AM916^2+BMILMS!$F$22*AM916+BMILMS!$G$22,IF(AM916&lt;26.75,BMILMS!$D$23*AM916^3+BMILMS!$E$23*AM916^2+BMILMS!$F$23*AM916+BMILMS!$G$23,IF(AM916&lt;90,BMILMS!$D$24*AM916^3+BMILMS!$E$24*AM916^2+BMILMS!$F$24*AM916+BMILMS!$G$24,BMILMS!$D$25*AM916^3+BMILMS!$E$25*AM916^2+BMILMS!$F$25*AM916+BMILMS!$G$25))))),(IF(AM916&lt;2.5,BMILMS!$D$27*AM916^3+BMILMS!$E$27*AM916^2+BMILMS!$F$27*AM916+BMILMS!$G$27,IF(AM916&lt;9.5,BMILMS!$D$28*AM916^3+BMILMS!$E$28*AM916^2+BMILMS!$F$28*AM916+BMILMS!$G$28,IF(AM916&lt;26.75,BMILMS!$D$29*AM916^3+BMILMS!$E$29*AM916^2+BMILMS!$F$29*AM916+BMILMS!$G$29,IF(AM916&lt;90,BMILMS!$D$30*AM916^3+BMILMS!$E$30*AM916^2+BMILMS!$F$30*AM916+BMILMS!$G$30,IF(AM916&lt;150,BMILMS!$D$31*AM916^3+BMILMS!$E$31*AM916^2+BMILMS!$F$31*AM916+BMILMS!$G$31,BMILMS!$D$32*AM916^3+BMILMS!$E$32*AM916^2+BMILMS!$F$32*AM916+BMILMS!$G$32)))))))</f>
        <v>12.568967990000001</v>
      </c>
      <c r="AL916" s="4">
        <f>IF(D916="M",(IF(AM916&lt;90,BMILMS!$D$14*AM916^3+BMILMS!$E$14*AM916^2+BMILMS!$F$14*AM916+BMILMS!$G$14,BMILMS!$D$15*AM916^3+BMILMS!$E$15*AM916^2+BMILMS!$F$15*AM916+BMILMS!$G$15)),(IF(AM916&lt;90,BMILMS!$D$17*AM916^3+BMILMS!$E$17*AM916^2+BMILMS!$F$17*AM916+BMILMS!$G$17,BMILMS!$D$18*AM916^3+BMILMS!$E$18*AM916^2+BMILMS!$F$18*AM916+BMILMS!$G$18)))</f>
        <v>8.8969350000000003E-2</v>
      </c>
      <c r="AM916" s="4">
        <f t="shared" si="314"/>
        <v>0</v>
      </c>
      <c r="AO916" s="56">
        <f>IF(D916="M",WeightSDS!P$5*$AM916^7+WeightSDS!Q$5*$AM916^6+WeightSDS!R$5*$AM916^5+WeightSDS!S$5*$AM916^4+WeightSDS!T$5*$AM916^3+WeightSDS!U$5*$AM916^2+WeightSDS!V$5*$AM916+WeightSDS!W$5,IF($AM916&lt;186,WeightSDS!P$8*$AM916^7+WeightSDS!Q$8*$AM916^6+WeightSDS!R$8*$AM916^5+WeightSDS!S$8*$AM916^4+WeightSDS!T$8*$AM916^3+WeightSDS!U$8*$AM916^2+WeightSDS!V$8*$AM916+WeightSDS!W$8,WeightSDS!$U$9+WeightSDS!$V$9*($AM916-WeightSDS!$W$9)))</f>
        <v>0.75407122999999998</v>
      </c>
      <c r="AP916" s="4">
        <f>IF(D916="M",IF($AM916&lt;45,WeightSDS!M$23*$AM916^10+WeightSDS!N$23*$AM916^9+WeightSDS!O$23*$AM916^8+WeightSDS!P$23*$AM916^7+WeightSDS!Q$23*$AM916^6+WeightSDS!R$23*$AM916^5+WeightSDS!S$23*$AM916^4+WeightSDS!T$23*$AM916^3+WeightSDS!U$23*$AM916^2+WeightSDS!V$23*$AM916+WeightSDS!W$23,IF($AM916&lt;153,WeightSDS!M$25*$AM916^10+WeightSDS!N$25*$AM916^9+WeightSDS!O$25*$AM916^8+WeightSDS!P$25*$AM916^7+WeightSDS!Q$25*$AM916^6+WeightSDS!R$25*$AM916^5+WeightSDS!S$25*$AM916^4+WeightSDS!T$25*$AM916^3+WeightSDS!U$25*$AM916^2+WeightSDS!V$25*$AM916+WeightSDS!W$25,WeightSDS!M$27+WeightSDS!N$27/(1+EXP(WeightSDS!O$27+WeightSDS!P$27*$AM916)))),IF($AM916&lt;43.8,WeightSDS!M$29*$AM916^10+WeightSDS!N$29*$AM916^9+WeightSDS!O$29*$AM916^8+WeightSDS!P$29*$AM916^7+WeightSDS!Q$29*$AM916^6+WeightSDS!R$29*$AM916^5+WeightSDS!S$29*$AM916^4+WeightSDS!T$29*$AM916^3+WeightSDS!U$29*$AM916^2+WeightSDS!V$29*$AM916+WeightSDS!W$29-0.010431*(1-$AM916/210),IF($AM916&lt;123,WeightSDS!M$30*$AM916^10+WeightSDS!N$30*$AM916^9+WeightSDS!O$30*$AM916^8+WeightSDS!P$30*$AM916^7+WeightSDS!Q$30*$AM916^6+WeightSDS!R$30*$AM916^5+WeightSDS!S$30*$AM916^4+WeightSDS!T$30*$AM916^3+WeightSDS!U$30*$AM916^2+WeightSDS!V$30*$AM916+WeightSDS!W$30-0.010431*(1-1/$AM916),WeightSDS!M$32+WeightSDS!N$32/(1+EXP(WeightSDS!O$32+WeightSDS!P$32*$AM916))-0.010431*(1-$AM916/210))))</f>
        <v>2.9500001032655536</v>
      </c>
      <c r="AQ916" s="4">
        <f>IF(D916="M",IF($AM916&lt;162,WeightSDS!P$12*$AM916^7+WeightSDS!Q$12*$AM916^6+WeightSDS!R$12*$AM916^5+WeightSDS!S$12*$AM916^4+WeightSDS!T$12*$AM916^3+WeightSDS!U$12*$AM916^2+WeightSDS!V$12*$AM916+WeightSDS!W$12,WeightSDS!P$14*$AM916^7+WeightSDS!Q$14*$AM916^6+WeightSDS!R$14*$AM916^5+WeightSDS!S$14*$AM916^4+WeightSDS!T$14*$AM916^3+WeightSDS!U$14*$AM916^2+WeightSDS!V$14*$AM916+WeightSDS!W$14),IF($AM916&lt;156,WeightSDS!O$17*$AM916^8+WeightSDS!P$17*$AM916^7+WeightSDS!Q$17*$AM916^6+WeightSDS!R$17*$AM916^5+WeightSDS!S$17*$AM916^4+WeightSDS!T$17*$AM916^3+WeightSDS!U$17*$AM916^2+WeightSDS!V$17*$AM916+WeightSDS!W$17,IF($AM916&lt;186,WeightSDS!$U$18+(WeightSDS!$V$18-WeightSDS!$U$18)/24*($AM916-186)+WeightSDS!$W$18*(-$AM916+186)^2-0.005,WeightSDS!$U$18+(WeightSDS!$V$18-WeightSDS!$U$18)/24*($AM916-186)-0.005)))</f>
        <v>0.14604529399999999</v>
      </c>
      <c r="AT916" s="4">
        <f t="shared" si="301"/>
        <v>0.56299999999999994</v>
      </c>
      <c r="AU916" s="4">
        <f t="shared" si="302"/>
        <v>69</v>
      </c>
      <c r="AV916" s="4">
        <f t="shared" si="303"/>
        <v>0.51</v>
      </c>
    </row>
    <row r="917" spans="1:48" x14ac:dyDescent="0.15">
      <c r="A917" s="4"/>
      <c r="B917" s="21"/>
      <c r="C917" s="21"/>
      <c r="D917" s="21"/>
      <c r="E917" s="22"/>
      <c r="F917" s="22"/>
      <c r="G917" s="23"/>
      <c r="H917" s="23"/>
      <c r="I917" s="181"/>
      <c r="J917" s="8" t="str">
        <f t="shared" si="295"/>
        <v/>
      </c>
      <c r="K917" s="2" t="str">
        <f t="shared" si="304"/>
        <v/>
      </c>
      <c r="L917" s="2" t="str">
        <f t="shared" si="296"/>
        <v/>
      </c>
      <c r="M917" s="2" t="str">
        <f t="shared" si="305"/>
        <v/>
      </c>
      <c r="N917" s="2" t="str">
        <f t="shared" si="313"/>
        <v/>
      </c>
      <c r="O917" s="2" t="str">
        <f t="shared" si="306"/>
        <v/>
      </c>
      <c r="P917" s="8" t="str">
        <f t="shared" si="307"/>
        <v/>
      </c>
      <c r="Q917" s="8" t="str">
        <f t="shared" si="308"/>
        <v/>
      </c>
      <c r="R917" s="111" t="str">
        <f t="shared" si="309"/>
        <v/>
      </c>
      <c r="S917" s="44" t="str">
        <f t="shared" si="310"/>
        <v/>
      </c>
      <c r="T917" s="37" t="str">
        <f t="shared" si="311"/>
        <v/>
      </c>
      <c r="U917" s="44" t="str">
        <f t="shared" si="312"/>
        <v/>
      </c>
      <c r="V917" s="26"/>
      <c r="W917" s="26"/>
      <c r="X917" s="26"/>
      <c r="Y917" s="26"/>
      <c r="Z917" s="24"/>
      <c r="AA917" s="169">
        <f t="shared" si="297"/>
        <v>0</v>
      </c>
      <c r="AB917" s="4">
        <f t="shared" si="298"/>
        <v>0</v>
      </c>
      <c r="AC917" s="170">
        <f t="shared" si="294"/>
        <v>0</v>
      </c>
      <c r="AD917" s="58"/>
      <c r="AE917" s="58"/>
      <c r="AF917" s="58"/>
      <c r="AG917" s="59">
        <f t="shared" si="299"/>
        <v>9.0359999999999996</v>
      </c>
      <c r="AH917" s="59">
        <f t="shared" si="300"/>
        <v>-184.49199999999999</v>
      </c>
      <c r="AJ917" s="4">
        <f>IF(D917="M",IF(AM917&lt;78,BMILMS!$D$5*AM917^3+BMILMS!$E$5*AM917^2+BMILMS!$F$5*AM917+BMILMS!$G$5,IF(AM917&lt;150,BMILMS!$D$6*AM917^3+BMILMS!$E$6*AM917^2+BMILMS!$F$6*AM917+BMILMS!$G$6,BMILMS!$D$7*AM917^3+BMILMS!$E$7*AM917^2+BMILMS!$F$7*AM917+BMILMS!$G$7)),IF(AM917&lt;69,BMILMS!$D$9*AM917^3+BMILMS!$E$9*AM917^2+BMILMS!$F$9*AM917+BMILMS!$G$9,IF(AM917&lt;150,BMILMS!$D$10*AM917^3+BMILMS!$E$10*AM917^2+BMILMS!$F$10*AM917+BMILMS!$G$10,BMILMS!$D$11*AM917^3+BMILMS!$E$11*AM917^2+BMILMS!$F$11*AM917+BMILMS!$G$11)))</f>
        <v>0.79584630099999998</v>
      </c>
      <c r="AK917" s="4">
        <f>IF(D917="M",(IF(AM917&lt;2.5,BMILMS!$D$21*AM917^3+BMILMS!$E$21*AM917^2+BMILMS!$F$21*AM917+BMILMS!$G$21,IF(AM917&lt;9.5,BMILMS!$D$22*AM917^3+BMILMS!$E$22*AM917^2+BMILMS!$F$22*AM917+BMILMS!$G$22,IF(AM917&lt;26.75,BMILMS!$D$23*AM917^3+BMILMS!$E$23*AM917^2+BMILMS!$F$23*AM917+BMILMS!$G$23,IF(AM917&lt;90,BMILMS!$D$24*AM917^3+BMILMS!$E$24*AM917^2+BMILMS!$F$24*AM917+BMILMS!$G$24,BMILMS!$D$25*AM917^3+BMILMS!$E$25*AM917^2+BMILMS!$F$25*AM917+BMILMS!$G$25))))),(IF(AM917&lt;2.5,BMILMS!$D$27*AM917^3+BMILMS!$E$27*AM917^2+BMILMS!$F$27*AM917+BMILMS!$G$27,IF(AM917&lt;9.5,BMILMS!$D$28*AM917^3+BMILMS!$E$28*AM917^2+BMILMS!$F$28*AM917+BMILMS!$G$28,IF(AM917&lt;26.75,BMILMS!$D$29*AM917^3+BMILMS!$E$29*AM917^2+BMILMS!$F$29*AM917+BMILMS!$G$29,IF(AM917&lt;90,BMILMS!$D$30*AM917^3+BMILMS!$E$30*AM917^2+BMILMS!$F$30*AM917+BMILMS!$G$30,IF(AM917&lt;150,BMILMS!$D$31*AM917^3+BMILMS!$E$31*AM917^2+BMILMS!$F$31*AM917+BMILMS!$G$31,BMILMS!$D$32*AM917^3+BMILMS!$E$32*AM917^2+BMILMS!$F$32*AM917+BMILMS!$G$32)))))))</f>
        <v>12.568967990000001</v>
      </c>
      <c r="AL917" s="4">
        <f>IF(D917="M",(IF(AM917&lt;90,BMILMS!$D$14*AM917^3+BMILMS!$E$14*AM917^2+BMILMS!$F$14*AM917+BMILMS!$G$14,BMILMS!$D$15*AM917^3+BMILMS!$E$15*AM917^2+BMILMS!$F$15*AM917+BMILMS!$G$15)),(IF(AM917&lt;90,BMILMS!$D$17*AM917^3+BMILMS!$E$17*AM917^2+BMILMS!$F$17*AM917+BMILMS!$G$17,BMILMS!$D$18*AM917^3+BMILMS!$E$18*AM917^2+BMILMS!$F$18*AM917+BMILMS!$G$18)))</f>
        <v>8.8969350000000003E-2</v>
      </c>
      <c r="AM917" s="4">
        <f t="shared" si="314"/>
        <v>0</v>
      </c>
      <c r="AO917" s="56">
        <f>IF(D917="M",WeightSDS!P$5*$AM917^7+WeightSDS!Q$5*$AM917^6+WeightSDS!R$5*$AM917^5+WeightSDS!S$5*$AM917^4+WeightSDS!T$5*$AM917^3+WeightSDS!U$5*$AM917^2+WeightSDS!V$5*$AM917+WeightSDS!W$5,IF($AM917&lt;186,WeightSDS!P$8*$AM917^7+WeightSDS!Q$8*$AM917^6+WeightSDS!R$8*$AM917^5+WeightSDS!S$8*$AM917^4+WeightSDS!T$8*$AM917^3+WeightSDS!U$8*$AM917^2+WeightSDS!V$8*$AM917+WeightSDS!W$8,WeightSDS!$U$9+WeightSDS!$V$9*($AM917-WeightSDS!$W$9)))</f>
        <v>0.75407122999999998</v>
      </c>
      <c r="AP917" s="4">
        <f>IF(D917="M",IF($AM917&lt;45,WeightSDS!M$23*$AM917^10+WeightSDS!N$23*$AM917^9+WeightSDS!O$23*$AM917^8+WeightSDS!P$23*$AM917^7+WeightSDS!Q$23*$AM917^6+WeightSDS!R$23*$AM917^5+WeightSDS!S$23*$AM917^4+WeightSDS!T$23*$AM917^3+WeightSDS!U$23*$AM917^2+WeightSDS!V$23*$AM917+WeightSDS!W$23,IF($AM917&lt;153,WeightSDS!M$25*$AM917^10+WeightSDS!N$25*$AM917^9+WeightSDS!O$25*$AM917^8+WeightSDS!P$25*$AM917^7+WeightSDS!Q$25*$AM917^6+WeightSDS!R$25*$AM917^5+WeightSDS!S$25*$AM917^4+WeightSDS!T$25*$AM917^3+WeightSDS!U$25*$AM917^2+WeightSDS!V$25*$AM917+WeightSDS!W$25,WeightSDS!M$27+WeightSDS!N$27/(1+EXP(WeightSDS!O$27+WeightSDS!P$27*$AM917)))),IF($AM917&lt;43.8,WeightSDS!M$29*$AM917^10+WeightSDS!N$29*$AM917^9+WeightSDS!O$29*$AM917^8+WeightSDS!P$29*$AM917^7+WeightSDS!Q$29*$AM917^6+WeightSDS!R$29*$AM917^5+WeightSDS!S$29*$AM917^4+WeightSDS!T$29*$AM917^3+WeightSDS!U$29*$AM917^2+WeightSDS!V$29*$AM917+WeightSDS!W$29-0.010431*(1-$AM917/210),IF($AM917&lt;123,WeightSDS!M$30*$AM917^10+WeightSDS!N$30*$AM917^9+WeightSDS!O$30*$AM917^8+WeightSDS!P$30*$AM917^7+WeightSDS!Q$30*$AM917^6+WeightSDS!R$30*$AM917^5+WeightSDS!S$30*$AM917^4+WeightSDS!T$30*$AM917^3+WeightSDS!U$30*$AM917^2+WeightSDS!V$30*$AM917+WeightSDS!W$30-0.010431*(1-1/$AM917),WeightSDS!M$32+WeightSDS!N$32/(1+EXP(WeightSDS!O$32+WeightSDS!P$32*$AM917))-0.010431*(1-$AM917/210))))</f>
        <v>2.9500001032655536</v>
      </c>
      <c r="AQ917" s="4">
        <f>IF(D917="M",IF($AM917&lt;162,WeightSDS!P$12*$AM917^7+WeightSDS!Q$12*$AM917^6+WeightSDS!R$12*$AM917^5+WeightSDS!S$12*$AM917^4+WeightSDS!T$12*$AM917^3+WeightSDS!U$12*$AM917^2+WeightSDS!V$12*$AM917+WeightSDS!W$12,WeightSDS!P$14*$AM917^7+WeightSDS!Q$14*$AM917^6+WeightSDS!R$14*$AM917^5+WeightSDS!S$14*$AM917^4+WeightSDS!T$14*$AM917^3+WeightSDS!U$14*$AM917^2+WeightSDS!V$14*$AM917+WeightSDS!W$14),IF($AM917&lt;156,WeightSDS!O$17*$AM917^8+WeightSDS!P$17*$AM917^7+WeightSDS!Q$17*$AM917^6+WeightSDS!R$17*$AM917^5+WeightSDS!S$17*$AM917^4+WeightSDS!T$17*$AM917^3+WeightSDS!U$17*$AM917^2+WeightSDS!V$17*$AM917+WeightSDS!W$17,IF($AM917&lt;186,WeightSDS!$U$18+(WeightSDS!$V$18-WeightSDS!$U$18)/24*($AM917-186)+WeightSDS!$W$18*(-$AM917+186)^2-0.005,WeightSDS!$U$18+(WeightSDS!$V$18-WeightSDS!$U$18)/24*($AM917-186)-0.005)))</f>
        <v>0.14604529399999999</v>
      </c>
      <c r="AT917" s="4">
        <f t="shared" si="301"/>
        <v>0.56299999999999994</v>
      </c>
      <c r="AU917" s="4">
        <f t="shared" si="302"/>
        <v>69</v>
      </c>
      <c r="AV917" s="4">
        <f t="shared" si="303"/>
        <v>0.51</v>
      </c>
    </row>
    <row r="918" spans="1:48" x14ac:dyDescent="0.15">
      <c r="A918" s="4"/>
      <c r="B918" s="21"/>
      <c r="C918" s="21"/>
      <c r="D918" s="21"/>
      <c r="E918" s="22"/>
      <c r="F918" s="22"/>
      <c r="G918" s="23"/>
      <c r="H918" s="23"/>
      <c r="I918" s="181"/>
      <c r="J918" s="8" t="str">
        <f t="shared" si="295"/>
        <v/>
      </c>
      <c r="K918" s="2" t="str">
        <f t="shared" si="304"/>
        <v/>
      </c>
      <c r="L918" s="2" t="str">
        <f t="shared" si="296"/>
        <v/>
      </c>
      <c r="M918" s="2" t="str">
        <f t="shared" si="305"/>
        <v/>
      </c>
      <c r="N918" s="2" t="str">
        <f t="shared" si="313"/>
        <v/>
      </c>
      <c r="O918" s="2" t="str">
        <f t="shared" si="306"/>
        <v/>
      </c>
      <c r="P918" s="8" t="str">
        <f t="shared" si="307"/>
        <v/>
      </c>
      <c r="Q918" s="8" t="str">
        <f t="shared" si="308"/>
        <v/>
      </c>
      <c r="R918" s="111" t="str">
        <f t="shared" si="309"/>
        <v/>
      </c>
      <c r="S918" s="44" t="str">
        <f t="shared" si="310"/>
        <v/>
      </c>
      <c r="T918" s="37" t="str">
        <f t="shared" si="311"/>
        <v/>
      </c>
      <c r="U918" s="44" t="str">
        <f t="shared" si="312"/>
        <v/>
      </c>
      <c r="V918" s="26"/>
      <c r="W918" s="26"/>
      <c r="X918" s="26"/>
      <c r="Y918" s="26"/>
      <c r="Z918" s="24"/>
      <c r="AA918" s="169">
        <f t="shared" si="297"/>
        <v>0</v>
      </c>
      <c r="AB918" s="4">
        <f t="shared" si="298"/>
        <v>0</v>
      </c>
      <c r="AC918" s="170">
        <f t="shared" si="294"/>
        <v>0</v>
      </c>
      <c r="AD918" s="58"/>
      <c r="AE918" s="58"/>
      <c r="AF918" s="58"/>
      <c r="AG918" s="59">
        <f t="shared" si="299"/>
        <v>9.0359999999999996</v>
      </c>
      <c r="AH918" s="59">
        <f t="shared" si="300"/>
        <v>-184.49199999999999</v>
      </c>
      <c r="AJ918" s="4">
        <f>IF(D918="M",IF(AM918&lt;78,BMILMS!$D$5*AM918^3+BMILMS!$E$5*AM918^2+BMILMS!$F$5*AM918+BMILMS!$G$5,IF(AM918&lt;150,BMILMS!$D$6*AM918^3+BMILMS!$E$6*AM918^2+BMILMS!$F$6*AM918+BMILMS!$G$6,BMILMS!$D$7*AM918^3+BMILMS!$E$7*AM918^2+BMILMS!$F$7*AM918+BMILMS!$G$7)),IF(AM918&lt;69,BMILMS!$D$9*AM918^3+BMILMS!$E$9*AM918^2+BMILMS!$F$9*AM918+BMILMS!$G$9,IF(AM918&lt;150,BMILMS!$D$10*AM918^3+BMILMS!$E$10*AM918^2+BMILMS!$F$10*AM918+BMILMS!$G$10,BMILMS!$D$11*AM918^3+BMILMS!$E$11*AM918^2+BMILMS!$F$11*AM918+BMILMS!$G$11)))</f>
        <v>0.79584630099999998</v>
      </c>
      <c r="AK918" s="4">
        <f>IF(D918="M",(IF(AM918&lt;2.5,BMILMS!$D$21*AM918^3+BMILMS!$E$21*AM918^2+BMILMS!$F$21*AM918+BMILMS!$G$21,IF(AM918&lt;9.5,BMILMS!$D$22*AM918^3+BMILMS!$E$22*AM918^2+BMILMS!$F$22*AM918+BMILMS!$G$22,IF(AM918&lt;26.75,BMILMS!$D$23*AM918^3+BMILMS!$E$23*AM918^2+BMILMS!$F$23*AM918+BMILMS!$G$23,IF(AM918&lt;90,BMILMS!$D$24*AM918^3+BMILMS!$E$24*AM918^2+BMILMS!$F$24*AM918+BMILMS!$G$24,BMILMS!$D$25*AM918^3+BMILMS!$E$25*AM918^2+BMILMS!$F$25*AM918+BMILMS!$G$25))))),(IF(AM918&lt;2.5,BMILMS!$D$27*AM918^3+BMILMS!$E$27*AM918^2+BMILMS!$F$27*AM918+BMILMS!$G$27,IF(AM918&lt;9.5,BMILMS!$D$28*AM918^3+BMILMS!$E$28*AM918^2+BMILMS!$F$28*AM918+BMILMS!$G$28,IF(AM918&lt;26.75,BMILMS!$D$29*AM918^3+BMILMS!$E$29*AM918^2+BMILMS!$F$29*AM918+BMILMS!$G$29,IF(AM918&lt;90,BMILMS!$D$30*AM918^3+BMILMS!$E$30*AM918^2+BMILMS!$F$30*AM918+BMILMS!$G$30,IF(AM918&lt;150,BMILMS!$D$31*AM918^3+BMILMS!$E$31*AM918^2+BMILMS!$F$31*AM918+BMILMS!$G$31,BMILMS!$D$32*AM918^3+BMILMS!$E$32*AM918^2+BMILMS!$F$32*AM918+BMILMS!$G$32)))))))</f>
        <v>12.568967990000001</v>
      </c>
      <c r="AL918" s="4">
        <f>IF(D918="M",(IF(AM918&lt;90,BMILMS!$D$14*AM918^3+BMILMS!$E$14*AM918^2+BMILMS!$F$14*AM918+BMILMS!$G$14,BMILMS!$D$15*AM918^3+BMILMS!$E$15*AM918^2+BMILMS!$F$15*AM918+BMILMS!$G$15)),(IF(AM918&lt;90,BMILMS!$D$17*AM918^3+BMILMS!$E$17*AM918^2+BMILMS!$F$17*AM918+BMILMS!$G$17,BMILMS!$D$18*AM918^3+BMILMS!$E$18*AM918^2+BMILMS!$F$18*AM918+BMILMS!$G$18)))</f>
        <v>8.8969350000000003E-2</v>
      </c>
      <c r="AM918" s="4">
        <f t="shared" si="314"/>
        <v>0</v>
      </c>
      <c r="AO918" s="56">
        <f>IF(D918="M",WeightSDS!P$5*$AM918^7+WeightSDS!Q$5*$AM918^6+WeightSDS!R$5*$AM918^5+WeightSDS!S$5*$AM918^4+WeightSDS!T$5*$AM918^3+WeightSDS!U$5*$AM918^2+WeightSDS!V$5*$AM918+WeightSDS!W$5,IF($AM918&lt;186,WeightSDS!P$8*$AM918^7+WeightSDS!Q$8*$AM918^6+WeightSDS!R$8*$AM918^5+WeightSDS!S$8*$AM918^4+WeightSDS!T$8*$AM918^3+WeightSDS!U$8*$AM918^2+WeightSDS!V$8*$AM918+WeightSDS!W$8,WeightSDS!$U$9+WeightSDS!$V$9*($AM918-WeightSDS!$W$9)))</f>
        <v>0.75407122999999998</v>
      </c>
      <c r="AP918" s="4">
        <f>IF(D918="M",IF($AM918&lt;45,WeightSDS!M$23*$AM918^10+WeightSDS!N$23*$AM918^9+WeightSDS!O$23*$AM918^8+WeightSDS!P$23*$AM918^7+WeightSDS!Q$23*$AM918^6+WeightSDS!R$23*$AM918^5+WeightSDS!S$23*$AM918^4+WeightSDS!T$23*$AM918^3+WeightSDS!U$23*$AM918^2+WeightSDS!V$23*$AM918+WeightSDS!W$23,IF($AM918&lt;153,WeightSDS!M$25*$AM918^10+WeightSDS!N$25*$AM918^9+WeightSDS!O$25*$AM918^8+WeightSDS!P$25*$AM918^7+WeightSDS!Q$25*$AM918^6+WeightSDS!R$25*$AM918^5+WeightSDS!S$25*$AM918^4+WeightSDS!T$25*$AM918^3+WeightSDS!U$25*$AM918^2+WeightSDS!V$25*$AM918+WeightSDS!W$25,WeightSDS!M$27+WeightSDS!N$27/(1+EXP(WeightSDS!O$27+WeightSDS!P$27*$AM918)))),IF($AM918&lt;43.8,WeightSDS!M$29*$AM918^10+WeightSDS!N$29*$AM918^9+WeightSDS!O$29*$AM918^8+WeightSDS!P$29*$AM918^7+WeightSDS!Q$29*$AM918^6+WeightSDS!R$29*$AM918^5+WeightSDS!S$29*$AM918^4+WeightSDS!T$29*$AM918^3+WeightSDS!U$29*$AM918^2+WeightSDS!V$29*$AM918+WeightSDS!W$29-0.010431*(1-$AM918/210),IF($AM918&lt;123,WeightSDS!M$30*$AM918^10+WeightSDS!N$30*$AM918^9+WeightSDS!O$30*$AM918^8+WeightSDS!P$30*$AM918^7+WeightSDS!Q$30*$AM918^6+WeightSDS!R$30*$AM918^5+WeightSDS!S$30*$AM918^4+WeightSDS!T$30*$AM918^3+WeightSDS!U$30*$AM918^2+WeightSDS!V$30*$AM918+WeightSDS!W$30-0.010431*(1-1/$AM918),WeightSDS!M$32+WeightSDS!N$32/(1+EXP(WeightSDS!O$32+WeightSDS!P$32*$AM918))-0.010431*(1-$AM918/210))))</f>
        <v>2.9500001032655536</v>
      </c>
      <c r="AQ918" s="4">
        <f>IF(D918="M",IF($AM918&lt;162,WeightSDS!P$12*$AM918^7+WeightSDS!Q$12*$AM918^6+WeightSDS!R$12*$AM918^5+WeightSDS!S$12*$AM918^4+WeightSDS!T$12*$AM918^3+WeightSDS!U$12*$AM918^2+WeightSDS!V$12*$AM918+WeightSDS!W$12,WeightSDS!P$14*$AM918^7+WeightSDS!Q$14*$AM918^6+WeightSDS!R$14*$AM918^5+WeightSDS!S$14*$AM918^4+WeightSDS!T$14*$AM918^3+WeightSDS!U$14*$AM918^2+WeightSDS!V$14*$AM918+WeightSDS!W$14),IF($AM918&lt;156,WeightSDS!O$17*$AM918^8+WeightSDS!P$17*$AM918^7+WeightSDS!Q$17*$AM918^6+WeightSDS!R$17*$AM918^5+WeightSDS!S$17*$AM918^4+WeightSDS!T$17*$AM918^3+WeightSDS!U$17*$AM918^2+WeightSDS!V$17*$AM918+WeightSDS!W$17,IF($AM918&lt;186,WeightSDS!$U$18+(WeightSDS!$V$18-WeightSDS!$U$18)/24*($AM918-186)+WeightSDS!$W$18*(-$AM918+186)^2-0.005,WeightSDS!$U$18+(WeightSDS!$V$18-WeightSDS!$U$18)/24*($AM918-186)-0.005)))</f>
        <v>0.14604529399999999</v>
      </c>
      <c r="AT918" s="4">
        <f t="shared" si="301"/>
        <v>0.56299999999999994</v>
      </c>
      <c r="AU918" s="4">
        <f t="shared" si="302"/>
        <v>69</v>
      </c>
      <c r="AV918" s="4">
        <f t="shared" si="303"/>
        <v>0.51</v>
      </c>
    </row>
    <row r="919" spans="1:48" x14ac:dyDescent="0.15">
      <c r="A919" s="4"/>
      <c r="B919" s="21"/>
      <c r="C919" s="21"/>
      <c r="D919" s="21"/>
      <c r="E919" s="22"/>
      <c r="F919" s="22"/>
      <c r="G919" s="23"/>
      <c r="H919" s="23"/>
      <c r="I919" s="181"/>
      <c r="J919" s="8" t="str">
        <f t="shared" si="295"/>
        <v/>
      </c>
      <c r="K919" s="2" t="str">
        <f t="shared" si="304"/>
        <v/>
      </c>
      <c r="L919" s="2" t="str">
        <f t="shared" si="296"/>
        <v/>
      </c>
      <c r="M919" s="2" t="str">
        <f t="shared" si="305"/>
        <v/>
      </c>
      <c r="N919" s="2" t="str">
        <f t="shared" si="313"/>
        <v/>
      </c>
      <c r="O919" s="2" t="str">
        <f t="shared" si="306"/>
        <v/>
      </c>
      <c r="P919" s="8" t="str">
        <f t="shared" si="307"/>
        <v/>
      </c>
      <c r="Q919" s="8" t="str">
        <f t="shared" si="308"/>
        <v/>
      </c>
      <c r="R919" s="111" t="str">
        <f t="shared" si="309"/>
        <v/>
      </c>
      <c r="S919" s="44" t="str">
        <f t="shared" si="310"/>
        <v/>
      </c>
      <c r="T919" s="37" t="str">
        <f t="shared" si="311"/>
        <v/>
      </c>
      <c r="U919" s="44" t="str">
        <f t="shared" si="312"/>
        <v/>
      </c>
      <c r="V919" s="26"/>
      <c r="W919" s="26"/>
      <c r="X919" s="26"/>
      <c r="Y919" s="26"/>
      <c r="Z919" s="24"/>
      <c r="AA919" s="169">
        <f t="shared" si="297"/>
        <v>0</v>
      </c>
      <c r="AB919" s="4">
        <f t="shared" si="298"/>
        <v>0</v>
      </c>
      <c r="AC919" s="170">
        <f t="shared" si="294"/>
        <v>0</v>
      </c>
      <c r="AD919" s="58"/>
      <c r="AE919" s="58"/>
      <c r="AF919" s="58"/>
      <c r="AG919" s="59">
        <f t="shared" si="299"/>
        <v>9.0359999999999996</v>
      </c>
      <c r="AH919" s="59">
        <f t="shared" si="300"/>
        <v>-184.49199999999999</v>
      </c>
      <c r="AJ919" s="4">
        <f>IF(D919="M",IF(AM919&lt;78,BMILMS!$D$5*AM919^3+BMILMS!$E$5*AM919^2+BMILMS!$F$5*AM919+BMILMS!$G$5,IF(AM919&lt;150,BMILMS!$D$6*AM919^3+BMILMS!$E$6*AM919^2+BMILMS!$F$6*AM919+BMILMS!$G$6,BMILMS!$D$7*AM919^3+BMILMS!$E$7*AM919^2+BMILMS!$F$7*AM919+BMILMS!$G$7)),IF(AM919&lt;69,BMILMS!$D$9*AM919^3+BMILMS!$E$9*AM919^2+BMILMS!$F$9*AM919+BMILMS!$G$9,IF(AM919&lt;150,BMILMS!$D$10*AM919^3+BMILMS!$E$10*AM919^2+BMILMS!$F$10*AM919+BMILMS!$G$10,BMILMS!$D$11*AM919^3+BMILMS!$E$11*AM919^2+BMILMS!$F$11*AM919+BMILMS!$G$11)))</f>
        <v>0.79584630099999998</v>
      </c>
      <c r="AK919" s="4">
        <f>IF(D919="M",(IF(AM919&lt;2.5,BMILMS!$D$21*AM919^3+BMILMS!$E$21*AM919^2+BMILMS!$F$21*AM919+BMILMS!$G$21,IF(AM919&lt;9.5,BMILMS!$D$22*AM919^3+BMILMS!$E$22*AM919^2+BMILMS!$F$22*AM919+BMILMS!$G$22,IF(AM919&lt;26.75,BMILMS!$D$23*AM919^3+BMILMS!$E$23*AM919^2+BMILMS!$F$23*AM919+BMILMS!$G$23,IF(AM919&lt;90,BMILMS!$D$24*AM919^3+BMILMS!$E$24*AM919^2+BMILMS!$F$24*AM919+BMILMS!$G$24,BMILMS!$D$25*AM919^3+BMILMS!$E$25*AM919^2+BMILMS!$F$25*AM919+BMILMS!$G$25))))),(IF(AM919&lt;2.5,BMILMS!$D$27*AM919^3+BMILMS!$E$27*AM919^2+BMILMS!$F$27*AM919+BMILMS!$G$27,IF(AM919&lt;9.5,BMILMS!$D$28*AM919^3+BMILMS!$E$28*AM919^2+BMILMS!$F$28*AM919+BMILMS!$G$28,IF(AM919&lt;26.75,BMILMS!$D$29*AM919^3+BMILMS!$E$29*AM919^2+BMILMS!$F$29*AM919+BMILMS!$G$29,IF(AM919&lt;90,BMILMS!$D$30*AM919^3+BMILMS!$E$30*AM919^2+BMILMS!$F$30*AM919+BMILMS!$G$30,IF(AM919&lt;150,BMILMS!$D$31*AM919^3+BMILMS!$E$31*AM919^2+BMILMS!$F$31*AM919+BMILMS!$G$31,BMILMS!$D$32*AM919^3+BMILMS!$E$32*AM919^2+BMILMS!$F$32*AM919+BMILMS!$G$32)))))))</f>
        <v>12.568967990000001</v>
      </c>
      <c r="AL919" s="4">
        <f>IF(D919="M",(IF(AM919&lt;90,BMILMS!$D$14*AM919^3+BMILMS!$E$14*AM919^2+BMILMS!$F$14*AM919+BMILMS!$G$14,BMILMS!$D$15*AM919^3+BMILMS!$E$15*AM919^2+BMILMS!$F$15*AM919+BMILMS!$G$15)),(IF(AM919&lt;90,BMILMS!$D$17*AM919^3+BMILMS!$E$17*AM919^2+BMILMS!$F$17*AM919+BMILMS!$G$17,BMILMS!$D$18*AM919^3+BMILMS!$E$18*AM919^2+BMILMS!$F$18*AM919+BMILMS!$G$18)))</f>
        <v>8.8969350000000003E-2</v>
      </c>
      <c r="AM919" s="4">
        <f t="shared" si="314"/>
        <v>0</v>
      </c>
      <c r="AO919" s="56">
        <f>IF(D919="M",WeightSDS!P$5*$AM919^7+WeightSDS!Q$5*$AM919^6+WeightSDS!R$5*$AM919^5+WeightSDS!S$5*$AM919^4+WeightSDS!T$5*$AM919^3+WeightSDS!U$5*$AM919^2+WeightSDS!V$5*$AM919+WeightSDS!W$5,IF($AM919&lt;186,WeightSDS!P$8*$AM919^7+WeightSDS!Q$8*$AM919^6+WeightSDS!R$8*$AM919^5+WeightSDS!S$8*$AM919^4+WeightSDS!T$8*$AM919^3+WeightSDS!U$8*$AM919^2+WeightSDS!V$8*$AM919+WeightSDS!W$8,WeightSDS!$U$9+WeightSDS!$V$9*($AM919-WeightSDS!$W$9)))</f>
        <v>0.75407122999999998</v>
      </c>
      <c r="AP919" s="4">
        <f>IF(D919="M",IF($AM919&lt;45,WeightSDS!M$23*$AM919^10+WeightSDS!N$23*$AM919^9+WeightSDS!O$23*$AM919^8+WeightSDS!P$23*$AM919^7+WeightSDS!Q$23*$AM919^6+WeightSDS!R$23*$AM919^5+WeightSDS!S$23*$AM919^4+WeightSDS!T$23*$AM919^3+WeightSDS!U$23*$AM919^2+WeightSDS!V$23*$AM919+WeightSDS!W$23,IF($AM919&lt;153,WeightSDS!M$25*$AM919^10+WeightSDS!N$25*$AM919^9+WeightSDS!O$25*$AM919^8+WeightSDS!P$25*$AM919^7+WeightSDS!Q$25*$AM919^6+WeightSDS!R$25*$AM919^5+WeightSDS!S$25*$AM919^4+WeightSDS!T$25*$AM919^3+WeightSDS!U$25*$AM919^2+WeightSDS!V$25*$AM919+WeightSDS!W$25,WeightSDS!M$27+WeightSDS!N$27/(1+EXP(WeightSDS!O$27+WeightSDS!P$27*$AM919)))),IF($AM919&lt;43.8,WeightSDS!M$29*$AM919^10+WeightSDS!N$29*$AM919^9+WeightSDS!O$29*$AM919^8+WeightSDS!P$29*$AM919^7+WeightSDS!Q$29*$AM919^6+WeightSDS!R$29*$AM919^5+WeightSDS!S$29*$AM919^4+WeightSDS!T$29*$AM919^3+WeightSDS!U$29*$AM919^2+WeightSDS!V$29*$AM919+WeightSDS!W$29-0.010431*(1-$AM919/210),IF($AM919&lt;123,WeightSDS!M$30*$AM919^10+WeightSDS!N$30*$AM919^9+WeightSDS!O$30*$AM919^8+WeightSDS!P$30*$AM919^7+WeightSDS!Q$30*$AM919^6+WeightSDS!R$30*$AM919^5+WeightSDS!S$30*$AM919^4+WeightSDS!T$30*$AM919^3+WeightSDS!U$30*$AM919^2+WeightSDS!V$30*$AM919+WeightSDS!W$30-0.010431*(1-1/$AM919),WeightSDS!M$32+WeightSDS!N$32/(1+EXP(WeightSDS!O$32+WeightSDS!P$32*$AM919))-0.010431*(1-$AM919/210))))</f>
        <v>2.9500001032655536</v>
      </c>
      <c r="AQ919" s="4">
        <f>IF(D919="M",IF($AM919&lt;162,WeightSDS!P$12*$AM919^7+WeightSDS!Q$12*$AM919^6+WeightSDS!R$12*$AM919^5+WeightSDS!S$12*$AM919^4+WeightSDS!T$12*$AM919^3+WeightSDS!U$12*$AM919^2+WeightSDS!V$12*$AM919+WeightSDS!W$12,WeightSDS!P$14*$AM919^7+WeightSDS!Q$14*$AM919^6+WeightSDS!R$14*$AM919^5+WeightSDS!S$14*$AM919^4+WeightSDS!T$14*$AM919^3+WeightSDS!U$14*$AM919^2+WeightSDS!V$14*$AM919+WeightSDS!W$14),IF($AM919&lt;156,WeightSDS!O$17*$AM919^8+WeightSDS!P$17*$AM919^7+WeightSDS!Q$17*$AM919^6+WeightSDS!R$17*$AM919^5+WeightSDS!S$17*$AM919^4+WeightSDS!T$17*$AM919^3+WeightSDS!U$17*$AM919^2+WeightSDS!V$17*$AM919+WeightSDS!W$17,IF($AM919&lt;186,WeightSDS!$U$18+(WeightSDS!$V$18-WeightSDS!$U$18)/24*($AM919-186)+WeightSDS!$W$18*(-$AM919+186)^2-0.005,WeightSDS!$U$18+(WeightSDS!$V$18-WeightSDS!$U$18)/24*($AM919-186)-0.005)))</f>
        <v>0.14604529399999999</v>
      </c>
      <c r="AT919" s="4">
        <f t="shared" si="301"/>
        <v>0.56299999999999994</v>
      </c>
      <c r="AU919" s="4">
        <f t="shared" si="302"/>
        <v>69</v>
      </c>
      <c r="AV919" s="4">
        <f t="shared" si="303"/>
        <v>0.51</v>
      </c>
    </row>
    <row r="920" spans="1:48" x14ac:dyDescent="0.15">
      <c r="A920" s="4"/>
      <c r="B920" s="21"/>
      <c r="C920" s="21"/>
      <c r="D920" s="21"/>
      <c r="E920" s="22"/>
      <c r="F920" s="22"/>
      <c r="G920" s="23"/>
      <c r="H920" s="23"/>
      <c r="I920" s="181"/>
      <c r="J920" s="8" t="str">
        <f t="shared" si="295"/>
        <v/>
      </c>
      <c r="K920" s="2" t="str">
        <f t="shared" si="304"/>
        <v/>
      </c>
      <c r="L920" s="2" t="str">
        <f t="shared" si="296"/>
        <v/>
      </c>
      <c r="M920" s="2" t="str">
        <f t="shared" si="305"/>
        <v/>
      </c>
      <c r="N920" s="2" t="str">
        <f t="shared" si="313"/>
        <v/>
      </c>
      <c r="O920" s="2" t="str">
        <f t="shared" si="306"/>
        <v/>
      </c>
      <c r="P920" s="8" t="str">
        <f t="shared" si="307"/>
        <v/>
      </c>
      <c r="Q920" s="8" t="str">
        <f t="shared" si="308"/>
        <v/>
      </c>
      <c r="R920" s="111" t="str">
        <f t="shared" si="309"/>
        <v/>
      </c>
      <c r="S920" s="44" t="str">
        <f t="shared" si="310"/>
        <v/>
      </c>
      <c r="T920" s="37" t="str">
        <f t="shared" si="311"/>
        <v/>
      </c>
      <c r="U920" s="44" t="str">
        <f t="shared" si="312"/>
        <v/>
      </c>
      <c r="V920" s="26"/>
      <c r="W920" s="26"/>
      <c r="X920" s="26"/>
      <c r="Y920" s="26"/>
      <c r="Z920" s="24"/>
      <c r="AA920" s="169">
        <f t="shared" si="297"/>
        <v>0</v>
      </c>
      <c r="AB920" s="4">
        <f t="shared" si="298"/>
        <v>0</v>
      </c>
      <c r="AC920" s="170">
        <f t="shared" si="294"/>
        <v>0</v>
      </c>
      <c r="AD920" s="58"/>
      <c r="AE920" s="58"/>
      <c r="AF920" s="58"/>
      <c r="AG920" s="59">
        <f t="shared" si="299"/>
        <v>9.0359999999999996</v>
      </c>
      <c r="AH920" s="59">
        <f t="shared" si="300"/>
        <v>-184.49199999999999</v>
      </c>
      <c r="AJ920" s="4">
        <f>IF(D920="M",IF(AM920&lt;78,BMILMS!$D$5*AM920^3+BMILMS!$E$5*AM920^2+BMILMS!$F$5*AM920+BMILMS!$G$5,IF(AM920&lt;150,BMILMS!$D$6*AM920^3+BMILMS!$E$6*AM920^2+BMILMS!$F$6*AM920+BMILMS!$G$6,BMILMS!$D$7*AM920^3+BMILMS!$E$7*AM920^2+BMILMS!$F$7*AM920+BMILMS!$G$7)),IF(AM920&lt;69,BMILMS!$D$9*AM920^3+BMILMS!$E$9*AM920^2+BMILMS!$F$9*AM920+BMILMS!$G$9,IF(AM920&lt;150,BMILMS!$D$10*AM920^3+BMILMS!$E$10*AM920^2+BMILMS!$F$10*AM920+BMILMS!$G$10,BMILMS!$D$11*AM920^3+BMILMS!$E$11*AM920^2+BMILMS!$F$11*AM920+BMILMS!$G$11)))</f>
        <v>0.79584630099999998</v>
      </c>
      <c r="AK920" s="4">
        <f>IF(D920="M",(IF(AM920&lt;2.5,BMILMS!$D$21*AM920^3+BMILMS!$E$21*AM920^2+BMILMS!$F$21*AM920+BMILMS!$G$21,IF(AM920&lt;9.5,BMILMS!$D$22*AM920^3+BMILMS!$E$22*AM920^2+BMILMS!$F$22*AM920+BMILMS!$G$22,IF(AM920&lt;26.75,BMILMS!$D$23*AM920^3+BMILMS!$E$23*AM920^2+BMILMS!$F$23*AM920+BMILMS!$G$23,IF(AM920&lt;90,BMILMS!$D$24*AM920^3+BMILMS!$E$24*AM920^2+BMILMS!$F$24*AM920+BMILMS!$G$24,BMILMS!$D$25*AM920^3+BMILMS!$E$25*AM920^2+BMILMS!$F$25*AM920+BMILMS!$G$25))))),(IF(AM920&lt;2.5,BMILMS!$D$27*AM920^3+BMILMS!$E$27*AM920^2+BMILMS!$F$27*AM920+BMILMS!$G$27,IF(AM920&lt;9.5,BMILMS!$D$28*AM920^3+BMILMS!$E$28*AM920^2+BMILMS!$F$28*AM920+BMILMS!$G$28,IF(AM920&lt;26.75,BMILMS!$D$29*AM920^3+BMILMS!$E$29*AM920^2+BMILMS!$F$29*AM920+BMILMS!$G$29,IF(AM920&lt;90,BMILMS!$D$30*AM920^3+BMILMS!$E$30*AM920^2+BMILMS!$F$30*AM920+BMILMS!$G$30,IF(AM920&lt;150,BMILMS!$D$31*AM920^3+BMILMS!$E$31*AM920^2+BMILMS!$F$31*AM920+BMILMS!$G$31,BMILMS!$D$32*AM920^3+BMILMS!$E$32*AM920^2+BMILMS!$F$32*AM920+BMILMS!$G$32)))))))</f>
        <v>12.568967990000001</v>
      </c>
      <c r="AL920" s="4">
        <f>IF(D920="M",(IF(AM920&lt;90,BMILMS!$D$14*AM920^3+BMILMS!$E$14*AM920^2+BMILMS!$F$14*AM920+BMILMS!$G$14,BMILMS!$D$15*AM920^3+BMILMS!$E$15*AM920^2+BMILMS!$F$15*AM920+BMILMS!$G$15)),(IF(AM920&lt;90,BMILMS!$D$17*AM920^3+BMILMS!$E$17*AM920^2+BMILMS!$F$17*AM920+BMILMS!$G$17,BMILMS!$D$18*AM920^3+BMILMS!$E$18*AM920^2+BMILMS!$F$18*AM920+BMILMS!$G$18)))</f>
        <v>8.8969350000000003E-2</v>
      </c>
      <c r="AM920" s="4">
        <f t="shared" si="314"/>
        <v>0</v>
      </c>
      <c r="AO920" s="56">
        <f>IF(D920="M",WeightSDS!P$5*$AM920^7+WeightSDS!Q$5*$AM920^6+WeightSDS!R$5*$AM920^5+WeightSDS!S$5*$AM920^4+WeightSDS!T$5*$AM920^3+WeightSDS!U$5*$AM920^2+WeightSDS!V$5*$AM920+WeightSDS!W$5,IF($AM920&lt;186,WeightSDS!P$8*$AM920^7+WeightSDS!Q$8*$AM920^6+WeightSDS!R$8*$AM920^5+WeightSDS!S$8*$AM920^4+WeightSDS!T$8*$AM920^3+WeightSDS!U$8*$AM920^2+WeightSDS!V$8*$AM920+WeightSDS!W$8,WeightSDS!$U$9+WeightSDS!$V$9*($AM920-WeightSDS!$W$9)))</f>
        <v>0.75407122999999998</v>
      </c>
      <c r="AP920" s="4">
        <f>IF(D920="M",IF($AM920&lt;45,WeightSDS!M$23*$AM920^10+WeightSDS!N$23*$AM920^9+WeightSDS!O$23*$AM920^8+WeightSDS!P$23*$AM920^7+WeightSDS!Q$23*$AM920^6+WeightSDS!R$23*$AM920^5+WeightSDS!S$23*$AM920^4+WeightSDS!T$23*$AM920^3+WeightSDS!U$23*$AM920^2+WeightSDS!V$23*$AM920+WeightSDS!W$23,IF($AM920&lt;153,WeightSDS!M$25*$AM920^10+WeightSDS!N$25*$AM920^9+WeightSDS!O$25*$AM920^8+WeightSDS!P$25*$AM920^7+WeightSDS!Q$25*$AM920^6+WeightSDS!R$25*$AM920^5+WeightSDS!S$25*$AM920^4+WeightSDS!T$25*$AM920^3+WeightSDS!U$25*$AM920^2+WeightSDS!V$25*$AM920+WeightSDS!W$25,WeightSDS!M$27+WeightSDS!N$27/(1+EXP(WeightSDS!O$27+WeightSDS!P$27*$AM920)))),IF($AM920&lt;43.8,WeightSDS!M$29*$AM920^10+WeightSDS!N$29*$AM920^9+WeightSDS!O$29*$AM920^8+WeightSDS!P$29*$AM920^7+WeightSDS!Q$29*$AM920^6+WeightSDS!R$29*$AM920^5+WeightSDS!S$29*$AM920^4+WeightSDS!T$29*$AM920^3+WeightSDS!U$29*$AM920^2+WeightSDS!V$29*$AM920+WeightSDS!W$29-0.010431*(1-$AM920/210),IF($AM920&lt;123,WeightSDS!M$30*$AM920^10+WeightSDS!N$30*$AM920^9+WeightSDS!O$30*$AM920^8+WeightSDS!P$30*$AM920^7+WeightSDS!Q$30*$AM920^6+WeightSDS!R$30*$AM920^5+WeightSDS!S$30*$AM920^4+WeightSDS!T$30*$AM920^3+WeightSDS!U$30*$AM920^2+WeightSDS!V$30*$AM920+WeightSDS!W$30-0.010431*(1-1/$AM920),WeightSDS!M$32+WeightSDS!N$32/(1+EXP(WeightSDS!O$32+WeightSDS!P$32*$AM920))-0.010431*(1-$AM920/210))))</f>
        <v>2.9500001032655536</v>
      </c>
      <c r="AQ920" s="4">
        <f>IF(D920="M",IF($AM920&lt;162,WeightSDS!P$12*$AM920^7+WeightSDS!Q$12*$AM920^6+WeightSDS!R$12*$AM920^5+WeightSDS!S$12*$AM920^4+WeightSDS!T$12*$AM920^3+WeightSDS!U$12*$AM920^2+WeightSDS!V$12*$AM920+WeightSDS!W$12,WeightSDS!P$14*$AM920^7+WeightSDS!Q$14*$AM920^6+WeightSDS!R$14*$AM920^5+WeightSDS!S$14*$AM920^4+WeightSDS!T$14*$AM920^3+WeightSDS!U$14*$AM920^2+WeightSDS!V$14*$AM920+WeightSDS!W$14),IF($AM920&lt;156,WeightSDS!O$17*$AM920^8+WeightSDS!P$17*$AM920^7+WeightSDS!Q$17*$AM920^6+WeightSDS!R$17*$AM920^5+WeightSDS!S$17*$AM920^4+WeightSDS!T$17*$AM920^3+WeightSDS!U$17*$AM920^2+WeightSDS!V$17*$AM920+WeightSDS!W$17,IF($AM920&lt;186,WeightSDS!$U$18+(WeightSDS!$V$18-WeightSDS!$U$18)/24*($AM920-186)+WeightSDS!$W$18*(-$AM920+186)^2-0.005,WeightSDS!$U$18+(WeightSDS!$V$18-WeightSDS!$U$18)/24*($AM920-186)-0.005)))</f>
        <v>0.14604529399999999</v>
      </c>
      <c r="AT920" s="4">
        <f t="shared" si="301"/>
        <v>0.56299999999999994</v>
      </c>
      <c r="AU920" s="4">
        <f t="shared" si="302"/>
        <v>69</v>
      </c>
      <c r="AV920" s="4">
        <f t="shared" si="303"/>
        <v>0.51</v>
      </c>
    </row>
    <row r="921" spans="1:48" x14ac:dyDescent="0.15">
      <c r="A921" s="4"/>
      <c r="B921" s="21"/>
      <c r="C921" s="21"/>
      <c r="D921" s="21"/>
      <c r="E921" s="22"/>
      <c r="F921" s="22"/>
      <c r="G921" s="23"/>
      <c r="H921" s="23"/>
      <c r="I921" s="181"/>
      <c r="J921" s="8" t="str">
        <f t="shared" si="295"/>
        <v/>
      </c>
      <c r="K921" s="2" t="str">
        <f t="shared" si="304"/>
        <v/>
      </c>
      <c r="L921" s="2" t="str">
        <f t="shared" si="296"/>
        <v/>
      </c>
      <c r="M921" s="2" t="str">
        <f t="shared" si="305"/>
        <v/>
      </c>
      <c r="N921" s="2" t="str">
        <f t="shared" si="313"/>
        <v/>
      </c>
      <c r="O921" s="2" t="str">
        <f t="shared" si="306"/>
        <v/>
      </c>
      <c r="P921" s="8" t="str">
        <f t="shared" si="307"/>
        <v/>
      </c>
      <c r="Q921" s="8" t="str">
        <f t="shared" si="308"/>
        <v/>
      </c>
      <c r="R921" s="111" t="str">
        <f t="shared" si="309"/>
        <v/>
      </c>
      <c r="S921" s="44" t="str">
        <f t="shared" si="310"/>
        <v/>
      </c>
      <c r="T921" s="37" t="str">
        <f t="shared" si="311"/>
        <v/>
      </c>
      <c r="U921" s="44" t="str">
        <f t="shared" si="312"/>
        <v/>
      </c>
      <c r="V921" s="26"/>
      <c r="W921" s="26"/>
      <c r="X921" s="26"/>
      <c r="Y921" s="26"/>
      <c r="Z921" s="24"/>
      <c r="AA921" s="169">
        <f t="shared" si="297"/>
        <v>0</v>
      </c>
      <c r="AB921" s="4">
        <f t="shared" si="298"/>
        <v>0</v>
      </c>
      <c r="AC921" s="170">
        <f t="shared" si="294"/>
        <v>0</v>
      </c>
      <c r="AD921" s="58"/>
      <c r="AE921" s="58"/>
      <c r="AF921" s="58"/>
      <c r="AG921" s="59">
        <f t="shared" si="299"/>
        <v>9.0359999999999996</v>
      </c>
      <c r="AH921" s="59">
        <f t="shared" si="300"/>
        <v>-184.49199999999999</v>
      </c>
      <c r="AJ921" s="4">
        <f>IF(D921="M",IF(AM921&lt;78,BMILMS!$D$5*AM921^3+BMILMS!$E$5*AM921^2+BMILMS!$F$5*AM921+BMILMS!$G$5,IF(AM921&lt;150,BMILMS!$D$6*AM921^3+BMILMS!$E$6*AM921^2+BMILMS!$F$6*AM921+BMILMS!$G$6,BMILMS!$D$7*AM921^3+BMILMS!$E$7*AM921^2+BMILMS!$F$7*AM921+BMILMS!$G$7)),IF(AM921&lt;69,BMILMS!$D$9*AM921^3+BMILMS!$E$9*AM921^2+BMILMS!$F$9*AM921+BMILMS!$G$9,IF(AM921&lt;150,BMILMS!$D$10*AM921^3+BMILMS!$E$10*AM921^2+BMILMS!$F$10*AM921+BMILMS!$G$10,BMILMS!$D$11*AM921^3+BMILMS!$E$11*AM921^2+BMILMS!$F$11*AM921+BMILMS!$G$11)))</f>
        <v>0.79584630099999998</v>
      </c>
      <c r="AK921" s="4">
        <f>IF(D921="M",(IF(AM921&lt;2.5,BMILMS!$D$21*AM921^3+BMILMS!$E$21*AM921^2+BMILMS!$F$21*AM921+BMILMS!$G$21,IF(AM921&lt;9.5,BMILMS!$D$22*AM921^3+BMILMS!$E$22*AM921^2+BMILMS!$F$22*AM921+BMILMS!$G$22,IF(AM921&lt;26.75,BMILMS!$D$23*AM921^3+BMILMS!$E$23*AM921^2+BMILMS!$F$23*AM921+BMILMS!$G$23,IF(AM921&lt;90,BMILMS!$D$24*AM921^3+BMILMS!$E$24*AM921^2+BMILMS!$F$24*AM921+BMILMS!$G$24,BMILMS!$D$25*AM921^3+BMILMS!$E$25*AM921^2+BMILMS!$F$25*AM921+BMILMS!$G$25))))),(IF(AM921&lt;2.5,BMILMS!$D$27*AM921^3+BMILMS!$E$27*AM921^2+BMILMS!$F$27*AM921+BMILMS!$G$27,IF(AM921&lt;9.5,BMILMS!$D$28*AM921^3+BMILMS!$E$28*AM921^2+BMILMS!$F$28*AM921+BMILMS!$G$28,IF(AM921&lt;26.75,BMILMS!$D$29*AM921^3+BMILMS!$E$29*AM921^2+BMILMS!$F$29*AM921+BMILMS!$G$29,IF(AM921&lt;90,BMILMS!$D$30*AM921^3+BMILMS!$E$30*AM921^2+BMILMS!$F$30*AM921+BMILMS!$G$30,IF(AM921&lt;150,BMILMS!$D$31*AM921^3+BMILMS!$E$31*AM921^2+BMILMS!$F$31*AM921+BMILMS!$G$31,BMILMS!$D$32*AM921^3+BMILMS!$E$32*AM921^2+BMILMS!$F$32*AM921+BMILMS!$G$32)))))))</f>
        <v>12.568967990000001</v>
      </c>
      <c r="AL921" s="4">
        <f>IF(D921="M",(IF(AM921&lt;90,BMILMS!$D$14*AM921^3+BMILMS!$E$14*AM921^2+BMILMS!$F$14*AM921+BMILMS!$G$14,BMILMS!$D$15*AM921^3+BMILMS!$E$15*AM921^2+BMILMS!$F$15*AM921+BMILMS!$G$15)),(IF(AM921&lt;90,BMILMS!$D$17*AM921^3+BMILMS!$E$17*AM921^2+BMILMS!$F$17*AM921+BMILMS!$G$17,BMILMS!$D$18*AM921^3+BMILMS!$E$18*AM921^2+BMILMS!$F$18*AM921+BMILMS!$G$18)))</f>
        <v>8.8969350000000003E-2</v>
      </c>
      <c r="AM921" s="4">
        <f t="shared" si="314"/>
        <v>0</v>
      </c>
      <c r="AO921" s="56">
        <f>IF(D921="M",WeightSDS!P$5*$AM921^7+WeightSDS!Q$5*$AM921^6+WeightSDS!R$5*$AM921^5+WeightSDS!S$5*$AM921^4+WeightSDS!T$5*$AM921^3+WeightSDS!U$5*$AM921^2+WeightSDS!V$5*$AM921+WeightSDS!W$5,IF($AM921&lt;186,WeightSDS!P$8*$AM921^7+WeightSDS!Q$8*$AM921^6+WeightSDS!R$8*$AM921^5+WeightSDS!S$8*$AM921^4+WeightSDS!T$8*$AM921^3+WeightSDS!U$8*$AM921^2+WeightSDS!V$8*$AM921+WeightSDS!W$8,WeightSDS!$U$9+WeightSDS!$V$9*($AM921-WeightSDS!$W$9)))</f>
        <v>0.75407122999999998</v>
      </c>
      <c r="AP921" s="4">
        <f>IF(D921="M",IF($AM921&lt;45,WeightSDS!M$23*$AM921^10+WeightSDS!N$23*$AM921^9+WeightSDS!O$23*$AM921^8+WeightSDS!P$23*$AM921^7+WeightSDS!Q$23*$AM921^6+WeightSDS!R$23*$AM921^5+WeightSDS!S$23*$AM921^4+WeightSDS!T$23*$AM921^3+WeightSDS!U$23*$AM921^2+WeightSDS!V$23*$AM921+WeightSDS!W$23,IF($AM921&lt;153,WeightSDS!M$25*$AM921^10+WeightSDS!N$25*$AM921^9+WeightSDS!O$25*$AM921^8+WeightSDS!P$25*$AM921^7+WeightSDS!Q$25*$AM921^6+WeightSDS!R$25*$AM921^5+WeightSDS!S$25*$AM921^4+WeightSDS!T$25*$AM921^3+WeightSDS!U$25*$AM921^2+WeightSDS!V$25*$AM921+WeightSDS!W$25,WeightSDS!M$27+WeightSDS!N$27/(1+EXP(WeightSDS!O$27+WeightSDS!P$27*$AM921)))),IF($AM921&lt;43.8,WeightSDS!M$29*$AM921^10+WeightSDS!N$29*$AM921^9+WeightSDS!O$29*$AM921^8+WeightSDS!P$29*$AM921^7+WeightSDS!Q$29*$AM921^6+WeightSDS!R$29*$AM921^5+WeightSDS!S$29*$AM921^4+WeightSDS!T$29*$AM921^3+WeightSDS!U$29*$AM921^2+WeightSDS!V$29*$AM921+WeightSDS!W$29-0.010431*(1-$AM921/210),IF($AM921&lt;123,WeightSDS!M$30*$AM921^10+WeightSDS!N$30*$AM921^9+WeightSDS!O$30*$AM921^8+WeightSDS!P$30*$AM921^7+WeightSDS!Q$30*$AM921^6+WeightSDS!R$30*$AM921^5+WeightSDS!S$30*$AM921^4+WeightSDS!T$30*$AM921^3+WeightSDS!U$30*$AM921^2+WeightSDS!V$30*$AM921+WeightSDS!W$30-0.010431*(1-1/$AM921),WeightSDS!M$32+WeightSDS!N$32/(1+EXP(WeightSDS!O$32+WeightSDS!P$32*$AM921))-0.010431*(1-$AM921/210))))</f>
        <v>2.9500001032655536</v>
      </c>
      <c r="AQ921" s="4">
        <f>IF(D921="M",IF($AM921&lt;162,WeightSDS!P$12*$AM921^7+WeightSDS!Q$12*$AM921^6+WeightSDS!R$12*$AM921^5+WeightSDS!S$12*$AM921^4+WeightSDS!T$12*$AM921^3+WeightSDS!U$12*$AM921^2+WeightSDS!V$12*$AM921+WeightSDS!W$12,WeightSDS!P$14*$AM921^7+WeightSDS!Q$14*$AM921^6+WeightSDS!R$14*$AM921^5+WeightSDS!S$14*$AM921^4+WeightSDS!T$14*$AM921^3+WeightSDS!U$14*$AM921^2+WeightSDS!V$14*$AM921+WeightSDS!W$14),IF($AM921&lt;156,WeightSDS!O$17*$AM921^8+WeightSDS!P$17*$AM921^7+WeightSDS!Q$17*$AM921^6+WeightSDS!R$17*$AM921^5+WeightSDS!S$17*$AM921^4+WeightSDS!T$17*$AM921^3+WeightSDS!U$17*$AM921^2+WeightSDS!V$17*$AM921+WeightSDS!W$17,IF($AM921&lt;186,WeightSDS!$U$18+(WeightSDS!$V$18-WeightSDS!$U$18)/24*($AM921-186)+WeightSDS!$W$18*(-$AM921+186)^2-0.005,WeightSDS!$U$18+(WeightSDS!$V$18-WeightSDS!$U$18)/24*($AM921-186)-0.005)))</f>
        <v>0.14604529399999999</v>
      </c>
      <c r="AT921" s="4">
        <f t="shared" si="301"/>
        <v>0.56299999999999994</v>
      </c>
      <c r="AU921" s="4">
        <f t="shared" si="302"/>
        <v>69</v>
      </c>
      <c r="AV921" s="4">
        <f t="shared" si="303"/>
        <v>0.51</v>
      </c>
    </row>
    <row r="922" spans="1:48" x14ac:dyDescent="0.15">
      <c r="A922" s="4"/>
      <c r="B922" s="21"/>
      <c r="C922" s="21"/>
      <c r="D922" s="21"/>
      <c r="E922" s="22"/>
      <c r="F922" s="22"/>
      <c r="G922" s="23"/>
      <c r="H922" s="23"/>
      <c r="I922" s="181"/>
      <c r="J922" s="8" t="str">
        <f t="shared" si="295"/>
        <v/>
      </c>
      <c r="K922" s="2" t="str">
        <f t="shared" si="304"/>
        <v/>
      </c>
      <c r="L922" s="2" t="str">
        <f t="shared" si="296"/>
        <v/>
      </c>
      <c r="M922" s="2" t="str">
        <f t="shared" si="305"/>
        <v/>
      </c>
      <c r="N922" s="2" t="str">
        <f t="shared" si="313"/>
        <v/>
      </c>
      <c r="O922" s="2" t="str">
        <f t="shared" si="306"/>
        <v/>
      </c>
      <c r="P922" s="8" t="str">
        <f t="shared" si="307"/>
        <v/>
      </c>
      <c r="Q922" s="8" t="str">
        <f t="shared" si="308"/>
        <v/>
      </c>
      <c r="R922" s="111" t="str">
        <f t="shared" si="309"/>
        <v/>
      </c>
      <c r="S922" s="44" t="str">
        <f t="shared" si="310"/>
        <v/>
      </c>
      <c r="T922" s="37" t="str">
        <f t="shared" si="311"/>
        <v/>
      </c>
      <c r="U922" s="44" t="str">
        <f t="shared" si="312"/>
        <v/>
      </c>
      <c r="V922" s="26"/>
      <c r="W922" s="26"/>
      <c r="X922" s="26"/>
      <c r="Y922" s="26"/>
      <c r="Z922" s="24"/>
      <c r="AA922" s="169">
        <f t="shared" si="297"/>
        <v>0</v>
      </c>
      <c r="AB922" s="4">
        <f t="shared" si="298"/>
        <v>0</v>
      </c>
      <c r="AC922" s="170">
        <f t="shared" si="294"/>
        <v>0</v>
      </c>
      <c r="AD922" s="58"/>
      <c r="AE922" s="58"/>
      <c r="AF922" s="58"/>
      <c r="AG922" s="59">
        <f t="shared" si="299"/>
        <v>9.0359999999999996</v>
      </c>
      <c r="AH922" s="59">
        <f t="shared" si="300"/>
        <v>-184.49199999999999</v>
      </c>
      <c r="AJ922" s="4">
        <f>IF(D922="M",IF(AM922&lt;78,BMILMS!$D$5*AM922^3+BMILMS!$E$5*AM922^2+BMILMS!$F$5*AM922+BMILMS!$G$5,IF(AM922&lt;150,BMILMS!$D$6*AM922^3+BMILMS!$E$6*AM922^2+BMILMS!$F$6*AM922+BMILMS!$G$6,BMILMS!$D$7*AM922^3+BMILMS!$E$7*AM922^2+BMILMS!$F$7*AM922+BMILMS!$G$7)),IF(AM922&lt;69,BMILMS!$D$9*AM922^3+BMILMS!$E$9*AM922^2+BMILMS!$F$9*AM922+BMILMS!$G$9,IF(AM922&lt;150,BMILMS!$D$10*AM922^3+BMILMS!$E$10*AM922^2+BMILMS!$F$10*AM922+BMILMS!$G$10,BMILMS!$D$11*AM922^3+BMILMS!$E$11*AM922^2+BMILMS!$F$11*AM922+BMILMS!$G$11)))</f>
        <v>0.79584630099999998</v>
      </c>
      <c r="AK922" s="4">
        <f>IF(D922="M",(IF(AM922&lt;2.5,BMILMS!$D$21*AM922^3+BMILMS!$E$21*AM922^2+BMILMS!$F$21*AM922+BMILMS!$G$21,IF(AM922&lt;9.5,BMILMS!$D$22*AM922^3+BMILMS!$E$22*AM922^2+BMILMS!$F$22*AM922+BMILMS!$G$22,IF(AM922&lt;26.75,BMILMS!$D$23*AM922^3+BMILMS!$E$23*AM922^2+BMILMS!$F$23*AM922+BMILMS!$G$23,IF(AM922&lt;90,BMILMS!$D$24*AM922^3+BMILMS!$E$24*AM922^2+BMILMS!$F$24*AM922+BMILMS!$G$24,BMILMS!$D$25*AM922^3+BMILMS!$E$25*AM922^2+BMILMS!$F$25*AM922+BMILMS!$G$25))))),(IF(AM922&lt;2.5,BMILMS!$D$27*AM922^3+BMILMS!$E$27*AM922^2+BMILMS!$F$27*AM922+BMILMS!$G$27,IF(AM922&lt;9.5,BMILMS!$D$28*AM922^3+BMILMS!$E$28*AM922^2+BMILMS!$F$28*AM922+BMILMS!$G$28,IF(AM922&lt;26.75,BMILMS!$D$29*AM922^3+BMILMS!$E$29*AM922^2+BMILMS!$F$29*AM922+BMILMS!$G$29,IF(AM922&lt;90,BMILMS!$D$30*AM922^3+BMILMS!$E$30*AM922^2+BMILMS!$F$30*AM922+BMILMS!$G$30,IF(AM922&lt;150,BMILMS!$D$31*AM922^3+BMILMS!$E$31*AM922^2+BMILMS!$F$31*AM922+BMILMS!$G$31,BMILMS!$D$32*AM922^3+BMILMS!$E$32*AM922^2+BMILMS!$F$32*AM922+BMILMS!$G$32)))))))</f>
        <v>12.568967990000001</v>
      </c>
      <c r="AL922" s="4">
        <f>IF(D922="M",(IF(AM922&lt;90,BMILMS!$D$14*AM922^3+BMILMS!$E$14*AM922^2+BMILMS!$F$14*AM922+BMILMS!$G$14,BMILMS!$D$15*AM922^3+BMILMS!$E$15*AM922^2+BMILMS!$F$15*AM922+BMILMS!$G$15)),(IF(AM922&lt;90,BMILMS!$D$17*AM922^3+BMILMS!$E$17*AM922^2+BMILMS!$F$17*AM922+BMILMS!$G$17,BMILMS!$D$18*AM922^3+BMILMS!$E$18*AM922^2+BMILMS!$F$18*AM922+BMILMS!$G$18)))</f>
        <v>8.8969350000000003E-2</v>
      </c>
      <c r="AM922" s="4">
        <f t="shared" si="314"/>
        <v>0</v>
      </c>
      <c r="AO922" s="56">
        <f>IF(D922="M",WeightSDS!P$5*$AM922^7+WeightSDS!Q$5*$AM922^6+WeightSDS!R$5*$AM922^5+WeightSDS!S$5*$AM922^4+WeightSDS!T$5*$AM922^3+WeightSDS!U$5*$AM922^2+WeightSDS!V$5*$AM922+WeightSDS!W$5,IF($AM922&lt;186,WeightSDS!P$8*$AM922^7+WeightSDS!Q$8*$AM922^6+WeightSDS!R$8*$AM922^5+WeightSDS!S$8*$AM922^4+WeightSDS!T$8*$AM922^3+WeightSDS!U$8*$AM922^2+WeightSDS!V$8*$AM922+WeightSDS!W$8,WeightSDS!$U$9+WeightSDS!$V$9*($AM922-WeightSDS!$W$9)))</f>
        <v>0.75407122999999998</v>
      </c>
      <c r="AP922" s="4">
        <f>IF(D922="M",IF($AM922&lt;45,WeightSDS!M$23*$AM922^10+WeightSDS!N$23*$AM922^9+WeightSDS!O$23*$AM922^8+WeightSDS!P$23*$AM922^7+WeightSDS!Q$23*$AM922^6+WeightSDS!R$23*$AM922^5+WeightSDS!S$23*$AM922^4+WeightSDS!T$23*$AM922^3+WeightSDS!U$23*$AM922^2+WeightSDS!V$23*$AM922+WeightSDS!W$23,IF($AM922&lt;153,WeightSDS!M$25*$AM922^10+WeightSDS!N$25*$AM922^9+WeightSDS!O$25*$AM922^8+WeightSDS!P$25*$AM922^7+WeightSDS!Q$25*$AM922^6+WeightSDS!R$25*$AM922^5+WeightSDS!S$25*$AM922^4+WeightSDS!T$25*$AM922^3+WeightSDS!U$25*$AM922^2+WeightSDS!V$25*$AM922+WeightSDS!W$25,WeightSDS!M$27+WeightSDS!N$27/(1+EXP(WeightSDS!O$27+WeightSDS!P$27*$AM922)))),IF($AM922&lt;43.8,WeightSDS!M$29*$AM922^10+WeightSDS!N$29*$AM922^9+WeightSDS!O$29*$AM922^8+WeightSDS!P$29*$AM922^7+WeightSDS!Q$29*$AM922^6+WeightSDS!R$29*$AM922^5+WeightSDS!S$29*$AM922^4+WeightSDS!T$29*$AM922^3+WeightSDS!U$29*$AM922^2+WeightSDS!V$29*$AM922+WeightSDS!W$29-0.010431*(1-$AM922/210),IF($AM922&lt;123,WeightSDS!M$30*$AM922^10+WeightSDS!N$30*$AM922^9+WeightSDS!O$30*$AM922^8+WeightSDS!P$30*$AM922^7+WeightSDS!Q$30*$AM922^6+WeightSDS!R$30*$AM922^5+WeightSDS!S$30*$AM922^4+WeightSDS!T$30*$AM922^3+WeightSDS!U$30*$AM922^2+WeightSDS!V$30*$AM922+WeightSDS!W$30-0.010431*(1-1/$AM922),WeightSDS!M$32+WeightSDS!N$32/(1+EXP(WeightSDS!O$32+WeightSDS!P$32*$AM922))-0.010431*(1-$AM922/210))))</f>
        <v>2.9500001032655536</v>
      </c>
      <c r="AQ922" s="4">
        <f>IF(D922="M",IF($AM922&lt;162,WeightSDS!P$12*$AM922^7+WeightSDS!Q$12*$AM922^6+WeightSDS!R$12*$AM922^5+WeightSDS!S$12*$AM922^4+WeightSDS!T$12*$AM922^3+WeightSDS!U$12*$AM922^2+WeightSDS!V$12*$AM922+WeightSDS!W$12,WeightSDS!P$14*$AM922^7+WeightSDS!Q$14*$AM922^6+WeightSDS!R$14*$AM922^5+WeightSDS!S$14*$AM922^4+WeightSDS!T$14*$AM922^3+WeightSDS!U$14*$AM922^2+WeightSDS!V$14*$AM922+WeightSDS!W$14),IF($AM922&lt;156,WeightSDS!O$17*$AM922^8+WeightSDS!P$17*$AM922^7+WeightSDS!Q$17*$AM922^6+WeightSDS!R$17*$AM922^5+WeightSDS!S$17*$AM922^4+WeightSDS!T$17*$AM922^3+WeightSDS!U$17*$AM922^2+WeightSDS!V$17*$AM922+WeightSDS!W$17,IF($AM922&lt;186,WeightSDS!$U$18+(WeightSDS!$V$18-WeightSDS!$U$18)/24*($AM922-186)+WeightSDS!$W$18*(-$AM922+186)^2-0.005,WeightSDS!$U$18+(WeightSDS!$V$18-WeightSDS!$U$18)/24*($AM922-186)-0.005)))</f>
        <v>0.14604529399999999</v>
      </c>
      <c r="AT922" s="4">
        <f t="shared" si="301"/>
        <v>0.56299999999999994</v>
      </c>
      <c r="AU922" s="4">
        <f t="shared" si="302"/>
        <v>69</v>
      </c>
      <c r="AV922" s="4">
        <f t="shared" si="303"/>
        <v>0.51</v>
      </c>
    </row>
    <row r="923" spans="1:48" x14ac:dyDescent="0.15">
      <c r="A923" s="4"/>
      <c r="B923" s="21"/>
      <c r="C923" s="21"/>
      <c r="D923" s="21"/>
      <c r="E923" s="22"/>
      <c r="F923" s="22"/>
      <c r="G923" s="23"/>
      <c r="H923" s="23"/>
      <c r="I923" s="181"/>
      <c r="J923" s="8" t="str">
        <f t="shared" si="295"/>
        <v/>
      </c>
      <c r="K923" s="2" t="str">
        <f t="shared" si="304"/>
        <v/>
      </c>
      <c r="L923" s="2" t="str">
        <f t="shared" si="296"/>
        <v/>
      </c>
      <c r="M923" s="2" t="str">
        <f t="shared" si="305"/>
        <v/>
      </c>
      <c r="N923" s="2" t="str">
        <f t="shared" si="313"/>
        <v/>
      </c>
      <c r="O923" s="2" t="str">
        <f t="shared" si="306"/>
        <v/>
      </c>
      <c r="P923" s="8" t="str">
        <f t="shared" si="307"/>
        <v/>
      </c>
      <c r="Q923" s="8" t="str">
        <f t="shared" si="308"/>
        <v/>
      </c>
      <c r="R923" s="111" t="str">
        <f t="shared" si="309"/>
        <v/>
      </c>
      <c r="S923" s="44" t="str">
        <f t="shared" si="310"/>
        <v/>
      </c>
      <c r="T923" s="37" t="str">
        <f t="shared" si="311"/>
        <v/>
      </c>
      <c r="U923" s="44" t="str">
        <f t="shared" si="312"/>
        <v/>
      </c>
      <c r="V923" s="26"/>
      <c r="W923" s="26"/>
      <c r="X923" s="26"/>
      <c r="Y923" s="26"/>
      <c r="Z923" s="24"/>
      <c r="AA923" s="169">
        <f t="shared" si="297"/>
        <v>0</v>
      </c>
      <c r="AB923" s="4">
        <f t="shared" si="298"/>
        <v>0</v>
      </c>
      <c r="AC923" s="170">
        <f t="shared" si="294"/>
        <v>0</v>
      </c>
      <c r="AD923" s="58"/>
      <c r="AE923" s="58"/>
      <c r="AF923" s="58"/>
      <c r="AG923" s="59">
        <f t="shared" si="299"/>
        <v>9.0359999999999996</v>
      </c>
      <c r="AH923" s="59">
        <f t="shared" si="300"/>
        <v>-184.49199999999999</v>
      </c>
      <c r="AJ923" s="4">
        <f>IF(D923="M",IF(AM923&lt;78,BMILMS!$D$5*AM923^3+BMILMS!$E$5*AM923^2+BMILMS!$F$5*AM923+BMILMS!$G$5,IF(AM923&lt;150,BMILMS!$D$6*AM923^3+BMILMS!$E$6*AM923^2+BMILMS!$F$6*AM923+BMILMS!$G$6,BMILMS!$D$7*AM923^3+BMILMS!$E$7*AM923^2+BMILMS!$F$7*AM923+BMILMS!$G$7)),IF(AM923&lt;69,BMILMS!$D$9*AM923^3+BMILMS!$E$9*AM923^2+BMILMS!$F$9*AM923+BMILMS!$G$9,IF(AM923&lt;150,BMILMS!$D$10*AM923^3+BMILMS!$E$10*AM923^2+BMILMS!$F$10*AM923+BMILMS!$G$10,BMILMS!$D$11*AM923^3+BMILMS!$E$11*AM923^2+BMILMS!$F$11*AM923+BMILMS!$G$11)))</f>
        <v>0.79584630099999998</v>
      </c>
      <c r="AK923" s="4">
        <f>IF(D923="M",(IF(AM923&lt;2.5,BMILMS!$D$21*AM923^3+BMILMS!$E$21*AM923^2+BMILMS!$F$21*AM923+BMILMS!$G$21,IF(AM923&lt;9.5,BMILMS!$D$22*AM923^3+BMILMS!$E$22*AM923^2+BMILMS!$F$22*AM923+BMILMS!$G$22,IF(AM923&lt;26.75,BMILMS!$D$23*AM923^3+BMILMS!$E$23*AM923^2+BMILMS!$F$23*AM923+BMILMS!$G$23,IF(AM923&lt;90,BMILMS!$D$24*AM923^3+BMILMS!$E$24*AM923^2+BMILMS!$F$24*AM923+BMILMS!$G$24,BMILMS!$D$25*AM923^3+BMILMS!$E$25*AM923^2+BMILMS!$F$25*AM923+BMILMS!$G$25))))),(IF(AM923&lt;2.5,BMILMS!$D$27*AM923^3+BMILMS!$E$27*AM923^2+BMILMS!$F$27*AM923+BMILMS!$G$27,IF(AM923&lt;9.5,BMILMS!$D$28*AM923^3+BMILMS!$E$28*AM923^2+BMILMS!$F$28*AM923+BMILMS!$G$28,IF(AM923&lt;26.75,BMILMS!$D$29*AM923^3+BMILMS!$E$29*AM923^2+BMILMS!$F$29*AM923+BMILMS!$G$29,IF(AM923&lt;90,BMILMS!$D$30*AM923^3+BMILMS!$E$30*AM923^2+BMILMS!$F$30*AM923+BMILMS!$G$30,IF(AM923&lt;150,BMILMS!$D$31*AM923^3+BMILMS!$E$31*AM923^2+BMILMS!$F$31*AM923+BMILMS!$G$31,BMILMS!$D$32*AM923^3+BMILMS!$E$32*AM923^2+BMILMS!$F$32*AM923+BMILMS!$G$32)))))))</f>
        <v>12.568967990000001</v>
      </c>
      <c r="AL923" s="4">
        <f>IF(D923="M",(IF(AM923&lt;90,BMILMS!$D$14*AM923^3+BMILMS!$E$14*AM923^2+BMILMS!$F$14*AM923+BMILMS!$G$14,BMILMS!$D$15*AM923^3+BMILMS!$E$15*AM923^2+BMILMS!$F$15*AM923+BMILMS!$G$15)),(IF(AM923&lt;90,BMILMS!$D$17*AM923^3+BMILMS!$E$17*AM923^2+BMILMS!$F$17*AM923+BMILMS!$G$17,BMILMS!$D$18*AM923^3+BMILMS!$E$18*AM923^2+BMILMS!$F$18*AM923+BMILMS!$G$18)))</f>
        <v>8.8969350000000003E-2</v>
      </c>
      <c r="AM923" s="4">
        <f t="shared" si="314"/>
        <v>0</v>
      </c>
      <c r="AO923" s="56">
        <f>IF(D923="M",WeightSDS!P$5*$AM923^7+WeightSDS!Q$5*$AM923^6+WeightSDS!R$5*$AM923^5+WeightSDS!S$5*$AM923^4+WeightSDS!T$5*$AM923^3+WeightSDS!U$5*$AM923^2+WeightSDS!V$5*$AM923+WeightSDS!W$5,IF($AM923&lt;186,WeightSDS!P$8*$AM923^7+WeightSDS!Q$8*$AM923^6+WeightSDS!R$8*$AM923^5+WeightSDS!S$8*$AM923^4+WeightSDS!T$8*$AM923^3+WeightSDS!U$8*$AM923^2+WeightSDS!V$8*$AM923+WeightSDS!W$8,WeightSDS!$U$9+WeightSDS!$V$9*($AM923-WeightSDS!$W$9)))</f>
        <v>0.75407122999999998</v>
      </c>
      <c r="AP923" s="4">
        <f>IF(D923="M",IF($AM923&lt;45,WeightSDS!M$23*$AM923^10+WeightSDS!N$23*$AM923^9+WeightSDS!O$23*$AM923^8+WeightSDS!P$23*$AM923^7+WeightSDS!Q$23*$AM923^6+WeightSDS!R$23*$AM923^5+WeightSDS!S$23*$AM923^4+WeightSDS!T$23*$AM923^3+WeightSDS!U$23*$AM923^2+WeightSDS!V$23*$AM923+WeightSDS!W$23,IF($AM923&lt;153,WeightSDS!M$25*$AM923^10+WeightSDS!N$25*$AM923^9+WeightSDS!O$25*$AM923^8+WeightSDS!P$25*$AM923^7+WeightSDS!Q$25*$AM923^6+WeightSDS!R$25*$AM923^5+WeightSDS!S$25*$AM923^4+WeightSDS!T$25*$AM923^3+WeightSDS!U$25*$AM923^2+WeightSDS!V$25*$AM923+WeightSDS!W$25,WeightSDS!M$27+WeightSDS!N$27/(1+EXP(WeightSDS!O$27+WeightSDS!P$27*$AM923)))),IF($AM923&lt;43.8,WeightSDS!M$29*$AM923^10+WeightSDS!N$29*$AM923^9+WeightSDS!O$29*$AM923^8+WeightSDS!P$29*$AM923^7+WeightSDS!Q$29*$AM923^6+WeightSDS!R$29*$AM923^5+WeightSDS!S$29*$AM923^4+WeightSDS!T$29*$AM923^3+WeightSDS!U$29*$AM923^2+WeightSDS!V$29*$AM923+WeightSDS!W$29-0.010431*(1-$AM923/210),IF($AM923&lt;123,WeightSDS!M$30*$AM923^10+WeightSDS!N$30*$AM923^9+WeightSDS!O$30*$AM923^8+WeightSDS!P$30*$AM923^7+WeightSDS!Q$30*$AM923^6+WeightSDS!R$30*$AM923^5+WeightSDS!S$30*$AM923^4+WeightSDS!T$30*$AM923^3+WeightSDS!U$30*$AM923^2+WeightSDS!V$30*$AM923+WeightSDS!W$30-0.010431*(1-1/$AM923),WeightSDS!M$32+WeightSDS!N$32/(1+EXP(WeightSDS!O$32+WeightSDS!P$32*$AM923))-0.010431*(1-$AM923/210))))</f>
        <v>2.9500001032655536</v>
      </c>
      <c r="AQ923" s="4">
        <f>IF(D923="M",IF($AM923&lt;162,WeightSDS!P$12*$AM923^7+WeightSDS!Q$12*$AM923^6+WeightSDS!R$12*$AM923^5+WeightSDS!S$12*$AM923^4+WeightSDS!T$12*$AM923^3+WeightSDS!U$12*$AM923^2+WeightSDS!V$12*$AM923+WeightSDS!W$12,WeightSDS!P$14*$AM923^7+WeightSDS!Q$14*$AM923^6+WeightSDS!R$14*$AM923^5+WeightSDS!S$14*$AM923^4+WeightSDS!T$14*$AM923^3+WeightSDS!U$14*$AM923^2+WeightSDS!V$14*$AM923+WeightSDS!W$14),IF($AM923&lt;156,WeightSDS!O$17*$AM923^8+WeightSDS!P$17*$AM923^7+WeightSDS!Q$17*$AM923^6+WeightSDS!R$17*$AM923^5+WeightSDS!S$17*$AM923^4+WeightSDS!T$17*$AM923^3+WeightSDS!U$17*$AM923^2+WeightSDS!V$17*$AM923+WeightSDS!W$17,IF($AM923&lt;186,WeightSDS!$U$18+(WeightSDS!$V$18-WeightSDS!$U$18)/24*($AM923-186)+WeightSDS!$W$18*(-$AM923+186)^2-0.005,WeightSDS!$U$18+(WeightSDS!$V$18-WeightSDS!$U$18)/24*($AM923-186)-0.005)))</f>
        <v>0.14604529399999999</v>
      </c>
      <c r="AT923" s="4">
        <f t="shared" si="301"/>
        <v>0.56299999999999994</v>
      </c>
      <c r="AU923" s="4">
        <f t="shared" si="302"/>
        <v>69</v>
      </c>
      <c r="AV923" s="4">
        <f t="shared" si="303"/>
        <v>0.51</v>
      </c>
    </row>
    <row r="924" spans="1:48" x14ac:dyDescent="0.15">
      <c r="A924" s="4"/>
      <c r="B924" s="21"/>
      <c r="C924" s="21"/>
      <c r="D924" s="21"/>
      <c r="E924" s="22"/>
      <c r="F924" s="22"/>
      <c r="G924" s="23"/>
      <c r="H924" s="23"/>
      <c r="I924" s="181"/>
      <c r="J924" s="8" t="str">
        <f t="shared" si="295"/>
        <v/>
      </c>
      <c r="K924" s="2" t="str">
        <f t="shared" si="304"/>
        <v/>
      </c>
      <c r="L924" s="2" t="str">
        <f t="shared" si="296"/>
        <v/>
      </c>
      <c r="M924" s="2" t="str">
        <f t="shared" si="305"/>
        <v/>
      </c>
      <c r="N924" s="2" t="str">
        <f t="shared" si="313"/>
        <v/>
      </c>
      <c r="O924" s="2" t="str">
        <f t="shared" si="306"/>
        <v/>
      </c>
      <c r="P924" s="8" t="str">
        <f t="shared" si="307"/>
        <v/>
      </c>
      <c r="Q924" s="8" t="str">
        <f t="shared" si="308"/>
        <v/>
      </c>
      <c r="R924" s="111" t="str">
        <f t="shared" si="309"/>
        <v/>
      </c>
      <c r="S924" s="44" t="str">
        <f t="shared" si="310"/>
        <v/>
      </c>
      <c r="T924" s="37" t="str">
        <f t="shared" si="311"/>
        <v/>
      </c>
      <c r="U924" s="44" t="str">
        <f t="shared" si="312"/>
        <v/>
      </c>
      <c r="V924" s="26"/>
      <c r="W924" s="26"/>
      <c r="X924" s="26"/>
      <c r="Y924" s="26"/>
      <c r="Z924" s="24"/>
      <c r="AA924" s="169">
        <f t="shared" si="297"/>
        <v>0</v>
      </c>
      <c r="AB924" s="4">
        <f t="shared" si="298"/>
        <v>0</v>
      </c>
      <c r="AC924" s="170">
        <f t="shared" si="294"/>
        <v>0</v>
      </c>
      <c r="AD924" s="58"/>
      <c r="AE924" s="58"/>
      <c r="AF924" s="58"/>
      <c r="AG924" s="59">
        <f t="shared" si="299"/>
        <v>9.0359999999999996</v>
      </c>
      <c r="AH924" s="59">
        <f t="shared" si="300"/>
        <v>-184.49199999999999</v>
      </c>
      <c r="AJ924" s="4">
        <f>IF(D924="M",IF(AM924&lt;78,BMILMS!$D$5*AM924^3+BMILMS!$E$5*AM924^2+BMILMS!$F$5*AM924+BMILMS!$G$5,IF(AM924&lt;150,BMILMS!$D$6*AM924^3+BMILMS!$E$6*AM924^2+BMILMS!$F$6*AM924+BMILMS!$G$6,BMILMS!$D$7*AM924^3+BMILMS!$E$7*AM924^2+BMILMS!$F$7*AM924+BMILMS!$G$7)),IF(AM924&lt;69,BMILMS!$D$9*AM924^3+BMILMS!$E$9*AM924^2+BMILMS!$F$9*AM924+BMILMS!$G$9,IF(AM924&lt;150,BMILMS!$D$10*AM924^3+BMILMS!$E$10*AM924^2+BMILMS!$F$10*AM924+BMILMS!$G$10,BMILMS!$D$11*AM924^3+BMILMS!$E$11*AM924^2+BMILMS!$F$11*AM924+BMILMS!$G$11)))</f>
        <v>0.79584630099999998</v>
      </c>
      <c r="AK924" s="4">
        <f>IF(D924="M",(IF(AM924&lt;2.5,BMILMS!$D$21*AM924^3+BMILMS!$E$21*AM924^2+BMILMS!$F$21*AM924+BMILMS!$G$21,IF(AM924&lt;9.5,BMILMS!$D$22*AM924^3+BMILMS!$E$22*AM924^2+BMILMS!$F$22*AM924+BMILMS!$G$22,IF(AM924&lt;26.75,BMILMS!$D$23*AM924^3+BMILMS!$E$23*AM924^2+BMILMS!$F$23*AM924+BMILMS!$G$23,IF(AM924&lt;90,BMILMS!$D$24*AM924^3+BMILMS!$E$24*AM924^2+BMILMS!$F$24*AM924+BMILMS!$G$24,BMILMS!$D$25*AM924^3+BMILMS!$E$25*AM924^2+BMILMS!$F$25*AM924+BMILMS!$G$25))))),(IF(AM924&lt;2.5,BMILMS!$D$27*AM924^3+BMILMS!$E$27*AM924^2+BMILMS!$F$27*AM924+BMILMS!$G$27,IF(AM924&lt;9.5,BMILMS!$D$28*AM924^3+BMILMS!$E$28*AM924^2+BMILMS!$F$28*AM924+BMILMS!$G$28,IF(AM924&lt;26.75,BMILMS!$D$29*AM924^3+BMILMS!$E$29*AM924^2+BMILMS!$F$29*AM924+BMILMS!$G$29,IF(AM924&lt;90,BMILMS!$D$30*AM924^3+BMILMS!$E$30*AM924^2+BMILMS!$F$30*AM924+BMILMS!$G$30,IF(AM924&lt;150,BMILMS!$D$31*AM924^3+BMILMS!$E$31*AM924^2+BMILMS!$F$31*AM924+BMILMS!$G$31,BMILMS!$D$32*AM924^3+BMILMS!$E$32*AM924^2+BMILMS!$F$32*AM924+BMILMS!$G$32)))))))</f>
        <v>12.568967990000001</v>
      </c>
      <c r="AL924" s="4">
        <f>IF(D924="M",(IF(AM924&lt;90,BMILMS!$D$14*AM924^3+BMILMS!$E$14*AM924^2+BMILMS!$F$14*AM924+BMILMS!$G$14,BMILMS!$D$15*AM924^3+BMILMS!$E$15*AM924^2+BMILMS!$F$15*AM924+BMILMS!$G$15)),(IF(AM924&lt;90,BMILMS!$D$17*AM924^3+BMILMS!$E$17*AM924^2+BMILMS!$F$17*AM924+BMILMS!$G$17,BMILMS!$D$18*AM924^3+BMILMS!$E$18*AM924^2+BMILMS!$F$18*AM924+BMILMS!$G$18)))</f>
        <v>8.8969350000000003E-2</v>
      </c>
      <c r="AM924" s="4">
        <f t="shared" si="314"/>
        <v>0</v>
      </c>
      <c r="AO924" s="56">
        <f>IF(D924="M",WeightSDS!P$5*$AM924^7+WeightSDS!Q$5*$AM924^6+WeightSDS!R$5*$AM924^5+WeightSDS!S$5*$AM924^4+WeightSDS!T$5*$AM924^3+WeightSDS!U$5*$AM924^2+WeightSDS!V$5*$AM924+WeightSDS!W$5,IF($AM924&lt;186,WeightSDS!P$8*$AM924^7+WeightSDS!Q$8*$AM924^6+WeightSDS!R$8*$AM924^5+WeightSDS!S$8*$AM924^4+WeightSDS!T$8*$AM924^3+WeightSDS!U$8*$AM924^2+WeightSDS!V$8*$AM924+WeightSDS!W$8,WeightSDS!$U$9+WeightSDS!$V$9*($AM924-WeightSDS!$W$9)))</f>
        <v>0.75407122999999998</v>
      </c>
      <c r="AP924" s="4">
        <f>IF(D924="M",IF($AM924&lt;45,WeightSDS!M$23*$AM924^10+WeightSDS!N$23*$AM924^9+WeightSDS!O$23*$AM924^8+WeightSDS!P$23*$AM924^7+WeightSDS!Q$23*$AM924^6+WeightSDS!R$23*$AM924^5+WeightSDS!S$23*$AM924^4+WeightSDS!T$23*$AM924^3+WeightSDS!U$23*$AM924^2+WeightSDS!V$23*$AM924+WeightSDS!W$23,IF($AM924&lt;153,WeightSDS!M$25*$AM924^10+WeightSDS!N$25*$AM924^9+WeightSDS!O$25*$AM924^8+WeightSDS!P$25*$AM924^7+WeightSDS!Q$25*$AM924^6+WeightSDS!R$25*$AM924^5+WeightSDS!S$25*$AM924^4+WeightSDS!T$25*$AM924^3+WeightSDS!U$25*$AM924^2+WeightSDS!V$25*$AM924+WeightSDS!W$25,WeightSDS!M$27+WeightSDS!N$27/(1+EXP(WeightSDS!O$27+WeightSDS!P$27*$AM924)))),IF($AM924&lt;43.8,WeightSDS!M$29*$AM924^10+WeightSDS!N$29*$AM924^9+WeightSDS!O$29*$AM924^8+WeightSDS!P$29*$AM924^7+WeightSDS!Q$29*$AM924^6+WeightSDS!R$29*$AM924^5+WeightSDS!S$29*$AM924^4+WeightSDS!T$29*$AM924^3+WeightSDS!U$29*$AM924^2+WeightSDS!V$29*$AM924+WeightSDS!W$29-0.010431*(1-$AM924/210),IF($AM924&lt;123,WeightSDS!M$30*$AM924^10+WeightSDS!N$30*$AM924^9+WeightSDS!O$30*$AM924^8+WeightSDS!P$30*$AM924^7+WeightSDS!Q$30*$AM924^6+WeightSDS!R$30*$AM924^5+WeightSDS!S$30*$AM924^4+WeightSDS!T$30*$AM924^3+WeightSDS!U$30*$AM924^2+WeightSDS!V$30*$AM924+WeightSDS!W$30-0.010431*(1-1/$AM924),WeightSDS!M$32+WeightSDS!N$32/(1+EXP(WeightSDS!O$32+WeightSDS!P$32*$AM924))-0.010431*(1-$AM924/210))))</f>
        <v>2.9500001032655536</v>
      </c>
      <c r="AQ924" s="4">
        <f>IF(D924="M",IF($AM924&lt;162,WeightSDS!P$12*$AM924^7+WeightSDS!Q$12*$AM924^6+WeightSDS!R$12*$AM924^5+WeightSDS!S$12*$AM924^4+WeightSDS!T$12*$AM924^3+WeightSDS!U$12*$AM924^2+WeightSDS!V$12*$AM924+WeightSDS!W$12,WeightSDS!P$14*$AM924^7+WeightSDS!Q$14*$AM924^6+WeightSDS!R$14*$AM924^5+WeightSDS!S$14*$AM924^4+WeightSDS!T$14*$AM924^3+WeightSDS!U$14*$AM924^2+WeightSDS!V$14*$AM924+WeightSDS!W$14),IF($AM924&lt;156,WeightSDS!O$17*$AM924^8+WeightSDS!P$17*$AM924^7+WeightSDS!Q$17*$AM924^6+WeightSDS!R$17*$AM924^5+WeightSDS!S$17*$AM924^4+WeightSDS!T$17*$AM924^3+WeightSDS!U$17*$AM924^2+WeightSDS!V$17*$AM924+WeightSDS!W$17,IF($AM924&lt;186,WeightSDS!$U$18+(WeightSDS!$V$18-WeightSDS!$U$18)/24*($AM924-186)+WeightSDS!$W$18*(-$AM924+186)^2-0.005,WeightSDS!$U$18+(WeightSDS!$V$18-WeightSDS!$U$18)/24*($AM924-186)-0.005)))</f>
        <v>0.14604529399999999</v>
      </c>
      <c r="AT924" s="4">
        <f t="shared" si="301"/>
        <v>0.56299999999999994</v>
      </c>
      <c r="AU924" s="4">
        <f t="shared" si="302"/>
        <v>69</v>
      </c>
      <c r="AV924" s="4">
        <f t="shared" si="303"/>
        <v>0.51</v>
      </c>
    </row>
    <row r="925" spans="1:48" x14ac:dyDescent="0.15">
      <c r="A925" s="4"/>
      <c r="B925" s="21"/>
      <c r="C925" s="21"/>
      <c r="D925" s="21"/>
      <c r="E925" s="22"/>
      <c r="F925" s="22"/>
      <c r="G925" s="23"/>
      <c r="H925" s="23"/>
      <c r="I925" s="181"/>
      <c r="J925" s="8" t="str">
        <f t="shared" si="295"/>
        <v/>
      </c>
      <c r="K925" s="2" t="str">
        <f t="shared" si="304"/>
        <v/>
      </c>
      <c r="L925" s="2" t="str">
        <f t="shared" si="296"/>
        <v/>
      </c>
      <c r="M925" s="2" t="str">
        <f t="shared" si="305"/>
        <v/>
      </c>
      <c r="N925" s="2" t="str">
        <f t="shared" si="313"/>
        <v/>
      </c>
      <c r="O925" s="2" t="str">
        <f t="shared" si="306"/>
        <v/>
      </c>
      <c r="P925" s="8" t="str">
        <f t="shared" si="307"/>
        <v/>
      </c>
      <c r="Q925" s="8" t="str">
        <f t="shared" si="308"/>
        <v/>
      </c>
      <c r="R925" s="111" t="str">
        <f t="shared" si="309"/>
        <v/>
      </c>
      <c r="S925" s="44" t="str">
        <f t="shared" si="310"/>
        <v/>
      </c>
      <c r="T925" s="37" t="str">
        <f t="shared" si="311"/>
        <v/>
      </c>
      <c r="U925" s="44" t="str">
        <f t="shared" si="312"/>
        <v/>
      </c>
      <c r="V925" s="26"/>
      <c r="W925" s="26"/>
      <c r="X925" s="26"/>
      <c r="Y925" s="26"/>
      <c r="Z925" s="24"/>
      <c r="AA925" s="169">
        <f t="shared" si="297"/>
        <v>0</v>
      </c>
      <c r="AB925" s="4">
        <f t="shared" si="298"/>
        <v>0</v>
      </c>
      <c r="AC925" s="170">
        <f t="shared" si="294"/>
        <v>0</v>
      </c>
      <c r="AD925" s="58"/>
      <c r="AE925" s="58"/>
      <c r="AF925" s="58"/>
      <c r="AG925" s="59">
        <f t="shared" si="299"/>
        <v>9.0359999999999996</v>
      </c>
      <c r="AH925" s="59">
        <f t="shared" si="300"/>
        <v>-184.49199999999999</v>
      </c>
      <c r="AJ925" s="4">
        <f>IF(D925="M",IF(AM925&lt;78,BMILMS!$D$5*AM925^3+BMILMS!$E$5*AM925^2+BMILMS!$F$5*AM925+BMILMS!$G$5,IF(AM925&lt;150,BMILMS!$D$6*AM925^3+BMILMS!$E$6*AM925^2+BMILMS!$F$6*AM925+BMILMS!$G$6,BMILMS!$D$7*AM925^3+BMILMS!$E$7*AM925^2+BMILMS!$F$7*AM925+BMILMS!$G$7)),IF(AM925&lt;69,BMILMS!$D$9*AM925^3+BMILMS!$E$9*AM925^2+BMILMS!$F$9*AM925+BMILMS!$G$9,IF(AM925&lt;150,BMILMS!$D$10*AM925^3+BMILMS!$E$10*AM925^2+BMILMS!$F$10*AM925+BMILMS!$G$10,BMILMS!$D$11*AM925^3+BMILMS!$E$11*AM925^2+BMILMS!$F$11*AM925+BMILMS!$G$11)))</f>
        <v>0.79584630099999998</v>
      </c>
      <c r="AK925" s="4">
        <f>IF(D925="M",(IF(AM925&lt;2.5,BMILMS!$D$21*AM925^3+BMILMS!$E$21*AM925^2+BMILMS!$F$21*AM925+BMILMS!$G$21,IF(AM925&lt;9.5,BMILMS!$D$22*AM925^3+BMILMS!$E$22*AM925^2+BMILMS!$F$22*AM925+BMILMS!$G$22,IF(AM925&lt;26.75,BMILMS!$D$23*AM925^3+BMILMS!$E$23*AM925^2+BMILMS!$F$23*AM925+BMILMS!$G$23,IF(AM925&lt;90,BMILMS!$D$24*AM925^3+BMILMS!$E$24*AM925^2+BMILMS!$F$24*AM925+BMILMS!$G$24,BMILMS!$D$25*AM925^3+BMILMS!$E$25*AM925^2+BMILMS!$F$25*AM925+BMILMS!$G$25))))),(IF(AM925&lt;2.5,BMILMS!$D$27*AM925^3+BMILMS!$E$27*AM925^2+BMILMS!$F$27*AM925+BMILMS!$G$27,IF(AM925&lt;9.5,BMILMS!$D$28*AM925^3+BMILMS!$E$28*AM925^2+BMILMS!$F$28*AM925+BMILMS!$G$28,IF(AM925&lt;26.75,BMILMS!$D$29*AM925^3+BMILMS!$E$29*AM925^2+BMILMS!$F$29*AM925+BMILMS!$G$29,IF(AM925&lt;90,BMILMS!$D$30*AM925^3+BMILMS!$E$30*AM925^2+BMILMS!$F$30*AM925+BMILMS!$G$30,IF(AM925&lt;150,BMILMS!$D$31*AM925^3+BMILMS!$E$31*AM925^2+BMILMS!$F$31*AM925+BMILMS!$G$31,BMILMS!$D$32*AM925^3+BMILMS!$E$32*AM925^2+BMILMS!$F$32*AM925+BMILMS!$G$32)))))))</f>
        <v>12.568967990000001</v>
      </c>
      <c r="AL925" s="4">
        <f>IF(D925="M",(IF(AM925&lt;90,BMILMS!$D$14*AM925^3+BMILMS!$E$14*AM925^2+BMILMS!$F$14*AM925+BMILMS!$G$14,BMILMS!$D$15*AM925^3+BMILMS!$E$15*AM925^2+BMILMS!$F$15*AM925+BMILMS!$G$15)),(IF(AM925&lt;90,BMILMS!$D$17*AM925^3+BMILMS!$E$17*AM925^2+BMILMS!$F$17*AM925+BMILMS!$G$17,BMILMS!$D$18*AM925^3+BMILMS!$E$18*AM925^2+BMILMS!$F$18*AM925+BMILMS!$G$18)))</f>
        <v>8.8969350000000003E-2</v>
      </c>
      <c r="AM925" s="4">
        <f t="shared" si="314"/>
        <v>0</v>
      </c>
      <c r="AO925" s="56">
        <f>IF(D925="M",WeightSDS!P$5*$AM925^7+WeightSDS!Q$5*$AM925^6+WeightSDS!R$5*$AM925^5+WeightSDS!S$5*$AM925^4+WeightSDS!T$5*$AM925^3+WeightSDS!U$5*$AM925^2+WeightSDS!V$5*$AM925+WeightSDS!W$5,IF($AM925&lt;186,WeightSDS!P$8*$AM925^7+WeightSDS!Q$8*$AM925^6+WeightSDS!R$8*$AM925^5+WeightSDS!S$8*$AM925^4+WeightSDS!T$8*$AM925^3+WeightSDS!U$8*$AM925^2+WeightSDS!V$8*$AM925+WeightSDS!W$8,WeightSDS!$U$9+WeightSDS!$V$9*($AM925-WeightSDS!$W$9)))</f>
        <v>0.75407122999999998</v>
      </c>
      <c r="AP925" s="4">
        <f>IF(D925="M",IF($AM925&lt;45,WeightSDS!M$23*$AM925^10+WeightSDS!N$23*$AM925^9+WeightSDS!O$23*$AM925^8+WeightSDS!P$23*$AM925^7+WeightSDS!Q$23*$AM925^6+WeightSDS!R$23*$AM925^5+WeightSDS!S$23*$AM925^4+WeightSDS!T$23*$AM925^3+WeightSDS!U$23*$AM925^2+WeightSDS!V$23*$AM925+WeightSDS!W$23,IF($AM925&lt;153,WeightSDS!M$25*$AM925^10+WeightSDS!N$25*$AM925^9+WeightSDS!O$25*$AM925^8+WeightSDS!P$25*$AM925^7+WeightSDS!Q$25*$AM925^6+WeightSDS!R$25*$AM925^5+WeightSDS!S$25*$AM925^4+WeightSDS!T$25*$AM925^3+WeightSDS!U$25*$AM925^2+WeightSDS!V$25*$AM925+WeightSDS!W$25,WeightSDS!M$27+WeightSDS!N$27/(1+EXP(WeightSDS!O$27+WeightSDS!P$27*$AM925)))),IF($AM925&lt;43.8,WeightSDS!M$29*$AM925^10+WeightSDS!N$29*$AM925^9+WeightSDS!O$29*$AM925^8+WeightSDS!P$29*$AM925^7+WeightSDS!Q$29*$AM925^6+WeightSDS!R$29*$AM925^5+WeightSDS!S$29*$AM925^4+WeightSDS!T$29*$AM925^3+WeightSDS!U$29*$AM925^2+WeightSDS!V$29*$AM925+WeightSDS!W$29-0.010431*(1-$AM925/210),IF($AM925&lt;123,WeightSDS!M$30*$AM925^10+WeightSDS!N$30*$AM925^9+WeightSDS!O$30*$AM925^8+WeightSDS!P$30*$AM925^7+WeightSDS!Q$30*$AM925^6+WeightSDS!R$30*$AM925^5+WeightSDS!S$30*$AM925^4+WeightSDS!T$30*$AM925^3+WeightSDS!U$30*$AM925^2+WeightSDS!V$30*$AM925+WeightSDS!W$30-0.010431*(1-1/$AM925),WeightSDS!M$32+WeightSDS!N$32/(1+EXP(WeightSDS!O$32+WeightSDS!P$32*$AM925))-0.010431*(1-$AM925/210))))</f>
        <v>2.9500001032655536</v>
      </c>
      <c r="AQ925" s="4">
        <f>IF(D925="M",IF($AM925&lt;162,WeightSDS!P$12*$AM925^7+WeightSDS!Q$12*$AM925^6+WeightSDS!R$12*$AM925^5+WeightSDS!S$12*$AM925^4+WeightSDS!T$12*$AM925^3+WeightSDS!U$12*$AM925^2+WeightSDS!V$12*$AM925+WeightSDS!W$12,WeightSDS!P$14*$AM925^7+WeightSDS!Q$14*$AM925^6+WeightSDS!R$14*$AM925^5+WeightSDS!S$14*$AM925^4+WeightSDS!T$14*$AM925^3+WeightSDS!U$14*$AM925^2+WeightSDS!V$14*$AM925+WeightSDS!W$14),IF($AM925&lt;156,WeightSDS!O$17*$AM925^8+WeightSDS!P$17*$AM925^7+WeightSDS!Q$17*$AM925^6+WeightSDS!R$17*$AM925^5+WeightSDS!S$17*$AM925^4+WeightSDS!T$17*$AM925^3+WeightSDS!U$17*$AM925^2+WeightSDS!V$17*$AM925+WeightSDS!W$17,IF($AM925&lt;186,WeightSDS!$U$18+(WeightSDS!$V$18-WeightSDS!$U$18)/24*($AM925-186)+WeightSDS!$W$18*(-$AM925+186)^2-0.005,WeightSDS!$U$18+(WeightSDS!$V$18-WeightSDS!$U$18)/24*($AM925-186)-0.005)))</f>
        <v>0.14604529399999999</v>
      </c>
      <c r="AT925" s="4">
        <f t="shared" si="301"/>
        <v>0.56299999999999994</v>
      </c>
      <c r="AU925" s="4">
        <f t="shared" si="302"/>
        <v>69</v>
      </c>
      <c r="AV925" s="4">
        <f t="shared" si="303"/>
        <v>0.51</v>
      </c>
    </row>
    <row r="926" spans="1:48" x14ac:dyDescent="0.15">
      <c r="A926" s="4"/>
      <c r="B926" s="21"/>
      <c r="C926" s="21"/>
      <c r="D926" s="21"/>
      <c r="E926" s="22"/>
      <c r="F926" s="22"/>
      <c r="G926" s="23"/>
      <c r="H926" s="23"/>
      <c r="I926" s="181"/>
      <c r="J926" s="8" t="str">
        <f t="shared" si="295"/>
        <v/>
      </c>
      <c r="K926" s="2" t="str">
        <f t="shared" si="304"/>
        <v/>
      </c>
      <c r="L926" s="2" t="str">
        <f t="shared" si="296"/>
        <v/>
      </c>
      <c r="M926" s="2" t="str">
        <f t="shared" si="305"/>
        <v/>
      </c>
      <c r="N926" s="2" t="str">
        <f t="shared" si="313"/>
        <v/>
      </c>
      <c r="O926" s="2" t="str">
        <f t="shared" si="306"/>
        <v/>
      </c>
      <c r="P926" s="8" t="str">
        <f t="shared" si="307"/>
        <v/>
      </c>
      <c r="Q926" s="8" t="str">
        <f t="shared" si="308"/>
        <v/>
      </c>
      <c r="R926" s="111" t="str">
        <f t="shared" si="309"/>
        <v/>
      </c>
      <c r="S926" s="44" t="str">
        <f t="shared" si="310"/>
        <v/>
      </c>
      <c r="T926" s="37" t="str">
        <f t="shared" si="311"/>
        <v/>
      </c>
      <c r="U926" s="44" t="str">
        <f t="shared" si="312"/>
        <v/>
      </c>
      <c r="V926" s="26"/>
      <c r="W926" s="26"/>
      <c r="X926" s="26"/>
      <c r="Y926" s="26"/>
      <c r="Z926" s="24"/>
      <c r="AA926" s="169">
        <f t="shared" si="297"/>
        <v>0</v>
      </c>
      <c r="AB926" s="4">
        <f t="shared" si="298"/>
        <v>0</v>
      </c>
      <c r="AC926" s="170">
        <f t="shared" ref="AC926:AC989" si="315">DATEDIF(E926,F926,"Y")+(F926-(DATE(YEAR(E926)+DATEDIF(E926,F926,"Y"),MONTH(E926),DAY(E926))))/(365+IF(MOD(YEAR((DATE(YEAR(F926)-1,MONTH(E926),DAY(E926)))),4)=0,IF((DATE(YEAR(F926)-1,MONTH(E926),DAY(E926)))&gt;DATE(YEAR((DATE(YEAR(F926)-1,MONTH(E926),DAY(E926)))),2,29),0,1),0)+IF(MOD(YEAR(F926),4)=0,IF(F926&gt;DATE(YEAR(F926),2,29),1,0),0))</f>
        <v>0</v>
      </c>
      <c r="AD926" s="58"/>
      <c r="AE926" s="58"/>
      <c r="AF926" s="58"/>
      <c r="AG926" s="59">
        <f t="shared" si="299"/>
        <v>9.0359999999999996</v>
      </c>
      <c r="AH926" s="59">
        <f t="shared" si="300"/>
        <v>-184.49199999999999</v>
      </c>
      <c r="AJ926" s="4">
        <f>IF(D926="M",IF(AM926&lt;78,BMILMS!$D$5*AM926^3+BMILMS!$E$5*AM926^2+BMILMS!$F$5*AM926+BMILMS!$G$5,IF(AM926&lt;150,BMILMS!$D$6*AM926^3+BMILMS!$E$6*AM926^2+BMILMS!$F$6*AM926+BMILMS!$G$6,BMILMS!$D$7*AM926^3+BMILMS!$E$7*AM926^2+BMILMS!$F$7*AM926+BMILMS!$G$7)),IF(AM926&lt;69,BMILMS!$D$9*AM926^3+BMILMS!$E$9*AM926^2+BMILMS!$F$9*AM926+BMILMS!$G$9,IF(AM926&lt;150,BMILMS!$D$10*AM926^3+BMILMS!$E$10*AM926^2+BMILMS!$F$10*AM926+BMILMS!$G$10,BMILMS!$D$11*AM926^3+BMILMS!$E$11*AM926^2+BMILMS!$F$11*AM926+BMILMS!$G$11)))</f>
        <v>0.79584630099999998</v>
      </c>
      <c r="AK926" s="4">
        <f>IF(D926="M",(IF(AM926&lt;2.5,BMILMS!$D$21*AM926^3+BMILMS!$E$21*AM926^2+BMILMS!$F$21*AM926+BMILMS!$G$21,IF(AM926&lt;9.5,BMILMS!$D$22*AM926^3+BMILMS!$E$22*AM926^2+BMILMS!$F$22*AM926+BMILMS!$G$22,IF(AM926&lt;26.75,BMILMS!$D$23*AM926^3+BMILMS!$E$23*AM926^2+BMILMS!$F$23*AM926+BMILMS!$G$23,IF(AM926&lt;90,BMILMS!$D$24*AM926^3+BMILMS!$E$24*AM926^2+BMILMS!$F$24*AM926+BMILMS!$G$24,BMILMS!$D$25*AM926^3+BMILMS!$E$25*AM926^2+BMILMS!$F$25*AM926+BMILMS!$G$25))))),(IF(AM926&lt;2.5,BMILMS!$D$27*AM926^3+BMILMS!$E$27*AM926^2+BMILMS!$F$27*AM926+BMILMS!$G$27,IF(AM926&lt;9.5,BMILMS!$D$28*AM926^3+BMILMS!$E$28*AM926^2+BMILMS!$F$28*AM926+BMILMS!$G$28,IF(AM926&lt;26.75,BMILMS!$D$29*AM926^3+BMILMS!$E$29*AM926^2+BMILMS!$F$29*AM926+BMILMS!$G$29,IF(AM926&lt;90,BMILMS!$D$30*AM926^3+BMILMS!$E$30*AM926^2+BMILMS!$F$30*AM926+BMILMS!$G$30,IF(AM926&lt;150,BMILMS!$D$31*AM926^3+BMILMS!$E$31*AM926^2+BMILMS!$F$31*AM926+BMILMS!$G$31,BMILMS!$D$32*AM926^3+BMILMS!$E$32*AM926^2+BMILMS!$F$32*AM926+BMILMS!$G$32)))))))</f>
        <v>12.568967990000001</v>
      </c>
      <c r="AL926" s="4">
        <f>IF(D926="M",(IF(AM926&lt;90,BMILMS!$D$14*AM926^3+BMILMS!$E$14*AM926^2+BMILMS!$F$14*AM926+BMILMS!$G$14,BMILMS!$D$15*AM926^3+BMILMS!$E$15*AM926^2+BMILMS!$F$15*AM926+BMILMS!$G$15)),(IF(AM926&lt;90,BMILMS!$D$17*AM926^3+BMILMS!$E$17*AM926^2+BMILMS!$F$17*AM926+BMILMS!$G$17,BMILMS!$D$18*AM926^3+BMILMS!$E$18*AM926^2+BMILMS!$F$18*AM926+BMILMS!$G$18)))</f>
        <v>8.8969350000000003E-2</v>
      </c>
      <c r="AM926" s="4">
        <f t="shared" si="314"/>
        <v>0</v>
      </c>
      <c r="AO926" s="56">
        <f>IF(D926="M",WeightSDS!P$5*$AM926^7+WeightSDS!Q$5*$AM926^6+WeightSDS!R$5*$AM926^5+WeightSDS!S$5*$AM926^4+WeightSDS!T$5*$AM926^3+WeightSDS!U$5*$AM926^2+WeightSDS!V$5*$AM926+WeightSDS!W$5,IF($AM926&lt;186,WeightSDS!P$8*$AM926^7+WeightSDS!Q$8*$AM926^6+WeightSDS!R$8*$AM926^5+WeightSDS!S$8*$AM926^4+WeightSDS!T$8*$AM926^3+WeightSDS!U$8*$AM926^2+WeightSDS!V$8*$AM926+WeightSDS!W$8,WeightSDS!$U$9+WeightSDS!$V$9*($AM926-WeightSDS!$W$9)))</f>
        <v>0.75407122999999998</v>
      </c>
      <c r="AP926" s="4">
        <f>IF(D926="M",IF($AM926&lt;45,WeightSDS!M$23*$AM926^10+WeightSDS!N$23*$AM926^9+WeightSDS!O$23*$AM926^8+WeightSDS!P$23*$AM926^7+WeightSDS!Q$23*$AM926^6+WeightSDS!R$23*$AM926^5+WeightSDS!S$23*$AM926^4+WeightSDS!T$23*$AM926^3+WeightSDS!U$23*$AM926^2+WeightSDS!V$23*$AM926+WeightSDS!W$23,IF($AM926&lt;153,WeightSDS!M$25*$AM926^10+WeightSDS!N$25*$AM926^9+WeightSDS!O$25*$AM926^8+WeightSDS!P$25*$AM926^7+WeightSDS!Q$25*$AM926^6+WeightSDS!R$25*$AM926^5+WeightSDS!S$25*$AM926^4+WeightSDS!T$25*$AM926^3+WeightSDS!U$25*$AM926^2+WeightSDS!V$25*$AM926+WeightSDS!W$25,WeightSDS!M$27+WeightSDS!N$27/(1+EXP(WeightSDS!O$27+WeightSDS!P$27*$AM926)))),IF($AM926&lt;43.8,WeightSDS!M$29*$AM926^10+WeightSDS!N$29*$AM926^9+WeightSDS!O$29*$AM926^8+WeightSDS!P$29*$AM926^7+WeightSDS!Q$29*$AM926^6+WeightSDS!R$29*$AM926^5+WeightSDS!S$29*$AM926^4+WeightSDS!T$29*$AM926^3+WeightSDS!U$29*$AM926^2+WeightSDS!V$29*$AM926+WeightSDS!W$29-0.010431*(1-$AM926/210),IF($AM926&lt;123,WeightSDS!M$30*$AM926^10+WeightSDS!N$30*$AM926^9+WeightSDS!O$30*$AM926^8+WeightSDS!P$30*$AM926^7+WeightSDS!Q$30*$AM926^6+WeightSDS!R$30*$AM926^5+WeightSDS!S$30*$AM926^4+WeightSDS!T$30*$AM926^3+WeightSDS!U$30*$AM926^2+WeightSDS!V$30*$AM926+WeightSDS!W$30-0.010431*(1-1/$AM926),WeightSDS!M$32+WeightSDS!N$32/(1+EXP(WeightSDS!O$32+WeightSDS!P$32*$AM926))-0.010431*(1-$AM926/210))))</f>
        <v>2.9500001032655536</v>
      </c>
      <c r="AQ926" s="4">
        <f>IF(D926="M",IF($AM926&lt;162,WeightSDS!P$12*$AM926^7+WeightSDS!Q$12*$AM926^6+WeightSDS!R$12*$AM926^5+WeightSDS!S$12*$AM926^4+WeightSDS!T$12*$AM926^3+WeightSDS!U$12*$AM926^2+WeightSDS!V$12*$AM926+WeightSDS!W$12,WeightSDS!P$14*$AM926^7+WeightSDS!Q$14*$AM926^6+WeightSDS!R$14*$AM926^5+WeightSDS!S$14*$AM926^4+WeightSDS!T$14*$AM926^3+WeightSDS!U$14*$AM926^2+WeightSDS!V$14*$AM926+WeightSDS!W$14),IF($AM926&lt;156,WeightSDS!O$17*$AM926^8+WeightSDS!P$17*$AM926^7+WeightSDS!Q$17*$AM926^6+WeightSDS!R$17*$AM926^5+WeightSDS!S$17*$AM926^4+WeightSDS!T$17*$AM926^3+WeightSDS!U$17*$AM926^2+WeightSDS!V$17*$AM926+WeightSDS!W$17,IF($AM926&lt;186,WeightSDS!$U$18+(WeightSDS!$V$18-WeightSDS!$U$18)/24*($AM926-186)+WeightSDS!$W$18*(-$AM926+186)^2-0.005,WeightSDS!$U$18+(WeightSDS!$V$18-WeightSDS!$U$18)/24*($AM926-186)-0.005)))</f>
        <v>0.14604529399999999</v>
      </c>
      <c r="AT926" s="4">
        <f t="shared" si="301"/>
        <v>0.56299999999999994</v>
      </c>
      <c r="AU926" s="4">
        <f t="shared" si="302"/>
        <v>69</v>
      </c>
      <c r="AV926" s="4">
        <f t="shared" si="303"/>
        <v>0.51</v>
      </c>
    </row>
    <row r="927" spans="1:48" x14ac:dyDescent="0.15">
      <c r="A927" s="4"/>
      <c r="B927" s="21"/>
      <c r="C927" s="21"/>
      <c r="D927" s="21"/>
      <c r="E927" s="22"/>
      <c r="F927" s="22"/>
      <c r="G927" s="23"/>
      <c r="H927" s="23"/>
      <c r="I927" s="181"/>
      <c r="J927" s="8" t="str">
        <f t="shared" si="295"/>
        <v/>
      </c>
      <c r="K927" s="2" t="str">
        <f t="shared" si="304"/>
        <v/>
      </c>
      <c r="L927" s="2" t="str">
        <f t="shared" si="296"/>
        <v/>
      </c>
      <c r="M927" s="2" t="str">
        <f t="shared" si="305"/>
        <v/>
      </c>
      <c r="N927" s="2" t="str">
        <f t="shared" si="313"/>
        <v/>
      </c>
      <c r="O927" s="2" t="str">
        <f t="shared" si="306"/>
        <v/>
      </c>
      <c r="P927" s="8" t="str">
        <f t="shared" si="307"/>
        <v/>
      </c>
      <c r="Q927" s="8" t="str">
        <f t="shared" si="308"/>
        <v/>
      </c>
      <c r="R927" s="111" t="str">
        <f t="shared" si="309"/>
        <v/>
      </c>
      <c r="S927" s="44" t="str">
        <f t="shared" si="310"/>
        <v/>
      </c>
      <c r="T927" s="37" t="str">
        <f t="shared" si="311"/>
        <v/>
      </c>
      <c r="U927" s="44" t="str">
        <f t="shared" si="312"/>
        <v/>
      </c>
      <c r="V927" s="26"/>
      <c r="W927" s="26"/>
      <c r="X927" s="26"/>
      <c r="Y927" s="26"/>
      <c r="Z927" s="24"/>
      <c r="AA927" s="169">
        <f t="shared" si="297"/>
        <v>0</v>
      </c>
      <c r="AB927" s="4">
        <f t="shared" si="298"/>
        <v>0</v>
      </c>
      <c r="AC927" s="170">
        <f t="shared" si="315"/>
        <v>0</v>
      </c>
      <c r="AD927" s="58"/>
      <c r="AE927" s="58"/>
      <c r="AF927" s="58"/>
      <c r="AG927" s="59">
        <f t="shared" si="299"/>
        <v>9.0359999999999996</v>
      </c>
      <c r="AH927" s="59">
        <f t="shared" si="300"/>
        <v>-184.49199999999999</v>
      </c>
      <c r="AJ927" s="4">
        <f>IF(D927="M",IF(AM927&lt;78,BMILMS!$D$5*AM927^3+BMILMS!$E$5*AM927^2+BMILMS!$F$5*AM927+BMILMS!$G$5,IF(AM927&lt;150,BMILMS!$D$6*AM927^3+BMILMS!$E$6*AM927^2+BMILMS!$F$6*AM927+BMILMS!$G$6,BMILMS!$D$7*AM927^3+BMILMS!$E$7*AM927^2+BMILMS!$F$7*AM927+BMILMS!$G$7)),IF(AM927&lt;69,BMILMS!$D$9*AM927^3+BMILMS!$E$9*AM927^2+BMILMS!$F$9*AM927+BMILMS!$G$9,IF(AM927&lt;150,BMILMS!$D$10*AM927^3+BMILMS!$E$10*AM927^2+BMILMS!$F$10*AM927+BMILMS!$G$10,BMILMS!$D$11*AM927^3+BMILMS!$E$11*AM927^2+BMILMS!$F$11*AM927+BMILMS!$G$11)))</f>
        <v>0.79584630099999998</v>
      </c>
      <c r="AK927" s="4">
        <f>IF(D927="M",(IF(AM927&lt;2.5,BMILMS!$D$21*AM927^3+BMILMS!$E$21*AM927^2+BMILMS!$F$21*AM927+BMILMS!$G$21,IF(AM927&lt;9.5,BMILMS!$D$22*AM927^3+BMILMS!$E$22*AM927^2+BMILMS!$F$22*AM927+BMILMS!$G$22,IF(AM927&lt;26.75,BMILMS!$D$23*AM927^3+BMILMS!$E$23*AM927^2+BMILMS!$F$23*AM927+BMILMS!$G$23,IF(AM927&lt;90,BMILMS!$D$24*AM927^3+BMILMS!$E$24*AM927^2+BMILMS!$F$24*AM927+BMILMS!$G$24,BMILMS!$D$25*AM927^3+BMILMS!$E$25*AM927^2+BMILMS!$F$25*AM927+BMILMS!$G$25))))),(IF(AM927&lt;2.5,BMILMS!$D$27*AM927^3+BMILMS!$E$27*AM927^2+BMILMS!$F$27*AM927+BMILMS!$G$27,IF(AM927&lt;9.5,BMILMS!$D$28*AM927^3+BMILMS!$E$28*AM927^2+BMILMS!$F$28*AM927+BMILMS!$G$28,IF(AM927&lt;26.75,BMILMS!$D$29*AM927^3+BMILMS!$E$29*AM927^2+BMILMS!$F$29*AM927+BMILMS!$G$29,IF(AM927&lt;90,BMILMS!$D$30*AM927^3+BMILMS!$E$30*AM927^2+BMILMS!$F$30*AM927+BMILMS!$G$30,IF(AM927&lt;150,BMILMS!$D$31*AM927^3+BMILMS!$E$31*AM927^2+BMILMS!$F$31*AM927+BMILMS!$G$31,BMILMS!$D$32*AM927^3+BMILMS!$E$32*AM927^2+BMILMS!$F$32*AM927+BMILMS!$G$32)))))))</f>
        <v>12.568967990000001</v>
      </c>
      <c r="AL927" s="4">
        <f>IF(D927="M",(IF(AM927&lt;90,BMILMS!$D$14*AM927^3+BMILMS!$E$14*AM927^2+BMILMS!$F$14*AM927+BMILMS!$G$14,BMILMS!$D$15*AM927^3+BMILMS!$E$15*AM927^2+BMILMS!$F$15*AM927+BMILMS!$G$15)),(IF(AM927&lt;90,BMILMS!$D$17*AM927^3+BMILMS!$E$17*AM927^2+BMILMS!$F$17*AM927+BMILMS!$G$17,BMILMS!$D$18*AM927^3+BMILMS!$E$18*AM927^2+BMILMS!$F$18*AM927+BMILMS!$G$18)))</f>
        <v>8.8969350000000003E-2</v>
      </c>
      <c r="AM927" s="4">
        <f t="shared" si="314"/>
        <v>0</v>
      </c>
      <c r="AO927" s="56">
        <f>IF(D927="M",WeightSDS!P$5*$AM927^7+WeightSDS!Q$5*$AM927^6+WeightSDS!R$5*$AM927^5+WeightSDS!S$5*$AM927^4+WeightSDS!T$5*$AM927^3+WeightSDS!U$5*$AM927^2+WeightSDS!V$5*$AM927+WeightSDS!W$5,IF($AM927&lt;186,WeightSDS!P$8*$AM927^7+WeightSDS!Q$8*$AM927^6+WeightSDS!R$8*$AM927^5+WeightSDS!S$8*$AM927^4+WeightSDS!T$8*$AM927^3+WeightSDS!U$8*$AM927^2+WeightSDS!V$8*$AM927+WeightSDS!W$8,WeightSDS!$U$9+WeightSDS!$V$9*($AM927-WeightSDS!$W$9)))</f>
        <v>0.75407122999999998</v>
      </c>
      <c r="AP927" s="4">
        <f>IF(D927="M",IF($AM927&lt;45,WeightSDS!M$23*$AM927^10+WeightSDS!N$23*$AM927^9+WeightSDS!O$23*$AM927^8+WeightSDS!P$23*$AM927^7+WeightSDS!Q$23*$AM927^6+WeightSDS!R$23*$AM927^5+WeightSDS!S$23*$AM927^4+WeightSDS!T$23*$AM927^3+WeightSDS!U$23*$AM927^2+WeightSDS!V$23*$AM927+WeightSDS!W$23,IF($AM927&lt;153,WeightSDS!M$25*$AM927^10+WeightSDS!N$25*$AM927^9+WeightSDS!O$25*$AM927^8+WeightSDS!P$25*$AM927^7+WeightSDS!Q$25*$AM927^6+WeightSDS!R$25*$AM927^5+WeightSDS!S$25*$AM927^4+WeightSDS!T$25*$AM927^3+WeightSDS!U$25*$AM927^2+WeightSDS!V$25*$AM927+WeightSDS!W$25,WeightSDS!M$27+WeightSDS!N$27/(1+EXP(WeightSDS!O$27+WeightSDS!P$27*$AM927)))),IF($AM927&lt;43.8,WeightSDS!M$29*$AM927^10+WeightSDS!N$29*$AM927^9+WeightSDS!O$29*$AM927^8+WeightSDS!P$29*$AM927^7+WeightSDS!Q$29*$AM927^6+WeightSDS!R$29*$AM927^5+WeightSDS!S$29*$AM927^4+WeightSDS!T$29*$AM927^3+WeightSDS!U$29*$AM927^2+WeightSDS!V$29*$AM927+WeightSDS!W$29-0.010431*(1-$AM927/210),IF($AM927&lt;123,WeightSDS!M$30*$AM927^10+WeightSDS!N$30*$AM927^9+WeightSDS!O$30*$AM927^8+WeightSDS!P$30*$AM927^7+WeightSDS!Q$30*$AM927^6+WeightSDS!R$30*$AM927^5+WeightSDS!S$30*$AM927^4+WeightSDS!T$30*$AM927^3+WeightSDS!U$30*$AM927^2+WeightSDS!V$30*$AM927+WeightSDS!W$30-0.010431*(1-1/$AM927),WeightSDS!M$32+WeightSDS!N$32/(1+EXP(WeightSDS!O$32+WeightSDS!P$32*$AM927))-0.010431*(1-$AM927/210))))</f>
        <v>2.9500001032655536</v>
      </c>
      <c r="AQ927" s="4">
        <f>IF(D927="M",IF($AM927&lt;162,WeightSDS!P$12*$AM927^7+WeightSDS!Q$12*$AM927^6+WeightSDS!R$12*$AM927^5+WeightSDS!S$12*$AM927^4+WeightSDS!T$12*$AM927^3+WeightSDS!U$12*$AM927^2+WeightSDS!V$12*$AM927+WeightSDS!W$12,WeightSDS!P$14*$AM927^7+WeightSDS!Q$14*$AM927^6+WeightSDS!R$14*$AM927^5+WeightSDS!S$14*$AM927^4+WeightSDS!T$14*$AM927^3+WeightSDS!U$14*$AM927^2+WeightSDS!V$14*$AM927+WeightSDS!W$14),IF($AM927&lt;156,WeightSDS!O$17*$AM927^8+WeightSDS!P$17*$AM927^7+WeightSDS!Q$17*$AM927^6+WeightSDS!R$17*$AM927^5+WeightSDS!S$17*$AM927^4+WeightSDS!T$17*$AM927^3+WeightSDS!U$17*$AM927^2+WeightSDS!V$17*$AM927+WeightSDS!W$17,IF($AM927&lt;186,WeightSDS!$U$18+(WeightSDS!$V$18-WeightSDS!$U$18)/24*($AM927-186)+WeightSDS!$W$18*(-$AM927+186)^2-0.005,WeightSDS!$U$18+(WeightSDS!$V$18-WeightSDS!$U$18)/24*($AM927-186)-0.005)))</f>
        <v>0.14604529399999999</v>
      </c>
      <c r="AT927" s="4">
        <f t="shared" si="301"/>
        <v>0.56299999999999994</v>
      </c>
      <c r="AU927" s="4">
        <f t="shared" si="302"/>
        <v>69</v>
      </c>
      <c r="AV927" s="4">
        <f t="shared" si="303"/>
        <v>0.51</v>
      </c>
    </row>
    <row r="928" spans="1:48" x14ac:dyDescent="0.15">
      <c r="A928" s="4"/>
      <c r="B928" s="21"/>
      <c r="C928" s="21"/>
      <c r="D928" s="21"/>
      <c r="E928" s="22"/>
      <c r="F928" s="22"/>
      <c r="G928" s="23"/>
      <c r="H928" s="23"/>
      <c r="I928" s="181"/>
      <c r="J928" s="8" t="str">
        <f t="shared" si="295"/>
        <v/>
      </c>
      <c r="K928" s="2" t="str">
        <f t="shared" si="304"/>
        <v/>
      </c>
      <c r="L928" s="2" t="str">
        <f t="shared" si="296"/>
        <v/>
      </c>
      <c r="M928" s="2" t="str">
        <f t="shared" si="305"/>
        <v/>
      </c>
      <c r="N928" s="2" t="str">
        <f t="shared" si="313"/>
        <v/>
      </c>
      <c r="O928" s="2" t="str">
        <f t="shared" si="306"/>
        <v/>
      </c>
      <c r="P928" s="8" t="str">
        <f t="shared" si="307"/>
        <v/>
      </c>
      <c r="Q928" s="8" t="str">
        <f t="shared" si="308"/>
        <v/>
      </c>
      <c r="R928" s="111" t="str">
        <f t="shared" si="309"/>
        <v/>
      </c>
      <c r="S928" s="44" t="str">
        <f t="shared" si="310"/>
        <v/>
      </c>
      <c r="T928" s="37" t="str">
        <f t="shared" si="311"/>
        <v/>
      </c>
      <c r="U928" s="44" t="str">
        <f t="shared" si="312"/>
        <v/>
      </c>
      <c r="V928" s="26"/>
      <c r="W928" s="26"/>
      <c r="X928" s="26"/>
      <c r="Y928" s="26"/>
      <c r="Z928" s="24"/>
      <c r="AA928" s="169">
        <f t="shared" si="297"/>
        <v>0</v>
      </c>
      <c r="AB928" s="4">
        <f t="shared" si="298"/>
        <v>0</v>
      </c>
      <c r="AC928" s="170">
        <f t="shared" si="315"/>
        <v>0</v>
      </c>
      <c r="AD928" s="58"/>
      <c r="AE928" s="58"/>
      <c r="AF928" s="58"/>
      <c r="AG928" s="59">
        <f t="shared" si="299"/>
        <v>9.0359999999999996</v>
      </c>
      <c r="AH928" s="59">
        <f t="shared" si="300"/>
        <v>-184.49199999999999</v>
      </c>
      <c r="AJ928" s="4">
        <f>IF(D928="M",IF(AM928&lt;78,BMILMS!$D$5*AM928^3+BMILMS!$E$5*AM928^2+BMILMS!$F$5*AM928+BMILMS!$G$5,IF(AM928&lt;150,BMILMS!$D$6*AM928^3+BMILMS!$E$6*AM928^2+BMILMS!$F$6*AM928+BMILMS!$G$6,BMILMS!$D$7*AM928^3+BMILMS!$E$7*AM928^2+BMILMS!$F$7*AM928+BMILMS!$G$7)),IF(AM928&lt;69,BMILMS!$D$9*AM928^3+BMILMS!$E$9*AM928^2+BMILMS!$F$9*AM928+BMILMS!$G$9,IF(AM928&lt;150,BMILMS!$D$10*AM928^3+BMILMS!$E$10*AM928^2+BMILMS!$F$10*AM928+BMILMS!$G$10,BMILMS!$D$11*AM928^3+BMILMS!$E$11*AM928^2+BMILMS!$F$11*AM928+BMILMS!$G$11)))</f>
        <v>0.79584630099999998</v>
      </c>
      <c r="AK928" s="4">
        <f>IF(D928="M",(IF(AM928&lt;2.5,BMILMS!$D$21*AM928^3+BMILMS!$E$21*AM928^2+BMILMS!$F$21*AM928+BMILMS!$G$21,IF(AM928&lt;9.5,BMILMS!$D$22*AM928^3+BMILMS!$E$22*AM928^2+BMILMS!$F$22*AM928+BMILMS!$G$22,IF(AM928&lt;26.75,BMILMS!$D$23*AM928^3+BMILMS!$E$23*AM928^2+BMILMS!$F$23*AM928+BMILMS!$G$23,IF(AM928&lt;90,BMILMS!$D$24*AM928^3+BMILMS!$E$24*AM928^2+BMILMS!$F$24*AM928+BMILMS!$G$24,BMILMS!$D$25*AM928^3+BMILMS!$E$25*AM928^2+BMILMS!$F$25*AM928+BMILMS!$G$25))))),(IF(AM928&lt;2.5,BMILMS!$D$27*AM928^3+BMILMS!$E$27*AM928^2+BMILMS!$F$27*AM928+BMILMS!$G$27,IF(AM928&lt;9.5,BMILMS!$D$28*AM928^3+BMILMS!$E$28*AM928^2+BMILMS!$F$28*AM928+BMILMS!$G$28,IF(AM928&lt;26.75,BMILMS!$D$29*AM928^3+BMILMS!$E$29*AM928^2+BMILMS!$F$29*AM928+BMILMS!$G$29,IF(AM928&lt;90,BMILMS!$D$30*AM928^3+BMILMS!$E$30*AM928^2+BMILMS!$F$30*AM928+BMILMS!$G$30,IF(AM928&lt;150,BMILMS!$D$31*AM928^3+BMILMS!$E$31*AM928^2+BMILMS!$F$31*AM928+BMILMS!$G$31,BMILMS!$D$32*AM928^3+BMILMS!$E$32*AM928^2+BMILMS!$F$32*AM928+BMILMS!$G$32)))))))</f>
        <v>12.568967990000001</v>
      </c>
      <c r="AL928" s="4">
        <f>IF(D928="M",(IF(AM928&lt;90,BMILMS!$D$14*AM928^3+BMILMS!$E$14*AM928^2+BMILMS!$F$14*AM928+BMILMS!$G$14,BMILMS!$D$15*AM928^3+BMILMS!$E$15*AM928^2+BMILMS!$F$15*AM928+BMILMS!$G$15)),(IF(AM928&lt;90,BMILMS!$D$17*AM928^3+BMILMS!$E$17*AM928^2+BMILMS!$F$17*AM928+BMILMS!$G$17,BMILMS!$D$18*AM928^3+BMILMS!$E$18*AM928^2+BMILMS!$F$18*AM928+BMILMS!$G$18)))</f>
        <v>8.8969350000000003E-2</v>
      </c>
      <c r="AM928" s="4">
        <f t="shared" si="314"/>
        <v>0</v>
      </c>
      <c r="AO928" s="56">
        <f>IF(D928="M",WeightSDS!P$5*$AM928^7+WeightSDS!Q$5*$AM928^6+WeightSDS!R$5*$AM928^5+WeightSDS!S$5*$AM928^4+WeightSDS!T$5*$AM928^3+WeightSDS!U$5*$AM928^2+WeightSDS!V$5*$AM928+WeightSDS!W$5,IF($AM928&lt;186,WeightSDS!P$8*$AM928^7+WeightSDS!Q$8*$AM928^6+WeightSDS!R$8*$AM928^5+WeightSDS!S$8*$AM928^4+WeightSDS!T$8*$AM928^3+WeightSDS!U$8*$AM928^2+WeightSDS!V$8*$AM928+WeightSDS!W$8,WeightSDS!$U$9+WeightSDS!$V$9*($AM928-WeightSDS!$W$9)))</f>
        <v>0.75407122999999998</v>
      </c>
      <c r="AP928" s="4">
        <f>IF(D928="M",IF($AM928&lt;45,WeightSDS!M$23*$AM928^10+WeightSDS!N$23*$AM928^9+WeightSDS!O$23*$AM928^8+WeightSDS!P$23*$AM928^7+WeightSDS!Q$23*$AM928^6+WeightSDS!R$23*$AM928^5+WeightSDS!S$23*$AM928^4+WeightSDS!T$23*$AM928^3+WeightSDS!U$23*$AM928^2+WeightSDS!V$23*$AM928+WeightSDS!W$23,IF($AM928&lt;153,WeightSDS!M$25*$AM928^10+WeightSDS!N$25*$AM928^9+WeightSDS!O$25*$AM928^8+WeightSDS!P$25*$AM928^7+WeightSDS!Q$25*$AM928^6+WeightSDS!R$25*$AM928^5+WeightSDS!S$25*$AM928^4+WeightSDS!T$25*$AM928^3+WeightSDS!U$25*$AM928^2+WeightSDS!V$25*$AM928+WeightSDS!W$25,WeightSDS!M$27+WeightSDS!N$27/(1+EXP(WeightSDS!O$27+WeightSDS!P$27*$AM928)))),IF($AM928&lt;43.8,WeightSDS!M$29*$AM928^10+WeightSDS!N$29*$AM928^9+WeightSDS!O$29*$AM928^8+WeightSDS!P$29*$AM928^7+WeightSDS!Q$29*$AM928^6+WeightSDS!R$29*$AM928^5+WeightSDS!S$29*$AM928^4+WeightSDS!T$29*$AM928^3+WeightSDS!U$29*$AM928^2+WeightSDS!V$29*$AM928+WeightSDS!W$29-0.010431*(1-$AM928/210),IF($AM928&lt;123,WeightSDS!M$30*$AM928^10+WeightSDS!N$30*$AM928^9+WeightSDS!O$30*$AM928^8+WeightSDS!P$30*$AM928^7+WeightSDS!Q$30*$AM928^6+WeightSDS!R$30*$AM928^5+WeightSDS!S$30*$AM928^4+WeightSDS!T$30*$AM928^3+WeightSDS!U$30*$AM928^2+WeightSDS!V$30*$AM928+WeightSDS!W$30-0.010431*(1-1/$AM928),WeightSDS!M$32+WeightSDS!N$32/(1+EXP(WeightSDS!O$32+WeightSDS!P$32*$AM928))-0.010431*(1-$AM928/210))))</f>
        <v>2.9500001032655536</v>
      </c>
      <c r="AQ928" s="4">
        <f>IF(D928="M",IF($AM928&lt;162,WeightSDS!P$12*$AM928^7+WeightSDS!Q$12*$AM928^6+WeightSDS!R$12*$AM928^5+WeightSDS!S$12*$AM928^4+WeightSDS!T$12*$AM928^3+WeightSDS!U$12*$AM928^2+WeightSDS!V$12*$AM928+WeightSDS!W$12,WeightSDS!P$14*$AM928^7+WeightSDS!Q$14*$AM928^6+WeightSDS!R$14*$AM928^5+WeightSDS!S$14*$AM928^4+WeightSDS!T$14*$AM928^3+WeightSDS!U$14*$AM928^2+WeightSDS!V$14*$AM928+WeightSDS!W$14),IF($AM928&lt;156,WeightSDS!O$17*$AM928^8+WeightSDS!P$17*$AM928^7+WeightSDS!Q$17*$AM928^6+WeightSDS!R$17*$AM928^5+WeightSDS!S$17*$AM928^4+WeightSDS!T$17*$AM928^3+WeightSDS!U$17*$AM928^2+WeightSDS!V$17*$AM928+WeightSDS!W$17,IF($AM928&lt;186,WeightSDS!$U$18+(WeightSDS!$V$18-WeightSDS!$U$18)/24*($AM928-186)+WeightSDS!$W$18*(-$AM928+186)^2-0.005,WeightSDS!$U$18+(WeightSDS!$V$18-WeightSDS!$U$18)/24*($AM928-186)-0.005)))</f>
        <v>0.14604529399999999</v>
      </c>
      <c r="AT928" s="4">
        <f t="shared" si="301"/>
        <v>0.56299999999999994</v>
      </c>
      <c r="AU928" s="4">
        <f t="shared" si="302"/>
        <v>69</v>
      </c>
      <c r="AV928" s="4">
        <f t="shared" si="303"/>
        <v>0.51</v>
      </c>
    </row>
    <row r="929" spans="1:48" x14ac:dyDescent="0.15">
      <c r="A929" s="4"/>
      <c r="B929" s="21"/>
      <c r="C929" s="21"/>
      <c r="D929" s="21"/>
      <c r="E929" s="22"/>
      <c r="F929" s="22"/>
      <c r="G929" s="23"/>
      <c r="H929" s="23"/>
      <c r="I929" s="181"/>
      <c r="J929" s="8" t="str">
        <f t="shared" si="295"/>
        <v/>
      </c>
      <c r="K929" s="2" t="str">
        <f t="shared" si="304"/>
        <v/>
      </c>
      <c r="L929" s="2" t="str">
        <f t="shared" si="296"/>
        <v/>
      </c>
      <c r="M929" s="2" t="str">
        <f t="shared" si="305"/>
        <v/>
      </c>
      <c r="N929" s="2" t="str">
        <f t="shared" si="313"/>
        <v/>
      </c>
      <c r="O929" s="2" t="str">
        <f t="shared" si="306"/>
        <v/>
      </c>
      <c r="P929" s="8" t="str">
        <f t="shared" si="307"/>
        <v/>
      </c>
      <c r="Q929" s="8" t="str">
        <f t="shared" si="308"/>
        <v/>
      </c>
      <c r="R929" s="111" t="str">
        <f t="shared" si="309"/>
        <v/>
      </c>
      <c r="S929" s="44" t="str">
        <f t="shared" si="310"/>
        <v/>
      </c>
      <c r="T929" s="37" t="str">
        <f t="shared" si="311"/>
        <v/>
      </c>
      <c r="U929" s="44" t="str">
        <f t="shared" si="312"/>
        <v/>
      </c>
      <c r="V929" s="26"/>
      <c r="W929" s="26"/>
      <c r="X929" s="26"/>
      <c r="Y929" s="26"/>
      <c r="Z929" s="24"/>
      <c r="AA929" s="169">
        <f t="shared" si="297"/>
        <v>0</v>
      </c>
      <c r="AB929" s="4">
        <f t="shared" si="298"/>
        <v>0</v>
      </c>
      <c r="AC929" s="170">
        <f t="shared" si="315"/>
        <v>0</v>
      </c>
      <c r="AD929" s="58"/>
      <c r="AE929" s="58"/>
      <c r="AF929" s="58"/>
      <c r="AG929" s="59">
        <f t="shared" si="299"/>
        <v>9.0359999999999996</v>
      </c>
      <c r="AH929" s="59">
        <f t="shared" si="300"/>
        <v>-184.49199999999999</v>
      </c>
      <c r="AJ929" s="4">
        <f>IF(D929="M",IF(AM929&lt;78,BMILMS!$D$5*AM929^3+BMILMS!$E$5*AM929^2+BMILMS!$F$5*AM929+BMILMS!$G$5,IF(AM929&lt;150,BMILMS!$D$6*AM929^3+BMILMS!$E$6*AM929^2+BMILMS!$F$6*AM929+BMILMS!$G$6,BMILMS!$D$7*AM929^3+BMILMS!$E$7*AM929^2+BMILMS!$F$7*AM929+BMILMS!$G$7)),IF(AM929&lt;69,BMILMS!$D$9*AM929^3+BMILMS!$E$9*AM929^2+BMILMS!$F$9*AM929+BMILMS!$G$9,IF(AM929&lt;150,BMILMS!$D$10*AM929^3+BMILMS!$E$10*AM929^2+BMILMS!$F$10*AM929+BMILMS!$G$10,BMILMS!$D$11*AM929^3+BMILMS!$E$11*AM929^2+BMILMS!$F$11*AM929+BMILMS!$G$11)))</f>
        <v>0.79584630099999998</v>
      </c>
      <c r="AK929" s="4">
        <f>IF(D929="M",(IF(AM929&lt;2.5,BMILMS!$D$21*AM929^3+BMILMS!$E$21*AM929^2+BMILMS!$F$21*AM929+BMILMS!$G$21,IF(AM929&lt;9.5,BMILMS!$D$22*AM929^3+BMILMS!$E$22*AM929^2+BMILMS!$F$22*AM929+BMILMS!$G$22,IF(AM929&lt;26.75,BMILMS!$D$23*AM929^3+BMILMS!$E$23*AM929^2+BMILMS!$F$23*AM929+BMILMS!$G$23,IF(AM929&lt;90,BMILMS!$D$24*AM929^3+BMILMS!$E$24*AM929^2+BMILMS!$F$24*AM929+BMILMS!$G$24,BMILMS!$D$25*AM929^3+BMILMS!$E$25*AM929^2+BMILMS!$F$25*AM929+BMILMS!$G$25))))),(IF(AM929&lt;2.5,BMILMS!$D$27*AM929^3+BMILMS!$E$27*AM929^2+BMILMS!$F$27*AM929+BMILMS!$G$27,IF(AM929&lt;9.5,BMILMS!$D$28*AM929^3+BMILMS!$E$28*AM929^2+BMILMS!$F$28*AM929+BMILMS!$G$28,IF(AM929&lt;26.75,BMILMS!$D$29*AM929^3+BMILMS!$E$29*AM929^2+BMILMS!$F$29*AM929+BMILMS!$G$29,IF(AM929&lt;90,BMILMS!$D$30*AM929^3+BMILMS!$E$30*AM929^2+BMILMS!$F$30*AM929+BMILMS!$G$30,IF(AM929&lt;150,BMILMS!$D$31*AM929^3+BMILMS!$E$31*AM929^2+BMILMS!$F$31*AM929+BMILMS!$G$31,BMILMS!$D$32*AM929^3+BMILMS!$E$32*AM929^2+BMILMS!$F$32*AM929+BMILMS!$G$32)))))))</f>
        <v>12.568967990000001</v>
      </c>
      <c r="AL929" s="4">
        <f>IF(D929="M",(IF(AM929&lt;90,BMILMS!$D$14*AM929^3+BMILMS!$E$14*AM929^2+BMILMS!$F$14*AM929+BMILMS!$G$14,BMILMS!$D$15*AM929^3+BMILMS!$E$15*AM929^2+BMILMS!$F$15*AM929+BMILMS!$G$15)),(IF(AM929&lt;90,BMILMS!$D$17*AM929^3+BMILMS!$E$17*AM929^2+BMILMS!$F$17*AM929+BMILMS!$G$17,BMILMS!$D$18*AM929^3+BMILMS!$E$18*AM929^2+BMILMS!$F$18*AM929+BMILMS!$G$18)))</f>
        <v>8.8969350000000003E-2</v>
      </c>
      <c r="AM929" s="4">
        <f t="shared" si="314"/>
        <v>0</v>
      </c>
      <c r="AO929" s="56">
        <f>IF(D929="M",WeightSDS!P$5*$AM929^7+WeightSDS!Q$5*$AM929^6+WeightSDS!R$5*$AM929^5+WeightSDS!S$5*$AM929^4+WeightSDS!T$5*$AM929^3+WeightSDS!U$5*$AM929^2+WeightSDS!V$5*$AM929+WeightSDS!W$5,IF($AM929&lt;186,WeightSDS!P$8*$AM929^7+WeightSDS!Q$8*$AM929^6+WeightSDS!R$8*$AM929^5+WeightSDS!S$8*$AM929^4+WeightSDS!T$8*$AM929^3+WeightSDS!U$8*$AM929^2+WeightSDS!V$8*$AM929+WeightSDS!W$8,WeightSDS!$U$9+WeightSDS!$V$9*($AM929-WeightSDS!$W$9)))</f>
        <v>0.75407122999999998</v>
      </c>
      <c r="AP929" s="4">
        <f>IF(D929="M",IF($AM929&lt;45,WeightSDS!M$23*$AM929^10+WeightSDS!N$23*$AM929^9+WeightSDS!O$23*$AM929^8+WeightSDS!P$23*$AM929^7+WeightSDS!Q$23*$AM929^6+WeightSDS!R$23*$AM929^5+WeightSDS!S$23*$AM929^4+WeightSDS!T$23*$AM929^3+WeightSDS!U$23*$AM929^2+WeightSDS!V$23*$AM929+WeightSDS!W$23,IF($AM929&lt;153,WeightSDS!M$25*$AM929^10+WeightSDS!N$25*$AM929^9+WeightSDS!O$25*$AM929^8+WeightSDS!P$25*$AM929^7+WeightSDS!Q$25*$AM929^6+WeightSDS!R$25*$AM929^5+WeightSDS!S$25*$AM929^4+WeightSDS!T$25*$AM929^3+WeightSDS!U$25*$AM929^2+WeightSDS!V$25*$AM929+WeightSDS!W$25,WeightSDS!M$27+WeightSDS!N$27/(1+EXP(WeightSDS!O$27+WeightSDS!P$27*$AM929)))),IF($AM929&lt;43.8,WeightSDS!M$29*$AM929^10+WeightSDS!N$29*$AM929^9+WeightSDS!O$29*$AM929^8+WeightSDS!P$29*$AM929^7+WeightSDS!Q$29*$AM929^6+WeightSDS!R$29*$AM929^5+WeightSDS!S$29*$AM929^4+WeightSDS!T$29*$AM929^3+WeightSDS!U$29*$AM929^2+WeightSDS!V$29*$AM929+WeightSDS!W$29-0.010431*(1-$AM929/210),IF($AM929&lt;123,WeightSDS!M$30*$AM929^10+WeightSDS!N$30*$AM929^9+WeightSDS!O$30*$AM929^8+WeightSDS!P$30*$AM929^7+WeightSDS!Q$30*$AM929^6+WeightSDS!R$30*$AM929^5+WeightSDS!S$30*$AM929^4+WeightSDS!T$30*$AM929^3+WeightSDS!U$30*$AM929^2+WeightSDS!V$30*$AM929+WeightSDS!W$30-0.010431*(1-1/$AM929),WeightSDS!M$32+WeightSDS!N$32/(1+EXP(WeightSDS!O$32+WeightSDS!P$32*$AM929))-0.010431*(1-$AM929/210))))</f>
        <v>2.9500001032655536</v>
      </c>
      <c r="AQ929" s="4">
        <f>IF(D929="M",IF($AM929&lt;162,WeightSDS!P$12*$AM929^7+WeightSDS!Q$12*$AM929^6+WeightSDS!R$12*$AM929^5+WeightSDS!S$12*$AM929^4+WeightSDS!T$12*$AM929^3+WeightSDS!U$12*$AM929^2+WeightSDS!V$12*$AM929+WeightSDS!W$12,WeightSDS!P$14*$AM929^7+WeightSDS!Q$14*$AM929^6+WeightSDS!R$14*$AM929^5+WeightSDS!S$14*$AM929^4+WeightSDS!T$14*$AM929^3+WeightSDS!U$14*$AM929^2+WeightSDS!V$14*$AM929+WeightSDS!W$14),IF($AM929&lt;156,WeightSDS!O$17*$AM929^8+WeightSDS!P$17*$AM929^7+WeightSDS!Q$17*$AM929^6+WeightSDS!R$17*$AM929^5+WeightSDS!S$17*$AM929^4+WeightSDS!T$17*$AM929^3+WeightSDS!U$17*$AM929^2+WeightSDS!V$17*$AM929+WeightSDS!W$17,IF($AM929&lt;186,WeightSDS!$U$18+(WeightSDS!$V$18-WeightSDS!$U$18)/24*($AM929-186)+WeightSDS!$W$18*(-$AM929+186)^2-0.005,WeightSDS!$U$18+(WeightSDS!$V$18-WeightSDS!$U$18)/24*($AM929-186)-0.005)))</f>
        <v>0.14604529399999999</v>
      </c>
      <c r="AT929" s="4">
        <f t="shared" si="301"/>
        <v>0.56299999999999994</v>
      </c>
      <c r="AU929" s="4">
        <f t="shared" si="302"/>
        <v>69</v>
      </c>
      <c r="AV929" s="4">
        <f t="shared" si="303"/>
        <v>0.51</v>
      </c>
    </row>
    <row r="930" spans="1:48" x14ac:dyDescent="0.15">
      <c r="A930" s="4"/>
      <c r="B930" s="21"/>
      <c r="C930" s="21"/>
      <c r="D930" s="21"/>
      <c r="E930" s="22"/>
      <c r="F930" s="22"/>
      <c r="G930" s="23"/>
      <c r="H930" s="23"/>
      <c r="I930" s="181"/>
      <c r="J930" s="8" t="str">
        <f t="shared" si="295"/>
        <v/>
      </c>
      <c r="K930" s="2" t="str">
        <f t="shared" si="304"/>
        <v/>
      </c>
      <c r="L930" s="2" t="str">
        <f t="shared" si="296"/>
        <v/>
      </c>
      <c r="M930" s="2" t="str">
        <f t="shared" si="305"/>
        <v/>
      </c>
      <c r="N930" s="2" t="str">
        <f t="shared" si="313"/>
        <v/>
      </c>
      <c r="O930" s="2" t="str">
        <f t="shared" si="306"/>
        <v/>
      </c>
      <c r="P930" s="8" t="str">
        <f t="shared" si="307"/>
        <v/>
      </c>
      <c r="Q930" s="8" t="str">
        <f t="shared" si="308"/>
        <v/>
      </c>
      <c r="R930" s="111" t="str">
        <f t="shared" si="309"/>
        <v/>
      </c>
      <c r="S930" s="44" t="str">
        <f t="shared" si="310"/>
        <v/>
      </c>
      <c r="T930" s="37" t="str">
        <f t="shared" si="311"/>
        <v/>
      </c>
      <c r="U930" s="44" t="str">
        <f t="shared" si="312"/>
        <v/>
      </c>
      <c r="V930" s="26"/>
      <c r="W930" s="26"/>
      <c r="X930" s="26"/>
      <c r="Y930" s="26"/>
      <c r="Z930" s="24"/>
      <c r="AA930" s="169">
        <f t="shared" si="297"/>
        <v>0</v>
      </c>
      <c r="AB930" s="4">
        <f t="shared" si="298"/>
        <v>0</v>
      </c>
      <c r="AC930" s="170">
        <f t="shared" si="315"/>
        <v>0</v>
      </c>
      <c r="AD930" s="58"/>
      <c r="AE930" s="58"/>
      <c r="AF930" s="58"/>
      <c r="AG930" s="59">
        <f t="shared" si="299"/>
        <v>9.0359999999999996</v>
      </c>
      <c r="AH930" s="59">
        <f t="shared" si="300"/>
        <v>-184.49199999999999</v>
      </c>
      <c r="AJ930" s="4">
        <f>IF(D930="M",IF(AM930&lt;78,BMILMS!$D$5*AM930^3+BMILMS!$E$5*AM930^2+BMILMS!$F$5*AM930+BMILMS!$G$5,IF(AM930&lt;150,BMILMS!$D$6*AM930^3+BMILMS!$E$6*AM930^2+BMILMS!$F$6*AM930+BMILMS!$G$6,BMILMS!$D$7*AM930^3+BMILMS!$E$7*AM930^2+BMILMS!$F$7*AM930+BMILMS!$G$7)),IF(AM930&lt;69,BMILMS!$D$9*AM930^3+BMILMS!$E$9*AM930^2+BMILMS!$F$9*AM930+BMILMS!$G$9,IF(AM930&lt;150,BMILMS!$D$10*AM930^3+BMILMS!$E$10*AM930^2+BMILMS!$F$10*AM930+BMILMS!$G$10,BMILMS!$D$11*AM930^3+BMILMS!$E$11*AM930^2+BMILMS!$F$11*AM930+BMILMS!$G$11)))</f>
        <v>0.79584630099999998</v>
      </c>
      <c r="AK930" s="4">
        <f>IF(D930="M",(IF(AM930&lt;2.5,BMILMS!$D$21*AM930^3+BMILMS!$E$21*AM930^2+BMILMS!$F$21*AM930+BMILMS!$G$21,IF(AM930&lt;9.5,BMILMS!$D$22*AM930^3+BMILMS!$E$22*AM930^2+BMILMS!$F$22*AM930+BMILMS!$G$22,IF(AM930&lt;26.75,BMILMS!$D$23*AM930^3+BMILMS!$E$23*AM930^2+BMILMS!$F$23*AM930+BMILMS!$G$23,IF(AM930&lt;90,BMILMS!$D$24*AM930^3+BMILMS!$E$24*AM930^2+BMILMS!$F$24*AM930+BMILMS!$G$24,BMILMS!$D$25*AM930^3+BMILMS!$E$25*AM930^2+BMILMS!$F$25*AM930+BMILMS!$G$25))))),(IF(AM930&lt;2.5,BMILMS!$D$27*AM930^3+BMILMS!$E$27*AM930^2+BMILMS!$F$27*AM930+BMILMS!$G$27,IF(AM930&lt;9.5,BMILMS!$D$28*AM930^3+BMILMS!$E$28*AM930^2+BMILMS!$F$28*AM930+BMILMS!$G$28,IF(AM930&lt;26.75,BMILMS!$D$29*AM930^3+BMILMS!$E$29*AM930^2+BMILMS!$F$29*AM930+BMILMS!$G$29,IF(AM930&lt;90,BMILMS!$D$30*AM930^3+BMILMS!$E$30*AM930^2+BMILMS!$F$30*AM930+BMILMS!$G$30,IF(AM930&lt;150,BMILMS!$D$31*AM930^3+BMILMS!$E$31*AM930^2+BMILMS!$F$31*AM930+BMILMS!$G$31,BMILMS!$D$32*AM930^3+BMILMS!$E$32*AM930^2+BMILMS!$F$32*AM930+BMILMS!$G$32)))))))</f>
        <v>12.568967990000001</v>
      </c>
      <c r="AL930" s="4">
        <f>IF(D930="M",(IF(AM930&lt;90,BMILMS!$D$14*AM930^3+BMILMS!$E$14*AM930^2+BMILMS!$F$14*AM930+BMILMS!$G$14,BMILMS!$D$15*AM930^3+BMILMS!$E$15*AM930^2+BMILMS!$F$15*AM930+BMILMS!$G$15)),(IF(AM930&lt;90,BMILMS!$D$17*AM930^3+BMILMS!$E$17*AM930^2+BMILMS!$F$17*AM930+BMILMS!$G$17,BMILMS!$D$18*AM930^3+BMILMS!$E$18*AM930^2+BMILMS!$F$18*AM930+BMILMS!$G$18)))</f>
        <v>8.8969350000000003E-2</v>
      </c>
      <c r="AM930" s="4">
        <f t="shared" si="314"/>
        <v>0</v>
      </c>
      <c r="AO930" s="56">
        <f>IF(D930="M",WeightSDS!P$5*$AM930^7+WeightSDS!Q$5*$AM930^6+WeightSDS!R$5*$AM930^5+WeightSDS!S$5*$AM930^4+WeightSDS!T$5*$AM930^3+WeightSDS!U$5*$AM930^2+WeightSDS!V$5*$AM930+WeightSDS!W$5,IF($AM930&lt;186,WeightSDS!P$8*$AM930^7+WeightSDS!Q$8*$AM930^6+WeightSDS!R$8*$AM930^5+WeightSDS!S$8*$AM930^4+WeightSDS!T$8*$AM930^3+WeightSDS!U$8*$AM930^2+WeightSDS!V$8*$AM930+WeightSDS!W$8,WeightSDS!$U$9+WeightSDS!$V$9*($AM930-WeightSDS!$W$9)))</f>
        <v>0.75407122999999998</v>
      </c>
      <c r="AP930" s="4">
        <f>IF(D930="M",IF($AM930&lt;45,WeightSDS!M$23*$AM930^10+WeightSDS!N$23*$AM930^9+WeightSDS!O$23*$AM930^8+WeightSDS!P$23*$AM930^7+WeightSDS!Q$23*$AM930^6+WeightSDS!R$23*$AM930^5+WeightSDS!S$23*$AM930^4+WeightSDS!T$23*$AM930^3+WeightSDS!U$23*$AM930^2+WeightSDS!V$23*$AM930+WeightSDS!W$23,IF($AM930&lt;153,WeightSDS!M$25*$AM930^10+WeightSDS!N$25*$AM930^9+WeightSDS!O$25*$AM930^8+WeightSDS!P$25*$AM930^7+WeightSDS!Q$25*$AM930^6+WeightSDS!R$25*$AM930^5+WeightSDS!S$25*$AM930^4+WeightSDS!T$25*$AM930^3+WeightSDS!U$25*$AM930^2+WeightSDS!V$25*$AM930+WeightSDS!W$25,WeightSDS!M$27+WeightSDS!N$27/(1+EXP(WeightSDS!O$27+WeightSDS!P$27*$AM930)))),IF($AM930&lt;43.8,WeightSDS!M$29*$AM930^10+WeightSDS!N$29*$AM930^9+WeightSDS!O$29*$AM930^8+WeightSDS!P$29*$AM930^7+WeightSDS!Q$29*$AM930^6+WeightSDS!R$29*$AM930^5+WeightSDS!S$29*$AM930^4+WeightSDS!T$29*$AM930^3+WeightSDS!U$29*$AM930^2+WeightSDS!V$29*$AM930+WeightSDS!W$29-0.010431*(1-$AM930/210),IF($AM930&lt;123,WeightSDS!M$30*$AM930^10+WeightSDS!N$30*$AM930^9+WeightSDS!O$30*$AM930^8+WeightSDS!P$30*$AM930^7+WeightSDS!Q$30*$AM930^6+WeightSDS!R$30*$AM930^5+WeightSDS!S$30*$AM930^4+WeightSDS!T$30*$AM930^3+WeightSDS!U$30*$AM930^2+WeightSDS!V$30*$AM930+WeightSDS!W$30-0.010431*(1-1/$AM930),WeightSDS!M$32+WeightSDS!N$32/(1+EXP(WeightSDS!O$32+WeightSDS!P$32*$AM930))-0.010431*(1-$AM930/210))))</f>
        <v>2.9500001032655536</v>
      </c>
      <c r="AQ930" s="4">
        <f>IF(D930="M",IF($AM930&lt;162,WeightSDS!P$12*$AM930^7+WeightSDS!Q$12*$AM930^6+WeightSDS!R$12*$AM930^5+WeightSDS!S$12*$AM930^4+WeightSDS!T$12*$AM930^3+WeightSDS!U$12*$AM930^2+WeightSDS!V$12*$AM930+WeightSDS!W$12,WeightSDS!P$14*$AM930^7+WeightSDS!Q$14*$AM930^6+WeightSDS!R$14*$AM930^5+WeightSDS!S$14*$AM930^4+WeightSDS!T$14*$AM930^3+WeightSDS!U$14*$AM930^2+WeightSDS!V$14*$AM930+WeightSDS!W$14),IF($AM930&lt;156,WeightSDS!O$17*$AM930^8+WeightSDS!P$17*$AM930^7+WeightSDS!Q$17*$AM930^6+WeightSDS!R$17*$AM930^5+WeightSDS!S$17*$AM930^4+WeightSDS!T$17*$AM930^3+WeightSDS!U$17*$AM930^2+WeightSDS!V$17*$AM930+WeightSDS!W$17,IF($AM930&lt;186,WeightSDS!$U$18+(WeightSDS!$V$18-WeightSDS!$U$18)/24*($AM930-186)+WeightSDS!$W$18*(-$AM930+186)^2-0.005,WeightSDS!$U$18+(WeightSDS!$V$18-WeightSDS!$U$18)/24*($AM930-186)-0.005)))</f>
        <v>0.14604529399999999</v>
      </c>
      <c r="AT930" s="4">
        <f t="shared" si="301"/>
        <v>0.56299999999999994</v>
      </c>
      <c r="AU930" s="4">
        <f t="shared" si="302"/>
        <v>69</v>
      </c>
      <c r="AV930" s="4">
        <f t="shared" si="303"/>
        <v>0.51</v>
      </c>
    </row>
    <row r="931" spans="1:48" x14ac:dyDescent="0.15">
      <c r="A931" s="4"/>
      <c r="B931" s="21"/>
      <c r="C931" s="21"/>
      <c r="D931" s="21"/>
      <c r="E931" s="22"/>
      <c r="F931" s="22"/>
      <c r="G931" s="23"/>
      <c r="H931" s="23"/>
      <c r="I931" s="181"/>
      <c r="J931" s="8" t="str">
        <f t="shared" si="295"/>
        <v/>
      </c>
      <c r="K931" s="2" t="str">
        <f t="shared" si="304"/>
        <v/>
      </c>
      <c r="L931" s="2" t="str">
        <f t="shared" si="296"/>
        <v/>
      </c>
      <c r="M931" s="2" t="str">
        <f t="shared" si="305"/>
        <v/>
      </c>
      <c r="N931" s="2" t="str">
        <f t="shared" si="313"/>
        <v/>
      </c>
      <c r="O931" s="2" t="str">
        <f t="shared" si="306"/>
        <v/>
      </c>
      <c r="P931" s="8" t="str">
        <f t="shared" si="307"/>
        <v/>
      </c>
      <c r="Q931" s="8" t="str">
        <f t="shared" si="308"/>
        <v/>
      </c>
      <c r="R931" s="111" t="str">
        <f t="shared" si="309"/>
        <v/>
      </c>
      <c r="S931" s="44" t="str">
        <f t="shared" si="310"/>
        <v/>
      </c>
      <c r="T931" s="37" t="str">
        <f t="shared" si="311"/>
        <v/>
      </c>
      <c r="U931" s="44" t="str">
        <f t="shared" si="312"/>
        <v/>
      </c>
      <c r="V931" s="26"/>
      <c r="W931" s="26"/>
      <c r="X931" s="26"/>
      <c r="Y931" s="26"/>
      <c r="Z931" s="24"/>
      <c r="AA931" s="169">
        <f t="shared" si="297"/>
        <v>0</v>
      </c>
      <c r="AB931" s="4">
        <f t="shared" si="298"/>
        <v>0</v>
      </c>
      <c r="AC931" s="170">
        <f t="shared" si="315"/>
        <v>0</v>
      </c>
      <c r="AD931" s="58"/>
      <c r="AE931" s="58"/>
      <c r="AF931" s="58"/>
      <c r="AG931" s="59">
        <f t="shared" si="299"/>
        <v>9.0359999999999996</v>
      </c>
      <c r="AH931" s="59">
        <f t="shared" si="300"/>
        <v>-184.49199999999999</v>
      </c>
      <c r="AJ931" s="4">
        <f>IF(D931="M",IF(AM931&lt;78,BMILMS!$D$5*AM931^3+BMILMS!$E$5*AM931^2+BMILMS!$F$5*AM931+BMILMS!$G$5,IF(AM931&lt;150,BMILMS!$D$6*AM931^3+BMILMS!$E$6*AM931^2+BMILMS!$F$6*AM931+BMILMS!$G$6,BMILMS!$D$7*AM931^3+BMILMS!$E$7*AM931^2+BMILMS!$F$7*AM931+BMILMS!$G$7)),IF(AM931&lt;69,BMILMS!$D$9*AM931^3+BMILMS!$E$9*AM931^2+BMILMS!$F$9*AM931+BMILMS!$G$9,IF(AM931&lt;150,BMILMS!$D$10*AM931^3+BMILMS!$E$10*AM931^2+BMILMS!$F$10*AM931+BMILMS!$G$10,BMILMS!$D$11*AM931^3+BMILMS!$E$11*AM931^2+BMILMS!$F$11*AM931+BMILMS!$G$11)))</f>
        <v>0.79584630099999998</v>
      </c>
      <c r="AK931" s="4">
        <f>IF(D931="M",(IF(AM931&lt;2.5,BMILMS!$D$21*AM931^3+BMILMS!$E$21*AM931^2+BMILMS!$F$21*AM931+BMILMS!$G$21,IF(AM931&lt;9.5,BMILMS!$D$22*AM931^3+BMILMS!$E$22*AM931^2+BMILMS!$F$22*AM931+BMILMS!$G$22,IF(AM931&lt;26.75,BMILMS!$D$23*AM931^3+BMILMS!$E$23*AM931^2+BMILMS!$F$23*AM931+BMILMS!$G$23,IF(AM931&lt;90,BMILMS!$D$24*AM931^3+BMILMS!$E$24*AM931^2+BMILMS!$F$24*AM931+BMILMS!$G$24,BMILMS!$D$25*AM931^3+BMILMS!$E$25*AM931^2+BMILMS!$F$25*AM931+BMILMS!$G$25))))),(IF(AM931&lt;2.5,BMILMS!$D$27*AM931^3+BMILMS!$E$27*AM931^2+BMILMS!$F$27*AM931+BMILMS!$G$27,IF(AM931&lt;9.5,BMILMS!$D$28*AM931^3+BMILMS!$E$28*AM931^2+BMILMS!$F$28*AM931+BMILMS!$G$28,IF(AM931&lt;26.75,BMILMS!$D$29*AM931^3+BMILMS!$E$29*AM931^2+BMILMS!$F$29*AM931+BMILMS!$G$29,IF(AM931&lt;90,BMILMS!$D$30*AM931^3+BMILMS!$E$30*AM931^2+BMILMS!$F$30*AM931+BMILMS!$G$30,IF(AM931&lt;150,BMILMS!$D$31*AM931^3+BMILMS!$E$31*AM931^2+BMILMS!$F$31*AM931+BMILMS!$G$31,BMILMS!$D$32*AM931^3+BMILMS!$E$32*AM931^2+BMILMS!$F$32*AM931+BMILMS!$G$32)))))))</f>
        <v>12.568967990000001</v>
      </c>
      <c r="AL931" s="4">
        <f>IF(D931="M",(IF(AM931&lt;90,BMILMS!$D$14*AM931^3+BMILMS!$E$14*AM931^2+BMILMS!$F$14*AM931+BMILMS!$G$14,BMILMS!$D$15*AM931^3+BMILMS!$E$15*AM931^2+BMILMS!$F$15*AM931+BMILMS!$G$15)),(IF(AM931&lt;90,BMILMS!$D$17*AM931^3+BMILMS!$E$17*AM931^2+BMILMS!$F$17*AM931+BMILMS!$G$17,BMILMS!$D$18*AM931^3+BMILMS!$E$18*AM931^2+BMILMS!$F$18*AM931+BMILMS!$G$18)))</f>
        <v>8.8969350000000003E-2</v>
      </c>
      <c r="AM931" s="4">
        <f t="shared" si="314"/>
        <v>0</v>
      </c>
      <c r="AO931" s="56">
        <f>IF(D931="M",WeightSDS!P$5*$AM931^7+WeightSDS!Q$5*$AM931^6+WeightSDS!R$5*$AM931^5+WeightSDS!S$5*$AM931^4+WeightSDS!T$5*$AM931^3+WeightSDS!U$5*$AM931^2+WeightSDS!V$5*$AM931+WeightSDS!W$5,IF($AM931&lt;186,WeightSDS!P$8*$AM931^7+WeightSDS!Q$8*$AM931^6+WeightSDS!R$8*$AM931^5+WeightSDS!S$8*$AM931^4+WeightSDS!T$8*$AM931^3+WeightSDS!U$8*$AM931^2+WeightSDS!V$8*$AM931+WeightSDS!W$8,WeightSDS!$U$9+WeightSDS!$V$9*($AM931-WeightSDS!$W$9)))</f>
        <v>0.75407122999999998</v>
      </c>
      <c r="AP931" s="4">
        <f>IF(D931="M",IF($AM931&lt;45,WeightSDS!M$23*$AM931^10+WeightSDS!N$23*$AM931^9+WeightSDS!O$23*$AM931^8+WeightSDS!P$23*$AM931^7+WeightSDS!Q$23*$AM931^6+WeightSDS!R$23*$AM931^5+WeightSDS!S$23*$AM931^4+WeightSDS!T$23*$AM931^3+WeightSDS!U$23*$AM931^2+WeightSDS!V$23*$AM931+WeightSDS!W$23,IF($AM931&lt;153,WeightSDS!M$25*$AM931^10+WeightSDS!N$25*$AM931^9+WeightSDS!O$25*$AM931^8+WeightSDS!P$25*$AM931^7+WeightSDS!Q$25*$AM931^6+WeightSDS!R$25*$AM931^5+WeightSDS!S$25*$AM931^4+WeightSDS!T$25*$AM931^3+WeightSDS!U$25*$AM931^2+WeightSDS!V$25*$AM931+WeightSDS!W$25,WeightSDS!M$27+WeightSDS!N$27/(1+EXP(WeightSDS!O$27+WeightSDS!P$27*$AM931)))),IF($AM931&lt;43.8,WeightSDS!M$29*$AM931^10+WeightSDS!N$29*$AM931^9+WeightSDS!O$29*$AM931^8+WeightSDS!P$29*$AM931^7+WeightSDS!Q$29*$AM931^6+WeightSDS!R$29*$AM931^5+WeightSDS!S$29*$AM931^4+WeightSDS!T$29*$AM931^3+WeightSDS!U$29*$AM931^2+WeightSDS!V$29*$AM931+WeightSDS!W$29-0.010431*(1-$AM931/210),IF($AM931&lt;123,WeightSDS!M$30*$AM931^10+WeightSDS!N$30*$AM931^9+WeightSDS!O$30*$AM931^8+WeightSDS!P$30*$AM931^7+WeightSDS!Q$30*$AM931^6+WeightSDS!R$30*$AM931^5+WeightSDS!S$30*$AM931^4+WeightSDS!T$30*$AM931^3+WeightSDS!U$30*$AM931^2+WeightSDS!V$30*$AM931+WeightSDS!W$30-0.010431*(1-1/$AM931),WeightSDS!M$32+WeightSDS!N$32/(1+EXP(WeightSDS!O$32+WeightSDS!P$32*$AM931))-0.010431*(1-$AM931/210))))</f>
        <v>2.9500001032655536</v>
      </c>
      <c r="AQ931" s="4">
        <f>IF(D931="M",IF($AM931&lt;162,WeightSDS!P$12*$AM931^7+WeightSDS!Q$12*$AM931^6+WeightSDS!R$12*$AM931^5+WeightSDS!S$12*$AM931^4+WeightSDS!T$12*$AM931^3+WeightSDS!U$12*$AM931^2+WeightSDS!V$12*$AM931+WeightSDS!W$12,WeightSDS!P$14*$AM931^7+WeightSDS!Q$14*$AM931^6+WeightSDS!R$14*$AM931^5+WeightSDS!S$14*$AM931^4+WeightSDS!T$14*$AM931^3+WeightSDS!U$14*$AM931^2+WeightSDS!V$14*$AM931+WeightSDS!W$14),IF($AM931&lt;156,WeightSDS!O$17*$AM931^8+WeightSDS!P$17*$AM931^7+WeightSDS!Q$17*$AM931^6+WeightSDS!R$17*$AM931^5+WeightSDS!S$17*$AM931^4+WeightSDS!T$17*$AM931^3+WeightSDS!U$17*$AM931^2+WeightSDS!V$17*$AM931+WeightSDS!W$17,IF($AM931&lt;186,WeightSDS!$U$18+(WeightSDS!$V$18-WeightSDS!$U$18)/24*($AM931-186)+WeightSDS!$W$18*(-$AM931+186)^2-0.005,WeightSDS!$U$18+(WeightSDS!$V$18-WeightSDS!$U$18)/24*($AM931-186)-0.005)))</f>
        <v>0.14604529399999999</v>
      </c>
      <c r="AT931" s="4">
        <f t="shared" si="301"/>
        <v>0.56299999999999994</v>
      </c>
      <c r="AU931" s="4">
        <f t="shared" si="302"/>
        <v>69</v>
      </c>
      <c r="AV931" s="4">
        <f t="shared" si="303"/>
        <v>0.51</v>
      </c>
    </row>
    <row r="932" spans="1:48" x14ac:dyDescent="0.15">
      <c r="A932" s="4"/>
      <c r="B932" s="21"/>
      <c r="C932" s="21"/>
      <c r="D932" s="21"/>
      <c r="E932" s="22"/>
      <c r="F932" s="22"/>
      <c r="G932" s="23"/>
      <c r="H932" s="23"/>
      <c r="I932" s="181"/>
      <c r="J932" s="8" t="str">
        <f t="shared" si="295"/>
        <v/>
      </c>
      <c r="K932" s="2" t="str">
        <f t="shared" si="304"/>
        <v/>
      </c>
      <c r="L932" s="2" t="str">
        <f t="shared" si="296"/>
        <v/>
      </c>
      <c r="M932" s="2" t="str">
        <f t="shared" si="305"/>
        <v/>
      </c>
      <c r="N932" s="2" t="str">
        <f t="shared" si="313"/>
        <v/>
      </c>
      <c r="O932" s="2" t="str">
        <f t="shared" si="306"/>
        <v/>
      </c>
      <c r="P932" s="8" t="str">
        <f t="shared" si="307"/>
        <v/>
      </c>
      <c r="Q932" s="8" t="str">
        <f t="shared" si="308"/>
        <v/>
      </c>
      <c r="R932" s="111" t="str">
        <f t="shared" si="309"/>
        <v/>
      </c>
      <c r="S932" s="44" t="str">
        <f t="shared" si="310"/>
        <v/>
      </c>
      <c r="T932" s="37" t="str">
        <f t="shared" si="311"/>
        <v/>
      </c>
      <c r="U932" s="44" t="str">
        <f t="shared" si="312"/>
        <v/>
      </c>
      <c r="V932" s="26"/>
      <c r="W932" s="26"/>
      <c r="X932" s="26"/>
      <c r="Y932" s="26"/>
      <c r="Z932" s="24"/>
      <c r="AA932" s="169">
        <f t="shared" si="297"/>
        <v>0</v>
      </c>
      <c r="AB932" s="4">
        <f t="shared" si="298"/>
        <v>0</v>
      </c>
      <c r="AC932" s="170">
        <f t="shared" si="315"/>
        <v>0</v>
      </c>
      <c r="AD932" s="58"/>
      <c r="AE932" s="58"/>
      <c r="AF932" s="58"/>
      <c r="AG932" s="59">
        <f t="shared" si="299"/>
        <v>9.0359999999999996</v>
      </c>
      <c r="AH932" s="59">
        <f t="shared" si="300"/>
        <v>-184.49199999999999</v>
      </c>
      <c r="AJ932" s="4">
        <f>IF(D932="M",IF(AM932&lt;78,BMILMS!$D$5*AM932^3+BMILMS!$E$5*AM932^2+BMILMS!$F$5*AM932+BMILMS!$G$5,IF(AM932&lt;150,BMILMS!$D$6*AM932^3+BMILMS!$E$6*AM932^2+BMILMS!$F$6*AM932+BMILMS!$G$6,BMILMS!$D$7*AM932^3+BMILMS!$E$7*AM932^2+BMILMS!$F$7*AM932+BMILMS!$G$7)),IF(AM932&lt;69,BMILMS!$D$9*AM932^3+BMILMS!$E$9*AM932^2+BMILMS!$F$9*AM932+BMILMS!$G$9,IF(AM932&lt;150,BMILMS!$D$10*AM932^3+BMILMS!$E$10*AM932^2+BMILMS!$F$10*AM932+BMILMS!$G$10,BMILMS!$D$11*AM932^3+BMILMS!$E$11*AM932^2+BMILMS!$F$11*AM932+BMILMS!$G$11)))</f>
        <v>0.79584630099999998</v>
      </c>
      <c r="AK932" s="4">
        <f>IF(D932="M",(IF(AM932&lt;2.5,BMILMS!$D$21*AM932^3+BMILMS!$E$21*AM932^2+BMILMS!$F$21*AM932+BMILMS!$G$21,IF(AM932&lt;9.5,BMILMS!$D$22*AM932^3+BMILMS!$E$22*AM932^2+BMILMS!$F$22*AM932+BMILMS!$G$22,IF(AM932&lt;26.75,BMILMS!$D$23*AM932^3+BMILMS!$E$23*AM932^2+BMILMS!$F$23*AM932+BMILMS!$G$23,IF(AM932&lt;90,BMILMS!$D$24*AM932^3+BMILMS!$E$24*AM932^2+BMILMS!$F$24*AM932+BMILMS!$G$24,BMILMS!$D$25*AM932^3+BMILMS!$E$25*AM932^2+BMILMS!$F$25*AM932+BMILMS!$G$25))))),(IF(AM932&lt;2.5,BMILMS!$D$27*AM932^3+BMILMS!$E$27*AM932^2+BMILMS!$F$27*AM932+BMILMS!$G$27,IF(AM932&lt;9.5,BMILMS!$D$28*AM932^3+BMILMS!$E$28*AM932^2+BMILMS!$F$28*AM932+BMILMS!$G$28,IF(AM932&lt;26.75,BMILMS!$D$29*AM932^3+BMILMS!$E$29*AM932^2+BMILMS!$F$29*AM932+BMILMS!$G$29,IF(AM932&lt;90,BMILMS!$D$30*AM932^3+BMILMS!$E$30*AM932^2+BMILMS!$F$30*AM932+BMILMS!$G$30,IF(AM932&lt;150,BMILMS!$D$31*AM932^3+BMILMS!$E$31*AM932^2+BMILMS!$F$31*AM932+BMILMS!$G$31,BMILMS!$D$32*AM932^3+BMILMS!$E$32*AM932^2+BMILMS!$F$32*AM932+BMILMS!$G$32)))))))</f>
        <v>12.568967990000001</v>
      </c>
      <c r="AL932" s="4">
        <f>IF(D932="M",(IF(AM932&lt;90,BMILMS!$D$14*AM932^3+BMILMS!$E$14*AM932^2+BMILMS!$F$14*AM932+BMILMS!$G$14,BMILMS!$D$15*AM932^3+BMILMS!$E$15*AM932^2+BMILMS!$F$15*AM932+BMILMS!$G$15)),(IF(AM932&lt;90,BMILMS!$D$17*AM932^3+BMILMS!$E$17*AM932^2+BMILMS!$F$17*AM932+BMILMS!$G$17,BMILMS!$D$18*AM932^3+BMILMS!$E$18*AM932^2+BMILMS!$F$18*AM932+BMILMS!$G$18)))</f>
        <v>8.8969350000000003E-2</v>
      </c>
      <c r="AM932" s="4">
        <f t="shared" si="314"/>
        <v>0</v>
      </c>
      <c r="AO932" s="56">
        <f>IF(D932="M",WeightSDS!P$5*$AM932^7+WeightSDS!Q$5*$AM932^6+WeightSDS!R$5*$AM932^5+WeightSDS!S$5*$AM932^4+WeightSDS!T$5*$AM932^3+WeightSDS!U$5*$AM932^2+WeightSDS!V$5*$AM932+WeightSDS!W$5,IF($AM932&lt;186,WeightSDS!P$8*$AM932^7+WeightSDS!Q$8*$AM932^6+WeightSDS!R$8*$AM932^5+WeightSDS!S$8*$AM932^4+WeightSDS!T$8*$AM932^3+WeightSDS!U$8*$AM932^2+WeightSDS!V$8*$AM932+WeightSDS!W$8,WeightSDS!$U$9+WeightSDS!$V$9*($AM932-WeightSDS!$W$9)))</f>
        <v>0.75407122999999998</v>
      </c>
      <c r="AP932" s="4">
        <f>IF(D932="M",IF($AM932&lt;45,WeightSDS!M$23*$AM932^10+WeightSDS!N$23*$AM932^9+WeightSDS!O$23*$AM932^8+WeightSDS!P$23*$AM932^7+WeightSDS!Q$23*$AM932^6+WeightSDS!R$23*$AM932^5+WeightSDS!S$23*$AM932^4+WeightSDS!T$23*$AM932^3+WeightSDS!U$23*$AM932^2+WeightSDS!V$23*$AM932+WeightSDS!W$23,IF($AM932&lt;153,WeightSDS!M$25*$AM932^10+WeightSDS!N$25*$AM932^9+WeightSDS!O$25*$AM932^8+WeightSDS!P$25*$AM932^7+WeightSDS!Q$25*$AM932^6+WeightSDS!R$25*$AM932^5+WeightSDS!S$25*$AM932^4+WeightSDS!T$25*$AM932^3+WeightSDS!U$25*$AM932^2+WeightSDS!V$25*$AM932+WeightSDS!W$25,WeightSDS!M$27+WeightSDS!N$27/(1+EXP(WeightSDS!O$27+WeightSDS!P$27*$AM932)))),IF($AM932&lt;43.8,WeightSDS!M$29*$AM932^10+WeightSDS!N$29*$AM932^9+WeightSDS!O$29*$AM932^8+WeightSDS!P$29*$AM932^7+WeightSDS!Q$29*$AM932^6+WeightSDS!R$29*$AM932^5+WeightSDS!S$29*$AM932^4+WeightSDS!T$29*$AM932^3+WeightSDS!U$29*$AM932^2+WeightSDS!V$29*$AM932+WeightSDS!W$29-0.010431*(1-$AM932/210),IF($AM932&lt;123,WeightSDS!M$30*$AM932^10+WeightSDS!N$30*$AM932^9+WeightSDS!O$30*$AM932^8+WeightSDS!P$30*$AM932^7+WeightSDS!Q$30*$AM932^6+WeightSDS!R$30*$AM932^5+WeightSDS!S$30*$AM932^4+WeightSDS!T$30*$AM932^3+WeightSDS!U$30*$AM932^2+WeightSDS!V$30*$AM932+WeightSDS!W$30-0.010431*(1-1/$AM932),WeightSDS!M$32+WeightSDS!N$32/(1+EXP(WeightSDS!O$32+WeightSDS!P$32*$AM932))-0.010431*(1-$AM932/210))))</f>
        <v>2.9500001032655536</v>
      </c>
      <c r="AQ932" s="4">
        <f>IF(D932="M",IF($AM932&lt;162,WeightSDS!P$12*$AM932^7+WeightSDS!Q$12*$AM932^6+WeightSDS!R$12*$AM932^5+WeightSDS!S$12*$AM932^4+WeightSDS!T$12*$AM932^3+WeightSDS!U$12*$AM932^2+WeightSDS!V$12*$AM932+WeightSDS!W$12,WeightSDS!P$14*$AM932^7+WeightSDS!Q$14*$AM932^6+WeightSDS!R$14*$AM932^5+WeightSDS!S$14*$AM932^4+WeightSDS!T$14*$AM932^3+WeightSDS!U$14*$AM932^2+WeightSDS!V$14*$AM932+WeightSDS!W$14),IF($AM932&lt;156,WeightSDS!O$17*$AM932^8+WeightSDS!P$17*$AM932^7+WeightSDS!Q$17*$AM932^6+WeightSDS!R$17*$AM932^5+WeightSDS!S$17*$AM932^4+WeightSDS!T$17*$AM932^3+WeightSDS!U$17*$AM932^2+WeightSDS!V$17*$AM932+WeightSDS!W$17,IF($AM932&lt;186,WeightSDS!$U$18+(WeightSDS!$V$18-WeightSDS!$U$18)/24*($AM932-186)+WeightSDS!$W$18*(-$AM932+186)^2-0.005,WeightSDS!$U$18+(WeightSDS!$V$18-WeightSDS!$U$18)/24*($AM932-186)-0.005)))</f>
        <v>0.14604529399999999</v>
      </c>
      <c r="AT932" s="4">
        <f t="shared" si="301"/>
        <v>0.56299999999999994</v>
      </c>
      <c r="AU932" s="4">
        <f t="shared" si="302"/>
        <v>69</v>
      </c>
      <c r="AV932" s="4">
        <f t="shared" si="303"/>
        <v>0.51</v>
      </c>
    </row>
    <row r="933" spans="1:48" x14ac:dyDescent="0.15">
      <c r="A933" s="4"/>
      <c r="B933" s="21"/>
      <c r="C933" s="21"/>
      <c r="D933" s="21"/>
      <c r="E933" s="22"/>
      <c r="F933" s="22"/>
      <c r="G933" s="23"/>
      <c r="H933" s="23"/>
      <c r="I933" s="181"/>
      <c r="J933" s="8" t="str">
        <f t="shared" si="295"/>
        <v/>
      </c>
      <c r="K933" s="2" t="str">
        <f t="shared" si="304"/>
        <v/>
      </c>
      <c r="L933" s="2" t="str">
        <f t="shared" si="296"/>
        <v/>
      </c>
      <c r="M933" s="2" t="str">
        <f t="shared" si="305"/>
        <v/>
      </c>
      <c r="N933" s="2" t="str">
        <f t="shared" si="313"/>
        <v/>
      </c>
      <c r="O933" s="2" t="str">
        <f t="shared" si="306"/>
        <v/>
      </c>
      <c r="P933" s="8" t="str">
        <f t="shared" si="307"/>
        <v/>
      </c>
      <c r="Q933" s="8" t="str">
        <f t="shared" si="308"/>
        <v/>
      </c>
      <c r="R933" s="111" t="str">
        <f t="shared" si="309"/>
        <v/>
      </c>
      <c r="S933" s="44" t="str">
        <f t="shared" si="310"/>
        <v/>
      </c>
      <c r="T933" s="37" t="str">
        <f t="shared" si="311"/>
        <v/>
      </c>
      <c r="U933" s="44" t="str">
        <f t="shared" si="312"/>
        <v/>
      </c>
      <c r="V933" s="26"/>
      <c r="W933" s="26"/>
      <c r="X933" s="26"/>
      <c r="Y933" s="26"/>
      <c r="Z933" s="24"/>
      <c r="AA933" s="169">
        <f t="shared" si="297"/>
        <v>0</v>
      </c>
      <c r="AB933" s="4">
        <f t="shared" si="298"/>
        <v>0</v>
      </c>
      <c r="AC933" s="170">
        <f t="shared" si="315"/>
        <v>0</v>
      </c>
      <c r="AD933" s="58"/>
      <c r="AE933" s="58"/>
      <c r="AF933" s="58"/>
      <c r="AG933" s="59">
        <f t="shared" si="299"/>
        <v>9.0359999999999996</v>
      </c>
      <c r="AH933" s="59">
        <f t="shared" si="300"/>
        <v>-184.49199999999999</v>
      </c>
      <c r="AJ933" s="4">
        <f>IF(D933="M",IF(AM933&lt;78,BMILMS!$D$5*AM933^3+BMILMS!$E$5*AM933^2+BMILMS!$F$5*AM933+BMILMS!$G$5,IF(AM933&lt;150,BMILMS!$D$6*AM933^3+BMILMS!$E$6*AM933^2+BMILMS!$F$6*AM933+BMILMS!$G$6,BMILMS!$D$7*AM933^3+BMILMS!$E$7*AM933^2+BMILMS!$F$7*AM933+BMILMS!$G$7)),IF(AM933&lt;69,BMILMS!$D$9*AM933^3+BMILMS!$E$9*AM933^2+BMILMS!$F$9*AM933+BMILMS!$G$9,IF(AM933&lt;150,BMILMS!$D$10*AM933^3+BMILMS!$E$10*AM933^2+BMILMS!$F$10*AM933+BMILMS!$G$10,BMILMS!$D$11*AM933^3+BMILMS!$E$11*AM933^2+BMILMS!$F$11*AM933+BMILMS!$G$11)))</f>
        <v>0.79584630099999998</v>
      </c>
      <c r="AK933" s="4">
        <f>IF(D933="M",(IF(AM933&lt;2.5,BMILMS!$D$21*AM933^3+BMILMS!$E$21*AM933^2+BMILMS!$F$21*AM933+BMILMS!$G$21,IF(AM933&lt;9.5,BMILMS!$D$22*AM933^3+BMILMS!$E$22*AM933^2+BMILMS!$F$22*AM933+BMILMS!$G$22,IF(AM933&lt;26.75,BMILMS!$D$23*AM933^3+BMILMS!$E$23*AM933^2+BMILMS!$F$23*AM933+BMILMS!$G$23,IF(AM933&lt;90,BMILMS!$D$24*AM933^3+BMILMS!$E$24*AM933^2+BMILMS!$F$24*AM933+BMILMS!$G$24,BMILMS!$D$25*AM933^3+BMILMS!$E$25*AM933^2+BMILMS!$F$25*AM933+BMILMS!$G$25))))),(IF(AM933&lt;2.5,BMILMS!$D$27*AM933^3+BMILMS!$E$27*AM933^2+BMILMS!$F$27*AM933+BMILMS!$G$27,IF(AM933&lt;9.5,BMILMS!$D$28*AM933^3+BMILMS!$E$28*AM933^2+BMILMS!$F$28*AM933+BMILMS!$G$28,IF(AM933&lt;26.75,BMILMS!$D$29*AM933^3+BMILMS!$E$29*AM933^2+BMILMS!$F$29*AM933+BMILMS!$G$29,IF(AM933&lt;90,BMILMS!$D$30*AM933^3+BMILMS!$E$30*AM933^2+BMILMS!$F$30*AM933+BMILMS!$G$30,IF(AM933&lt;150,BMILMS!$D$31*AM933^3+BMILMS!$E$31*AM933^2+BMILMS!$F$31*AM933+BMILMS!$G$31,BMILMS!$D$32*AM933^3+BMILMS!$E$32*AM933^2+BMILMS!$F$32*AM933+BMILMS!$G$32)))))))</f>
        <v>12.568967990000001</v>
      </c>
      <c r="AL933" s="4">
        <f>IF(D933="M",(IF(AM933&lt;90,BMILMS!$D$14*AM933^3+BMILMS!$E$14*AM933^2+BMILMS!$F$14*AM933+BMILMS!$G$14,BMILMS!$D$15*AM933^3+BMILMS!$E$15*AM933^2+BMILMS!$F$15*AM933+BMILMS!$G$15)),(IF(AM933&lt;90,BMILMS!$D$17*AM933^3+BMILMS!$E$17*AM933^2+BMILMS!$F$17*AM933+BMILMS!$G$17,BMILMS!$D$18*AM933^3+BMILMS!$E$18*AM933^2+BMILMS!$F$18*AM933+BMILMS!$G$18)))</f>
        <v>8.8969350000000003E-2</v>
      </c>
      <c r="AM933" s="4">
        <f t="shared" si="314"/>
        <v>0</v>
      </c>
      <c r="AO933" s="56">
        <f>IF(D933="M",WeightSDS!P$5*$AM933^7+WeightSDS!Q$5*$AM933^6+WeightSDS!R$5*$AM933^5+WeightSDS!S$5*$AM933^4+WeightSDS!T$5*$AM933^3+WeightSDS!U$5*$AM933^2+WeightSDS!V$5*$AM933+WeightSDS!W$5,IF($AM933&lt;186,WeightSDS!P$8*$AM933^7+WeightSDS!Q$8*$AM933^6+WeightSDS!R$8*$AM933^5+WeightSDS!S$8*$AM933^4+WeightSDS!T$8*$AM933^3+WeightSDS!U$8*$AM933^2+WeightSDS!V$8*$AM933+WeightSDS!W$8,WeightSDS!$U$9+WeightSDS!$V$9*($AM933-WeightSDS!$W$9)))</f>
        <v>0.75407122999999998</v>
      </c>
      <c r="AP933" s="4">
        <f>IF(D933="M",IF($AM933&lt;45,WeightSDS!M$23*$AM933^10+WeightSDS!N$23*$AM933^9+WeightSDS!O$23*$AM933^8+WeightSDS!P$23*$AM933^7+WeightSDS!Q$23*$AM933^6+WeightSDS!R$23*$AM933^5+WeightSDS!S$23*$AM933^4+WeightSDS!T$23*$AM933^3+WeightSDS!U$23*$AM933^2+WeightSDS!V$23*$AM933+WeightSDS!W$23,IF($AM933&lt;153,WeightSDS!M$25*$AM933^10+WeightSDS!N$25*$AM933^9+WeightSDS!O$25*$AM933^8+WeightSDS!P$25*$AM933^7+WeightSDS!Q$25*$AM933^6+WeightSDS!R$25*$AM933^5+WeightSDS!S$25*$AM933^4+WeightSDS!T$25*$AM933^3+WeightSDS!U$25*$AM933^2+WeightSDS!V$25*$AM933+WeightSDS!W$25,WeightSDS!M$27+WeightSDS!N$27/(1+EXP(WeightSDS!O$27+WeightSDS!P$27*$AM933)))),IF($AM933&lt;43.8,WeightSDS!M$29*$AM933^10+WeightSDS!N$29*$AM933^9+WeightSDS!O$29*$AM933^8+WeightSDS!P$29*$AM933^7+WeightSDS!Q$29*$AM933^6+WeightSDS!R$29*$AM933^5+WeightSDS!S$29*$AM933^4+WeightSDS!T$29*$AM933^3+WeightSDS!U$29*$AM933^2+WeightSDS!V$29*$AM933+WeightSDS!W$29-0.010431*(1-$AM933/210),IF($AM933&lt;123,WeightSDS!M$30*$AM933^10+WeightSDS!N$30*$AM933^9+WeightSDS!O$30*$AM933^8+WeightSDS!P$30*$AM933^7+WeightSDS!Q$30*$AM933^6+WeightSDS!R$30*$AM933^5+WeightSDS!S$30*$AM933^4+WeightSDS!T$30*$AM933^3+WeightSDS!U$30*$AM933^2+WeightSDS!V$30*$AM933+WeightSDS!W$30-0.010431*(1-1/$AM933),WeightSDS!M$32+WeightSDS!N$32/(1+EXP(WeightSDS!O$32+WeightSDS!P$32*$AM933))-0.010431*(1-$AM933/210))))</f>
        <v>2.9500001032655536</v>
      </c>
      <c r="AQ933" s="4">
        <f>IF(D933="M",IF($AM933&lt;162,WeightSDS!P$12*$AM933^7+WeightSDS!Q$12*$AM933^6+WeightSDS!R$12*$AM933^5+WeightSDS!S$12*$AM933^4+WeightSDS!T$12*$AM933^3+WeightSDS!U$12*$AM933^2+WeightSDS!V$12*$AM933+WeightSDS!W$12,WeightSDS!P$14*$AM933^7+WeightSDS!Q$14*$AM933^6+WeightSDS!R$14*$AM933^5+WeightSDS!S$14*$AM933^4+WeightSDS!T$14*$AM933^3+WeightSDS!U$14*$AM933^2+WeightSDS!V$14*$AM933+WeightSDS!W$14),IF($AM933&lt;156,WeightSDS!O$17*$AM933^8+WeightSDS!P$17*$AM933^7+WeightSDS!Q$17*$AM933^6+WeightSDS!R$17*$AM933^5+WeightSDS!S$17*$AM933^4+WeightSDS!T$17*$AM933^3+WeightSDS!U$17*$AM933^2+WeightSDS!V$17*$AM933+WeightSDS!W$17,IF($AM933&lt;186,WeightSDS!$U$18+(WeightSDS!$V$18-WeightSDS!$U$18)/24*($AM933-186)+WeightSDS!$W$18*(-$AM933+186)^2-0.005,WeightSDS!$U$18+(WeightSDS!$V$18-WeightSDS!$U$18)/24*($AM933-186)-0.005)))</f>
        <v>0.14604529399999999</v>
      </c>
      <c r="AT933" s="4">
        <f t="shared" si="301"/>
        <v>0.56299999999999994</v>
      </c>
      <c r="AU933" s="4">
        <f t="shared" si="302"/>
        <v>69</v>
      </c>
      <c r="AV933" s="4">
        <f t="shared" si="303"/>
        <v>0.51</v>
      </c>
    </row>
    <row r="934" spans="1:48" x14ac:dyDescent="0.15">
      <c r="A934" s="4"/>
      <c r="B934" s="21"/>
      <c r="C934" s="21"/>
      <c r="D934" s="21"/>
      <c r="E934" s="22"/>
      <c r="F934" s="22"/>
      <c r="G934" s="23"/>
      <c r="H934" s="23"/>
      <c r="I934" s="181"/>
      <c r="J934" s="8" t="str">
        <f t="shared" si="295"/>
        <v/>
      </c>
      <c r="K934" s="2" t="str">
        <f t="shared" si="304"/>
        <v/>
      </c>
      <c r="L934" s="2" t="str">
        <f t="shared" si="296"/>
        <v/>
      </c>
      <c r="M934" s="2" t="str">
        <f t="shared" si="305"/>
        <v/>
      </c>
      <c r="N934" s="2" t="str">
        <f t="shared" si="313"/>
        <v/>
      </c>
      <c r="O934" s="2" t="str">
        <f t="shared" si="306"/>
        <v/>
      </c>
      <c r="P934" s="8" t="str">
        <f t="shared" si="307"/>
        <v/>
      </c>
      <c r="Q934" s="8" t="str">
        <f t="shared" si="308"/>
        <v/>
      </c>
      <c r="R934" s="111" t="str">
        <f t="shared" si="309"/>
        <v/>
      </c>
      <c r="S934" s="44" t="str">
        <f t="shared" si="310"/>
        <v/>
      </c>
      <c r="T934" s="37" t="str">
        <f t="shared" si="311"/>
        <v/>
      </c>
      <c r="U934" s="44" t="str">
        <f t="shared" si="312"/>
        <v/>
      </c>
      <c r="V934" s="26"/>
      <c r="W934" s="26"/>
      <c r="X934" s="26"/>
      <c r="Y934" s="26"/>
      <c r="Z934" s="24"/>
      <c r="AA934" s="169">
        <f t="shared" si="297"/>
        <v>0</v>
      </c>
      <c r="AB934" s="4">
        <f t="shared" si="298"/>
        <v>0</v>
      </c>
      <c r="AC934" s="170">
        <f t="shared" si="315"/>
        <v>0</v>
      </c>
      <c r="AD934" s="58"/>
      <c r="AE934" s="58"/>
      <c r="AF934" s="58"/>
      <c r="AG934" s="59">
        <f t="shared" si="299"/>
        <v>9.0359999999999996</v>
      </c>
      <c r="AH934" s="59">
        <f t="shared" si="300"/>
        <v>-184.49199999999999</v>
      </c>
      <c r="AJ934" s="4">
        <f>IF(D934="M",IF(AM934&lt;78,BMILMS!$D$5*AM934^3+BMILMS!$E$5*AM934^2+BMILMS!$F$5*AM934+BMILMS!$G$5,IF(AM934&lt;150,BMILMS!$D$6*AM934^3+BMILMS!$E$6*AM934^2+BMILMS!$F$6*AM934+BMILMS!$G$6,BMILMS!$D$7*AM934^3+BMILMS!$E$7*AM934^2+BMILMS!$F$7*AM934+BMILMS!$G$7)),IF(AM934&lt;69,BMILMS!$D$9*AM934^3+BMILMS!$E$9*AM934^2+BMILMS!$F$9*AM934+BMILMS!$G$9,IF(AM934&lt;150,BMILMS!$D$10*AM934^3+BMILMS!$E$10*AM934^2+BMILMS!$F$10*AM934+BMILMS!$G$10,BMILMS!$D$11*AM934^3+BMILMS!$E$11*AM934^2+BMILMS!$F$11*AM934+BMILMS!$G$11)))</f>
        <v>0.79584630099999998</v>
      </c>
      <c r="AK934" s="4">
        <f>IF(D934="M",(IF(AM934&lt;2.5,BMILMS!$D$21*AM934^3+BMILMS!$E$21*AM934^2+BMILMS!$F$21*AM934+BMILMS!$G$21,IF(AM934&lt;9.5,BMILMS!$D$22*AM934^3+BMILMS!$E$22*AM934^2+BMILMS!$F$22*AM934+BMILMS!$G$22,IF(AM934&lt;26.75,BMILMS!$D$23*AM934^3+BMILMS!$E$23*AM934^2+BMILMS!$F$23*AM934+BMILMS!$G$23,IF(AM934&lt;90,BMILMS!$D$24*AM934^3+BMILMS!$E$24*AM934^2+BMILMS!$F$24*AM934+BMILMS!$G$24,BMILMS!$D$25*AM934^3+BMILMS!$E$25*AM934^2+BMILMS!$F$25*AM934+BMILMS!$G$25))))),(IF(AM934&lt;2.5,BMILMS!$D$27*AM934^3+BMILMS!$E$27*AM934^2+BMILMS!$F$27*AM934+BMILMS!$G$27,IF(AM934&lt;9.5,BMILMS!$D$28*AM934^3+BMILMS!$E$28*AM934^2+BMILMS!$F$28*AM934+BMILMS!$G$28,IF(AM934&lt;26.75,BMILMS!$D$29*AM934^3+BMILMS!$E$29*AM934^2+BMILMS!$F$29*AM934+BMILMS!$G$29,IF(AM934&lt;90,BMILMS!$D$30*AM934^3+BMILMS!$E$30*AM934^2+BMILMS!$F$30*AM934+BMILMS!$G$30,IF(AM934&lt;150,BMILMS!$D$31*AM934^3+BMILMS!$E$31*AM934^2+BMILMS!$F$31*AM934+BMILMS!$G$31,BMILMS!$D$32*AM934^3+BMILMS!$E$32*AM934^2+BMILMS!$F$32*AM934+BMILMS!$G$32)))))))</f>
        <v>12.568967990000001</v>
      </c>
      <c r="AL934" s="4">
        <f>IF(D934="M",(IF(AM934&lt;90,BMILMS!$D$14*AM934^3+BMILMS!$E$14*AM934^2+BMILMS!$F$14*AM934+BMILMS!$G$14,BMILMS!$D$15*AM934^3+BMILMS!$E$15*AM934^2+BMILMS!$F$15*AM934+BMILMS!$G$15)),(IF(AM934&lt;90,BMILMS!$D$17*AM934^3+BMILMS!$E$17*AM934^2+BMILMS!$F$17*AM934+BMILMS!$G$17,BMILMS!$D$18*AM934^3+BMILMS!$E$18*AM934^2+BMILMS!$F$18*AM934+BMILMS!$G$18)))</f>
        <v>8.8969350000000003E-2</v>
      </c>
      <c r="AM934" s="4">
        <f t="shared" si="314"/>
        <v>0</v>
      </c>
      <c r="AO934" s="56">
        <f>IF(D934="M",WeightSDS!P$5*$AM934^7+WeightSDS!Q$5*$AM934^6+WeightSDS!R$5*$AM934^5+WeightSDS!S$5*$AM934^4+WeightSDS!T$5*$AM934^3+WeightSDS!U$5*$AM934^2+WeightSDS!V$5*$AM934+WeightSDS!W$5,IF($AM934&lt;186,WeightSDS!P$8*$AM934^7+WeightSDS!Q$8*$AM934^6+WeightSDS!R$8*$AM934^5+WeightSDS!S$8*$AM934^4+WeightSDS!T$8*$AM934^3+WeightSDS!U$8*$AM934^2+WeightSDS!V$8*$AM934+WeightSDS!W$8,WeightSDS!$U$9+WeightSDS!$V$9*($AM934-WeightSDS!$W$9)))</f>
        <v>0.75407122999999998</v>
      </c>
      <c r="AP934" s="4">
        <f>IF(D934="M",IF($AM934&lt;45,WeightSDS!M$23*$AM934^10+WeightSDS!N$23*$AM934^9+WeightSDS!O$23*$AM934^8+WeightSDS!P$23*$AM934^7+WeightSDS!Q$23*$AM934^6+WeightSDS!R$23*$AM934^5+WeightSDS!S$23*$AM934^4+WeightSDS!T$23*$AM934^3+WeightSDS!U$23*$AM934^2+WeightSDS!V$23*$AM934+WeightSDS!W$23,IF($AM934&lt;153,WeightSDS!M$25*$AM934^10+WeightSDS!N$25*$AM934^9+WeightSDS!O$25*$AM934^8+WeightSDS!P$25*$AM934^7+WeightSDS!Q$25*$AM934^6+WeightSDS!R$25*$AM934^5+WeightSDS!S$25*$AM934^4+WeightSDS!T$25*$AM934^3+WeightSDS!U$25*$AM934^2+WeightSDS!V$25*$AM934+WeightSDS!W$25,WeightSDS!M$27+WeightSDS!N$27/(1+EXP(WeightSDS!O$27+WeightSDS!P$27*$AM934)))),IF($AM934&lt;43.8,WeightSDS!M$29*$AM934^10+WeightSDS!N$29*$AM934^9+WeightSDS!O$29*$AM934^8+WeightSDS!P$29*$AM934^7+WeightSDS!Q$29*$AM934^6+WeightSDS!R$29*$AM934^5+WeightSDS!S$29*$AM934^4+WeightSDS!T$29*$AM934^3+WeightSDS!U$29*$AM934^2+WeightSDS!V$29*$AM934+WeightSDS!W$29-0.010431*(1-$AM934/210),IF($AM934&lt;123,WeightSDS!M$30*$AM934^10+WeightSDS!N$30*$AM934^9+WeightSDS!O$30*$AM934^8+WeightSDS!P$30*$AM934^7+WeightSDS!Q$30*$AM934^6+WeightSDS!R$30*$AM934^5+WeightSDS!S$30*$AM934^4+WeightSDS!T$30*$AM934^3+WeightSDS!U$30*$AM934^2+WeightSDS!V$30*$AM934+WeightSDS!W$30-0.010431*(1-1/$AM934),WeightSDS!M$32+WeightSDS!N$32/(1+EXP(WeightSDS!O$32+WeightSDS!P$32*$AM934))-0.010431*(1-$AM934/210))))</f>
        <v>2.9500001032655536</v>
      </c>
      <c r="AQ934" s="4">
        <f>IF(D934="M",IF($AM934&lt;162,WeightSDS!P$12*$AM934^7+WeightSDS!Q$12*$AM934^6+WeightSDS!R$12*$AM934^5+WeightSDS!S$12*$AM934^4+WeightSDS!T$12*$AM934^3+WeightSDS!U$12*$AM934^2+WeightSDS!V$12*$AM934+WeightSDS!W$12,WeightSDS!P$14*$AM934^7+WeightSDS!Q$14*$AM934^6+WeightSDS!R$14*$AM934^5+WeightSDS!S$14*$AM934^4+WeightSDS!T$14*$AM934^3+WeightSDS!U$14*$AM934^2+WeightSDS!V$14*$AM934+WeightSDS!W$14),IF($AM934&lt;156,WeightSDS!O$17*$AM934^8+WeightSDS!P$17*$AM934^7+WeightSDS!Q$17*$AM934^6+WeightSDS!R$17*$AM934^5+WeightSDS!S$17*$AM934^4+WeightSDS!T$17*$AM934^3+WeightSDS!U$17*$AM934^2+WeightSDS!V$17*$AM934+WeightSDS!W$17,IF($AM934&lt;186,WeightSDS!$U$18+(WeightSDS!$V$18-WeightSDS!$U$18)/24*($AM934-186)+WeightSDS!$W$18*(-$AM934+186)^2-0.005,WeightSDS!$U$18+(WeightSDS!$V$18-WeightSDS!$U$18)/24*($AM934-186)-0.005)))</f>
        <v>0.14604529399999999</v>
      </c>
      <c r="AT934" s="4">
        <f t="shared" si="301"/>
        <v>0.56299999999999994</v>
      </c>
      <c r="AU934" s="4">
        <f t="shared" si="302"/>
        <v>69</v>
      </c>
      <c r="AV934" s="4">
        <f t="shared" si="303"/>
        <v>0.51</v>
      </c>
    </row>
    <row r="935" spans="1:48" x14ac:dyDescent="0.15">
      <c r="A935" s="4"/>
      <c r="B935" s="21"/>
      <c r="C935" s="21"/>
      <c r="D935" s="21"/>
      <c r="E935" s="22"/>
      <c r="F935" s="22"/>
      <c r="G935" s="23"/>
      <c r="H935" s="23"/>
      <c r="I935" s="181"/>
      <c r="J935" s="8" t="str">
        <f t="shared" si="295"/>
        <v/>
      </c>
      <c r="K935" s="2" t="str">
        <f t="shared" si="304"/>
        <v/>
      </c>
      <c r="L935" s="2" t="str">
        <f t="shared" si="296"/>
        <v/>
      </c>
      <c r="M935" s="2" t="str">
        <f t="shared" si="305"/>
        <v/>
      </c>
      <c r="N935" s="2" t="str">
        <f t="shared" si="313"/>
        <v/>
      </c>
      <c r="O935" s="2" t="str">
        <f t="shared" si="306"/>
        <v/>
      </c>
      <c r="P935" s="8" t="str">
        <f t="shared" si="307"/>
        <v/>
      </c>
      <c r="Q935" s="8" t="str">
        <f t="shared" si="308"/>
        <v/>
      </c>
      <c r="R935" s="111" t="str">
        <f t="shared" si="309"/>
        <v/>
      </c>
      <c r="S935" s="44" t="str">
        <f t="shared" si="310"/>
        <v/>
      </c>
      <c r="T935" s="37" t="str">
        <f t="shared" si="311"/>
        <v/>
      </c>
      <c r="U935" s="44" t="str">
        <f t="shared" si="312"/>
        <v/>
      </c>
      <c r="V935" s="26"/>
      <c r="W935" s="26"/>
      <c r="X935" s="26"/>
      <c r="Y935" s="26"/>
      <c r="Z935" s="24"/>
      <c r="AA935" s="169">
        <f t="shared" si="297"/>
        <v>0</v>
      </c>
      <c r="AB935" s="4">
        <f t="shared" si="298"/>
        <v>0</v>
      </c>
      <c r="AC935" s="170">
        <f t="shared" si="315"/>
        <v>0</v>
      </c>
      <c r="AD935" s="58"/>
      <c r="AE935" s="58"/>
      <c r="AF935" s="58"/>
      <c r="AG935" s="59">
        <f t="shared" si="299"/>
        <v>9.0359999999999996</v>
      </c>
      <c r="AH935" s="59">
        <f t="shared" si="300"/>
        <v>-184.49199999999999</v>
      </c>
      <c r="AJ935" s="4">
        <f>IF(D935="M",IF(AM935&lt;78,BMILMS!$D$5*AM935^3+BMILMS!$E$5*AM935^2+BMILMS!$F$5*AM935+BMILMS!$G$5,IF(AM935&lt;150,BMILMS!$D$6*AM935^3+BMILMS!$E$6*AM935^2+BMILMS!$F$6*AM935+BMILMS!$G$6,BMILMS!$D$7*AM935^3+BMILMS!$E$7*AM935^2+BMILMS!$F$7*AM935+BMILMS!$G$7)),IF(AM935&lt;69,BMILMS!$D$9*AM935^3+BMILMS!$E$9*AM935^2+BMILMS!$F$9*AM935+BMILMS!$G$9,IF(AM935&lt;150,BMILMS!$D$10*AM935^3+BMILMS!$E$10*AM935^2+BMILMS!$F$10*AM935+BMILMS!$G$10,BMILMS!$D$11*AM935^3+BMILMS!$E$11*AM935^2+BMILMS!$F$11*AM935+BMILMS!$G$11)))</f>
        <v>0.79584630099999998</v>
      </c>
      <c r="AK935" s="4">
        <f>IF(D935="M",(IF(AM935&lt;2.5,BMILMS!$D$21*AM935^3+BMILMS!$E$21*AM935^2+BMILMS!$F$21*AM935+BMILMS!$G$21,IF(AM935&lt;9.5,BMILMS!$D$22*AM935^3+BMILMS!$E$22*AM935^2+BMILMS!$F$22*AM935+BMILMS!$G$22,IF(AM935&lt;26.75,BMILMS!$D$23*AM935^3+BMILMS!$E$23*AM935^2+BMILMS!$F$23*AM935+BMILMS!$G$23,IF(AM935&lt;90,BMILMS!$D$24*AM935^3+BMILMS!$E$24*AM935^2+BMILMS!$F$24*AM935+BMILMS!$G$24,BMILMS!$D$25*AM935^3+BMILMS!$E$25*AM935^2+BMILMS!$F$25*AM935+BMILMS!$G$25))))),(IF(AM935&lt;2.5,BMILMS!$D$27*AM935^3+BMILMS!$E$27*AM935^2+BMILMS!$F$27*AM935+BMILMS!$G$27,IF(AM935&lt;9.5,BMILMS!$D$28*AM935^3+BMILMS!$E$28*AM935^2+BMILMS!$F$28*AM935+BMILMS!$G$28,IF(AM935&lt;26.75,BMILMS!$D$29*AM935^3+BMILMS!$E$29*AM935^2+BMILMS!$F$29*AM935+BMILMS!$G$29,IF(AM935&lt;90,BMILMS!$D$30*AM935^3+BMILMS!$E$30*AM935^2+BMILMS!$F$30*AM935+BMILMS!$G$30,IF(AM935&lt;150,BMILMS!$D$31*AM935^3+BMILMS!$E$31*AM935^2+BMILMS!$F$31*AM935+BMILMS!$G$31,BMILMS!$D$32*AM935^3+BMILMS!$E$32*AM935^2+BMILMS!$F$32*AM935+BMILMS!$G$32)))))))</f>
        <v>12.568967990000001</v>
      </c>
      <c r="AL935" s="4">
        <f>IF(D935="M",(IF(AM935&lt;90,BMILMS!$D$14*AM935^3+BMILMS!$E$14*AM935^2+BMILMS!$F$14*AM935+BMILMS!$G$14,BMILMS!$D$15*AM935^3+BMILMS!$E$15*AM935^2+BMILMS!$F$15*AM935+BMILMS!$G$15)),(IF(AM935&lt;90,BMILMS!$D$17*AM935^3+BMILMS!$E$17*AM935^2+BMILMS!$F$17*AM935+BMILMS!$G$17,BMILMS!$D$18*AM935^3+BMILMS!$E$18*AM935^2+BMILMS!$F$18*AM935+BMILMS!$G$18)))</f>
        <v>8.8969350000000003E-2</v>
      </c>
      <c r="AM935" s="4">
        <f t="shared" si="314"/>
        <v>0</v>
      </c>
      <c r="AO935" s="56">
        <f>IF(D935="M",WeightSDS!P$5*$AM935^7+WeightSDS!Q$5*$AM935^6+WeightSDS!R$5*$AM935^5+WeightSDS!S$5*$AM935^4+WeightSDS!T$5*$AM935^3+WeightSDS!U$5*$AM935^2+WeightSDS!V$5*$AM935+WeightSDS!W$5,IF($AM935&lt;186,WeightSDS!P$8*$AM935^7+WeightSDS!Q$8*$AM935^6+WeightSDS!R$8*$AM935^5+WeightSDS!S$8*$AM935^4+WeightSDS!T$8*$AM935^3+WeightSDS!U$8*$AM935^2+WeightSDS!V$8*$AM935+WeightSDS!W$8,WeightSDS!$U$9+WeightSDS!$V$9*($AM935-WeightSDS!$W$9)))</f>
        <v>0.75407122999999998</v>
      </c>
      <c r="AP935" s="4">
        <f>IF(D935="M",IF($AM935&lt;45,WeightSDS!M$23*$AM935^10+WeightSDS!N$23*$AM935^9+WeightSDS!O$23*$AM935^8+WeightSDS!P$23*$AM935^7+WeightSDS!Q$23*$AM935^6+WeightSDS!R$23*$AM935^5+WeightSDS!S$23*$AM935^4+WeightSDS!T$23*$AM935^3+WeightSDS!U$23*$AM935^2+WeightSDS!V$23*$AM935+WeightSDS!W$23,IF($AM935&lt;153,WeightSDS!M$25*$AM935^10+WeightSDS!N$25*$AM935^9+WeightSDS!O$25*$AM935^8+WeightSDS!P$25*$AM935^7+WeightSDS!Q$25*$AM935^6+WeightSDS!R$25*$AM935^5+WeightSDS!S$25*$AM935^4+WeightSDS!T$25*$AM935^3+WeightSDS!U$25*$AM935^2+WeightSDS!V$25*$AM935+WeightSDS!W$25,WeightSDS!M$27+WeightSDS!N$27/(1+EXP(WeightSDS!O$27+WeightSDS!P$27*$AM935)))),IF($AM935&lt;43.8,WeightSDS!M$29*$AM935^10+WeightSDS!N$29*$AM935^9+WeightSDS!O$29*$AM935^8+WeightSDS!P$29*$AM935^7+WeightSDS!Q$29*$AM935^6+WeightSDS!R$29*$AM935^5+WeightSDS!S$29*$AM935^4+WeightSDS!T$29*$AM935^3+WeightSDS!U$29*$AM935^2+WeightSDS!V$29*$AM935+WeightSDS!W$29-0.010431*(1-$AM935/210),IF($AM935&lt;123,WeightSDS!M$30*$AM935^10+WeightSDS!N$30*$AM935^9+WeightSDS!O$30*$AM935^8+WeightSDS!P$30*$AM935^7+WeightSDS!Q$30*$AM935^6+WeightSDS!R$30*$AM935^5+WeightSDS!S$30*$AM935^4+WeightSDS!T$30*$AM935^3+WeightSDS!U$30*$AM935^2+WeightSDS!V$30*$AM935+WeightSDS!W$30-0.010431*(1-1/$AM935),WeightSDS!M$32+WeightSDS!N$32/(1+EXP(WeightSDS!O$32+WeightSDS!P$32*$AM935))-0.010431*(1-$AM935/210))))</f>
        <v>2.9500001032655536</v>
      </c>
      <c r="AQ935" s="4">
        <f>IF(D935="M",IF($AM935&lt;162,WeightSDS!P$12*$AM935^7+WeightSDS!Q$12*$AM935^6+WeightSDS!R$12*$AM935^5+WeightSDS!S$12*$AM935^4+WeightSDS!T$12*$AM935^3+WeightSDS!U$12*$AM935^2+WeightSDS!V$12*$AM935+WeightSDS!W$12,WeightSDS!P$14*$AM935^7+WeightSDS!Q$14*$AM935^6+WeightSDS!R$14*$AM935^5+WeightSDS!S$14*$AM935^4+WeightSDS!T$14*$AM935^3+WeightSDS!U$14*$AM935^2+WeightSDS!V$14*$AM935+WeightSDS!W$14),IF($AM935&lt;156,WeightSDS!O$17*$AM935^8+WeightSDS!P$17*$AM935^7+WeightSDS!Q$17*$AM935^6+WeightSDS!R$17*$AM935^5+WeightSDS!S$17*$AM935^4+WeightSDS!T$17*$AM935^3+WeightSDS!U$17*$AM935^2+WeightSDS!V$17*$AM935+WeightSDS!W$17,IF($AM935&lt;186,WeightSDS!$U$18+(WeightSDS!$V$18-WeightSDS!$U$18)/24*($AM935-186)+WeightSDS!$W$18*(-$AM935+186)^2-0.005,WeightSDS!$U$18+(WeightSDS!$V$18-WeightSDS!$U$18)/24*($AM935-186)-0.005)))</f>
        <v>0.14604529399999999</v>
      </c>
      <c r="AT935" s="4">
        <f t="shared" si="301"/>
        <v>0.56299999999999994</v>
      </c>
      <c r="AU935" s="4">
        <f t="shared" si="302"/>
        <v>69</v>
      </c>
      <c r="AV935" s="4">
        <f t="shared" si="303"/>
        <v>0.51</v>
      </c>
    </row>
    <row r="936" spans="1:48" x14ac:dyDescent="0.15">
      <c r="A936" s="4"/>
      <c r="B936" s="21"/>
      <c r="C936" s="21"/>
      <c r="D936" s="21"/>
      <c r="E936" s="22"/>
      <c r="F936" s="22"/>
      <c r="G936" s="23"/>
      <c r="H936" s="23"/>
      <c r="I936" s="181"/>
      <c r="J936" s="8" t="str">
        <f t="shared" si="295"/>
        <v/>
      </c>
      <c r="K936" s="2" t="str">
        <f t="shared" si="304"/>
        <v/>
      </c>
      <c r="L936" s="2" t="str">
        <f t="shared" si="296"/>
        <v/>
      </c>
      <c r="M936" s="2" t="str">
        <f t="shared" si="305"/>
        <v/>
      </c>
      <c r="N936" s="2" t="str">
        <f t="shared" si="313"/>
        <v/>
      </c>
      <c r="O936" s="2" t="str">
        <f t="shared" si="306"/>
        <v/>
      </c>
      <c r="P936" s="8" t="str">
        <f t="shared" si="307"/>
        <v/>
      </c>
      <c r="Q936" s="8" t="str">
        <f t="shared" si="308"/>
        <v/>
      </c>
      <c r="R936" s="111" t="str">
        <f t="shared" si="309"/>
        <v/>
      </c>
      <c r="S936" s="44" t="str">
        <f t="shared" si="310"/>
        <v/>
      </c>
      <c r="T936" s="37" t="str">
        <f t="shared" si="311"/>
        <v/>
      </c>
      <c r="U936" s="44" t="str">
        <f t="shared" si="312"/>
        <v/>
      </c>
      <c r="V936" s="26"/>
      <c r="W936" s="26"/>
      <c r="X936" s="26"/>
      <c r="Y936" s="26"/>
      <c r="Z936" s="24"/>
      <c r="AA936" s="169">
        <f t="shared" si="297"/>
        <v>0</v>
      </c>
      <c r="AB936" s="4">
        <f t="shared" si="298"/>
        <v>0</v>
      </c>
      <c r="AC936" s="170">
        <f t="shared" si="315"/>
        <v>0</v>
      </c>
      <c r="AD936" s="58"/>
      <c r="AE936" s="58"/>
      <c r="AF936" s="58"/>
      <c r="AG936" s="59">
        <f t="shared" si="299"/>
        <v>9.0359999999999996</v>
      </c>
      <c r="AH936" s="59">
        <f t="shared" si="300"/>
        <v>-184.49199999999999</v>
      </c>
      <c r="AJ936" s="4">
        <f>IF(D936="M",IF(AM936&lt;78,BMILMS!$D$5*AM936^3+BMILMS!$E$5*AM936^2+BMILMS!$F$5*AM936+BMILMS!$G$5,IF(AM936&lt;150,BMILMS!$D$6*AM936^3+BMILMS!$E$6*AM936^2+BMILMS!$F$6*AM936+BMILMS!$G$6,BMILMS!$D$7*AM936^3+BMILMS!$E$7*AM936^2+BMILMS!$F$7*AM936+BMILMS!$G$7)),IF(AM936&lt;69,BMILMS!$D$9*AM936^3+BMILMS!$E$9*AM936^2+BMILMS!$F$9*AM936+BMILMS!$G$9,IF(AM936&lt;150,BMILMS!$D$10*AM936^3+BMILMS!$E$10*AM936^2+BMILMS!$F$10*AM936+BMILMS!$G$10,BMILMS!$D$11*AM936^3+BMILMS!$E$11*AM936^2+BMILMS!$F$11*AM936+BMILMS!$G$11)))</f>
        <v>0.79584630099999998</v>
      </c>
      <c r="AK936" s="4">
        <f>IF(D936="M",(IF(AM936&lt;2.5,BMILMS!$D$21*AM936^3+BMILMS!$E$21*AM936^2+BMILMS!$F$21*AM936+BMILMS!$G$21,IF(AM936&lt;9.5,BMILMS!$D$22*AM936^3+BMILMS!$E$22*AM936^2+BMILMS!$F$22*AM936+BMILMS!$G$22,IF(AM936&lt;26.75,BMILMS!$D$23*AM936^3+BMILMS!$E$23*AM936^2+BMILMS!$F$23*AM936+BMILMS!$G$23,IF(AM936&lt;90,BMILMS!$D$24*AM936^3+BMILMS!$E$24*AM936^2+BMILMS!$F$24*AM936+BMILMS!$G$24,BMILMS!$D$25*AM936^3+BMILMS!$E$25*AM936^2+BMILMS!$F$25*AM936+BMILMS!$G$25))))),(IF(AM936&lt;2.5,BMILMS!$D$27*AM936^3+BMILMS!$E$27*AM936^2+BMILMS!$F$27*AM936+BMILMS!$G$27,IF(AM936&lt;9.5,BMILMS!$D$28*AM936^3+BMILMS!$E$28*AM936^2+BMILMS!$F$28*AM936+BMILMS!$G$28,IF(AM936&lt;26.75,BMILMS!$D$29*AM936^3+BMILMS!$E$29*AM936^2+BMILMS!$F$29*AM936+BMILMS!$G$29,IF(AM936&lt;90,BMILMS!$D$30*AM936^3+BMILMS!$E$30*AM936^2+BMILMS!$F$30*AM936+BMILMS!$G$30,IF(AM936&lt;150,BMILMS!$D$31*AM936^3+BMILMS!$E$31*AM936^2+BMILMS!$F$31*AM936+BMILMS!$G$31,BMILMS!$D$32*AM936^3+BMILMS!$E$32*AM936^2+BMILMS!$F$32*AM936+BMILMS!$G$32)))))))</f>
        <v>12.568967990000001</v>
      </c>
      <c r="AL936" s="4">
        <f>IF(D936="M",(IF(AM936&lt;90,BMILMS!$D$14*AM936^3+BMILMS!$E$14*AM936^2+BMILMS!$F$14*AM936+BMILMS!$G$14,BMILMS!$D$15*AM936^3+BMILMS!$E$15*AM936^2+BMILMS!$F$15*AM936+BMILMS!$G$15)),(IF(AM936&lt;90,BMILMS!$D$17*AM936^3+BMILMS!$E$17*AM936^2+BMILMS!$F$17*AM936+BMILMS!$G$17,BMILMS!$D$18*AM936^3+BMILMS!$E$18*AM936^2+BMILMS!$F$18*AM936+BMILMS!$G$18)))</f>
        <v>8.8969350000000003E-2</v>
      </c>
      <c r="AM936" s="4">
        <f t="shared" si="314"/>
        <v>0</v>
      </c>
      <c r="AO936" s="56">
        <f>IF(D936="M",WeightSDS!P$5*$AM936^7+WeightSDS!Q$5*$AM936^6+WeightSDS!R$5*$AM936^5+WeightSDS!S$5*$AM936^4+WeightSDS!T$5*$AM936^3+WeightSDS!U$5*$AM936^2+WeightSDS!V$5*$AM936+WeightSDS!W$5,IF($AM936&lt;186,WeightSDS!P$8*$AM936^7+WeightSDS!Q$8*$AM936^6+WeightSDS!R$8*$AM936^5+WeightSDS!S$8*$AM936^4+WeightSDS!T$8*$AM936^3+WeightSDS!U$8*$AM936^2+WeightSDS!V$8*$AM936+WeightSDS!W$8,WeightSDS!$U$9+WeightSDS!$V$9*($AM936-WeightSDS!$W$9)))</f>
        <v>0.75407122999999998</v>
      </c>
      <c r="AP936" s="4">
        <f>IF(D936="M",IF($AM936&lt;45,WeightSDS!M$23*$AM936^10+WeightSDS!N$23*$AM936^9+WeightSDS!O$23*$AM936^8+WeightSDS!P$23*$AM936^7+WeightSDS!Q$23*$AM936^6+WeightSDS!R$23*$AM936^5+WeightSDS!S$23*$AM936^4+WeightSDS!T$23*$AM936^3+WeightSDS!U$23*$AM936^2+WeightSDS!V$23*$AM936+WeightSDS!W$23,IF($AM936&lt;153,WeightSDS!M$25*$AM936^10+WeightSDS!N$25*$AM936^9+WeightSDS!O$25*$AM936^8+WeightSDS!P$25*$AM936^7+WeightSDS!Q$25*$AM936^6+WeightSDS!R$25*$AM936^5+WeightSDS!S$25*$AM936^4+WeightSDS!T$25*$AM936^3+WeightSDS!U$25*$AM936^2+WeightSDS!V$25*$AM936+WeightSDS!W$25,WeightSDS!M$27+WeightSDS!N$27/(1+EXP(WeightSDS!O$27+WeightSDS!P$27*$AM936)))),IF($AM936&lt;43.8,WeightSDS!M$29*$AM936^10+WeightSDS!N$29*$AM936^9+WeightSDS!O$29*$AM936^8+WeightSDS!P$29*$AM936^7+WeightSDS!Q$29*$AM936^6+WeightSDS!R$29*$AM936^5+WeightSDS!S$29*$AM936^4+WeightSDS!T$29*$AM936^3+WeightSDS!U$29*$AM936^2+WeightSDS!V$29*$AM936+WeightSDS!W$29-0.010431*(1-$AM936/210),IF($AM936&lt;123,WeightSDS!M$30*$AM936^10+WeightSDS!N$30*$AM936^9+WeightSDS!O$30*$AM936^8+WeightSDS!P$30*$AM936^7+WeightSDS!Q$30*$AM936^6+WeightSDS!R$30*$AM936^5+WeightSDS!S$30*$AM936^4+WeightSDS!T$30*$AM936^3+WeightSDS!U$30*$AM936^2+WeightSDS!V$30*$AM936+WeightSDS!W$30-0.010431*(1-1/$AM936),WeightSDS!M$32+WeightSDS!N$32/(1+EXP(WeightSDS!O$32+WeightSDS!P$32*$AM936))-0.010431*(1-$AM936/210))))</f>
        <v>2.9500001032655536</v>
      </c>
      <c r="AQ936" s="4">
        <f>IF(D936="M",IF($AM936&lt;162,WeightSDS!P$12*$AM936^7+WeightSDS!Q$12*$AM936^6+WeightSDS!R$12*$AM936^5+WeightSDS!S$12*$AM936^4+WeightSDS!T$12*$AM936^3+WeightSDS!U$12*$AM936^2+WeightSDS!V$12*$AM936+WeightSDS!W$12,WeightSDS!P$14*$AM936^7+WeightSDS!Q$14*$AM936^6+WeightSDS!R$14*$AM936^5+WeightSDS!S$14*$AM936^4+WeightSDS!T$14*$AM936^3+WeightSDS!U$14*$AM936^2+WeightSDS!V$14*$AM936+WeightSDS!W$14),IF($AM936&lt;156,WeightSDS!O$17*$AM936^8+WeightSDS!P$17*$AM936^7+WeightSDS!Q$17*$AM936^6+WeightSDS!R$17*$AM936^5+WeightSDS!S$17*$AM936^4+WeightSDS!T$17*$AM936^3+WeightSDS!U$17*$AM936^2+WeightSDS!V$17*$AM936+WeightSDS!W$17,IF($AM936&lt;186,WeightSDS!$U$18+(WeightSDS!$V$18-WeightSDS!$U$18)/24*($AM936-186)+WeightSDS!$W$18*(-$AM936+186)^2-0.005,WeightSDS!$U$18+(WeightSDS!$V$18-WeightSDS!$U$18)/24*($AM936-186)-0.005)))</f>
        <v>0.14604529399999999</v>
      </c>
      <c r="AT936" s="4">
        <f t="shared" si="301"/>
        <v>0.56299999999999994</v>
      </c>
      <c r="AU936" s="4">
        <f t="shared" si="302"/>
        <v>69</v>
      </c>
      <c r="AV936" s="4">
        <f t="shared" si="303"/>
        <v>0.51</v>
      </c>
    </row>
    <row r="937" spans="1:48" x14ac:dyDescent="0.15">
      <c r="A937" s="4"/>
      <c r="B937" s="21"/>
      <c r="C937" s="21"/>
      <c r="D937" s="21"/>
      <c r="E937" s="22"/>
      <c r="F937" s="22"/>
      <c r="G937" s="23"/>
      <c r="H937" s="23"/>
      <c r="I937" s="181"/>
      <c r="J937" s="8" t="str">
        <f t="shared" si="295"/>
        <v/>
      </c>
      <c r="K937" s="2" t="str">
        <f t="shared" si="304"/>
        <v/>
      </c>
      <c r="L937" s="2" t="str">
        <f t="shared" si="296"/>
        <v/>
      </c>
      <c r="M937" s="2" t="str">
        <f t="shared" si="305"/>
        <v/>
      </c>
      <c r="N937" s="2" t="str">
        <f t="shared" si="313"/>
        <v/>
      </c>
      <c r="O937" s="2" t="str">
        <f t="shared" si="306"/>
        <v/>
      </c>
      <c r="P937" s="8" t="str">
        <f t="shared" si="307"/>
        <v/>
      </c>
      <c r="Q937" s="8" t="str">
        <f t="shared" si="308"/>
        <v/>
      </c>
      <c r="R937" s="111" t="str">
        <f t="shared" si="309"/>
        <v/>
      </c>
      <c r="S937" s="44" t="str">
        <f t="shared" si="310"/>
        <v/>
      </c>
      <c r="T937" s="37" t="str">
        <f t="shared" si="311"/>
        <v/>
      </c>
      <c r="U937" s="44" t="str">
        <f t="shared" si="312"/>
        <v/>
      </c>
      <c r="V937" s="26"/>
      <c r="W937" s="26"/>
      <c r="X937" s="26"/>
      <c r="Y937" s="26"/>
      <c r="Z937" s="24"/>
      <c r="AA937" s="169">
        <f t="shared" si="297"/>
        <v>0</v>
      </c>
      <c r="AB937" s="4">
        <f t="shared" si="298"/>
        <v>0</v>
      </c>
      <c r="AC937" s="170">
        <f t="shared" si="315"/>
        <v>0</v>
      </c>
      <c r="AD937" s="58"/>
      <c r="AE937" s="58"/>
      <c r="AF937" s="58"/>
      <c r="AG937" s="59">
        <f t="shared" si="299"/>
        <v>9.0359999999999996</v>
      </c>
      <c r="AH937" s="59">
        <f t="shared" si="300"/>
        <v>-184.49199999999999</v>
      </c>
      <c r="AJ937" s="4">
        <f>IF(D937="M",IF(AM937&lt;78,BMILMS!$D$5*AM937^3+BMILMS!$E$5*AM937^2+BMILMS!$F$5*AM937+BMILMS!$G$5,IF(AM937&lt;150,BMILMS!$D$6*AM937^3+BMILMS!$E$6*AM937^2+BMILMS!$F$6*AM937+BMILMS!$G$6,BMILMS!$D$7*AM937^3+BMILMS!$E$7*AM937^2+BMILMS!$F$7*AM937+BMILMS!$G$7)),IF(AM937&lt;69,BMILMS!$D$9*AM937^3+BMILMS!$E$9*AM937^2+BMILMS!$F$9*AM937+BMILMS!$G$9,IF(AM937&lt;150,BMILMS!$D$10*AM937^3+BMILMS!$E$10*AM937^2+BMILMS!$F$10*AM937+BMILMS!$G$10,BMILMS!$D$11*AM937^3+BMILMS!$E$11*AM937^2+BMILMS!$F$11*AM937+BMILMS!$G$11)))</f>
        <v>0.79584630099999998</v>
      </c>
      <c r="AK937" s="4">
        <f>IF(D937="M",(IF(AM937&lt;2.5,BMILMS!$D$21*AM937^3+BMILMS!$E$21*AM937^2+BMILMS!$F$21*AM937+BMILMS!$G$21,IF(AM937&lt;9.5,BMILMS!$D$22*AM937^3+BMILMS!$E$22*AM937^2+BMILMS!$F$22*AM937+BMILMS!$G$22,IF(AM937&lt;26.75,BMILMS!$D$23*AM937^3+BMILMS!$E$23*AM937^2+BMILMS!$F$23*AM937+BMILMS!$G$23,IF(AM937&lt;90,BMILMS!$D$24*AM937^3+BMILMS!$E$24*AM937^2+BMILMS!$F$24*AM937+BMILMS!$G$24,BMILMS!$D$25*AM937^3+BMILMS!$E$25*AM937^2+BMILMS!$F$25*AM937+BMILMS!$G$25))))),(IF(AM937&lt;2.5,BMILMS!$D$27*AM937^3+BMILMS!$E$27*AM937^2+BMILMS!$F$27*AM937+BMILMS!$G$27,IF(AM937&lt;9.5,BMILMS!$D$28*AM937^3+BMILMS!$E$28*AM937^2+BMILMS!$F$28*AM937+BMILMS!$G$28,IF(AM937&lt;26.75,BMILMS!$D$29*AM937^3+BMILMS!$E$29*AM937^2+BMILMS!$F$29*AM937+BMILMS!$G$29,IF(AM937&lt;90,BMILMS!$D$30*AM937^3+BMILMS!$E$30*AM937^2+BMILMS!$F$30*AM937+BMILMS!$G$30,IF(AM937&lt;150,BMILMS!$D$31*AM937^3+BMILMS!$E$31*AM937^2+BMILMS!$F$31*AM937+BMILMS!$G$31,BMILMS!$D$32*AM937^3+BMILMS!$E$32*AM937^2+BMILMS!$F$32*AM937+BMILMS!$G$32)))))))</f>
        <v>12.568967990000001</v>
      </c>
      <c r="AL937" s="4">
        <f>IF(D937="M",(IF(AM937&lt;90,BMILMS!$D$14*AM937^3+BMILMS!$E$14*AM937^2+BMILMS!$F$14*AM937+BMILMS!$G$14,BMILMS!$D$15*AM937^3+BMILMS!$E$15*AM937^2+BMILMS!$F$15*AM937+BMILMS!$G$15)),(IF(AM937&lt;90,BMILMS!$D$17*AM937^3+BMILMS!$E$17*AM937^2+BMILMS!$F$17*AM937+BMILMS!$G$17,BMILMS!$D$18*AM937^3+BMILMS!$E$18*AM937^2+BMILMS!$F$18*AM937+BMILMS!$G$18)))</f>
        <v>8.8969350000000003E-2</v>
      </c>
      <c r="AM937" s="4">
        <f t="shared" si="314"/>
        <v>0</v>
      </c>
      <c r="AO937" s="56">
        <f>IF(D937="M",WeightSDS!P$5*$AM937^7+WeightSDS!Q$5*$AM937^6+WeightSDS!R$5*$AM937^5+WeightSDS!S$5*$AM937^4+WeightSDS!T$5*$AM937^3+WeightSDS!U$5*$AM937^2+WeightSDS!V$5*$AM937+WeightSDS!W$5,IF($AM937&lt;186,WeightSDS!P$8*$AM937^7+WeightSDS!Q$8*$AM937^6+WeightSDS!R$8*$AM937^5+WeightSDS!S$8*$AM937^4+WeightSDS!T$8*$AM937^3+WeightSDS!U$8*$AM937^2+WeightSDS!V$8*$AM937+WeightSDS!W$8,WeightSDS!$U$9+WeightSDS!$V$9*($AM937-WeightSDS!$W$9)))</f>
        <v>0.75407122999999998</v>
      </c>
      <c r="AP937" s="4">
        <f>IF(D937="M",IF($AM937&lt;45,WeightSDS!M$23*$AM937^10+WeightSDS!N$23*$AM937^9+WeightSDS!O$23*$AM937^8+WeightSDS!P$23*$AM937^7+WeightSDS!Q$23*$AM937^6+WeightSDS!R$23*$AM937^5+WeightSDS!S$23*$AM937^4+WeightSDS!T$23*$AM937^3+WeightSDS!U$23*$AM937^2+WeightSDS!V$23*$AM937+WeightSDS!W$23,IF($AM937&lt;153,WeightSDS!M$25*$AM937^10+WeightSDS!N$25*$AM937^9+WeightSDS!O$25*$AM937^8+WeightSDS!P$25*$AM937^7+WeightSDS!Q$25*$AM937^6+WeightSDS!R$25*$AM937^5+WeightSDS!S$25*$AM937^4+WeightSDS!T$25*$AM937^3+WeightSDS!U$25*$AM937^2+WeightSDS!V$25*$AM937+WeightSDS!W$25,WeightSDS!M$27+WeightSDS!N$27/(1+EXP(WeightSDS!O$27+WeightSDS!P$27*$AM937)))),IF($AM937&lt;43.8,WeightSDS!M$29*$AM937^10+WeightSDS!N$29*$AM937^9+WeightSDS!O$29*$AM937^8+WeightSDS!P$29*$AM937^7+WeightSDS!Q$29*$AM937^6+WeightSDS!R$29*$AM937^5+WeightSDS!S$29*$AM937^4+WeightSDS!T$29*$AM937^3+WeightSDS!U$29*$AM937^2+WeightSDS!V$29*$AM937+WeightSDS!W$29-0.010431*(1-$AM937/210),IF($AM937&lt;123,WeightSDS!M$30*$AM937^10+WeightSDS!N$30*$AM937^9+WeightSDS!O$30*$AM937^8+WeightSDS!P$30*$AM937^7+WeightSDS!Q$30*$AM937^6+WeightSDS!R$30*$AM937^5+WeightSDS!S$30*$AM937^4+WeightSDS!T$30*$AM937^3+WeightSDS!U$30*$AM937^2+WeightSDS!V$30*$AM937+WeightSDS!W$30-0.010431*(1-1/$AM937),WeightSDS!M$32+WeightSDS!N$32/(1+EXP(WeightSDS!O$32+WeightSDS!P$32*$AM937))-0.010431*(1-$AM937/210))))</f>
        <v>2.9500001032655536</v>
      </c>
      <c r="AQ937" s="4">
        <f>IF(D937="M",IF($AM937&lt;162,WeightSDS!P$12*$AM937^7+WeightSDS!Q$12*$AM937^6+WeightSDS!R$12*$AM937^5+WeightSDS!S$12*$AM937^4+WeightSDS!T$12*$AM937^3+WeightSDS!U$12*$AM937^2+WeightSDS!V$12*$AM937+WeightSDS!W$12,WeightSDS!P$14*$AM937^7+WeightSDS!Q$14*$AM937^6+WeightSDS!R$14*$AM937^5+WeightSDS!S$14*$AM937^4+WeightSDS!T$14*$AM937^3+WeightSDS!U$14*$AM937^2+WeightSDS!V$14*$AM937+WeightSDS!W$14),IF($AM937&lt;156,WeightSDS!O$17*$AM937^8+WeightSDS!P$17*$AM937^7+WeightSDS!Q$17*$AM937^6+WeightSDS!R$17*$AM937^5+WeightSDS!S$17*$AM937^4+WeightSDS!T$17*$AM937^3+WeightSDS!U$17*$AM937^2+WeightSDS!V$17*$AM937+WeightSDS!W$17,IF($AM937&lt;186,WeightSDS!$U$18+(WeightSDS!$V$18-WeightSDS!$U$18)/24*($AM937-186)+WeightSDS!$W$18*(-$AM937+186)^2-0.005,WeightSDS!$U$18+(WeightSDS!$V$18-WeightSDS!$U$18)/24*($AM937-186)-0.005)))</f>
        <v>0.14604529399999999</v>
      </c>
      <c r="AT937" s="4">
        <f t="shared" si="301"/>
        <v>0.56299999999999994</v>
      </c>
      <c r="AU937" s="4">
        <f t="shared" si="302"/>
        <v>69</v>
      </c>
      <c r="AV937" s="4">
        <f t="shared" si="303"/>
        <v>0.51</v>
      </c>
    </row>
    <row r="938" spans="1:48" x14ac:dyDescent="0.15">
      <c r="A938" s="4"/>
      <c r="B938" s="21"/>
      <c r="C938" s="21"/>
      <c r="D938" s="21"/>
      <c r="E938" s="22"/>
      <c r="F938" s="22"/>
      <c r="G938" s="23"/>
      <c r="H938" s="23"/>
      <c r="I938" s="181"/>
      <c r="J938" s="8" t="str">
        <f t="shared" si="295"/>
        <v/>
      </c>
      <c r="K938" s="2" t="str">
        <f t="shared" si="304"/>
        <v/>
      </c>
      <c r="L938" s="2" t="str">
        <f t="shared" si="296"/>
        <v/>
      </c>
      <c r="M938" s="2" t="str">
        <f t="shared" si="305"/>
        <v/>
      </c>
      <c r="N938" s="2" t="str">
        <f t="shared" si="313"/>
        <v/>
      </c>
      <c r="O938" s="2" t="str">
        <f t="shared" si="306"/>
        <v/>
      </c>
      <c r="P938" s="8" t="str">
        <f t="shared" si="307"/>
        <v/>
      </c>
      <c r="Q938" s="8" t="str">
        <f t="shared" si="308"/>
        <v/>
      </c>
      <c r="R938" s="111" t="str">
        <f t="shared" si="309"/>
        <v/>
      </c>
      <c r="S938" s="44" t="str">
        <f t="shared" si="310"/>
        <v/>
      </c>
      <c r="T938" s="37" t="str">
        <f t="shared" si="311"/>
        <v/>
      </c>
      <c r="U938" s="44" t="str">
        <f t="shared" si="312"/>
        <v/>
      </c>
      <c r="V938" s="26"/>
      <c r="W938" s="26"/>
      <c r="X938" s="26"/>
      <c r="Y938" s="26"/>
      <c r="Z938" s="24"/>
      <c r="AA938" s="169">
        <f t="shared" si="297"/>
        <v>0</v>
      </c>
      <c r="AB938" s="4">
        <f t="shared" si="298"/>
        <v>0</v>
      </c>
      <c r="AC938" s="170">
        <f t="shared" si="315"/>
        <v>0</v>
      </c>
      <c r="AD938" s="58"/>
      <c r="AE938" s="58"/>
      <c r="AF938" s="58"/>
      <c r="AG938" s="59">
        <f t="shared" si="299"/>
        <v>9.0359999999999996</v>
      </c>
      <c r="AH938" s="59">
        <f t="shared" si="300"/>
        <v>-184.49199999999999</v>
      </c>
      <c r="AJ938" s="4">
        <f>IF(D938="M",IF(AM938&lt;78,BMILMS!$D$5*AM938^3+BMILMS!$E$5*AM938^2+BMILMS!$F$5*AM938+BMILMS!$G$5,IF(AM938&lt;150,BMILMS!$D$6*AM938^3+BMILMS!$E$6*AM938^2+BMILMS!$F$6*AM938+BMILMS!$G$6,BMILMS!$D$7*AM938^3+BMILMS!$E$7*AM938^2+BMILMS!$F$7*AM938+BMILMS!$G$7)),IF(AM938&lt;69,BMILMS!$D$9*AM938^3+BMILMS!$E$9*AM938^2+BMILMS!$F$9*AM938+BMILMS!$G$9,IF(AM938&lt;150,BMILMS!$D$10*AM938^3+BMILMS!$E$10*AM938^2+BMILMS!$F$10*AM938+BMILMS!$G$10,BMILMS!$D$11*AM938^3+BMILMS!$E$11*AM938^2+BMILMS!$F$11*AM938+BMILMS!$G$11)))</f>
        <v>0.79584630099999998</v>
      </c>
      <c r="AK938" s="4">
        <f>IF(D938="M",(IF(AM938&lt;2.5,BMILMS!$D$21*AM938^3+BMILMS!$E$21*AM938^2+BMILMS!$F$21*AM938+BMILMS!$G$21,IF(AM938&lt;9.5,BMILMS!$D$22*AM938^3+BMILMS!$E$22*AM938^2+BMILMS!$F$22*AM938+BMILMS!$G$22,IF(AM938&lt;26.75,BMILMS!$D$23*AM938^3+BMILMS!$E$23*AM938^2+BMILMS!$F$23*AM938+BMILMS!$G$23,IF(AM938&lt;90,BMILMS!$D$24*AM938^3+BMILMS!$E$24*AM938^2+BMILMS!$F$24*AM938+BMILMS!$G$24,BMILMS!$D$25*AM938^3+BMILMS!$E$25*AM938^2+BMILMS!$F$25*AM938+BMILMS!$G$25))))),(IF(AM938&lt;2.5,BMILMS!$D$27*AM938^3+BMILMS!$E$27*AM938^2+BMILMS!$F$27*AM938+BMILMS!$G$27,IF(AM938&lt;9.5,BMILMS!$D$28*AM938^3+BMILMS!$E$28*AM938^2+BMILMS!$F$28*AM938+BMILMS!$G$28,IF(AM938&lt;26.75,BMILMS!$D$29*AM938^3+BMILMS!$E$29*AM938^2+BMILMS!$F$29*AM938+BMILMS!$G$29,IF(AM938&lt;90,BMILMS!$D$30*AM938^3+BMILMS!$E$30*AM938^2+BMILMS!$F$30*AM938+BMILMS!$G$30,IF(AM938&lt;150,BMILMS!$D$31*AM938^3+BMILMS!$E$31*AM938^2+BMILMS!$F$31*AM938+BMILMS!$G$31,BMILMS!$D$32*AM938^3+BMILMS!$E$32*AM938^2+BMILMS!$F$32*AM938+BMILMS!$G$32)))))))</f>
        <v>12.568967990000001</v>
      </c>
      <c r="AL938" s="4">
        <f>IF(D938="M",(IF(AM938&lt;90,BMILMS!$D$14*AM938^3+BMILMS!$E$14*AM938^2+BMILMS!$F$14*AM938+BMILMS!$G$14,BMILMS!$D$15*AM938^3+BMILMS!$E$15*AM938^2+BMILMS!$F$15*AM938+BMILMS!$G$15)),(IF(AM938&lt;90,BMILMS!$D$17*AM938^3+BMILMS!$E$17*AM938^2+BMILMS!$F$17*AM938+BMILMS!$G$17,BMILMS!$D$18*AM938^3+BMILMS!$E$18*AM938^2+BMILMS!$F$18*AM938+BMILMS!$G$18)))</f>
        <v>8.8969350000000003E-2</v>
      </c>
      <c r="AM938" s="4">
        <f t="shared" si="314"/>
        <v>0</v>
      </c>
      <c r="AO938" s="56">
        <f>IF(D938="M",WeightSDS!P$5*$AM938^7+WeightSDS!Q$5*$AM938^6+WeightSDS!R$5*$AM938^5+WeightSDS!S$5*$AM938^4+WeightSDS!T$5*$AM938^3+WeightSDS!U$5*$AM938^2+WeightSDS!V$5*$AM938+WeightSDS!W$5,IF($AM938&lt;186,WeightSDS!P$8*$AM938^7+WeightSDS!Q$8*$AM938^6+WeightSDS!R$8*$AM938^5+WeightSDS!S$8*$AM938^4+WeightSDS!T$8*$AM938^3+WeightSDS!U$8*$AM938^2+WeightSDS!V$8*$AM938+WeightSDS!W$8,WeightSDS!$U$9+WeightSDS!$V$9*($AM938-WeightSDS!$W$9)))</f>
        <v>0.75407122999999998</v>
      </c>
      <c r="AP938" s="4">
        <f>IF(D938="M",IF($AM938&lt;45,WeightSDS!M$23*$AM938^10+WeightSDS!N$23*$AM938^9+WeightSDS!O$23*$AM938^8+WeightSDS!P$23*$AM938^7+WeightSDS!Q$23*$AM938^6+WeightSDS!R$23*$AM938^5+WeightSDS!S$23*$AM938^4+WeightSDS!T$23*$AM938^3+WeightSDS!U$23*$AM938^2+WeightSDS!V$23*$AM938+WeightSDS!W$23,IF($AM938&lt;153,WeightSDS!M$25*$AM938^10+WeightSDS!N$25*$AM938^9+WeightSDS!O$25*$AM938^8+WeightSDS!P$25*$AM938^7+WeightSDS!Q$25*$AM938^6+WeightSDS!R$25*$AM938^5+WeightSDS!S$25*$AM938^4+WeightSDS!T$25*$AM938^3+WeightSDS!U$25*$AM938^2+WeightSDS!V$25*$AM938+WeightSDS!W$25,WeightSDS!M$27+WeightSDS!N$27/(1+EXP(WeightSDS!O$27+WeightSDS!P$27*$AM938)))),IF($AM938&lt;43.8,WeightSDS!M$29*$AM938^10+WeightSDS!N$29*$AM938^9+WeightSDS!O$29*$AM938^8+WeightSDS!P$29*$AM938^7+WeightSDS!Q$29*$AM938^6+WeightSDS!R$29*$AM938^5+WeightSDS!S$29*$AM938^4+WeightSDS!T$29*$AM938^3+WeightSDS!U$29*$AM938^2+WeightSDS!V$29*$AM938+WeightSDS!W$29-0.010431*(1-$AM938/210),IF($AM938&lt;123,WeightSDS!M$30*$AM938^10+WeightSDS!N$30*$AM938^9+WeightSDS!O$30*$AM938^8+WeightSDS!P$30*$AM938^7+WeightSDS!Q$30*$AM938^6+WeightSDS!R$30*$AM938^5+WeightSDS!S$30*$AM938^4+WeightSDS!T$30*$AM938^3+WeightSDS!U$30*$AM938^2+WeightSDS!V$30*$AM938+WeightSDS!W$30-0.010431*(1-1/$AM938),WeightSDS!M$32+WeightSDS!N$32/(1+EXP(WeightSDS!O$32+WeightSDS!P$32*$AM938))-0.010431*(1-$AM938/210))))</f>
        <v>2.9500001032655536</v>
      </c>
      <c r="AQ938" s="4">
        <f>IF(D938="M",IF($AM938&lt;162,WeightSDS!P$12*$AM938^7+WeightSDS!Q$12*$AM938^6+WeightSDS!R$12*$AM938^5+WeightSDS!S$12*$AM938^4+WeightSDS!T$12*$AM938^3+WeightSDS!U$12*$AM938^2+WeightSDS!V$12*$AM938+WeightSDS!W$12,WeightSDS!P$14*$AM938^7+WeightSDS!Q$14*$AM938^6+WeightSDS!R$14*$AM938^5+WeightSDS!S$14*$AM938^4+WeightSDS!T$14*$AM938^3+WeightSDS!U$14*$AM938^2+WeightSDS!V$14*$AM938+WeightSDS!W$14),IF($AM938&lt;156,WeightSDS!O$17*$AM938^8+WeightSDS!P$17*$AM938^7+WeightSDS!Q$17*$AM938^6+WeightSDS!R$17*$AM938^5+WeightSDS!S$17*$AM938^4+WeightSDS!T$17*$AM938^3+WeightSDS!U$17*$AM938^2+WeightSDS!V$17*$AM938+WeightSDS!W$17,IF($AM938&lt;186,WeightSDS!$U$18+(WeightSDS!$V$18-WeightSDS!$U$18)/24*($AM938-186)+WeightSDS!$W$18*(-$AM938+186)^2-0.005,WeightSDS!$U$18+(WeightSDS!$V$18-WeightSDS!$U$18)/24*($AM938-186)-0.005)))</f>
        <v>0.14604529399999999</v>
      </c>
      <c r="AT938" s="4">
        <f t="shared" si="301"/>
        <v>0.56299999999999994</v>
      </c>
      <c r="AU938" s="4">
        <f t="shared" si="302"/>
        <v>69</v>
      </c>
      <c r="AV938" s="4">
        <f t="shared" si="303"/>
        <v>0.51</v>
      </c>
    </row>
    <row r="939" spans="1:48" x14ac:dyDescent="0.15">
      <c r="A939" s="4"/>
      <c r="B939" s="21"/>
      <c r="C939" s="21"/>
      <c r="D939" s="21"/>
      <c r="E939" s="22"/>
      <c r="F939" s="22"/>
      <c r="G939" s="23"/>
      <c r="H939" s="23"/>
      <c r="I939" s="181"/>
      <c r="J939" s="8" t="str">
        <f t="shared" si="295"/>
        <v/>
      </c>
      <c r="K939" s="2" t="str">
        <f t="shared" si="304"/>
        <v/>
      </c>
      <c r="L939" s="2" t="str">
        <f t="shared" si="296"/>
        <v/>
      </c>
      <c r="M939" s="2" t="str">
        <f t="shared" si="305"/>
        <v/>
      </c>
      <c r="N939" s="2" t="str">
        <f t="shared" si="313"/>
        <v/>
      </c>
      <c r="O939" s="2" t="str">
        <f t="shared" si="306"/>
        <v/>
      </c>
      <c r="P939" s="8" t="str">
        <f t="shared" si="307"/>
        <v/>
      </c>
      <c r="Q939" s="8" t="str">
        <f t="shared" si="308"/>
        <v/>
      </c>
      <c r="R939" s="111" t="str">
        <f t="shared" si="309"/>
        <v/>
      </c>
      <c r="S939" s="44" t="str">
        <f t="shared" si="310"/>
        <v/>
      </c>
      <c r="T939" s="37" t="str">
        <f t="shared" si="311"/>
        <v/>
      </c>
      <c r="U939" s="44" t="str">
        <f t="shared" si="312"/>
        <v/>
      </c>
      <c r="V939" s="26"/>
      <c r="W939" s="26"/>
      <c r="X939" s="26"/>
      <c r="Y939" s="26"/>
      <c r="Z939" s="24"/>
      <c r="AA939" s="169">
        <f t="shared" si="297"/>
        <v>0</v>
      </c>
      <c r="AB939" s="4">
        <f t="shared" si="298"/>
        <v>0</v>
      </c>
      <c r="AC939" s="170">
        <f t="shared" si="315"/>
        <v>0</v>
      </c>
      <c r="AD939" s="58"/>
      <c r="AE939" s="58"/>
      <c r="AF939" s="58"/>
      <c r="AG939" s="59">
        <f t="shared" si="299"/>
        <v>9.0359999999999996</v>
      </c>
      <c r="AH939" s="59">
        <f t="shared" si="300"/>
        <v>-184.49199999999999</v>
      </c>
      <c r="AJ939" s="4">
        <f>IF(D939="M",IF(AM939&lt;78,BMILMS!$D$5*AM939^3+BMILMS!$E$5*AM939^2+BMILMS!$F$5*AM939+BMILMS!$G$5,IF(AM939&lt;150,BMILMS!$D$6*AM939^3+BMILMS!$E$6*AM939^2+BMILMS!$F$6*AM939+BMILMS!$G$6,BMILMS!$D$7*AM939^3+BMILMS!$E$7*AM939^2+BMILMS!$F$7*AM939+BMILMS!$G$7)),IF(AM939&lt;69,BMILMS!$D$9*AM939^3+BMILMS!$E$9*AM939^2+BMILMS!$F$9*AM939+BMILMS!$G$9,IF(AM939&lt;150,BMILMS!$D$10*AM939^3+BMILMS!$E$10*AM939^2+BMILMS!$F$10*AM939+BMILMS!$G$10,BMILMS!$D$11*AM939^3+BMILMS!$E$11*AM939^2+BMILMS!$F$11*AM939+BMILMS!$G$11)))</f>
        <v>0.79584630099999998</v>
      </c>
      <c r="AK939" s="4">
        <f>IF(D939="M",(IF(AM939&lt;2.5,BMILMS!$D$21*AM939^3+BMILMS!$E$21*AM939^2+BMILMS!$F$21*AM939+BMILMS!$G$21,IF(AM939&lt;9.5,BMILMS!$D$22*AM939^3+BMILMS!$E$22*AM939^2+BMILMS!$F$22*AM939+BMILMS!$G$22,IF(AM939&lt;26.75,BMILMS!$D$23*AM939^3+BMILMS!$E$23*AM939^2+BMILMS!$F$23*AM939+BMILMS!$G$23,IF(AM939&lt;90,BMILMS!$D$24*AM939^3+BMILMS!$E$24*AM939^2+BMILMS!$F$24*AM939+BMILMS!$G$24,BMILMS!$D$25*AM939^3+BMILMS!$E$25*AM939^2+BMILMS!$F$25*AM939+BMILMS!$G$25))))),(IF(AM939&lt;2.5,BMILMS!$D$27*AM939^3+BMILMS!$E$27*AM939^2+BMILMS!$F$27*AM939+BMILMS!$G$27,IF(AM939&lt;9.5,BMILMS!$D$28*AM939^3+BMILMS!$E$28*AM939^2+BMILMS!$F$28*AM939+BMILMS!$G$28,IF(AM939&lt;26.75,BMILMS!$D$29*AM939^3+BMILMS!$E$29*AM939^2+BMILMS!$F$29*AM939+BMILMS!$G$29,IF(AM939&lt;90,BMILMS!$D$30*AM939^3+BMILMS!$E$30*AM939^2+BMILMS!$F$30*AM939+BMILMS!$G$30,IF(AM939&lt;150,BMILMS!$D$31*AM939^3+BMILMS!$E$31*AM939^2+BMILMS!$F$31*AM939+BMILMS!$G$31,BMILMS!$D$32*AM939^3+BMILMS!$E$32*AM939^2+BMILMS!$F$32*AM939+BMILMS!$G$32)))))))</f>
        <v>12.568967990000001</v>
      </c>
      <c r="AL939" s="4">
        <f>IF(D939="M",(IF(AM939&lt;90,BMILMS!$D$14*AM939^3+BMILMS!$E$14*AM939^2+BMILMS!$F$14*AM939+BMILMS!$G$14,BMILMS!$D$15*AM939^3+BMILMS!$E$15*AM939^2+BMILMS!$F$15*AM939+BMILMS!$G$15)),(IF(AM939&lt;90,BMILMS!$D$17*AM939^3+BMILMS!$E$17*AM939^2+BMILMS!$F$17*AM939+BMILMS!$G$17,BMILMS!$D$18*AM939^3+BMILMS!$E$18*AM939^2+BMILMS!$F$18*AM939+BMILMS!$G$18)))</f>
        <v>8.8969350000000003E-2</v>
      </c>
      <c r="AM939" s="4">
        <f t="shared" si="314"/>
        <v>0</v>
      </c>
      <c r="AO939" s="56">
        <f>IF(D939="M",WeightSDS!P$5*$AM939^7+WeightSDS!Q$5*$AM939^6+WeightSDS!R$5*$AM939^5+WeightSDS!S$5*$AM939^4+WeightSDS!T$5*$AM939^3+WeightSDS!U$5*$AM939^2+WeightSDS!V$5*$AM939+WeightSDS!W$5,IF($AM939&lt;186,WeightSDS!P$8*$AM939^7+WeightSDS!Q$8*$AM939^6+WeightSDS!R$8*$AM939^5+WeightSDS!S$8*$AM939^4+WeightSDS!T$8*$AM939^3+WeightSDS!U$8*$AM939^2+WeightSDS!V$8*$AM939+WeightSDS!W$8,WeightSDS!$U$9+WeightSDS!$V$9*($AM939-WeightSDS!$W$9)))</f>
        <v>0.75407122999999998</v>
      </c>
      <c r="AP939" s="4">
        <f>IF(D939="M",IF($AM939&lt;45,WeightSDS!M$23*$AM939^10+WeightSDS!N$23*$AM939^9+WeightSDS!O$23*$AM939^8+WeightSDS!P$23*$AM939^7+WeightSDS!Q$23*$AM939^6+WeightSDS!R$23*$AM939^5+WeightSDS!S$23*$AM939^4+WeightSDS!T$23*$AM939^3+WeightSDS!U$23*$AM939^2+WeightSDS!V$23*$AM939+WeightSDS!W$23,IF($AM939&lt;153,WeightSDS!M$25*$AM939^10+WeightSDS!N$25*$AM939^9+WeightSDS!O$25*$AM939^8+WeightSDS!P$25*$AM939^7+WeightSDS!Q$25*$AM939^6+WeightSDS!R$25*$AM939^5+WeightSDS!S$25*$AM939^4+WeightSDS!T$25*$AM939^3+WeightSDS!U$25*$AM939^2+WeightSDS!V$25*$AM939+WeightSDS!W$25,WeightSDS!M$27+WeightSDS!N$27/(1+EXP(WeightSDS!O$27+WeightSDS!P$27*$AM939)))),IF($AM939&lt;43.8,WeightSDS!M$29*$AM939^10+WeightSDS!N$29*$AM939^9+WeightSDS!O$29*$AM939^8+WeightSDS!P$29*$AM939^7+WeightSDS!Q$29*$AM939^6+WeightSDS!R$29*$AM939^5+WeightSDS!S$29*$AM939^4+WeightSDS!T$29*$AM939^3+WeightSDS!U$29*$AM939^2+WeightSDS!V$29*$AM939+WeightSDS!W$29-0.010431*(1-$AM939/210),IF($AM939&lt;123,WeightSDS!M$30*$AM939^10+WeightSDS!N$30*$AM939^9+WeightSDS!O$30*$AM939^8+WeightSDS!P$30*$AM939^7+WeightSDS!Q$30*$AM939^6+WeightSDS!R$30*$AM939^5+WeightSDS!S$30*$AM939^4+WeightSDS!T$30*$AM939^3+WeightSDS!U$30*$AM939^2+WeightSDS!V$30*$AM939+WeightSDS!W$30-0.010431*(1-1/$AM939),WeightSDS!M$32+WeightSDS!N$32/(1+EXP(WeightSDS!O$32+WeightSDS!P$32*$AM939))-0.010431*(1-$AM939/210))))</f>
        <v>2.9500001032655536</v>
      </c>
      <c r="AQ939" s="4">
        <f>IF(D939="M",IF($AM939&lt;162,WeightSDS!P$12*$AM939^7+WeightSDS!Q$12*$AM939^6+WeightSDS!R$12*$AM939^5+WeightSDS!S$12*$AM939^4+WeightSDS!T$12*$AM939^3+WeightSDS!U$12*$AM939^2+WeightSDS!V$12*$AM939+WeightSDS!W$12,WeightSDS!P$14*$AM939^7+WeightSDS!Q$14*$AM939^6+WeightSDS!R$14*$AM939^5+WeightSDS!S$14*$AM939^4+WeightSDS!T$14*$AM939^3+WeightSDS!U$14*$AM939^2+WeightSDS!V$14*$AM939+WeightSDS!W$14),IF($AM939&lt;156,WeightSDS!O$17*$AM939^8+WeightSDS!P$17*$AM939^7+WeightSDS!Q$17*$AM939^6+WeightSDS!R$17*$AM939^5+WeightSDS!S$17*$AM939^4+WeightSDS!T$17*$AM939^3+WeightSDS!U$17*$AM939^2+WeightSDS!V$17*$AM939+WeightSDS!W$17,IF($AM939&lt;186,WeightSDS!$U$18+(WeightSDS!$V$18-WeightSDS!$U$18)/24*($AM939-186)+WeightSDS!$W$18*(-$AM939+186)^2-0.005,WeightSDS!$U$18+(WeightSDS!$V$18-WeightSDS!$U$18)/24*($AM939-186)-0.005)))</f>
        <v>0.14604529399999999</v>
      </c>
      <c r="AT939" s="4">
        <f t="shared" si="301"/>
        <v>0.56299999999999994</v>
      </c>
      <c r="AU939" s="4">
        <f t="shared" si="302"/>
        <v>69</v>
      </c>
      <c r="AV939" s="4">
        <f t="shared" si="303"/>
        <v>0.51</v>
      </c>
    </row>
    <row r="940" spans="1:48" x14ac:dyDescent="0.15">
      <c r="A940" s="4"/>
      <c r="B940" s="21"/>
      <c r="C940" s="21"/>
      <c r="D940" s="21"/>
      <c r="E940" s="22"/>
      <c r="F940" s="22"/>
      <c r="G940" s="23"/>
      <c r="H940" s="23"/>
      <c r="I940" s="181"/>
      <c r="J940" s="8" t="str">
        <f t="shared" si="295"/>
        <v/>
      </c>
      <c r="K940" s="2" t="str">
        <f t="shared" si="304"/>
        <v/>
      </c>
      <c r="L940" s="2" t="str">
        <f t="shared" si="296"/>
        <v/>
      </c>
      <c r="M940" s="2" t="str">
        <f t="shared" si="305"/>
        <v/>
      </c>
      <c r="N940" s="2" t="str">
        <f t="shared" si="313"/>
        <v/>
      </c>
      <c r="O940" s="2" t="str">
        <f t="shared" si="306"/>
        <v/>
      </c>
      <c r="P940" s="8" t="str">
        <f t="shared" si="307"/>
        <v/>
      </c>
      <c r="Q940" s="8" t="str">
        <f t="shared" si="308"/>
        <v/>
      </c>
      <c r="R940" s="111" t="str">
        <f t="shared" si="309"/>
        <v/>
      </c>
      <c r="S940" s="44" t="str">
        <f t="shared" si="310"/>
        <v/>
      </c>
      <c r="T940" s="37" t="str">
        <f t="shared" si="311"/>
        <v/>
      </c>
      <c r="U940" s="44" t="str">
        <f t="shared" si="312"/>
        <v/>
      </c>
      <c r="V940" s="26"/>
      <c r="W940" s="26"/>
      <c r="X940" s="26"/>
      <c r="Y940" s="26"/>
      <c r="Z940" s="24"/>
      <c r="AA940" s="169">
        <f t="shared" si="297"/>
        <v>0</v>
      </c>
      <c r="AB940" s="4">
        <f t="shared" si="298"/>
        <v>0</v>
      </c>
      <c r="AC940" s="170">
        <f t="shared" si="315"/>
        <v>0</v>
      </c>
      <c r="AD940" s="58"/>
      <c r="AE940" s="58"/>
      <c r="AF940" s="58"/>
      <c r="AG940" s="59">
        <f t="shared" si="299"/>
        <v>9.0359999999999996</v>
      </c>
      <c r="AH940" s="59">
        <f t="shared" si="300"/>
        <v>-184.49199999999999</v>
      </c>
      <c r="AJ940" s="4">
        <f>IF(D940="M",IF(AM940&lt;78,BMILMS!$D$5*AM940^3+BMILMS!$E$5*AM940^2+BMILMS!$F$5*AM940+BMILMS!$G$5,IF(AM940&lt;150,BMILMS!$D$6*AM940^3+BMILMS!$E$6*AM940^2+BMILMS!$F$6*AM940+BMILMS!$G$6,BMILMS!$D$7*AM940^3+BMILMS!$E$7*AM940^2+BMILMS!$F$7*AM940+BMILMS!$G$7)),IF(AM940&lt;69,BMILMS!$D$9*AM940^3+BMILMS!$E$9*AM940^2+BMILMS!$F$9*AM940+BMILMS!$G$9,IF(AM940&lt;150,BMILMS!$D$10*AM940^3+BMILMS!$E$10*AM940^2+BMILMS!$F$10*AM940+BMILMS!$G$10,BMILMS!$D$11*AM940^3+BMILMS!$E$11*AM940^2+BMILMS!$F$11*AM940+BMILMS!$G$11)))</f>
        <v>0.79584630099999998</v>
      </c>
      <c r="AK940" s="4">
        <f>IF(D940="M",(IF(AM940&lt;2.5,BMILMS!$D$21*AM940^3+BMILMS!$E$21*AM940^2+BMILMS!$F$21*AM940+BMILMS!$G$21,IF(AM940&lt;9.5,BMILMS!$D$22*AM940^3+BMILMS!$E$22*AM940^2+BMILMS!$F$22*AM940+BMILMS!$G$22,IF(AM940&lt;26.75,BMILMS!$D$23*AM940^3+BMILMS!$E$23*AM940^2+BMILMS!$F$23*AM940+BMILMS!$G$23,IF(AM940&lt;90,BMILMS!$D$24*AM940^3+BMILMS!$E$24*AM940^2+BMILMS!$F$24*AM940+BMILMS!$G$24,BMILMS!$D$25*AM940^3+BMILMS!$E$25*AM940^2+BMILMS!$F$25*AM940+BMILMS!$G$25))))),(IF(AM940&lt;2.5,BMILMS!$D$27*AM940^3+BMILMS!$E$27*AM940^2+BMILMS!$F$27*AM940+BMILMS!$G$27,IF(AM940&lt;9.5,BMILMS!$D$28*AM940^3+BMILMS!$E$28*AM940^2+BMILMS!$F$28*AM940+BMILMS!$G$28,IF(AM940&lt;26.75,BMILMS!$D$29*AM940^3+BMILMS!$E$29*AM940^2+BMILMS!$F$29*AM940+BMILMS!$G$29,IF(AM940&lt;90,BMILMS!$D$30*AM940^3+BMILMS!$E$30*AM940^2+BMILMS!$F$30*AM940+BMILMS!$G$30,IF(AM940&lt;150,BMILMS!$D$31*AM940^3+BMILMS!$E$31*AM940^2+BMILMS!$F$31*AM940+BMILMS!$G$31,BMILMS!$D$32*AM940^3+BMILMS!$E$32*AM940^2+BMILMS!$F$32*AM940+BMILMS!$G$32)))))))</f>
        <v>12.568967990000001</v>
      </c>
      <c r="AL940" s="4">
        <f>IF(D940="M",(IF(AM940&lt;90,BMILMS!$D$14*AM940^3+BMILMS!$E$14*AM940^2+BMILMS!$F$14*AM940+BMILMS!$G$14,BMILMS!$D$15*AM940^3+BMILMS!$E$15*AM940^2+BMILMS!$F$15*AM940+BMILMS!$G$15)),(IF(AM940&lt;90,BMILMS!$D$17*AM940^3+BMILMS!$E$17*AM940^2+BMILMS!$F$17*AM940+BMILMS!$G$17,BMILMS!$D$18*AM940^3+BMILMS!$E$18*AM940^2+BMILMS!$F$18*AM940+BMILMS!$G$18)))</f>
        <v>8.8969350000000003E-2</v>
      </c>
      <c r="AM940" s="4">
        <f t="shared" si="314"/>
        <v>0</v>
      </c>
      <c r="AO940" s="56">
        <f>IF(D940="M",WeightSDS!P$5*$AM940^7+WeightSDS!Q$5*$AM940^6+WeightSDS!R$5*$AM940^5+WeightSDS!S$5*$AM940^4+WeightSDS!T$5*$AM940^3+WeightSDS!U$5*$AM940^2+WeightSDS!V$5*$AM940+WeightSDS!W$5,IF($AM940&lt;186,WeightSDS!P$8*$AM940^7+WeightSDS!Q$8*$AM940^6+WeightSDS!R$8*$AM940^5+WeightSDS!S$8*$AM940^4+WeightSDS!T$8*$AM940^3+WeightSDS!U$8*$AM940^2+WeightSDS!V$8*$AM940+WeightSDS!W$8,WeightSDS!$U$9+WeightSDS!$V$9*($AM940-WeightSDS!$W$9)))</f>
        <v>0.75407122999999998</v>
      </c>
      <c r="AP940" s="4">
        <f>IF(D940="M",IF($AM940&lt;45,WeightSDS!M$23*$AM940^10+WeightSDS!N$23*$AM940^9+WeightSDS!O$23*$AM940^8+WeightSDS!P$23*$AM940^7+WeightSDS!Q$23*$AM940^6+WeightSDS!R$23*$AM940^5+WeightSDS!S$23*$AM940^4+WeightSDS!T$23*$AM940^3+WeightSDS!U$23*$AM940^2+WeightSDS!V$23*$AM940+WeightSDS!W$23,IF($AM940&lt;153,WeightSDS!M$25*$AM940^10+WeightSDS!N$25*$AM940^9+WeightSDS!O$25*$AM940^8+WeightSDS!P$25*$AM940^7+WeightSDS!Q$25*$AM940^6+WeightSDS!R$25*$AM940^5+WeightSDS!S$25*$AM940^4+WeightSDS!T$25*$AM940^3+WeightSDS!U$25*$AM940^2+WeightSDS!V$25*$AM940+WeightSDS!W$25,WeightSDS!M$27+WeightSDS!N$27/(1+EXP(WeightSDS!O$27+WeightSDS!P$27*$AM940)))),IF($AM940&lt;43.8,WeightSDS!M$29*$AM940^10+WeightSDS!N$29*$AM940^9+WeightSDS!O$29*$AM940^8+WeightSDS!P$29*$AM940^7+WeightSDS!Q$29*$AM940^6+WeightSDS!R$29*$AM940^5+WeightSDS!S$29*$AM940^4+WeightSDS!T$29*$AM940^3+WeightSDS!U$29*$AM940^2+WeightSDS!V$29*$AM940+WeightSDS!W$29-0.010431*(1-$AM940/210),IF($AM940&lt;123,WeightSDS!M$30*$AM940^10+WeightSDS!N$30*$AM940^9+WeightSDS!O$30*$AM940^8+WeightSDS!P$30*$AM940^7+WeightSDS!Q$30*$AM940^6+WeightSDS!R$30*$AM940^5+WeightSDS!S$30*$AM940^4+WeightSDS!T$30*$AM940^3+WeightSDS!U$30*$AM940^2+WeightSDS!V$30*$AM940+WeightSDS!W$30-0.010431*(1-1/$AM940),WeightSDS!M$32+WeightSDS!N$32/(1+EXP(WeightSDS!O$32+WeightSDS!P$32*$AM940))-0.010431*(1-$AM940/210))))</f>
        <v>2.9500001032655536</v>
      </c>
      <c r="AQ940" s="4">
        <f>IF(D940="M",IF($AM940&lt;162,WeightSDS!P$12*$AM940^7+WeightSDS!Q$12*$AM940^6+WeightSDS!R$12*$AM940^5+WeightSDS!S$12*$AM940^4+WeightSDS!T$12*$AM940^3+WeightSDS!U$12*$AM940^2+WeightSDS!V$12*$AM940+WeightSDS!W$12,WeightSDS!P$14*$AM940^7+WeightSDS!Q$14*$AM940^6+WeightSDS!R$14*$AM940^5+WeightSDS!S$14*$AM940^4+WeightSDS!T$14*$AM940^3+WeightSDS!U$14*$AM940^2+WeightSDS!V$14*$AM940+WeightSDS!W$14),IF($AM940&lt;156,WeightSDS!O$17*$AM940^8+WeightSDS!P$17*$AM940^7+WeightSDS!Q$17*$AM940^6+WeightSDS!R$17*$AM940^5+WeightSDS!S$17*$AM940^4+WeightSDS!T$17*$AM940^3+WeightSDS!U$17*$AM940^2+WeightSDS!V$17*$AM940+WeightSDS!W$17,IF($AM940&lt;186,WeightSDS!$U$18+(WeightSDS!$V$18-WeightSDS!$U$18)/24*($AM940-186)+WeightSDS!$W$18*(-$AM940+186)^2-0.005,WeightSDS!$U$18+(WeightSDS!$V$18-WeightSDS!$U$18)/24*($AM940-186)-0.005)))</f>
        <v>0.14604529399999999</v>
      </c>
      <c r="AT940" s="4">
        <f t="shared" si="301"/>
        <v>0.56299999999999994</v>
      </c>
      <c r="AU940" s="4">
        <f t="shared" si="302"/>
        <v>69</v>
      </c>
      <c r="AV940" s="4">
        <f t="shared" si="303"/>
        <v>0.51</v>
      </c>
    </row>
    <row r="941" spans="1:48" x14ac:dyDescent="0.15">
      <c r="A941" s="4"/>
      <c r="B941" s="21"/>
      <c r="C941" s="21"/>
      <c r="D941" s="21"/>
      <c r="E941" s="22"/>
      <c r="F941" s="22"/>
      <c r="G941" s="23"/>
      <c r="H941" s="23"/>
      <c r="I941" s="181"/>
      <c r="J941" s="8" t="str">
        <f t="shared" si="295"/>
        <v/>
      </c>
      <c r="K941" s="2" t="str">
        <f t="shared" si="304"/>
        <v/>
      </c>
      <c r="L941" s="2" t="str">
        <f t="shared" si="296"/>
        <v/>
      </c>
      <c r="M941" s="2" t="str">
        <f t="shared" si="305"/>
        <v/>
      </c>
      <c r="N941" s="2" t="str">
        <f t="shared" si="313"/>
        <v/>
      </c>
      <c r="O941" s="2" t="str">
        <f t="shared" si="306"/>
        <v/>
      </c>
      <c r="P941" s="8" t="str">
        <f t="shared" si="307"/>
        <v/>
      </c>
      <c r="Q941" s="8" t="str">
        <f t="shared" si="308"/>
        <v/>
      </c>
      <c r="R941" s="111" t="str">
        <f t="shared" si="309"/>
        <v/>
      </c>
      <c r="S941" s="44" t="str">
        <f t="shared" si="310"/>
        <v/>
      </c>
      <c r="T941" s="37" t="str">
        <f t="shared" si="311"/>
        <v/>
      </c>
      <c r="U941" s="44" t="str">
        <f t="shared" si="312"/>
        <v/>
      </c>
      <c r="V941" s="26"/>
      <c r="W941" s="26"/>
      <c r="X941" s="26"/>
      <c r="Y941" s="26"/>
      <c r="Z941" s="24"/>
      <c r="AA941" s="169">
        <f t="shared" si="297"/>
        <v>0</v>
      </c>
      <c r="AB941" s="4">
        <f t="shared" si="298"/>
        <v>0</v>
      </c>
      <c r="AC941" s="170">
        <f t="shared" si="315"/>
        <v>0</v>
      </c>
      <c r="AD941" s="58"/>
      <c r="AE941" s="58"/>
      <c r="AF941" s="58"/>
      <c r="AG941" s="59">
        <f t="shared" si="299"/>
        <v>9.0359999999999996</v>
      </c>
      <c r="AH941" s="59">
        <f t="shared" si="300"/>
        <v>-184.49199999999999</v>
      </c>
      <c r="AJ941" s="4">
        <f>IF(D941="M",IF(AM941&lt;78,BMILMS!$D$5*AM941^3+BMILMS!$E$5*AM941^2+BMILMS!$F$5*AM941+BMILMS!$G$5,IF(AM941&lt;150,BMILMS!$D$6*AM941^3+BMILMS!$E$6*AM941^2+BMILMS!$F$6*AM941+BMILMS!$G$6,BMILMS!$D$7*AM941^3+BMILMS!$E$7*AM941^2+BMILMS!$F$7*AM941+BMILMS!$G$7)),IF(AM941&lt;69,BMILMS!$D$9*AM941^3+BMILMS!$E$9*AM941^2+BMILMS!$F$9*AM941+BMILMS!$G$9,IF(AM941&lt;150,BMILMS!$D$10*AM941^3+BMILMS!$E$10*AM941^2+BMILMS!$F$10*AM941+BMILMS!$G$10,BMILMS!$D$11*AM941^3+BMILMS!$E$11*AM941^2+BMILMS!$F$11*AM941+BMILMS!$G$11)))</f>
        <v>0.79584630099999998</v>
      </c>
      <c r="AK941" s="4">
        <f>IF(D941="M",(IF(AM941&lt;2.5,BMILMS!$D$21*AM941^3+BMILMS!$E$21*AM941^2+BMILMS!$F$21*AM941+BMILMS!$G$21,IF(AM941&lt;9.5,BMILMS!$D$22*AM941^3+BMILMS!$E$22*AM941^2+BMILMS!$F$22*AM941+BMILMS!$G$22,IF(AM941&lt;26.75,BMILMS!$D$23*AM941^3+BMILMS!$E$23*AM941^2+BMILMS!$F$23*AM941+BMILMS!$G$23,IF(AM941&lt;90,BMILMS!$D$24*AM941^3+BMILMS!$E$24*AM941^2+BMILMS!$F$24*AM941+BMILMS!$G$24,BMILMS!$D$25*AM941^3+BMILMS!$E$25*AM941^2+BMILMS!$F$25*AM941+BMILMS!$G$25))))),(IF(AM941&lt;2.5,BMILMS!$D$27*AM941^3+BMILMS!$E$27*AM941^2+BMILMS!$F$27*AM941+BMILMS!$G$27,IF(AM941&lt;9.5,BMILMS!$D$28*AM941^3+BMILMS!$E$28*AM941^2+BMILMS!$F$28*AM941+BMILMS!$G$28,IF(AM941&lt;26.75,BMILMS!$D$29*AM941^3+BMILMS!$E$29*AM941^2+BMILMS!$F$29*AM941+BMILMS!$G$29,IF(AM941&lt;90,BMILMS!$D$30*AM941^3+BMILMS!$E$30*AM941^2+BMILMS!$F$30*AM941+BMILMS!$G$30,IF(AM941&lt;150,BMILMS!$D$31*AM941^3+BMILMS!$E$31*AM941^2+BMILMS!$F$31*AM941+BMILMS!$G$31,BMILMS!$D$32*AM941^3+BMILMS!$E$32*AM941^2+BMILMS!$F$32*AM941+BMILMS!$G$32)))))))</f>
        <v>12.568967990000001</v>
      </c>
      <c r="AL941" s="4">
        <f>IF(D941="M",(IF(AM941&lt;90,BMILMS!$D$14*AM941^3+BMILMS!$E$14*AM941^2+BMILMS!$F$14*AM941+BMILMS!$G$14,BMILMS!$D$15*AM941^3+BMILMS!$E$15*AM941^2+BMILMS!$F$15*AM941+BMILMS!$G$15)),(IF(AM941&lt;90,BMILMS!$D$17*AM941^3+BMILMS!$E$17*AM941^2+BMILMS!$F$17*AM941+BMILMS!$G$17,BMILMS!$D$18*AM941^3+BMILMS!$E$18*AM941^2+BMILMS!$F$18*AM941+BMILMS!$G$18)))</f>
        <v>8.8969350000000003E-2</v>
      </c>
      <c r="AM941" s="4">
        <f t="shared" si="314"/>
        <v>0</v>
      </c>
      <c r="AO941" s="56">
        <f>IF(D941="M",WeightSDS!P$5*$AM941^7+WeightSDS!Q$5*$AM941^6+WeightSDS!R$5*$AM941^5+WeightSDS!S$5*$AM941^4+WeightSDS!T$5*$AM941^3+WeightSDS!U$5*$AM941^2+WeightSDS!V$5*$AM941+WeightSDS!W$5,IF($AM941&lt;186,WeightSDS!P$8*$AM941^7+WeightSDS!Q$8*$AM941^6+WeightSDS!R$8*$AM941^5+WeightSDS!S$8*$AM941^4+WeightSDS!T$8*$AM941^3+WeightSDS!U$8*$AM941^2+WeightSDS!V$8*$AM941+WeightSDS!W$8,WeightSDS!$U$9+WeightSDS!$V$9*($AM941-WeightSDS!$W$9)))</f>
        <v>0.75407122999999998</v>
      </c>
      <c r="AP941" s="4">
        <f>IF(D941="M",IF($AM941&lt;45,WeightSDS!M$23*$AM941^10+WeightSDS!N$23*$AM941^9+WeightSDS!O$23*$AM941^8+WeightSDS!P$23*$AM941^7+WeightSDS!Q$23*$AM941^6+WeightSDS!R$23*$AM941^5+WeightSDS!S$23*$AM941^4+WeightSDS!T$23*$AM941^3+WeightSDS!U$23*$AM941^2+WeightSDS!V$23*$AM941+WeightSDS!W$23,IF($AM941&lt;153,WeightSDS!M$25*$AM941^10+WeightSDS!N$25*$AM941^9+WeightSDS!O$25*$AM941^8+WeightSDS!P$25*$AM941^7+WeightSDS!Q$25*$AM941^6+WeightSDS!R$25*$AM941^5+WeightSDS!S$25*$AM941^4+WeightSDS!T$25*$AM941^3+WeightSDS!U$25*$AM941^2+WeightSDS!V$25*$AM941+WeightSDS!W$25,WeightSDS!M$27+WeightSDS!N$27/(1+EXP(WeightSDS!O$27+WeightSDS!P$27*$AM941)))),IF($AM941&lt;43.8,WeightSDS!M$29*$AM941^10+WeightSDS!N$29*$AM941^9+WeightSDS!O$29*$AM941^8+WeightSDS!P$29*$AM941^7+WeightSDS!Q$29*$AM941^6+WeightSDS!R$29*$AM941^5+WeightSDS!S$29*$AM941^4+WeightSDS!T$29*$AM941^3+WeightSDS!U$29*$AM941^2+WeightSDS!V$29*$AM941+WeightSDS!W$29-0.010431*(1-$AM941/210),IF($AM941&lt;123,WeightSDS!M$30*$AM941^10+WeightSDS!N$30*$AM941^9+WeightSDS!O$30*$AM941^8+WeightSDS!P$30*$AM941^7+WeightSDS!Q$30*$AM941^6+WeightSDS!R$30*$AM941^5+WeightSDS!S$30*$AM941^4+WeightSDS!T$30*$AM941^3+WeightSDS!U$30*$AM941^2+WeightSDS!V$30*$AM941+WeightSDS!W$30-0.010431*(1-1/$AM941),WeightSDS!M$32+WeightSDS!N$32/(1+EXP(WeightSDS!O$32+WeightSDS!P$32*$AM941))-0.010431*(1-$AM941/210))))</f>
        <v>2.9500001032655536</v>
      </c>
      <c r="AQ941" s="4">
        <f>IF(D941="M",IF($AM941&lt;162,WeightSDS!P$12*$AM941^7+WeightSDS!Q$12*$AM941^6+WeightSDS!R$12*$AM941^5+WeightSDS!S$12*$AM941^4+WeightSDS!T$12*$AM941^3+WeightSDS!U$12*$AM941^2+WeightSDS!V$12*$AM941+WeightSDS!W$12,WeightSDS!P$14*$AM941^7+WeightSDS!Q$14*$AM941^6+WeightSDS!R$14*$AM941^5+WeightSDS!S$14*$AM941^4+WeightSDS!T$14*$AM941^3+WeightSDS!U$14*$AM941^2+WeightSDS!V$14*$AM941+WeightSDS!W$14),IF($AM941&lt;156,WeightSDS!O$17*$AM941^8+WeightSDS!P$17*$AM941^7+WeightSDS!Q$17*$AM941^6+WeightSDS!R$17*$AM941^5+WeightSDS!S$17*$AM941^4+WeightSDS!T$17*$AM941^3+WeightSDS!U$17*$AM941^2+WeightSDS!V$17*$AM941+WeightSDS!W$17,IF($AM941&lt;186,WeightSDS!$U$18+(WeightSDS!$V$18-WeightSDS!$U$18)/24*($AM941-186)+WeightSDS!$W$18*(-$AM941+186)^2-0.005,WeightSDS!$U$18+(WeightSDS!$V$18-WeightSDS!$U$18)/24*($AM941-186)-0.005)))</f>
        <v>0.14604529399999999</v>
      </c>
      <c r="AT941" s="4">
        <f t="shared" si="301"/>
        <v>0.56299999999999994</v>
      </c>
      <c r="AU941" s="4">
        <f t="shared" si="302"/>
        <v>69</v>
      </c>
      <c r="AV941" s="4">
        <f t="shared" si="303"/>
        <v>0.51</v>
      </c>
    </row>
    <row r="942" spans="1:48" x14ac:dyDescent="0.15">
      <c r="A942" s="4"/>
      <c r="B942" s="21"/>
      <c r="C942" s="21"/>
      <c r="D942" s="21"/>
      <c r="E942" s="22"/>
      <c r="F942" s="22"/>
      <c r="G942" s="23"/>
      <c r="H942" s="23"/>
      <c r="I942" s="181"/>
      <c r="J942" s="8" t="str">
        <f t="shared" si="295"/>
        <v/>
      </c>
      <c r="K942" s="2" t="str">
        <f t="shared" si="304"/>
        <v/>
      </c>
      <c r="L942" s="2" t="str">
        <f t="shared" si="296"/>
        <v/>
      </c>
      <c r="M942" s="2" t="str">
        <f t="shared" si="305"/>
        <v/>
      </c>
      <c r="N942" s="2" t="str">
        <f t="shared" si="313"/>
        <v/>
      </c>
      <c r="O942" s="2" t="str">
        <f t="shared" si="306"/>
        <v/>
      </c>
      <c r="P942" s="8" t="str">
        <f t="shared" si="307"/>
        <v/>
      </c>
      <c r="Q942" s="8" t="str">
        <f t="shared" si="308"/>
        <v/>
      </c>
      <c r="R942" s="111" t="str">
        <f t="shared" si="309"/>
        <v/>
      </c>
      <c r="S942" s="44" t="str">
        <f t="shared" si="310"/>
        <v/>
      </c>
      <c r="T942" s="37" t="str">
        <f t="shared" si="311"/>
        <v/>
      </c>
      <c r="U942" s="44" t="str">
        <f t="shared" si="312"/>
        <v/>
      </c>
      <c r="V942" s="26"/>
      <c r="W942" s="26"/>
      <c r="X942" s="26"/>
      <c r="Y942" s="26"/>
      <c r="Z942" s="24"/>
      <c r="AA942" s="169">
        <f t="shared" si="297"/>
        <v>0</v>
      </c>
      <c r="AB942" s="4">
        <f t="shared" si="298"/>
        <v>0</v>
      </c>
      <c r="AC942" s="170">
        <f t="shared" si="315"/>
        <v>0</v>
      </c>
      <c r="AD942" s="58"/>
      <c r="AE942" s="58"/>
      <c r="AF942" s="58"/>
      <c r="AG942" s="59">
        <f t="shared" si="299"/>
        <v>9.0359999999999996</v>
      </c>
      <c r="AH942" s="59">
        <f t="shared" si="300"/>
        <v>-184.49199999999999</v>
      </c>
      <c r="AJ942" s="4">
        <f>IF(D942="M",IF(AM942&lt;78,BMILMS!$D$5*AM942^3+BMILMS!$E$5*AM942^2+BMILMS!$F$5*AM942+BMILMS!$G$5,IF(AM942&lt;150,BMILMS!$D$6*AM942^3+BMILMS!$E$6*AM942^2+BMILMS!$F$6*AM942+BMILMS!$G$6,BMILMS!$D$7*AM942^3+BMILMS!$E$7*AM942^2+BMILMS!$F$7*AM942+BMILMS!$G$7)),IF(AM942&lt;69,BMILMS!$D$9*AM942^3+BMILMS!$E$9*AM942^2+BMILMS!$F$9*AM942+BMILMS!$G$9,IF(AM942&lt;150,BMILMS!$D$10*AM942^3+BMILMS!$E$10*AM942^2+BMILMS!$F$10*AM942+BMILMS!$G$10,BMILMS!$D$11*AM942^3+BMILMS!$E$11*AM942^2+BMILMS!$F$11*AM942+BMILMS!$G$11)))</f>
        <v>0.79584630099999998</v>
      </c>
      <c r="AK942" s="4">
        <f>IF(D942="M",(IF(AM942&lt;2.5,BMILMS!$D$21*AM942^3+BMILMS!$E$21*AM942^2+BMILMS!$F$21*AM942+BMILMS!$G$21,IF(AM942&lt;9.5,BMILMS!$D$22*AM942^3+BMILMS!$E$22*AM942^2+BMILMS!$F$22*AM942+BMILMS!$G$22,IF(AM942&lt;26.75,BMILMS!$D$23*AM942^3+BMILMS!$E$23*AM942^2+BMILMS!$F$23*AM942+BMILMS!$G$23,IF(AM942&lt;90,BMILMS!$D$24*AM942^3+BMILMS!$E$24*AM942^2+BMILMS!$F$24*AM942+BMILMS!$G$24,BMILMS!$D$25*AM942^3+BMILMS!$E$25*AM942^2+BMILMS!$F$25*AM942+BMILMS!$G$25))))),(IF(AM942&lt;2.5,BMILMS!$D$27*AM942^3+BMILMS!$E$27*AM942^2+BMILMS!$F$27*AM942+BMILMS!$G$27,IF(AM942&lt;9.5,BMILMS!$D$28*AM942^3+BMILMS!$E$28*AM942^2+BMILMS!$F$28*AM942+BMILMS!$G$28,IF(AM942&lt;26.75,BMILMS!$D$29*AM942^3+BMILMS!$E$29*AM942^2+BMILMS!$F$29*AM942+BMILMS!$G$29,IF(AM942&lt;90,BMILMS!$D$30*AM942^3+BMILMS!$E$30*AM942^2+BMILMS!$F$30*AM942+BMILMS!$G$30,IF(AM942&lt;150,BMILMS!$D$31*AM942^3+BMILMS!$E$31*AM942^2+BMILMS!$F$31*AM942+BMILMS!$G$31,BMILMS!$D$32*AM942^3+BMILMS!$E$32*AM942^2+BMILMS!$F$32*AM942+BMILMS!$G$32)))))))</f>
        <v>12.568967990000001</v>
      </c>
      <c r="AL942" s="4">
        <f>IF(D942="M",(IF(AM942&lt;90,BMILMS!$D$14*AM942^3+BMILMS!$E$14*AM942^2+BMILMS!$F$14*AM942+BMILMS!$G$14,BMILMS!$D$15*AM942^3+BMILMS!$E$15*AM942^2+BMILMS!$F$15*AM942+BMILMS!$G$15)),(IF(AM942&lt;90,BMILMS!$D$17*AM942^3+BMILMS!$E$17*AM942^2+BMILMS!$F$17*AM942+BMILMS!$G$17,BMILMS!$D$18*AM942^3+BMILMS!$E$18*AM942^2+BMILMS!$F$18*AM942+BMILMS!$G$18)))</f>
        <v>8.8969350000000003E-2</v>
      </c>
      <c r="AM942" s="4">
        <f t="shared" si="314"/>
        <v>0</v>
      </c>
      <c r="AO942" s="56">
        <f>IF(D942="M",WeightSDS!P$5*$AM942^7+WeightSDS!Q$5*$AM942^6+WeightSDS!R$5*$AM942^5+WeightSDS!S$5*$AM942^4+WeightSDS!T$5*$AM942^3+WeightSDS!U$5*$AM942^2+WeightSDS!V$5*$AM942+WeightSDS!W$5,IF($AM942&lt;186,WeightSDS!P$8*$AM942^7+WeightSDS!Q$8*$AM942^6+WeightSDS!R$8*$AM942^5+WeightSDS!S$8*$AM942^4+WeightSDS!T$8*$AM942^3+WeightSDS!U$8*$AM942^2+WeightSDS!V$8*$AM942+WeightSDS!W$8,WeightSDS!$U$9+WeightSDS!$V$9*($AM942-WeightSDS!$W$9)))</f>
        <v>0.75407122999999998</v>
      </c>
      <c r="AP942" s="4">
        <f>IF(D942="M",IF($AM942&lt;45,WeightSDS!M$23*$AM942^10+WeightSDS!N$23*$AM942^9+WeightSDS!O$23*$AM942^8+WeightSDS!P$23*$AM942^7+WeightSDS!Q$23*$AM942^6+WeightSDS!R$23*$AM942^5+WeightSDS!S$23*$AM942^4+WeightSDS!T$23*$AM942^3+WeightSDS!U$23*$AM942^2+WeightSDS!V$23*$AM942+WeightSDS!W$23,IF($AM942&lt;153,WeightSDS!M$25*$AM942^10+WeightSDS!N$25*$AM942^9+WeightSDS!O$25*$AM942^8+WeightSDS!P$25*$AM942^7+WeightSDS!Q$25*$AM942^6+WeightSDS!R$25*$AM942^5+WeightSDS!S$25*$AM942^4+WeightSDS!T$25*$AM942^3+WeightSDS!U$25*$AM942^2+WeightSDS!V$25*$AM942+WeightSDS!W$25,WeightSDS!M$27+WeightSDS!N$27/(1+EXP(WeightSDS!O$27+WeightSDS!P$27*$AM942)))),IF($AM942&lt;43.8,WeightSDS!M$29*$AM942^10+WeightSDS!N$29*$AM942^9+WeightSDS!O$29*$AM942^8+WeightSDS!P$29*$AM942^7+WeightSDS!Q$29*$AM942^6+WeightSDS!R$29*$AM942^5+WeightSDS!S$29*$AM942^4+WeightSDS!T$29*$AM942^3+WeightSDS!U$29*$AM942^2+WeightSDS!V$29*$AM942+WeightSDS!W$29-0.010431*(1-$AM942/210),IF($AM942&lt;123,WeightSDS!M$30*$AM942^10+WeightSDS!N$30*$AM942^9+WeightSDS!O$30*$AM942^8+WeightSDS!P$30*$AM942^7+WeightSDS!Q$30*$AM942^6+WeightSDS!R$30*$AM942^5+WeightSDS!S$30*$AM942^4+WeightSDS!T$30*$AM942^3+WeightSDS!U$30*$AM942^2+WeightSDS!V$30*$AM942+WeightSDS!W$30-0.010431*(1-1/$AM942),WeightSDS!M$32+WeightSDS!N$32/(1+EXP(WeightSDS!O$32+WeightSDS!P$32*$AM942))-0.010431*(1-$AM942/210))))</f>
        <v>2.9500001032655536</v>
      </c>
      <c r="AQ942" s="4">
        <f>IF(D942="M",IF($AM942&lt;162,WeightSDS!P$12*$AM942^7+WeightSDS!Q$12*$AM942^6+WeightSDS!R$12*$AM942^5+WeightSDS!S$12*$AM942^4+WeightSDS!T$12*$AM942^3+WeightSDS!U$12*$AM942^2+WeightSDS!V$12*$AM942+WeightSDS!W$12,WeightSDS!P$14*$AM942^7+WeightSDS!Q$14*$AM942^6+WeightSDS!R$14*$AM942^5+WeightSDS!S$14*$AM942^4+WeightSDS!T$14*$AM942^3+WeightSDS!U$14*$AM942^2+WeightSDS!V$14*$AM942+WeightSDS!W$14),IF($AM942&lt;156,WeightSDS!O$17*$AM942^8+WeightSDS!P$17*$AM942^7+WeightSDS!Q$17*$AM942^6+WeightSDS!R$17*$AM942^5+WeightSDS!S$17*$AM942^4+WeightSDS!T$17*$AM942^3+WeightSDS!U$17*$AM942^2+WeightSDS!V$17*$AM942+WeightSDS!W$17,IF($AM942&lt;186,WeightSDS!$U$18+(WeightSDS!$V$18-WeightSDS!$U$18)/24*($AM942-186)+WeightSDS!$W$18*(-$AM942+186)^2-0.005,WeightSDS!$U$18+(WeightSDS!$V$18-WeightSDS!$U$18)/24*($AM942-186)-0.005)))</f>
        <v>0.14604529399999999</v>
      </c>
      <c r="AT942" s="4">
        <f t="shared" si="301"/>
        <v>0.56299999999999994</v>
      </c>
      <c r="AU942" s="4">
        <f t="shared" si="302"/>
        <v>69</v>
      </c>
      <c r="AV942" s="4">
        <f t="shared" si="303"/>
        <v>0.51</v>
      </c>
    </row>
    <row r="943" spans="1:48" x14ac:dyDescent="0.15">
      <c r="A943" s="4"/>
      <c r="B943" s="21"/>
      <c r="C943" s="21"/>
      <c r="D943" s="21"/>
      <c r="E943" s="22"/>
      <c r="F943" s="22"/>
      <c r="G943" s="23"/>
      <c r="H943" s="23"/>
      <c r="I943" s="181"/>
      <c r="J943" s="8" t="str">
        <f t="shared" si="295"/>
        <v/>
      </c>
      <c r="K943" s="2" t="str">
        <f t="shared" si="304"/>
        <v/>
      </c>
      <c r="L943" s="2" t="str">
        <f t="shared" si="296"/>
        <v/>
      </c>
      <c r="M943" s="2" t="str">
        <f t="shared" si="305"/>
        <v/>
      </c>
      <c r="N943" s="2" t="str">
        <f t="shared" si="313"/>
        <v/>
      </c>
      <c r="O943" s="2" t="str">
        <f t="shared" si="306"/>
        <v/>
      </c>
      <c r="P943" s="8" t="str">
        <f t="shared" si="307"/>
        <v/>
      </c>
      <c r="Q943" s="8" t="str">
        <f t="shared" si="308"/>
        <v/>
      </c>
      <c r="R943" s="111" t="str">
        <f t="shared" si="309"/>
        <v/>
      </c>
      <c r="S943" s="44" t="str">
        <f t="shared" si="310"/>
        <v/>
      </c>
      <c r="T943" s="37" t="str">
        <f t="shared" si="311"/>
        <v/>
      </c>
      <c r="U943" s="44" t="str">
        <f t="shared" si="312"/>
        <v/>
      </c>
      <c r="V943" s="26"/>
      <c r="W943" s="26"/>
      <c r="X943" s="26"/>
      <c r="Y943" s="26"/>
      <c r="Z943" s="24"/>
      <c r="AA943" s="169">
        <f t="shared" si="297"/>
        <v>0</v>
      </c>
      <c r="AB943" s="4">
        <f t="shared" si="298"/>
        <v>0</v>
      </c>
      <c r="AC943" s="170">
        <f t="shared" si="315"/>
        <v>0</v>
      </c>
      <c r="AD943" s="58"/>
      <c r="AE943" s="58"/>
      <c r="AF943" s="58"/>
      <c r="AG943" s="59">
        <f t="shared" si="299"/>
        <v>9.0359999999999996</v>
      </c>
      <c r="AH943" s="59">
        <f t="shared" si="300"/>
        <v>-184.49199999999999</v>
      </c>
      <c r="AJ943" s="4">
        <f>IF(D943="M",IF(AM943&lt;78,BMILMS!$D$5*AM943^3+BMILMS!$E$5*AM943^2+BMILMS!$F$5*AM943+BMILMS!$G$5,IF(AM943&lt;150,BMILMS!$D$6*AM943^3+BMILMS!$E$6*AM943^2+BMILMS!$F$6*AM943+BMILMS!$G$6,BMILMS!$D$7*AM943^3+BMILMS!$E$7*AM943^2+BMILMS!$F$7*AM943+BMILMS!$G$7)),IF(AM943&lt;69,BMILMS!$D$9*AM943^3+BMILMS!$E$9*AM943^2+BMILMS!$F$9*AM943+BMILMS!$G$9,IF(AM943&lt;150,BMILMS!$D$10*AM943^3+BMILMS!$E$10*AM943^2+BMILMS!$F$10*AM943+BMILMS!$G$10,BMILMS!$D$11*AM943^3+BMILMS!$E$11*AM943^2+BMILMS!$F$11*AM943+BMILMS!$G$11)))</f>
        <v>0.79584630099999998</v>
      </c>
      <c r="AK943" s="4">
        <f>IF(D943="M",(IF(AM943&lt;2.5,BMILMS!$D$21*AM943^3+BMILMS!$E$21*AM943^2+BMILMS!$F$21*AM943+BMILMS!$G$21,IF(AM943&lt;9.5,BMILMS!$D$22*AM943^3+BMILMS!$E$22*AM943^2+BMILMS!$F$22*AM943+BMILMS!$G$22,IF(AM943&lt;26.75,BMILMS!$D$23*AM943^3+BMILMS!$E$23*AM943^2+BMILMS!$F$23*AM943+BMILMS!$G$23,IF(AM943&lt;90,BMILMS!$D$24*AM943^3+BMILMS!$E$24*AM943^2+BMILMS!$F$24*AM943+BMILMS!$G$24,BMILMS!$D$25*AM943^3+BMILMS!$E$25*AM943^2+BMILMS!$F$25*AM943+BMILMS!$G$25))))),(IF(AM943&lt;2.5,BMILMS!$D$27*AM943^3+BMILMS!$E$27*AM943^2+BMILMS!$F$27*AM943+BMILMS!$G$27,IF(AM943&lt;9.5,BMILMS!$D$28*AM943^3+BMILMS!$E$28*AM943^2+BMILMS!$F$28*AM943+BMILMS!$G$28,IF(AM943&lt;26.75,BMILMS!$D$29*AM943^3+BMILMS!$E$29*AM943^2+BMILMS!$F$29*AM943+BMILMS!$G$29,IF(AM943&lt;90,BMILMS!$D$30*AM943^3+BMILMS!$E$30*AM943^2+BMILMS!$F$30*AM943+BMILMS!$G$30,IF(AM943&lt;150,BMILMS!$D$31*AM943^3+BMILMS!$E$31*AM943^2+BMILMS!$F$31*AM943+BMILMS!$G$31,BMILMS!$D$32*AM943^3+BMILMS!$E$32*AM943^2+BMILMS!$F$32*AM943+BMILMS!$G$32)))))))</f>
        <v>12.568967990000001</v>
      </c>
      <c r="AL943" s="4">
        <f>IF(D943="M",(IF(AM943&lt;90,BMILMS!$D$14*AM943^3+BMILMS!$E$14*AM943^2+BMILMS!$F$14*AM943+BMILMS!$G$14,BMILMS!$D$15*AM943^3+BMILMS!$E$15*AM943^2+BMILMS!$F$15*AM943+BMILMS!$G$15)),(IF(AM943&lt;90,BMILMS!$D$17*AM943^3+BMILMS!$E$17*AM943^2+BMILMS!$F$17*AM943+BMILMS!$G$17,BMILMS!$D$18*AM943^3+BMILMS!$E$18*AM943^2+BMILMS!$F$18*AM943+BMILMS!$G$18)))</f>
        <v>8.8969350000000003E-2</v>
      </c>
      <c r="AM943" s="4">
        <f t="shared" si="314"/>
        <v>0</v>
      </c>
      <c r="AO943" s="56">
        <f>IF(D943="M",WeightSDS!P$5*$AM943^7+WeightSDS!Q$5*$AM943^6+WeightSDS!R$5*$AM943^5+WeightSDS!S$5*$AM943^4+WeightSDS!T$5*$AM943^3+WeightSDS!U$5*$AM943^2+WeightSDS!V$5*$AM943+WeightSDS!W$5,IF($AM943&lt;186,WeightSDS!P$8*$AM943^7+WeightSDS!Q$8*$AM943^6+WeightSDS!R$8*$AM943^5+WeightSDS!S$8*$AM943^4+WeightSDS!T$8*$AM943^3+WeightSDS!U$8*$AM943^2+WeightSDS!V$8*$AM943+WeightSDS!W$8,WeightSDS!$U$9+WeightSDS!$V$9*($AM943-WeightSDS!$W$9)))</f>
        <v>0.75407122999999998</v>
      </c>
      <c r="AP943" s="4">
        <f>IF(D943="M",IF($AM943&lt;45,WeightSDS!M$23*$AM943^10+WeightSDS!N$23*$AM943^9+WeightSDS!O$23*$AM943^8+WeightSDS!P$23*$AM943^7+WeightSDS!Q$23*$AM943^6+WeightSDS!R$23*$AM943^5+WeightSDS!S$23*$AM943^4+WeightSDS!T$23*$AM943^3+WeightSDS!U$23*$AM943^2+WeightSDS!V$23*$AM943+WeightSDS!W$23,IF($AM943&lt;153,WeightSDS!M$25*$AM943^10+WeightSDS!N$25*$AM943^9+WeightSDS!O$25*$AM943^8+WeightSDS!P$25*$AM943^7+WeightSDS!Q$25*$AM943^6+WeightSDS!R$25*$AM943^5+WeightSDS!S$25*$AM943^4+WeightSDS!T$25*$AM943^3+WeightSDS!U$25*$AM943^2+WeightSDS!V$25*$AM943+WeightSDS!W$25,WeightSDS!M$27+WeightSDS!N$27/(1+EXP(WeightSDS!O$27+WeightSDS!P$27*$AM943)))),IF($AM943&lt;43.8,WeightSDS!M$29*$AM943^10+WeightSDS!N$29*$AM943^9+WeightSDS!O$29*$AM943^8+WeightSDS!P$29*$AM943^7+WeightSDS!Q$29*$AM943^6+WeightSDS!R$29*$AM943^5+WeightSDS!S$29*$AM943^4+WeightSDS!T$29*$AM943^3+WeightSDS!U$29*$AM943^2+WeightSDS!V$29*$AM943+WeightSDS!W$29-0.010431*(1-$AM943/210),IF($AM943&lt;123,WeightSDS!M$30*$AM943^10+WeightSDS!N$30*$AM943^9+WeightSDS!O$30*$AM943^8+WeightSDS!P$30*$AM943^7+WeightSDS!Q$30*$AM943^6+WeightSDS!R$30*$AM943^5+WeightSDS!S$30*$AM943^4+WeightSDS!T$30*$AM943^3+WeightSDS!U$30*$AM943^2+WeightSDS!V$30*$AM943+WeightSDS!W$30-0.010431*(1-1/$AM943),WeightSDS!M$32+WeightSDS!N$32/(1+EXP(WeightSDS!O$32+WeightSDS!P$32*$AM943))-0.010431*(1-$AM943/210))))</f>
        <v>2.9500001032655536</v>
      </c>
      <c r="AQ943" s="4">
        <f>IF(D943="M",IF($AM943&lt;162,WeightSDS!P$12*$AM943^7+WeightSDS!Q$12*$AM943^6+WeightSDS!R$12*$AM943^5+WeightSDS!S$12*$AM943^4+WeightSDS!T$12*$AM943^3+WeightSDS!U$12*$AM943^2+WeightSDS!V$12*$AM943+WeightSDS!W$12,WeightSDS!P$14*$AM943^7+WeightSDS!Q$14*$AM943^6+WeightSDS!R$14*$AM943^5+WeightSDS!S$14*$AM943^4+WeightSDS!T$14*$AM943^3+WeightSDS!U$14*$AM943^2+WeightSDS!V$14*$AM943+WeightSDS!W$14),IF($AM943&lt;156,WeightSDS!O$17*$AM943^8+WeightSDS!P$17*$AM943^7+WeightSDS!Q$17*$AM943^6+WeightSDS!R$17*$AM943^5+WeightSDS!S$17*$AM943^4+WeightSDS!T$17*$AM943^3+WeightSDS!U$17*$AM943^2+WeightSDS!V$17*$AM943+WeightSDS!W$17,IF($AM943&lt;186,WeightSDS!$U$18+(WeightSDS!$V$18-WeightSDS!$U$18)/24*($AM943-186)+WeightSDS!$W$18*(-$AM943+186)^2-0.005,WeightSDS!$U$18+(WeightSDS!$V$18-WeightSDS!$U$18)/24*($AM943-186)-0.005)))</f>
        <v>0.14604529399999999</v>
      </c>
      <c r="AT943" s="4">
        <f t="shared" si="301"/>
        <v>0.56299999999999994</v>
      </c>
      <c r="AU943" s="4">
        <f t="shared" si="302"/>
        <v>69</v>
      </c>
      <c r="AV943" s="4">
        <f t="shared" si="303"/>
        <v>0.51</v>
      </c>
    </row>
    <row r="944" spans="1:48" x14ac:dyDescent="0.15">
      <c r="A944" s="4"/>
      <c r="B944" s="21"/>
      <c r="C944" s="21"/>
      <c r="D944" s="21"/>
      <c r="E944" s="22"/>
      <c r="F944" s="22"/>
      <c r="G944" s="23"/>
      <c r="H944" s="23"/>
      <c r="I944" s="181"/>
      <c r="J944" s="8" t="str">
        <f t="shared" si="295"/>
        <v/>
      </c>
      <c r="K944" s="2" t="str">
        <f t="shared" si="304"/>
        <v/>
      </c>
      <c r="L944" s="2" t="str">
        <f t="shared" si="296"/>
        <v/>
      </c>
      <c r="M944" s="2" t="str">
        <f t="shared" si="305"/>
        <v/>
      </c>
      <c r="N944" s="2" t="str">
        <f t="shared" si="313"/>
        <v/>
      </c>
      <c r="O944" s="2" t="str">
        <f t="shared" si="306"/>
        <v/>
      </c>
      <c r="P944" s="8" t="str">
        <f t="shared" si="307"/>
        <v/>
      </c>
      <c r="Q944" s="8" t="str">
        <f t="shared" si="308"/>
        <v/>
      </c>
      <c r="R944" s="111" t="str">
        <f t="shared" si="309"/>
        <v/>
      </c>
      <c r="S944" s="44" t="str">
        <f t="shared" si="310"/>
        <v/>
      </c>
      <c r="T944" s="37" t="str">
        <f t="shared" si="311"/>
        <v/>
      </c>
      <c r="U944" s="44" t="str">
        <f t="shared" si="312"/>
        <v/>
      </c>
      <c r="V944" s="26"/>
      <c r="W944" s="26"/>
      <c r="X944" s="26"/>
      <c r="Y944" s="26"/>
      <c r="Z944" s="24"/>
      <c r="AA944" s="169">
        <f t="shared" si="297"/>
        <v>0</v>
      </c>
      <c r="AB944" s="4">
        <f t="shared" si="298"/>
        <v>0</v>
      </c>
      <c r="AC944" s="170">
        <f t="shared" si="315"/>
        <v>0</v>
      </c>
      <c r="AD944" s="58"/>
      <c r="AE944" s="58"/>
      <c r="AF944" s="58"/>
      <c r="AG944" s="59">
        <f t="shared" si="299"/>
        <v>9.0359999999999996</v>
      </c>
      <c r="AH944" s="59">
        <f t="shared" si="300"/>
        <v>-184.49199999999999</v>
      </c>
      <c r="AJ944" s="4">
        <f>IF(D944="M",IF(AM944&lt;78,BMILMS!$D$5*AM944^3+BMILMS!$E$5*AM944^2+BMILMS!$F$5*AM944+BMILMS!$G$5,IF(AM944&lt;150,BMILMS!$D$6*AM944^3+BMILMS!$E$6*AM944^2+BMILMS!$F$6*AM944+BMILMS!$G$6,BMILMS!$D$7*AM944^3+BMILMS!$E$7*AM944^2+BMILMS!$F$7*AM944+BMILMS!$G$7)),IF(AM944&lt;69,BMILMS!$D$9*AM944^3+BMILMS!$E$9*AM944^2+BMILMS!$F$9*AM944+BMILMS!$G$9,IF(AM944&lt;150,BMILMS!$D$10*AM944^3+BMILMS!$E$10*AM944^2+BMILMS!$F$10*AM944+BMILMS!$G$10,BMILMS!$D$11*AM944^3+BMILMS!$E$11*AM944^2+BMILMS!$F$11*AM944+BMILMS!$G$11)))</f>
        <v>0.79584630099999998</v>
      </c>
      <c r="AK944" s="4">
        <f>IF(D944="M",(IF(AM944&lt;2.5,BMILMS!$D$21*AM944^3+BMILMS!$E$21*AM944^2+BMILMS!$F$21*AM944+BMILMS!$G$21,IF(AM944&lt;9.5,BMILMS!$D$22*AM944^3+BMILMS!$E$22*AM944^2+BMILMS!$F$22*AM944+BMILMS!$G$22,IF(AM944&lt;26.75,BMILMS!$D$23*AM944^3+BMILMS!$E$23*AM944^2+BMILMS!$F$23*AM944+BMILMS!$G$23,IF(AM944&lt;90,BMILMS!$D$24*AM944^3+BMILMS!$E$24*AM944^2+BMILMS!$F$24*AM944+BMILMS!$G$24,BMILMS!$D$25*AM944^3+BMILMS!$E$25*AM944^2+BMILMS!$F$25*AM944+BMILMS!$G$25))))),(IF(AM944&lt;2.5,BMILMS!$D$27*AM944^3+BMILMS!$E$27*AM944^2+BMILMS!$F$27*AM944+BMILMS!$G$27,IF(AM944&lt;9.5,BMILMS!$D$28*AM944^3+BMILMS!$E$28*AM944^2+BMILMS!$F$28*AM944+BMILMS!$G$28,IF(AM944&lt;26.75,BMILMS!$D$29*AM944^3+BMILMS!$E$29*AM944^2+BMILMS!$F$29*AM944+BMILMS!$G$29,IF(AM944&lt;90,BMILMS!$D$30*AM944^3+BMILMS!$E$30*AM944^2+BMILMS!$F$30*AM944+BMILMS!$G$30,IF(AM944&lt;150,BMILMS!$D$31*AM944^3+BMILMS!$E$31*AM944^2+BMILMS!$F$31*AM944+BMILMS!$G$31,BMILMS!$D$32*AM944^3+BMILMS!$E$32*AM944^2+BMILMS!$F$32*AM944+BMILMS!$G$32)))))))</f>
        <v>12.568967990000001</v>
      </c>
      <c r="AL944" s="4">
        <f>IF(D944="M",(IF(AM944&lt;90,BMILMS!$D$14*AM944^3+BMILMS!$E$14*AM944^2+BMILMS!$F$14*AM944+BMILMS!$G$14,BMILMS!$D$15*AM944^3+BMILMS!$E$15*AM944^2+BMILMS!$F$15*AM944+BMILMS!$G$15)),(IF(AM944&lt;90,BMILMS!$D$17*AM944^3+BMILMS!$E$17*AM944^2+BMILMS!$F$17*AM944+BMILMS!$G$17,BMILMS!$D$18*AM944^3+BMILMS!$E$18*AM944^2+BMILMS!$F$18*AM944+BMILMS!$G$18)))</f>
        <v>8.8969350000000003E-2</v>
      </c>
      <c r="AM944" s="4">
        <f t="shared" si="314"/>
        <v>0</v>
      </c>
      <c r="AO944" s="56">
        <f>IF(D944="M",WeightSDS!P$5*$AM944^7+WeightSDS!Q$5*$AM944^6+WeightSDS!R$5*$AM944^5+WeightSDS!S$5*$AM944^4+WeightSDS!T$5*$AM944^3+WeightSDS!U$5*$AM944^2+WeightSDS!V$5*$AM944+WeightSDS!W$5,IF($AM944&lt;186,WeightSDS!P$8*$AM944^7+WeightSDS!Q$8*$AM944^6+WeightSDS!R$8*$AM944^5+WeightSDS!S$8*$AM944^4+WeightSDS!T$8*$AM944^3+WeightSDS!U$8*$AM944^2+WeightSDS!V$8*$AM944+WeightSDS!W$8,WeightSDS!$U$9+WeightSDS!$V$9*($AM944-WeightSDS!$W$9)))</f>
        <v>0.75407122999999998</v>
      </c>
      <c r="AP944" s="4">
        <f>IF(D944="M",IF($AM944&lt;45,WeightSDS!M$23*$AM944^10+WeightSDS!N$23*$AM944^9+WeightSDS!O$23*$AM944^8+WeightSDS!P$23*$AM944^7+WeightSDS!Q$23*$AM944^6+WeightSDS!R$23*$AM944^5+WeightSDS!S$23*$AM944^4+WeightSDS!T$23*$AM944^3+WeightSDS!U$23*$AM944^2+WeightSDS!V$23*$AM944+WeightSDS!W$23,IF($AM944&lt;153,WeightSDS!M$25*$AM944^10+WeightSDS!N$25*$AM944^9+WeightSDS!O$25*$AM944^8+WeightSDS!P$25*$AM944^7+WeightSDS!Q$25*$AM944^6+WeightSDS!R$25*$AM944^5+WeightSDS!S$25*$AM944^4+WeightSDS!T$25*$AM944^3+WeightSDS!U$25*$AM944^2+WeightSDS!V$25*$AM944+WeightSDS!W$25,WeightSDS!M$27+WeightSDS!N$27/(1+EXP(WeightSDS!O$27+WeightSDS!P$27*$AM944)))),IF($AM944&lt;43.8,WeightSDS!M$29*$AM944^10+WeightSDS!N$29*$AM944^9+WeightSDS!O$29*$AM944^8+WeightSDS!P$29*$AM944^7+WeightSDS!Q$29*$AM944^6+WeightSDS!R$29*$AM944^5+WeightSDS!S$29*$AM944^4+WeightSDS!T$29*$AM944^3+WeightSDS!U$29*$AM944^2+WeightSDS!V$29*$AM944+WeightSDS!W$29-0.010431*(1-$AM944/210),IF($AM944&lt;123,WeightSDS!M$30*$AM944^10+WeightSDS!N$30*$AM944^9+WeightSDS!O$30*$AM944^8+WeightSDS!P$30*$AM944^7+WeightSDS!Q$30*$AM944^6+WeightSDS!R$30*$AM944^5+WeightSDS!S$30*$AM944^4+WeightSDS!T$30*$AM944^3+WeightSDS!U$30*$AM944^2+WeightSDS!V$30*$AM944+WeightSDS!W$30-0.010431*(1-1/$AM944),WeightSDS!M$32+WeightSDS!N$32/(1+EXP(WeightSDS!O$32+WeightSDS!P$32*$AM944))-0.010431*(1-$AM944/210))))</f>
        <v>2.9500001032655536</v>
      </c>
      <c r="AQ944" s="4">
        <f>IF(D944="M",IF($AM944&lt;162,WeightSDS!P$12*$AM944^7+WeightSDS!Q$12*$AM944^6+WeightSDS!R$12*$AM944^5+WeightSDS!S$12*$AM944^4+WeightSDS!T$12*$AM944^3+WeightSDS!U$12*$AM944^2+WeightSDS!V$12*$AM944+WeightSDS!W$12,WeightSDS!P$14*$AM944^7+WeightSDS!Q$14*$AM944^6+WeightSDS!R$14*$AM944^5+WeightSDS!S$14*$AM944^4+WeightSDS!T$14*$AM944^3+WeightSDS!U$14*$AM944^2+WeightSDS!V$14*$AM944+WeightSDS!W$14),IF($AM944&lt;156,WeightSDS!O$17*$AM944^8+WeightSDS!P$17*$AM944^7+WeightSDS!Q$17*$AM944^6+WeightSDS!R$17*$AM944^5+WeightSDS!S$17*$AM944^4+WeightSDS!T$17*$AM944^3+WeightSDS!U$17*$AM944^2+WeightSDS!V$17*$AM944+WeightSDS!W$17,IF($AM944&lt;186,WeightSDS!$U$18+(WeightSDS!$V$18-WeightSDS!$U$18)/24*($AM944-186)+WeightSDS!$W$18*(-$AM944+186)^2-0.005,WeightSDS!$U$18+(WeightSDS!$V$18-WeightSDS!$U$18)/24*($AM944-186)-0.005)))</f>
        <v>0.14604529399999999</v>
      </c>
      <c r="AT944" s="4">
        <f t="shared" si="301"/>
        <v>0.56299999999999994</v>
      </c>
      <c r="AU944" s="4">
        <f t="shared" si="302"/>
        <v>69</v>
      </c>
      <c r="AV944" s="4">
        <f t="shared" si="303"/>
        <v>0.51</v>
      </c>
    </row>
    <row r="945" spans="1:48" x14ac:dyDescent="0.15">
      <c r="A945" s="4"/>
      <c r="B945" s="21"/>
      <c r="C945" s="21"/>
      <c r="D945" s="21"/>
      <c r="E945" s="22"/>
      <c r="F945" s="22"/>
      <c r="G945" s="23"/>
      <c r="H945" s="23"/>
      <c r="I945" s="181"/>
      <c r="J945" s="8" t="str">
        <f t="shared" si="295"/>
        <v/>
      </c>
      <c r="K945" s="2" t="str">
        <f t="shared" si="304"/>
        <v/>
      </c>
      <c r="L945" s="2" t="str">
        <f t="shared" si="296"/>
        <v/>
      </c>
      <c r="M945" s="2" t="str">
        <f t="shared" si="305"/>
        <v/>
      </c>
      <c r="N945" s="2" t="str">
        <f t="shared" si="313"/>
        <v/>
      </c>
      <c r="O945" s="2" t="str">
        <f t="shared" si="306"/>
        <v/>
      </c>
      <c r="P945" s="8" t="str">
        <f t="shared" si="307"/>
        <v/>
      </c>
      <c r="Q945" s="8" t="str">
        <f t="shared" si="308"/>
        <v/>
      </c>
      <c r="R945" s="111" t="str">
        <f t="shared" si="309"/>
        <v/>
      </c>
      <c r="S945" s="44" t="str">
        <f t="shared" si="310"/>
        <v/>
      </c>
      <c r="T945" s="37" t="str">
        <f t="shared" si="311"/>
        <v/>
      </c>
      <c r="U945" s="44" t="str">
        <f t="shared" si="312"/>
        <v/>
      </c>
      <c r="V945" s="26"/>
      <c r="W945" s="26"/>
      <c r="X945" s="26"/>
      <c r="Y945" s="26"/>
      <c r="Z945" s="24"/>
      <c r="AA945" s="169">
        <f t="shared" si="297"/>
        <v>0</v>
      </c>
      <c r="AB945" s="4">
        <f t="shared" si="298"/>
        <v>0</v>
      </c>
      <c r="AC945" s="170">
        <f t="shared" si="315"/>
        <v>0</v>
      </c>
      <c r="AD945" s="58"/>
      <c r="AE945" s="58"/>
      <c r="AF945" s="58"/>
      <c r="AG945" s="59">
        <f t="shared" si="299"/>
        <v>9.0359999999999996</v>
      </c>
      <c r="AH945" s="59">
        <f t="shared" si="300"/>
        <v>-184.49199999999999</v>
      </c>
      <c r="AJ945" s="4">
        <f>IF(D945="M",IF(AM945&lt;78,BMILMS!$D$5*AM945^3+BMILMS!$E$5*AM945^2+BMILMS!$F$5*AM945+BMILMS!$G$5,IF(AM945&lt;150,BMILMS!$D$6*AM945^3+BMILMS!$E$6*AM945^2+BMILMS!$F$6*AM945+BMILMS!$G$6,BMILMS!$D$7*AM945^3+BMILMS!$E$7*AM945^2+BMILMS!$F$7*AM945+BMILMS!$G$7)),IF(AM945&lt;69,BMILMS!$D$9*AM945^3+BMILMS!$E$9*AM945^2+BMILMS!$F$9*AM945+BMILMS!$G$9,IF(AM945&lt;150,BMILMS!$D$10*AM945^3+BMILMS!$E$10*AM945^2+BMILMS!$F$10*AM945+BMILMS!$G$10,BMILMS!$D$11*AM945^3+BMILMS!$E$11*AM945^2+BMILMS!$F$11*AM945+BMILMS!$G$11)))</f>
        <v>0.79584630099999998</v>
      </c>
      <c r="AK945" s="4">
        <f>IF(D945="M",(IF(AM945&lt;2.5,BMILMS!$D$21*AM945^3+BMILMS!$E$21*AM945^2+BMILMS!$F$21*AM945+BMILMS!$G$21,IF(AM945&lt;9.5,BMILMS!$D$22*AM945^3+BMILMS!$E$22*AM945^2+BMILMS!$F$22*AM945+BMILMS!$G$22,IF(AM945&lt;26.75,BMILMS!$D$23*AM945^3+BMILMS!$E$23*AM945^2+BMILMS!$F$23*AM945+BMILMS!$G$23,IF(AM945&lt;90,BMILMS!$D$24*AM945^3+BMILMS!$E$24*AM945^2+BMILMS!$F$24*AM945+BMILMS!$G$24,BMILMS!$D$25*AM945^3+BMILMS!$E$25*AM945^2+BMILMS!$F$25*AM945+BMILMS!$G$25))))),(IF(AM945&lt;2.5,BMILMS!$D$27*AM945^3+BMILMS!$E$27*AM945^2+BMILMS!$F$27*AM945+BMILMS!$G$27,IF(AM945&lt;9.5,BMILMS!$D$28*AM945^3+BMILMS!$E$28*AM945^2+BMILMS!$F$28*AM945+BMILMS!$G$28,IF(AM945&lt;26.75,BMILMS!$D$29*AM945^3+BMILMS!$E$29*AM945^2+BMILMS!$F$29*AM945+BMILMS!$G$29,IF(AM945&lt;90,BMILMS!$D$30*AM945^3+BMILMS!$E$30*AM945^2+BMILMS!$F$30*AM945+BMILMS!$G$30,IF(AM945&lt;150,BMILMS!$D$31*AM945^3+BMILMS!$E$31*AM945^2+BMILMS!$F$31*AM945+BMILMS!$G$31,BMILMS!$D$32*AM945^3+BMILMS!$E$32*AM945^2+BMILMS!$F$32*AM945+BMILMS!$G$32)))))))</f>
        <v>12.568967990000001</v>
      </c>
      <c r="AL945" s="4">
        <f>IF(D945="M",(IF(AM945&lt;90,BMILMS!$D$14*AM945^3+BMILMS!$E$14*AM945^2+BMILMS!$F$14*AM945+BMILMS!$G$14,BMILMS!$D$15*AM945^3+BMILMS!$E$15*AM945^2+BMILMS!$F$15*AM945+BMILMS!$G$15)),(IF(AM945&lt;90,BMILMS!$D$17*AM945^3+BMILMS!$E$17*AM945^2+BMILMS!$F$17*AM945+BMILMS!$G$17,BMILMS!$D$18*AM945^3+BMILMS!$E$18*AM945^2+BMILMS!$F$18*AM945+BMILMS!$G$18)))</f>
        <v>8.8969350000000003E-2</v>
      </c>
      <c r="AM945" s="4">
        <f t="shared" si="314"/>
        <v>0</v>
      </c>
      <c r="AO945" s="56">
        <f>IF(D945="M",WeightSDS!P$5*$AM945^7+WeightSDS!Q$5*$AM945^6+WeightSDS!R$5*$AM945^5+WeightSDS!S$5*$AM945^4+WeightSDS!T$5*$AM945^3+WeightSDS!U$5*$AM945^2+WeightSDS!V$5*$AM945+WeightSDS!W$5,IF($AM945&lt;186,WeightSDS!P$8*$AM945^7+WeightSDS!Q$8*$AM945^6+WeightSDS!R$8*$AM945^5+WeightSDS!S$8*$AM945^4+WeightSDS!T$8*$AM945^3+WeightSDS!U$8*$AM945^2+WeightSDS!V$8*$AM945+WeightSDS!W$8,WeightSDS!$U$9+WeightSDS!$V$9*($AM945-WeightSDS!$W$9)))</f>
        <v>0.75407122999999998</v>
      </c>
      <c r="AP945" s="4">
        <f>IF(D945="M",IF($AM945&lt;45,WeightSDS!M$23*$AM945^10+WeightSDS!N$23*$AM945^9+WeightSDS!O$23*$AM945^8+WeightSDS!P$23*$AM945^7+WeightSDS!Q$23*$AM945^6+WeightSDS!R$23*$AM945^5+WeightSDS!S$23*$AM945^4+WeightSDS!T$23*$AM945^3+WeightSDS!U$23*$AM945^2+WeightSDS!V$23*$AM945+WeightSDS!W$23,IF($AM945&lt;153,WeightSDS!M$25*$AM945^10+WeightSDS!N$25*$AM945^9+WeightSDS!O$25*$AM945^8+WeightSDS!P$25*$AM945^7+WeightSDS!Q$25*$AM945^6+WeightSDS!R$25*$AM945^5+WeightSDS!S$25*$AM945^4+WeightSDS!T$25*$AM945^3+WeightSDS!U$25*$AM945^2+WeightSDS!V$25*$AM945+WeightSDS!W$25,WeightSDS!M$27+WeightSDS!N$27/(1+EXP(WeightSDS!O$27+WeightSDS!P$27*$AM945)))),IF($AM945&lt;43.8,WeightSDS!M$29*$AM945^10+WeightSDS!N$29*$AM945^9+WeightSDS!O$29*$AM945^8+WeightSDS!P$29*$AM945^7+WeightSDS!Q$29*$AM945^6+WeightSDS!R$29*$AM945^5+WeightSDS!S$29*$AM945^4+WeightSDS!T$29*$AM945^3+WeightSDS!U$29*$AM945^2+WeightSDS!V$29*$AM945+WeightSDS!W$29-0.010431*(1-$AM945/210),IF($AM945&lt;123,WeightSDS!M$30*$AM945^10+WeightSDS!N$30*$AM945^9+WeightSDS!O$30*$AM945^8+WeightSDS!P$30*$AM945^7+WeightSDS!Q$30*$AM945^6+WeightSDS!R$30*$AM945^5+WeightSDS!S$30*$AM945^4+WeightSDS!T$30*$AM945^3+WeightSDS!U$30*$AM945^2+WeightSDS!V$30*$AM945+WeightSDS!W$30-0.010431*(1-1/$AM945),WeightSDS!M$32+WeightSDS!N$32/(1+EXP(WeightSDS!O$32+WeightSDS!P$32*$AM945))-0.010431*(1-$AM945/210))))</f>
        <v>2.9500001032655536</v>
      </c>
      <c r="AQ945" s="4">
        <f>IF(D945="M",IF($AM945&lt;162,WeightSDS!P$12*$AM945^7+WeightSDS!Q$12*$AM945^6+WeightSDS!R$12*$AM945^5+WeightSDS!S$12*$AM945^4+WeightSDS!T$12*$AM945^3+WeightSDS!U$12*$AM945^2+WeightSDS!V$12*$AM945+WeightSDS!W$12,WeightSDS!P$14*$AM945^7+WeightSDS!Q$14*$AM945^6+WeightSDS!R$14*$AM945^5+WeightSDS!S$14*$AM945^4+WeightSDS!T$14*$AM945^3+WeightSDS!U$14*$AM945^2+WeightSDS!V$14*$AM945+WeightSDS!W$14),IF($AM945&lt;156,WeightSDS!O$17*$AM945^8+WeightSDS!P$17*$AM945^7+WeightSDS!Q$17*$AM945^6+WeightSDS!R$17*$AM945^5+WeightSDS!S$17*$AM945^4+WeightSDS!T$17*$AM945^3+WeightSDS!U$17*$AM945^2+WeightSDS!V$17*$AM945+WeightSDS!W$17,IF($AM945&lt;186,WeightSDS!$U$18+(WeightSDS!$V$18-WeightSDS!$U$18)/24*($AM945-186)+WeightSDS!$W$18*(-$AM945+186)^2-0.005,WeightSDS!$U$18+(WeightSDS!$V$18-WeightSDS!$U$18)/24*($AM945-186)-0.005)))</f>
        <v>0.14604529399999999</v>
      </c>
      <c r="AT945" s="4">
        <f t="shared" si="301"/>
        <v>0.56299999999999994</v>
      </c>
      <c r="AU945" s="4">
        <f t="shared" si="302"/>
        <v>69</v>
      </c>
      <c r="AV945" s="4">
        <f t="shared" si="303"/>
        <v>0.51</v>
      </c>
    </row>
    <row r="946" spans="1:48" x14ac:dyDescent="0.15">
      <c r="A946" s="4"/>
      <c r="B946" s="21"/>
      <c r="C946" s="21"/>
      <c r="D946" s="21"/>
      <c r="E946" s="22"/>
      <c r="F946" s="22"/>
      <c r="G946" s="23"/>
      <c r="H946" s="23"/>
      <c r="I946" s="181"/>
      <c r="J946" s="8" t="str">
        <f t="shared" si="295"/>
        <v/>
      </c>
      <c r="K946" s="2" t="str">
        <f t="shared" si="304"/>
        <v/>
      </c>
      <c r="L946" s="2" t="str">
        <f t="shared" si="296"/>
        <v/>
      </c>
      <c r="M946" s="2" t="str">
        <f t="shared" si="305"/>
        <v/>
      </c>
      <c r="N946" s="2" t="str">
        <f t="shared" si="313"/>
        <v/>
      </c>
      <c r="O946" s="2" t="str">
        <f t="shared" si="306"/>
        <v/>
      </c>
      <c r="P946" s="8" t="str">
        <f t="shared" si="307"/>
        <v/>
      </c>
      <c r="Q946" s="8" t="str">
        <f t="shared" si="308"/>
        <v/>
      </c>
      <c r="R946" s="111" t="str">
        <f t="shared" si="309"/>
        <v/>
      </c>
      <c r="S946" s="44" t="str">
        <f t="shared" si="310"/>
        <v/>
      </c>
      <c r="T946" s="37" t="str">
        <f t="shared" si="311"/>
        <v/>
      </c>
      <c r="U946" s="44" t="str">
        <f t="shared" si="312"/>
        <v/>
      </c>
      <c r="V946" s="26"/>
      <c r="W946" s="26"/>
      <c r="X946" s="26"/>
      <c r="Y946" s="26"/>
      <c r="Z946" s="24"/>
      <c r="AA946" s="169">
        <f t="shared" si="297"/>
        <v>0</v>
      </c>
      <c r="AB946" s="4">
        <f t="shared" si="298"/>
        <v>0</v>
      </c>
      <c r="AC946" s="170">
        <f t="shared" si="315"/>
        <v>0</v>
      </c>
      <c r="AD946" s="58"/>
      <c r="AE946" s="58"/>
      <c r="AF946" s="58"/>
      <c r="AG946" s="59">
        <f t="shared" si="299"/>
        <v>9.0359999999999996</v>
      </c>
      <c r="AH946" s="59">
        <f t="shared" si="300"/>
        <v>-184.49199999999999</v>
      </c>
      <c r="AJ946" s="4">
        <f>IF(D946="M",IF(AM946&lt;78,BMILMS!$D$5*AM946^3+BMILMS!$E$5*AM946^2+BMILMS!$F$5*AM946+BMILMS!$G$5,IF(AM946&lt;150,BMILMS!$D$6*AM946^3+BMILMS!$E$6*AM946^2+BMILMS!$F$6*AM946+BMILMS!$G$6,BMILMS!$D$7*AM946^3+BMILMS!$E$7*AM946^2+BMILMS!$F$7*AM946+BMILMS!$G$7)),IF(AM946&lt;69,BMILMS!$D$9*AM946^3+BMILMS!$E$9*AM946^2+BMILMS!$F$9*AM946+BMILMS!$G$9,IF(AM946&lt;150,BMILMS!$D$10*AM946^3+BMILMS!$E$10*AM946^2+BMILMS!$F$10*AM946+BMILMS!$G$10,BMILMS!$D$11*AM946^3+BMILMS!$E$11*AM946^2+BMILMS!$F$11*AM946+BMILMS!$G$11)))</f>
        <v>0.79584630099999998</v>
      </c>
      <c r="AK946" s="4">
        <f>IF(D946="M",(IF(AM946&lt;2.5,BMILMS!$D$21*AM946^3+BMILMS!$E$21*AM946^2+BMILMS!$F$21*AM946+BMILMS!$G$21,IF(AM946&lt;9.5,BMILMS!$D$22*AM946^3+BMILMS!$E$22*AM946^2+BMILMS!$F$22*AM946+BMILMS!$G$22,IF(AM946&lt;26.75,BMILMS!$D$23*AM946^3+BMILMS!$E$23*AM946^2+BMILMS!$F$23*AM946+BMILMS!$G$23,IF(AM946&lt;90,BMILMS!$D$24*AM946^3+BMILMS!$E$24*AM946^2+BMILMS!$F$24*AM946+BMILMS!$G$24,BMILMS!$D$25*AM946^3+BMILMS!$E$25*AM946^2+BMILMS!$F$25*AM946+BMILMS!$G$25))))),(IF(AM946&lt;2.5,BMILMS!$D$27*AM946^3+BMILMS!$E$27*AM946^2+BMILMS!$F$27*AM946+BMILMS!$G$27,IF(AM946&lt;9.5,BMILMS!$D$28*AM946^3+BMILMS!$E$28*AM946^2+BMILMS!$F$28*AM946+BMILMS!$G$28,IF(AM946&lt;26.75,BMILMS!$D$29*AM946^3+BMILMS!$E$29*AM946^2+BMILMS!$F$29*AM946+BMILMS!$G$29,IF(AM946&lt;90,BMILMS!$D$30*AM946^3+BMILMS!$E$30*AM946^2+BMILMS!$F$30*AM946+BMILMS!$G$30,IF(AM946&lt;150,BMILMS!$D$31*AM946^3+BMILMS!$E$31*AM946^2+BMILMS!$F$31*AM946+BMILMS!$G$31,BMILMS!$D$32*AM946^3+BMILMS!$E$32*AM946^2+BMILMS!$F$32*AM946+BMILMS!$G$32)))))))</f>
        <v>12.568967990000001</v>
      </c>
      <c r="AL946" s="4">
        <f>IF(D946="M",(IF(AM946&lt;90,BMILMS!$D$14*AM946^3+BMILMS!$E$14*AM946^2+BMILMS!$F$14*AM946+BMILMS!$G$14,BMILMS!$D$15*AM946^3+BMILMS!$E$15*AM946^2+BMILMS!$F$15*AM946+BMILMS!$G$15)),(IF(AM946&lt;90,BMILMS!$D$17*AM946^3+BMILMS!$E$17*AM946^2+BMILMS!$F$17*AM946+BMILMS!$G$17,BMILMS!$D$18*AM946^3+BMILMS!$E$18*AM946^2+BMILMS!$F$18*AM946+BMILMS!$G$18)))</f>
        <v>8.8969350000000003E-2</v>
      </c>
      <c r="AM946" s="4">
        <f t="shared" si="314"/>
        <v>0</v>
      </c>
      <c r="AO946" s="56">
        <f>IF(D946="M",WeightSDS!P$5*$AM946^7+WeightSDS!Q$5*$AM946^6+WeightSDS!R$5*$AM946^5+WeightSDS!S$5*$AM946^4+WeightSDS!T$5*$AM946^3+WeightSDS!U$5*$AM946^2+WeightSDS!V$5*$AM946+WeightSDS!W$5,IF($AM946&lt;186,WeightSDS!P$8*$AM946^7+WeightSDS!Q$8*$AM946^6+WeightSDS!R$8*$AM946^5+WeightSDS!S$8*$AM946^4+WeightSDS!T$8*$AM946^3+WeightSDS!U$8*$AM946^2+WeightSDS!V$8*$AM946+WeightSDS!W$8,WeightSDS!$U$9+WeightSDS!$V$9*($AM946-WeightSDS!$W$9)))</f>
        <v>0.75407122999999998</v>
      </c>
      <c r="AP946" s="4">
        <f>IF(D946="M",IF($AM946&lt;45,WeightSDS!M$23*$AM946^10+WeightSDS!N$23*$AM946^9+WeightSDS!O$23*$AM946^8+WeightSDS!P$23*$AM946^7+WeightSDS!Q$23*$AM946^6+WeightSDS!R$23*$AM946^5+WeightSDS!S$23*$AM946^4+WeightSDS!T$23*$AM946^3+WeightSDS!U$23*$AM946^2+WeightSDS!V$23*$AM946+WeightSDS!W$23,IF($AM946&lt;153,WeightSDS!M$25*$AM946^10+WeightSDS!N$25*$AM946^9+WeightSDS!O$25*$AM946^8+WeightSDS!P$25*$AM946^7+WeightSDS!Q$25*$AM946^6+WeightSDS!R$25*$AM946^5+WeightSDS!S$25*$AM946^4+WeightSDS!T$25*$AM946^3+WeightSDS!U$25*$AM946^2+WeightSDS!V$25*$AM946+WeightSDS!W$25,WeightSDS!M$27+WeightSDS!N$27/(1+EXP(WeightSDS!O$27+WeightSDS!P$27*$AM946)))),IF($AM946&lt;43.8,WeightSDS!M$29*$AM946^10+WeightSDS!N$29*$AM946^9+WeightSDS!O$29*$AM946^8+WeightSDS!P$29*$AM946^7+WeightSDS!Q$29*$AM946^6+WeightSDS!R$29*$AM946^5+WeightSDS!S$29*$AM946^4+WeightSDS!T$29*$AM946^3+WeightSDS!U$29*$AM946^2+WeightSDS!V$29*$AM946+WeightSDS!W$29-0.010431*(1-$AM946/210),IF($AM946&lt;123,WeightSDS!M$30*$AM946^10+WeightSDS!N$30*$AM946^9+WeightSDS!O$30*$AM946^8+WeightSDS!P$30*$AM946^7+WeightSDS!Q$30*$AM946^6+WeightSDS!R$30*$AM946^5+WeightSDS!S$30*$AM946^4+WeightSDS!T$30*$AM946^3+WeightSDS!U$30*$AM946^2+WeightSDS!V$30*$AM946+WeightSDS!W$30-0.010431*(1-1/$AM946),WeightSDS!M$32+WeightSDS!N$32/(1+EXP(WeightSDS!O$32+WeightSDS!P$32*$AM946))-0.010431*(1-$AM946/210))))</f>
        <v>2.9500001032655536</v>
      </c>
      <c r="AQ946" s="4">
        <f>IF(D946="M",IF($AM946&lt;162,WeightSDS!P$12*$AM946^7+WeightSDS!Q$12*$AM946^6+WeightSDS!R$12*$AM946^5+WeightSDS!S$12*$AM946^4+WeightSDS!T$12*$AM946^3+WeightSDS!U$12*$AM946^2+WeightSDS!V$12*$AM946+WeightSDS!W$12,WeightSDS!P$14*$AM946^7+WeightSDS!Q$14*$AM946^6+WeightSDS!R$14*$AM946^5+WeightSDS!S$14*$AM946^4+WeightSDS!T$14*$AM946^3+WeightSDS!U$14*$AM946^2+WeightSDS!V$14*$AM946+WeightSDS!W$14),IF($AM946&lt;156,WeightSDS!O$17*$AM946^8+WeightSDS!P$17*$AM946^7+WeightSDS!Q$17*$AM946^6+WeightSDS!R$17*$AM946^5+WeightSDS!S$17*$AM946^4+WeightSDS!T$17*$AM946^3+WeightSDS!U$17*$AM946^2+WeightSDS!V$17*$AM946+WeightSDS!W$17,IF($AM946&lt;186,WeightSDS!$U$18+(WeightSDS!$V$18-WeightSDS!$U$18)/24*($AM946-186)+WeightSDS!$W$18*(-$AM946+186)^2-0.005,WeightSDS!$U$18+(WeightSDS!$V$18-WeightSDS!$U$18)/24*($AM946-186)-0.005)))</f>
        <v>0.14604529399999999</v>
      </c>
      <c r="AT946" s="4">
        <f t="shared" si="301"/>
        <v>0.56299999999999994</v>
      </c>
      <c r="AU946" s="4">
        <f t="shared" si="302"/>
        <v>69</v>
      </c>
      <c r="AV946" s="4">
        <f t="shared" si="303"/>
        <v>0.51</v>
      </c>
    </row>
    <row r="947" spans="1:48" x14ac:dyDescent="0.15">
      <c r="A947" s="4"/>
      <c r="B947" s="21"/>
      <c r="C947" s="21"/>
      <c r="D947" s="21"/>
      <c r="E947" s="22"/>
      <c r="F947" s="22"/>
      <c r="G947" s="23"/>
      <c r="H947" s="23"/>
      <c r="I947" s="181"/>
      <c r="J947" s="8" t="str">
        <f t="shared" si="295"/>
        <v/>
      </c>
      <c r="K947" s="2" t="str">
        <f t="shared" si="304"/>
        <v/>
      </c>
      <c r="L947" s="2" t="str">
        <f t="shared" si="296"/>
        <v/>
      </c>
      <c r="M947" s="2" t="str">
        <f t="shared" si="305"/>
        <v/>
      </c>
      <c r="N947" s="2" t="str">
        <f t="shared" si="313"/>
        <v/>
      </c>
      <c r="O947" s="2" t="str">
        <f t="shared" si="306"/>
        <v/>
      </c>
      <c r="P947" s="8" t="str">
        <f t="shared" si="307"/>
        <v/>
      </c>
      <c r="Q947" s="8" t="str">
        <f t="shared" si="308"/>
        <v/>
      </c>
      <c r="R947" s="111" t="str">
        <f t="shared" si="309"/>
        <v/>
      </c>
      <c r="S947" s="44" t="str">
        <f t="shared" si="310"/>
        <v/>
      </c>
      <c r="T947" s="37" t="str">
        <f t="shared" si="311"/>
        <v/>
      </c>
      <c r="U947" s="44" t="str">
        <f t="shared" si="312"/>
        <v/>
      </c>
      <c r="V947" s="26"/>
      <c r="W947" s="26"/>
      <c r="X947" s="26"/>
      <c r="Y947" s="26"/>
      <c r="Z947" s="24"/>
      <c r="AA947" s="169">
        <f t="shared" si="297"/>
        <v>0</v>
      </c>
      <c r="AB947" s="4">
        <f t="shared" si="298"/>
        <v>0</v>
      </c>
      <c r="AC947" s="170">
        <f t="shared" si="315"/>
        <v>0</v>
      </c>
      <c r="AD947" s="58"/>
      <c r="AE947" s="58"/>
      <c r="AF947" s="58"/>
      <c r="AG947" s="59">
        <f t="shared" si="299"/>
        <v>9.0359999999999996</v>
      </c>
      <c r="AH947" s="59">
        <f t="shared" si="300"/>
        <v>-184.49199999999999</v>
      </c>
      <c r="AJ947" s="4">
        <f>IF(D947="M",IF(AM947&lt;78,BMILMS!$D$5*AM947^3+BMILMS!$E$5*AM947^2+BMILMS!$F$5*AM947+BMILMS!$G$5,IF(AM947&lt;150,BMILMS!$D$6*AM947^3+BMILMS!$E$6*AM947^2+BMILMS!$F$6*AM947+BMILMS!$G$6,BMILMS!$D$7*AM947^3+BMILMS!$E$7*AM947^2+BMILMS!$F$7*AM947+BMILMS!$G$7)),IF(AM947&lt;69,BMILMS!$D$9*AM947^3+BMILMS!$E$9*AM947^2+BMILMS!$F$9*AM947+BMILMS!$G$9,IF(AM947&lt;150,BMILMS!$D$10*AM947^3+BMILMS!$E$10*AM947^2+BMILMS!$F$10*AM947+BMILMS!$G$10,BMILMS!$D$11*AM947^3+BMILMS!$E$11*AM947^2+BMILMS!$F$11*AM947+BMILMS!$G$11)))</f>
        <v>0.79584630099999998</v>
      </c>
      <c r="AK947" s="4">
        <f>IF(D947="M",(IF(AM947&lt;2.5,BMILMS!$D$21*AM947^3+BMILMS!$E$21*AM947^2+BMILMS!$F$21*AM947+BMILMS!$G$21,IF(AM947&lt;9.5,BMILMS!$D$22*AM947^3+BMILMS!$E$22*AM947^2+BMILMS!$F$22*AM947+BMILMS!$G$22,IF(AM947&lt;26.75,BMILMS!$D$23*AM947^3+BMILMS!$E$23*AM947^2+BMILMS!$F$23*AM947+BMILMS!$G$23,IF(AM947&lt;90,BMILMS!$D$24*AM947^3+BMILMS!$E$24*AM947^2+BMILMS!$F$24*AM947+BMILMS!$G$24,BMILMS!$D$25*AM947^3+BMILMS!$E$25*AM947^2+BMILMS!$F$25*AM947+BMILMS!$G$25))))),(IF(AM947&lt;2.5,BMILMS!$D$27*AM947^3+BMILMS!$E$27*AM947^2+BMILMS!$F$27*AM947+BMILMS!$G$27,IF(AM947&lt;9.5,BMILMS!$D$28*AM947^3+BMILMS!$E$28*AM947^2+BMILMS!$F$28*AM947+BMILMS!$G$28,IF(AM947&lt;26.75,BMILMS!$D$29*AM947^3+BMILMS!$E$29*AM947^2+BMILMS!$F$29*AM947+BMILMS!$G$29,IF(AM947&lt;90,BMILMS!$D$30*AM947^3+BMILMS!$E$30*AM947^2+BMILMS!$F$30*AM947+BMILMS!$G$30,IF(AM947&lt;150,BMILMS!$D$31*AM947^3+BMILMS!$E$31*AM947^2+BMILMS!$F$31*AM947+BMILMS!$G$31,BMILMS!$D$32*AM947^3+BMILMS!$E$32*AM947^2+BMILMS!$F$32*AM947+BMILMS!$G$32)))))))</f>
        <v>12.568967990000001</v>
      </c>
      <c r="AL947" s="4">
        <f>IF(D947="M",(IF(AM947&lt;90,BMILMS!$D$14*AM947^3+BMILMS!$E$14*AM947^2+BMILMS!$F$14*AM947+BMILMS!$G$14,BMILMS!$D$15*AM947^3+BMILMS!$E$15*AM947^2+BMILMS!$F$15*AM947+BMILMS!$G$15)),(IF(AM947&lt;90,BMILMS!$D$17*AM947^3+BMILMS!$E$17*AM947^2+BMILMS!$F$17*AM947+BMILMS!$G$17,BMILMS!$D$18*AM947^3+BMILMS!$E$18*AM947^2+BMILMS!$F$18*AM947+BMILMS!$G$18)))</f>
        <v>8.8969350000000003E-2</v>
      </c>
      <c r="AM947" s="4">
        <f t="shared" si="314"/>
        <v>0</v>
      </c>
      <c r="AO947" s="56">
        <f>IF(D947="M",WeightSDS!P$5*$AM947^7+WeightSDS!Q$5*$AM947^6+WeightSDS!R$5*$AM947^5+WeightSDS!S$5*$AM947^4+WeightSDS!T$5*$AM947^3+WeightSDS!U$5*$AM947^2+WeightSDS!V$5*$AM947+WeightSDS!W$5,IF($AM947&lt;186,WeightSDS!P$8*$AM947^7+WeightSDS!Q$8*$AM947^6+WeightSDS!R$8*$AM947^5+WeightSDS!S$8*$AM947^4+WeightSDS!T$8*$AM947^3+WeightSDS!U$8*$AM947^2+WeightSDS!V$8*$AM947+WeightSDS!W$8,WeightSDS!$U$9+WeightSDS!$V$9*($AM947-WeightSDS!$W$9)))</f>
        <v>0.75407122999999998</v>
      </c>
      <c r="AP947" s="4">
        <f>IF(D947="M",IF($AM947&lt;45,WeightSDS!M$23*$AM947^10+WeightSDS!N$23*$AM947^9+WeightSDS!O$23*$AM947^8+WeightSDS!P$23*$AM947^7+WeightSDS!Q$23*$AM947^6+WeightSDS!R$23*$AM947^5+WeightSDS!S$23*$AM947^4+WeightSDS!T$23*$AM947^3+WeightSDS!U$23*$AM947^2+WeightSDS!V$23*$AM947+WeightSDS!W$23,IF($AM947&lt;153,WeightSDS!M$25*$AM947^10+WeightSDS!N$25*$AM947^9+WeightSDS!O$25*$AM947^8+WeightSDS!P$25*$AM947^7+WeightSDS!Q$25*$AM947^6+WeightSDS!R$25*$AM947^5+WeightSDS!S$25*$AM947^4+WeightSDS!T$25*$AM947^3+WeightSDS!U$25*$AM947^2+WeightSDS!V$25*$AM947+WeightSDS!W$25,WeightSDS!M$27+WeightSDS!N$27/(1+EXP(WeightSDS!O$27+WeightSDS!P$27*$AM947)))),IF($AM947&lt;43.8,WeightSDS!M$29*$AM947^10+WeightSDS!N$29*$AM947^9+WeightSDS!O$29*$AM947^8+WeightSDS!P$29*$AM947^7+WeightSDS!Q$29*$AM947^6+WeightSDS!R$29*$AM947^5+WeightSDS!S$29*$AM947^4+WeightSDS!T$29*$AM947^3+WeightSDS!U$29*$AM947^2+WeightSDS!V$29*$AM947+WeightSDS!W$29-0.010431*(1-$AM947/210),IF($AM947&lt;123,WeightSDS!M$30*$AM947^10+WeightSDS!N$30*$AM947^9+WeightSDS!O$30*$AM947^8+WeightSDS!P$30*$AM947^7+WeightSDS!Q$30*$AM947^6+WeightSDS!R$30*$AM947^5+WeightSDS!S$30*$AM947^4+WeightSDS!T$30*$AM947^3+WeightSDS!U$30*$AM947^2+WeightSDS!V$30*$AM947+WeightSDS!W$30-0.010431*(1-1/$AM947),WeightSDS!M$32+WeightSDS!N$32/(1+EXP(WeightSDS!O$32+WeightSDS!P$32*$AM947))-0.010431*(1-$AM947/210))))</f>
        <v>2.9500001032655536</v>
      </c>
      <c r="AQ947" s="4">
        <f>IF(D947="M",IF($AM947&lt;162,WeightSDS!P$12*$AM947^7+WeightSDS!Q$12*$AM947^6+WeightSDS!R$12*$AM947^5+WeightSDS!S$12*$AM947^4+WeightSDS!T$12*$AM947^3+WeightSDS!U$12*$AM947^2+WeightSDS!V$12*$AM947+WeightSDS!W$12,WeightSDS!P$14*$AM947^7+WeightSDS!Q$14*$AM947^6+WeightSDS!R$14*$AM947^5+WeightSDS!S$14*$AM947^4+WeightSDS!T$14*$AM947^3+WeightSDS!U$14*$AM947^2+WeightSDS!V$14*$AM947+WeightSDS!W$14),IF($AM947&lt;156,WeightSDS!O$17*$AM947^8+WeightSDS!P$17*$AM947^7+WeightSDS!Q$17*$AM947^6+WeightSDS!R$17*$AM947^5+WeightSDS!S$17*$AM947^4+WeightSDS!T$17*$AM947^3+WeightSDS!U$17*$AM947^2+WeightSDS!V$17*$AM947+WeightSDS!W$17,IF($AM947&lt;186,WeightSDS!$U$18+(WeightSDS!$V$18-WeightSDS!$U$18)/24*($AM947-186)+WeightSDS!$W$18*(-$AM947+186)^2-0.005,WeightSDS!$U$18+(WeightSDS!$V$18-WeightSDS!$U$18)/24*($AM947-186)-0.005)))</f>
        <v>0.14604529399999999</v>
      </c>
      <c r="AT947" s="4">
        <f t="shared" si="301"/>
        <v>0.56299999999999994</v>
      </c>
      <c r="AU947" s="4">
        <f t="shared" si="302"/>
        <v>69</v>
      </c>
      <c r="AV947" s="4">
        <f t="shared" si="303"/>
        <v>0.51</v>
      </c>
    </row>
    <row r="948" spans="1:48" x14ac:dyDescent="0.15">
      <c r="A948" s="4"/>
      <c r="B948" s="21"/>
      <c r="C948" s="21"/>
      <c r="D948" s="21"/>
      <c r="E948" s="22"/>
      <c r="F948" s="22"/>
      <c r="G948" s="23"/>
      <c r="H948" s="23"/>
      <c r="I948" s="181"/>
      <c r="J948" s="8" t="str">
        <f t="shared" si="295"/>
        <v/>
      </c>
      <c r="K948" s="2" t="str">
        <f t="shared" si="304"/>
        <v/>
      </c>
      <c r="L948" s="2" t="str">
        <f t="shared" si="296"/>
        <v/>
      </c>
      <c r="M948" s="2" t="str">
        <f t="shared" si="305"/>
        <v/>
      </c>
      <c r="N948" s="2" t="str">
        <f t="shared" si="313"/>
        <v/>
      </c>
      <c r="O948" s="2" t="str">
        <f t="shared" si="306"/>
        <v/>
      </c>
      <c r="P948" s="8" t="str">
        <f t="shared" si="307"/>
        <v/>
      </c>
      <c r="Q948" s="8" t="str">
        <f t="shared" si="308"/>
        <v/>
      </c>
      <c r="R948" s="111" t="str">
        <f t="shared" si="309"/>
        <v/>
      </c>
      <c r="S948" s="44" t="str">
        <f t="shared" si="310"/>
        <v/>
      </c>
      <c r="T948" s="37" t="str">
        <f t="shared" si="311"/>
        <v/>
      </c>
      <c r="U948" s="44" t="str">
        <f t="shared" si="312"/>
        <v/>
      </c>
      <c r="V948" s="26"/>
      <c r="W948" s="26"/>
      <c r="X948" s="26"/>
      <c r="Y948" s="26"/>
      <c r="Z948" s="24"/>
      <c r="AA948" s="169">
        <f t="shared" si="297"/>
        <v>0</v>
      </c>
      <c r="AB948" s="4">
        <f t="shared" si="298"/>
        <v>0</v>
      </c>
      <c r="AC948" s="170">
        <f t="shared" si="315"/>
        <v>0</v>
      </c>
      <c r="AD948" s="58"/>
      <c r="AE948" s="58"/>
      <c r="AF948" s="58"/>
      <c r="AG948" s="59">
        <f t="shared" si="299"/>
        <v>9.0359999999999996</v>
      </c>
      <c r="AH948" s="59">
        <f t="shared" si="300"/>
        <v>-184.49199999999999</v>
      </c>
      <c r="AJ948" s="4">
        <f>IF(D948="M",IF(AM948&lt;78,BMILMS!$D$5*AM948^3+BMILMS!$E$5*AM948^2+BMILMS!$F$5*AM948+BMILMS!$G$5,IF(AM948&lt;150,BMILMS!$D$6*AM948^3+BMILMS!$E$6*AM948^2+BMILMS!$F$6*AM948+BMILMS!$G$6,BMILMS!$D$7*AM948^3+BMILMS!$E$7*AM948^2+BMILMS!$F$7*AM948+BMILMS!$G$7)),IF(AM948&lt;69,BMILMS!$D$9*AM948^3+BMILMS!$E$9*AM948^2+BMILMS!$F$9*AM948+BMILMS!$G$9,IF(AM948&lt;150,BMILMS!$D$10*AM948^3+BMILMS!$E$10*AM948^2+BMILMS!$F$10*AM948+BMILMS!$G$10,BMILMS!$D$11*AM948^3+BMILMS!$E$11*AM948^2+BMILMS!$F$11*AM948+BMILMS!$G$11)))</f>
        <v>0.79584630099999998</v>
      </c>
      <c r="AK948" s="4">
        <f>IF(D948="M",(IF(AM948&lt;2.5,BMILMS!$D$21*AM948^3+BMILMS!$E$21*AM948^2+BMILMS!$F$21*AM948+BMILMS!$G$21,IF(AM948&lt;9.5,BMILMS!$D$22*AM948^3+BMILMS!$E$22*AM948^2+BMILMS!$F$22*AM948+BMILMS!$G$22,IF(AM948&lt;26.75,BMILMS!$D$23*AM948^3+BMILMS!$E$23*AM948^2+BMILMS!$F$23*AM948+BMILMS!$G$23,IF(AM948&lt;90,BMILMS!$D$24*AM948^3+BMILMS!$E$24*AM948^2+BMILMS!$F$24*AM948+BMILMS!$G$24,BMILMS!$D$25*AM948^3+BMILMS!$E$25*AM948^2+BMILMS!$F$25*AM948+BMILMS!$G$25))))),(IF(AM948&lt;2.5,BMILMS!$D$27*AM948^3+BMILMS!$E$27*AM948^2+BMILMS!$F$27*AM948+BMILMS!$G$27,IF(AM948&lt;9.5,BMILMS!$D$28*AM948^3+BMILMS!$E$28*AM948^2+BMILMS!$F$28*AM948+BMILMS!$G$28,IF(AM948&lt;26.75,BMILMS!$D$29*AM948^3+BMILMS!$E$29*AM948^2+BMILMS!$F$29*AM948+BMILMS!$G$29,IF(AM948&lt;90,BMILMS!$D$30*AM948^3+BMILMS!$E$30*AM948^2+BMILMS!$F$30*AM948+BMILMS!$G$30,IF(AM948&lt;150,BMILMS!$D$31*AM948^3+BMILMS!$E$31*AM948^2+BMILMS!$F$31*AM948+BMILMS!$G$31,BMILMS!$D$32*AM948^3+BMILMS!$E$32*AM948^2+BMILMS!$F$32*AM948+BMILMS!$G$32)))))))</f>
        <v>12.568967990000001</v>
      </c>
      <c r="AL948" s="4">
        <f>IF(D948="M",(IF(AM948&lt;90,BMILMS!$D$14*AM948^3+BMILMS!$E$14*AM948^2+BMILMS!$F$14*AM948+BMILMS!$G$14,BMILMS!$D$15*AM948^3+BMILMS!$E$15*AM948^2+BMILMS!$F$15*AM948+BMILMS!$G$15)),(IF(AM948&lt;90,BMILMS!$D$17*AM948^3+BMILMS!$E$17*AM948^2+BMILMS!$F$17*AM948+BMILMS!$G$17,BMILMS!$D$18*AM948^3+BMILMS!$E$18*AM948^2+BMILMS!$F$18*AM948+BMILMS!$G$18)))</f>
        <v>8.8969350000000003E-2</v>
      </c>
      <c r="AM948" s="4">
        <f t="shared" si="314"/>
        <v>0</v>
      </c>
      <c r="AO948" s="56">
        <f>IF(D948="M",WeightSDS!P$5*$AM948^7+WeightSDS!Q$5*$AM948^6+WeightSDS!R$5*$AM948^5+WeightSDS!S$5*$AM948^4+WeightSDS!T$5*$AM948^3+WeightSDS!U$5*$AM948^2+WeightSDS!V$5*$AM948+WeightSDS!W$5,IF($AM948&lt;186,WeightSDS!P$8*$AM948^7+WeightSDS!Q$8*$AM948^6+WeightSDS!R$8*$AM948^5+WeightSDS!S$8*$AM948^4+WeightSDS!T$8*$AM948^3+WeightSDS!U$8*$AM948^2+WeightSDS!V$8*$AM948+WeightSDS!W$8,WeightSDS!$U$9+WeightSDS!$V$9*($AM948-WeightSDS!$W$9)))</f>
        <v>0.75407122999999998</v>
      </c>
      <c r="AP948" s="4">
        <f>IF(D948="M",IF($AM948&lt;45,WeightSDS!M$23*$AM948^10+WeightSDS!N$23*$AM948^9+WeightSDS!O$23*$AM948^8+WeightSDS!P$23*$AM948^7+WeightSDS!Q$23*$AM948^6+WeightSDS!R$23*$AM948^5+WeightSDS!S$23*$AM948^4+WeightSDS!T$23*$AM948^3+WeightSDS!U$23*$AM948^2+WeightSDS!V$23*$AM948+WeightSDS!W$23,IF($AM948&lt;153,WeightSDS!M$25*$AM948^10+WeightSDS!N$25*$AM948^9+WeightSDS!O$25*$AM948^8+WeightSDS!P$25*$AM948^7+WeightSDS!Q$25*$AM948^6+WeightSDS!R$25*$AM948^5+WeightSDS!S$25*$AM948^4+WeightSDS!T$25*$AM948^3+WeightSDS!U$25*$AM948^2+WeightSDS!V$25*$AM948+WeightSDS!W$25,WeightSDS!M$27+WeightSDS!N$27/(1+EXP(WeightSDS!O$27+WeightSDS!P$27*$AM948)))),IF($AM948&lt;43.8,WeightSDS!M$29*$AM948^10+WeightSDS!N$29*$AM948^9+WeightSDS!O$29*$AM948^8+WeightSDS!P$29*$AM948^7+WeightSDS!Q$29*$AM948^6+WeightSDS!R$29*$AM948^5+WeightSDS!S$29*$AM948^4+WeightSDS!T$29*$AM948^3+WeightSDS!U$29*$AM948^2+WeightSDS!V$29*$AM948+WeightSDS!W$29-0.010431*(1-$AM948/210),IF($AM948&lt;123,WeightSDS!M$30*$AM948^10+WeightSDS!N$30*$AM948^9+WeightSDS!O$30*$AM948^8+WeightSDS!P$30*$AM948^7+WeightSDS!Q$30*$AM948^6+WeightSDS!R$30*$AM948^5+WeightSDS!S$30*$AM948^4+WeightSDS!T$30*$AM948^3+WeightSDS!U$30*$AM948^2+WeightSDS!V$30*$AM948+WeightSDS!W$30-0.010431*(1-1/$AM948),WeightSDS!M$32+WeightSDS!N$32/(1+EXP(WeightSDS!O$32+WeightSDS!P$32*$AM948))-0.010431*(1-$AM948/210))))</f>
        <v>2.9500001032655536</v>
      </c>
      <c r="AQ948" s="4">
        <f>IF(D948="M",IF($AM948&lt;162,WeightSDS!P$12*$AM948^7+WeightSDS!Q$12*$AM948^6+WeightSDS!R$12*$AM948^5+WeightSDS!S$12*$AM948^4+WeightSDS!T$12*$AM948^3+WeightSDS!U$12*$AM948^2+WeightSDS!V$12*$AM948+WeightSDS!W$12,WeightSDS!P$14*$AM948^7+WeightSDS!Q$14*$AM948^6+WeightSDS!R$14*$AM948^5+WeightSDS!S$14*$AM948^4+WeightSDS!T$14*$AM948^3+WeightSDS!U$14*$AM948^2+WeightSDS!V$14*$AM948+WeightSDS!W$14),IF($AM948&lt;156,WeightSDS!O$17*$AM948^8+WeightSDS!P$17*$AM948^7+WeightSDS!Q$17*$AM948^6+WeightSDS!R$17*$AM948^5+WeightSDS!S$17*$AM948^4+WeightSDS!T$17*$AM948^3+WeightSDS!U$17*$AM948^2+WeightSDS!V$17*$AM948+WeightSDS!W$17,IF($AM948&lt;186,WeightSDS!$U$18+(WeightSDS!$V$18-WeightSDS!$U$18)/24*($AM948-186)+WeightSDS!$W$18*(-$AM948+186)^2-0.005,WeightSDS!$U$18+(WeightSDS!$V$18-WeightSDS!$U$18)/24*($AM948-186)-0.005)))</f>
        <v>0.14604529399999999</v>
      </c>
      <c r="AT948" s="4">
        <f t="shared" si="301"/>
        <v>0.56299999999999994</v>
      </c>
      <c r="AU948" s="4">
        <f t="shared" si="302"/>
        <v>69</v>
      </c>
      <c r="AV948" s="4">
        <f t="shared" si="303"/>
        <v>0.51</v>
      </c>
    </row>
    <row r="949" spans="1:48" x14ac:dyDescent="0.15">
      <c r="A949" s="4"/>
      <c r="B949" s="21"/>
      <c r="C949" s="21"/>
      <c r="D949" s="21"/>
      <c r="E949" s="22"/>
      <c r="F949" s="22"/>
      <c r="G949" s="23"/>
      <c r="H949" s="23"/>
      <c r="I949" s="181"/>
      <c r="J949" s="8" t="str">
        <f t="shared" si="295"/>
        <v/>
      </c>
      <c r="K949" s="2" t="str">
        <f t="shared" si="304"/>
        <v/>
      </c>
      <c r="L949" s="2" t="str">
        <f t="shared" si="296"/>
        <v/>
      </c>
      <c r="M949" s="2" t="str">
        <f t="shared" si="305"/>
        <v/>
      </c>
      <c r="N949" s="2" t="str">
        <f t="shared" si="313"/>
        <v/>
      </c>
      <c r="O949" s="2" t="str">
        <f t="shared" si="306"/>
        <v/>
      </c>
      <c r="P949" s="8" t="str">
        <f t="shared" si="307"/>
        <v/>
      </c>
      <c r="Q949" s="8" t="str">
        <f t="shared" si="308"/>
        <v/>
      </c>
      <c r="R949" s="111" t="str">
        <f t="shared" si="309"/>
        <v/>
      </c>
      <c r="S949" s="44" t="str">
        <f t="shared" si="310"/>
        <v/>
      </c>
      <c r="T949" s="37" t="str">
        <f t="shared" si="311"/>
        <v/>
      </c>
      <c r="U949" s="44" t="str">
        <f t="shared" si="312"/>
        <v/>
      </c>
      <c r="V949" s="26"/>
      <c r="W949" s="26"/>
      <c r="X949" s="26"/>
      <c r="Y949" s="26"/>
      <c r="Z949" s="24"/>
      <c r="AA949" s="169">
        <f t="shared" si="297"/>
        <v>0</v>
      </c>
      <c r="AB949" s="4">
        <f t="shared" si="298"/>
        <v>0</v>
      </c>
      <c r="AC949" s="170">
        <f t="shared" si="315"/>
        <v>0</v>
      </c>
      <c r="AD949" s="58"/>
      <c r="AE949" s="58"/>
      <c r="AF949" s="58"/>
      <c r="AG949" s="59">
        <f t="shared" si="299"/>
        <v>9.0359999999999996</v>
      </c>
      <c r="AH949" s="59">
        <f t="shared" si="300"/>
        <v>-184.49199999999999</v>
      </c>
      <c r="AJ949" s="4">
        <f>IF(D949="M",IF(AM949&lt;78,BMILMS!$D$5*AM949^3+BMILMS!$E$5*AM949^2+BMILMS!$F$5*AM949+BMILMS!$G$5,IF(AM949&lt;150,BMILMS!$D$6*AM949^3+BMILMS!$E$6*AM949^2+BMILMS!$F$6*AM949+BMILMS!$G$6,BMILMS!$D$7*AM949^3+BMILMS!$E$7*AM949^2+BMILMS!$F$7*AM949+BMILMS!$G$7)),IF(AM949&lt;69,BMILMS!$D$9*AM949^3+BMILMS!$E$9*AM949^2+BMILMS!$F$9*AM949+BMILMS!$G$9,IF(AM949&lt;150,BMILMS!$D$10*AM949^3+BMILMS!$E$10*AM949^2+BMILMS!$F$10*AM949+BMILMS!$G$10,BMILMS!$D$11*AM949^3+BMILMS!$E$11*AM949^2+BMILMS!$F$11*AM949+BMILMS!$G$11)))</f>
        <v>0.79584630099999998</v>
      </c>
      <c r="AK949" s="4">
        <f>IF(D949="M",(IF(AM949&lt;2.5,BMILMS!$D$21*AM949^3+BMILMS!$E$21*AM949^2+BMILMS!$F$21*AM949+BMILMS!$G$21,IF(AM949&lt;9.5,BMILMS!$D$22*AM949^3+BMILMS!$E$22*AM949^2+BMILMS!$F$22*AM949+BMILMS!$G$22,IF(AM949&lt;26.75,BMILMS!$D$23*AM949^3+BMILMS!$E$23*AM949^2+BMILMS!$F$23*AM949+BMILMS!$G$23,IF(AM949&lt;90,BMILMS!$D$24*AM949^3+BMILMS!$E$24*AM949^2+BMILMS!$F$24*AM949+BMILMS!$G$24,BMILMS!$D$25*AM949^3+BMILMS!$E$25*AM949^2+BMILMS!$F$25*AM949+BMILMS!$G$25))))),(IF(AM949&lt;2.5,BMILMS!$D$27*AM949^3+BMILMS!$E$27*AM949^2+BMILMS!$F$27*AM949+BMILMS!$G$27,IF(AM949&lt;9.5,BMILMS!$D$28*AM949^3+BMILMS!$E$28*AM949^2+BMILMS!$F$28*AM949+BMILMS!$G$28,IF(AM949&lt;26.75,BMILMS!$D$29*AM949^3+BMILMS!$E$29*AM949^2+BMILMS!$F$29*AM949+BMILMS!$G$29,IF(AM949&lt;90,BMILMS!$D$30*AM949^3+BMILMS!$E$30*AM949^2+BMILMS!$F$30*AM949+BMILMS!$G$30,IF(AM949&lt;150,BMILMS!$D$31*AM949^3+BMILMS!$E$31*AM949^2+BMILMS!$F$31*AM949+BMILMS!$G$31,BMILMS!$D$32*AM949^3+BMILMS!$E$32*AM949^2+BMILMS!$F$32*AM949+BMILMS!$G$32)))))))</f>
        <v>12.568967990000001</v>
      </c>
      <c r="AL949" s="4">
        <f>IF(D949="M",(IF(AM949&lt;90,BMILMS!$D$14*AM949^3+BMILMS!$E$14*AM949^2+BMILMS!$F$14*AM949+BMILMS!$G$14,BMILMS!$D$15*AM949^3+BMILMS!$E$15*AM949^2+BMILMS!$F$15*AM949+BMILMS!$G$15)),(IF(AM949&lt;90,BMILMS!$D$17*AM949^3+BMILMS!$E$17*AM949^2+BMILMS!$F$17*AM949+BMILMS!$G$17,BMILMS!$D$18*AM949^3+BMILMS!$E$18*AM949^2+BMILMS!$F$18*AM949+BMILMS!$G$18)))</f>
        <v>8.8969350000000003E-2</v>
      </c>
      <c r="AM949" s="4">
        <f t="shared" si="314"/>
        <v>0</v>
      </c>
      <c r="AO949" s="56">
        <f>IF(D949="M",WeightSDS!P$5*$AM949^7+WeightSDS!Q$5*$AM949^6+WeightSDS!R$5*$AM949^5+WeightSDS!S$5*$AM949^4+WeightSDS!T$5*$AM949^3+WeightSDS!U$5*$AM949^2+WeightSDS!V$5*$AM949+WeightSDS!W$5,IF($AM949&lt;186,WeightSDS!P$8*$AM949^7+WeightSDS!Q$8*$AM949^6+WeightSDS!R$8*$AM949^5+WeightSDS!S$8*$AM949^4+WeightSDS!T$8*$AM949^3+WeightSDS!U$8*$AM949^2+WeightSDS!V$8*$AM949+WeightSDS!W$8,WeightSDS!$U$9+WeightSDS!$V$9*($AM949-WeightSDS!$W$9)))</f>
        <v>0.75407122999999998</v>
      </c>
      <c r="AP949" s="4">
        <f>IF(D949="M",IF($AM949&lt;45,WeightSDS!M$23*$AM949^10+WeightSDS!N$23*$AM949^9+WeightSDS!O$23*$AM949^8+WeightSDS!P$23*$AM949^7+WeightSDS!Q$23*$AM949^6+WeightSDS!R$23*$AM949^5+WeightSDS!S$23*$AM949^4+WeightSDS!T$23*$AM949^3+WeightSDS!U$23*$AM949^2+WeightSDS!V$23*$AM949+WeightSDS!W$23,IF($AM949&lt;153,WeightSDS!M$25*$AM949^10+WeightSDS!N$25*$AM949^9+WeightSDS!O$25*$AM949^8+WeightSDS!P$25*$AM949^7+WeightSDS!Q$25*$AM949^6+WeightSDS!R$25*$AM949^5+WeightSDS!S$25*$AM949^4+WeightSDS!T$25*$AM949^3+WeightSDS!U$25*$AM949^2+WeightSDS!V$25*$AM949+WeightSDS!W$25,WeightSDS!M$27+WeightSDS!N$27/(1+EXP(WeightSDS!O$27+WeightSDS!P$27*$AM949)))),IF($AM949&lt;43.8,WeightSDS!M$29*$AM949^10+WeightSDS!N$29*$AM949^9+WeightSDS!O$29*$AM949^8+WeightSDS!P$29*$AM949^7+WeightSDS!Q$29*$AM949^6+WeightSDS!R$29*$AM949^5+WeightSDS!S$29*$AM949^4+WeightSDS!T$29*$AM949^3+WeightSDS!U$29*$AM949^2+WeightSDS!V$29*$AM949+WeightSDS!W$29-0.010431*(1-$AM949/210),IF($AM949&lt;123,WeightSDS!M$30*$AM949^10+WeightSDS!N$30*$AM949^9+WeightSDS!O$30*$AM949^8+WeightSDS!P$30*$AM949^7+WeightSDS!Q$30*$AM949^6+WeightSDS!R$30*$AM949^5+WeightSDS!S$30*$AM949^4+WeightSDS!T$30*$AM949^3+WeightSDS!U$30*$AM949^2+WeightSDS!V$30*$AM949+WeightSDS!W$30-0.010431*(1-1/$AM949),WeightSDS!M$32+WeightSDS!N$32/(1+EXP(WeightSDS!O$32+WeightSDS!P$32*$AM949))-0.010431*(1-$AM949/210))))</f>
        <v>2.9500001032655536</v>
      </c>
      <c r="AQ949" s="4">
        <f>IF(D949="M",IF($AM949&lt;162,WeightSDS!P$12*$AM949^7+WeightSDS!Q$12*$AM949^6+WeightSDS!R$12*$AM949^5+WeightSDS!S$12*$AM949^4+WeightSDS!T$12*$AM949^3+WeightSDS!U$12*$AM949^2+WeightSDS!V$12*$AM949+WeightSDS!W$12,WeightSDS!P$14*$AM949^7+WeightSDS!Q$14*$AM949^6+WeightSDS!R$14*$AM949^5+WeightSDS!S$14*$AM949^4+WeightSDS!T$14*$AM949^3+WeightSDS!U$14*$AM949^2+WeightSDS!V$14*$AM949+WeightSDS!W$14),IF($AM949&lt;156,WeightSDS!O$17*$AM949^8+WeightSDS!P$17*$AM949^7+WeightSDS!Q$17*$AM949^6+WeightSDS!R$17*$AM949^5+WeightSDS!S$17*$AM949^4+WeightSDS!T$17*$AM949^3+WeightSDS!U$17*$AM949^2+WeightSDS!V$17*$AM949+WeightSDS!W$17,IF($AM949&lt;186,WeightSDS!$U$18+(WeightSDS!$V$18-WeightSDS!$U$18)/24*($AM949-186)+WeightSDS!$W$18*(-$AM949+186)^2-0.005,WeightSDS!$U$18+(WeightSDS!$V$18-WeightSDS!$U$18)/24*($AM949-186)-0.005)))</f>
        <v>0.14604529399999999</v>
      </c>
      <c r="AT949" s="4">
        <f t="shared" si="301"/>
        <v>0.56299999999999994</v>
      </c>
      <c r="AU949" s="4">
        <f t="shared" si="302"/>
        <v>69</v>
      </c>
      <c r="AV949" s="4">
        <f t="shared" si="303"/>
        <v>0.51</v>
      </c>
    </row>
    <row r="950" spans="1:48" x14ac:dyDescent="0.15">
      <c r="A950" s="4"/>
      <c r="B950" s="21"/>
      <c r="C950" s="21"/>
      <c r="D950" s="21"/>
      <c r="E950" s="22"/>
      <c r="F950" s="22"/>
      <c r="G950" s="23"/>
      <c r="H950" s="23"/>
      <c r="I950" s="181"/>
      <c r="J950" s="8" t="str">
        <f t="shared" si="295"/>
        <v/>
      </c>
      <c r="K950" s="2" t="str">
        <f t="shared" si="304"/>
        <v/>
      </c>
      <c r="L950" s="2" t="str">
        <f t="shared" si="296"/>
        <v/>
      </c>
      <c r="M950" s="2" t="str">
        <f t="shared" si="305"/>
        <v/>
      </c>
      <c r="N950" s="2" t="str">
        <f t="shared" si="313"/>
        <v/>
      </c>
      <c r="O950" s="2" t="str">
        <f t="shared" si="306"/>
        <v/>
      </c>
      <c r="P950" s="8" t="str">
        <f t="shared" si="307"/>
        <v/>
      </c>
      <c r="Q950" s="8" t="str">
        <f t="shared" si="308"/>
        <v/>
      </c>
      <c r="R950" s="111" t="str">
        <f t="shared" si="309"/>
        <v/>
      </c>
      <c r="S950" s="44" t="str">
        <f t="shared" si="310"/>
        <v/>
      </c>
      <c r="T950" s="37" t="str">
        <f t="shared" si="311"/>
        <v/>
      </c>
      <c r="U950" s="44" t="str">
        <f t="shared" si="312"/>
        <v/>
      </c>
      <c r="V950" s="26"/>
      <c r="W950" s="26"/>
      <c r="X950" s="26"/>
      <c r="Y950" s="26"/>
      <c r="Z950" s="24"/>
      <c r="AA950" s="169">
        <f t="shared" si="297"/>
        <v>0</v>
      </c>
      <c r="AB950" s="4">
        <f t="shared" si="298"/>
        <v>0</v>
      </c>
      <c r="AC950" s="170">
        <f t="shared" si="315"/>
        <v>0</v>
      </c>
      <c r="AD950" s="58"/>
      <c r="AE950" s="58"/>
      <c r="AF950" s="58"/>
      <c r="AG950" s="59">
        <f t="shared" si="299"/>
        <v>9.0359999999999996</v>
      </c>
      <c r="AH950" s="59">
        <f t="shared" si="300"/>
        <v>-184.49199999999999</v>
      </c>
      <c r="AJ950" s="4">
        <f>IF(D950="M",IF(AM950&lt;78,BMILMS!$D$5*AM950^3+BMILMS!$E$5*AM950^2+BMILMS!$F$5*AM950+BMILMS!$G$5,IF(AM950&lt;150,BMILMS!$D$6*AM950^3+BMILMS!$E$6*AM950^2+BMILMS!$F$6*AM950+BMILMS!$G$6,BMILMS!$D$7*AM950^3+BMILMS!$E$7*AM950^2+BMILMS!$F$7*AM950+BMILMS!$G$7)),IF(AM950&lt;69,BMILMS!$D$9*AM950^3+BMILMS!$E$9*AM950^2+BMILMS!$F$9*AM950+BMILMS!$G$9,IF(AM950&lt;150,BMILMS!$D$10*AM950^3+BMILMS!$E$10*AM950^2+BMILMS!$F$10*AM950+BMILMS!$G$10,BMILMS!$D$11*AM950^3+BMILMS!$E$11*AM950^2+BMILMS!$F$11*AM950+BMILMS!$G$11)))</f>
        <v>0.79584630099999998</v>
      </c>
      <c r="AK950" s="4">
        <f>IF(D950="M",(IF(AM950&lt;2.5,BMILMS!$D$21*AM950^3+BMILMS!$E$21*AM950^2+BMILMS!$F$21*AM950+BMILMS!$G$21,IF(AM950&lt;9.5,BMILMS!$D$22*AM950^3+BMILMS!$E$22*AM950^2+BMILMS!$F$22*AM950+BMILMS!$G$22,IF(AM950&lt;26.75,BMILMS!$D$23*AM950^3+BMILMS!$E$23*AM950^2+BMILMS!$F$23*AM950+BMILMS!$G$23,IF(AM950&lt;90,BMILMS!$D$24*AM950^3+BMILMS!$E$24*AM950^2+BMILMS!$F$24*AM950+BMILMS!$G$24,BMILMS!$D$25*AM950^3+BMILMS!$E$25*AM950^2+BMILMS!$F$25*AM950+BMILMS!$G$25))))),(IF(AM950&lt;2.5,BMILMS!$D$27*AM950^3+BMILMS!$E$27*AM950^2+BMILMS!$F$27*AM950+BMILMS!$G$27,IF(AM950&lt;9.5,BMILMS!$D$28*AM950^3+BMILMS!$E$28*AM950^2+BMILMS!$F$28*AM950+BMILMS!$G$28,IF(AM950&lt;26.75,BMILMS!$D$29*AM950^3+BMILMS!$E$29*AM950^2+BMILMS!$F$29*AM950+BMILMS!$G$29,IF(AM950&lt;90,BMILMS!$D$30*AM950^3+BMILMS!$E$30*AM950^2+BMILMS!$F$30*AM950+BMILMS!$G$30,IF(AM950&lt;150,BMILMS!$D$31*AM950^3+BMILMS!$E$31*AM950^2+BMILMS!$F$31*AM950+BMILMS!$G$31,BMILMS!$D$32*AM950^3+BMILMS!$E$32*AM950^2+BMILMS!$F$32*AM950+BMILMS!$G$32)))))))</f>
        <v>12.568967990000001</v>
      </c>
      <c r="AL950" s="4">
        <f>IF(D950="M",(IF(AM950&lt;90,BMILMS!$D$14*AM950^3+BMILMS!$E$14*AM950^2+BMILMS!$F$14*AM950+BMILMS!$G$14,BMILMS!$D$15*AM950^3+BMILMS!$E$15*AM950^2+BMILMS!$F$15*AM950+BMILMS!$G$15)),(IF(AM950&lt;90,BMILMS!$D$17*AM950^3+BMILMS!$E$17*AM950^2+BMILMS!$F$17*AM950+BMILMS!$G$17,BMILMS!$D$18*AM950^3+BMILMS!$E$18*AM950^2+BMILMS!$F$18*AM950+BMILMS!$G$18)))</f>
        <v>8.8969350000000003E-2</v>
      </c>
      <c r="AM950" s="4">
        <f t="shared" si="314"/>
        <v>0</v>
      </c>
      <c r="AO950" s="56">
        <f>IF(D950="M",WeightSDS!P$5*$AM950^7+WeightSDS!Q$5*$AM950^6+WeightSDS!R$5*$AM950^5+WeightSDS!S$5*$AM950^4+WeightSDS!T$5*$AM950^3+WeightSDS!U$5*$AM950^2+WeightSDS!V$5*$AM950+WeightSDS!W$5,IF($AM950&lt;186,WeightSDS!P$8*$AM950^7+WeightSDS!Q$8*$AM950^6+WeightSDS!R$8*$AM950^5+WeightSDS!S$8*$AM950^4+WeightSDS!T$8*$AM950^3+WeightSDS!U$8*$AM950^2+WeightSDS!V$8*$AM950+WeightSDS!W$8,WeightSDS!$U$9+WeightSDS!$V$9*($AM950-WeightSDS!$W$9)))</f>
        <v>0.75407122999999998</v>
      </c>
      <c r="AP950" s="4">
        <f>IF(D950="M",IF($AM950&lt;45,WeightSDS!M$23*$AM950^10+WeightSDS!N$23*$AM950^9+WeightSDS!O$23*$AM950^8+WeightSDS!P$23*$AM950^7+WeightSDS!Q$23*$AM950^6+WeightSDS!R$23*$AM950^5+WeightSDS!S$23*$AM950^4+WeightSDS!T$23*$AM950^3+WeightSDS!U$23*$AM950^2+WeightSDS!V$23*$AM950+WeightSDS!W$23,IF($AM950&lt;153,WeightSDS!M$25*$AM950^10+WeightSDS!N$25*$AM950^9+WeightSDS!O$25*$AM950^8+WeightSDS!P$25*$AM950^7+WeightSDS!Q$25*$AM950^6+WeightSDS!R$25*$AM950^5+WeightSDS!S$25*$AM950^4+WeightSDS!T$25*$AM950^3+WeightSDS!U$25*$AM950^2+WeightSDS!V$25*$AM950+WeightSDS!W$25,WeightSDS!M$27+WeightSDS!N$27/(1+EXP(WeightSDS!O$27+WeightSDS!P$27*$AM950)))),IF($AM950&lt;43.8,WeightSDS!M$29*$AM950^10+WeightSDS!N$29*$AM950^9+WeightSDS!O$29*$AM950^8+WeightSDS!P$29*$AM950^7+WeightSDS!Q$29*$AM950^6+WeightSDS!R$29*$AM950^5+WeightSDS!S$29*$AM950^4+WeightSDS!T$29*$AM950^3+WeightSDS!U$29*$AM950^2+WeightSDS!V$29*$AM950+WeightSDS!W$29-0.010431*(1-$AM950/210),IF($AM950&lt;123,WeightSDS!M$30*$AM950^10+WeightSDS!N$30*$AM950^9+WeightSDS!O$30*$AM950^8+WeightSDS!P$30*$AM950^7+WeightSDS!Q$30*$AM950^6+WeightSDS!R$30*$AM950^5+WeightSDS!S$30*$AM950^4+WeightSDS!T$30*$AM950^3+WeightSDS!U$30*$AM950^2+WeightSDS!V$30*$AM950+WeightSDS!W$30-0.010431*(1-1/$AM950),WeightSDS!M$32+WeightSDS!N$32/(1+EXP(WeightSDS!O$32+WeightSDS!P$32*$AM950))-0.010431*(1-$AM950/210))))</f>
        <v>2.9500001032655536</v>
      </c>
      <c r="AQ950" s="4">
        <f>IF(D950="M",IF($AM950&lt;162,WeightSDS!P$12*$AM950^7+WeightSDS!Q$12*$AM950^6+WeightSDS!R$12*$AM950^5+WeightSDS!S$12*$AM950^4+WeightSDS!T$12*$AM950^3+WeightSDS!U$12*$AM950^2+WeightSDS!V$12*$AM950+WeightSDS!W$12,WeightSDS!P$14*$AM950^7+WeightSDS!Q$14*$AM950^6+WeightSDS!R$14*$AM950^5+WeightSDS!S$14*$AM950^4+WeightSDS!T$14*$AM950^3+WeightSDS!U$14*$AM950^2+WeightSDS!V$14*$AM950+WeightSDS!W$14),IF($AM950&lt;156,WeightSDS!O$17*$AM950^8+WeightSDS!P$17*$AM950^7+WeightSDS!Q$17*$AM950^6+WeightSDS!R$17*$AM950^5+WeightSDS!S$17*$AM950^4+WeightSDS!T$17*$AM950^3+WeightSDS!U$17*$AM950^2+WeightSDS!V$17*$AM950+WeightSDS!W$17,IF($AM950&lt;186,WeightSDS!$U$18+(WeightSDS!$V$18-WeightSDS!$U$18)/24*($AM950-186)+WeightSDS!$W$18*(-$AM950+186)^2-0.005,WeightSDS!$U$18+(WeightSDS!$V$18-WeightSDS!$U$18)/24*($AM950-186)-0.005)))</f>
        <v>0.14604529399999999</v>
      </c>
      <c r="AT950" s="4">
        <f t="shared" si="301"/>
        <v>0.56299999999999994</v>
      </c>
      <c r="AU950" s="4">
        <f t="shared" si="302"/>
        <v>69</v>
      </c>
      <c r="AV950" s="4">
        <f t="shared" si="303"/>
        <v>0.51</v>
      </c>
    </row>
    <row r="951" spans="1:48" x14ac:dyDescent="0.15">
      <c r="A951" s="4"/>
      <c r="B951" s="21"/>
      <c r="C951" s="21"/>
      <c r="D951" s="21"/>
      <c r="E951" s="22"/>
      <c r="F951" s="22"/>
      <c r="G951" s="23"/>
      <c r="H951" s="23"/>
      <c r="I951" s="181"/>
      <c r="J951" s="8" t="str">
        <f t="shared" si="295"/>
        <v/>
      </c>
      <c r="K951" s="2" t="str">
        <f t="shared" si="304"/>
        <v/>
      </c>
      <c r="L951" s="2" t="str">
        <f t="shared" si="296"/>
        <v/>
      </c>
      <c r="M951" s="2" t="str">
        <f t="shared" si="305"/>
        <v/>
      </c>
      <c r="N951" s="2" t="str">
        <f t="shared" si="313"/>
        <v/>
      </c>
      <c r="O951" s="2" t="str">
        <f t="shared" si="306"/>
        <v/>
      </c>
      <c r="P951" s="8" t="str">
        <f t="shared" si="307"/>
        <v/>
      </c>
      <c r="Q951" s="8" t="str">
        <f t="shared" si="308"/>
        <v/>
      </c>
      <c r="R951" s="111" t="str">
        <f t="shared" si="309"/>
        <v/>
      </c>
      <c r="S951" s="44" t="str">
        <f t="shared" si="310"/>
        <v/>
      </c>
      <c r="T951" s="37" t="str">
        <f t="shared" si="311"/>
        <v/>
      </c>
      <c r="U951" s="44" t="str">
        <f t="shared" si="312"/>
        <v/>
      </c>
      <c r="V951" s="26"/>
      <c r="W951" s="26"/>
      <c r="X951" s="26"/>
      <c r="Y951" s="26"/>
      <c r="Z951" s="24"/>
      <c r="AA951" s="169">
        <f t="shared" si="297"/>
        <v>0</v>
      </c>
      <c r="AB951" s="4">
        <f t="shared" si="298"/>
        <v>0</v>
      </c>
      <c r="AC951" s="170">
        <f t="shared" si="315"/>
        <v>0</v>
      </c>
      <c r="AD951" s="58"/>
      <c r="AE951" s="58"/>
      <c r="AF951" s="58"/>
      <c r="AG951" s="59">
        <f t="shared" si="299"/>
        <v>9.0359999999999996</v>
      </c>
      <c r="AH951" s="59">
        <f t="shared" si="300"/>
        <v>-184.49199999999999</v>
      </c>
      <c r="AJ951" s="4">
        <f>IF(D951="M",IF(AM951&lt;78,BMILMS!$D$5*AM951^3+BMILMS!$E$5*AM951^2+BMILMS!$F$5*AM951+BMILMS!$G$5,IF(AM951&lt;150,BMILMS!$D$6*AM951^3+BMILMS!$E$6*AM951^2+BMILMS!$F$6*AM951+BMILMS!$G$6,BMILMS!$D$7*AM951^3+BMILMS!$E$7*AM951^2+BMILMS!$F$7*AM951+BMILMS!$G$7)),IF(AM951&lt;69,BMILMS!$D$9*AM951^3+BMILMS!$E$9*AM951^2+BMILMS!$F$9*AM951+BMILMS!$G$9,IF(AM951&lt;150,BMILMS!$D$10*AM951^3+BMILMS!$E$10*AM951^2+BMILMS!$F$10*AM951+BMILMS!$G$10,BMILMS!$D$11*AM951^3+BMILMS!$E$11*AM951^2+BMILMS!$F$11*AM951+BMILMS!$G$11)))</f>
        <v>0.79584630099999998</v>
      </c>
      <c r="AK951" s="4">
        <f>IF(D951="M",(IF(AM951&lt;2.5,BMILMS!$D$21*AM951^3+BMILMS!$E$21*AM951^2+BMILMS!$F$21*AM951+BMILMS!$G$21,IF(AM951&lt;9.5,BMILMS!$D$22*AM951^3+BMILMS!$E$22*AM951^2+BMILMS!$F$22*AM951+BMILMS!$G$22,IF(AM951&lt;26.75,BMILMS!$D$23*AM951^3+BMILMS!$E$23*AM951^2+BMILMS!$F$23*AM951+BMILMS!$G$23,IF(AM951&lt;90,BMILMS!$D$24*AM951^3+BMILMS!$E$24*AM951^2+BMILMS!$F$24*AM951+BMILMS!$G$24,BMILMS!$D$25*AM951^3+BMILMS!$E$25*AM951^2+BMILMS!$F$25*AM951+BMILMS!$G$25))))),(IF(AM951&lt;2.5,BMILMS!$D$27*AM951^3+BMILMS!$E$27*AM951^2+BMILMS!$F$27*AM951+BMILMS!$G$27,IF(AM951&lt;9.5,BMILMS!$D$28*AM951^3+BMILMS!$E$28*AM951^2+BMILMS!$F$28*AM951+BMILMS!$G$28,IF(AM951&lt;26.75,BMILMS!$D$29*AM951^3+BMILMS!$E$29*AM951^2+BMILMS!$F$29*AM951+BMILMS!$G$29,IF(AM951&lt;90,BMILMS!$D$30*AM951^3+BMILMS!$E$30*AM951^2+BMILMS!$F$30*AM951+BMILMS!$G$30,IF(AM951&lt;150,BMILMS!$D$31*AM951^3+BMILMS!$E$31*AM951^2+BMILMS!$F$31*AM951+BMILMS!$G$31,BMILMS!$D$32*AM951^3+BMILMS!$E$32*AM951^2+BMILMS!$F$32*AM951+BMILMS!$G$32)))))))</f>
        <v>12.568967990000001</v>
      </c>
      <c r="AL951" s="4">
        <f>IF(D951="M",(IF(AM951&lt;90,BMILMS!$D$14*AM951^3+BMILMS!$E$14*AM951^2+BMILMS!$F$14*AM951+BMILMS!$G$14,BMILMS!$D$15*AM951^3+BMILMS!$E$15*AM951^2+BMILMS!$F$15*AM951+BMILMS!$G$15)),(IF(AM951&lt;90,BMILMS!$D$17*AM951^3+BMILMS!$E$17*AM951^2+BMILMS!$F$17*AM951+BMILMS!$G$17,BMILMS!$D$18*AM951^3+BMILMS!$E$18*AM951^2+BMILMS!$F$18*AM951+BMILMS!$G$18)))</f>
        <v>8.8969350000000003E-2</v>
      </c>
      <c r="AM951" s="4">
        <f t="shared" si="314"/>
        <v>0</v>
      </c>
      <c r="AO951" s="56">
        <f>IF(D951="M",WeightSDS!P$5*$AM951^7+WeightSDS!Q$5*$AM951^6+WeightSDS!R$5*$AM951^5+WeightSDS!S$5*$AM951^4+WeightSDS!T$5*$AM951^3+WeightSDS!U$5*$AM951^2+WeightSDS!V$5*$AM951+WeightSDS!W$5,IF($AM951&lt;186,WeightSDS!P$8*$AM951^7+WeightSDS!Q$8*$AM951^6+WeightSDS!R$8*$AM951^5+WeightSDS!S$8*$AM951^4+WeightSDS!T$8*$AM951^3+WeightSDS!U$8*$AM951^2+WeightSDS!V$8*$AM951+WeightSDS!W$8,WeightSDS!$U$9+WeightSDS!$V$9*($AM951-WeightSDS!$W$9)))</f>
        <v>0.75407122999999998</v>
      </c>
      <c r="AP951" s="4">
        <f>IF(D951="M",IF($AM951&lt;45,WeightSDS!M$23*$AM951^10+WeightSDS!N$23*$AM951^9+WeightSDS!O$23*$AM951^8+WeightSDS!P$23*$AM951^7+WeightSDS!Q$23*$AM951^6+WeightSDS!R$23*$AM951^5+WeightSDS!S$23*$AM951^4+WeightSDS!T$23*$AM951^3+WeightSDS!U$23*$AM951^2+WeightSDS!V$23*$AM951+WeightSDS!W$23,IF($AM951&lt;153,WeightSDS!M$25*$AM951^10+WeightSDS!N$25*$AM951^9+WeightSDS!O$25*$AM951^8+WeightSDS!P$25*$AM951^7+WeightSDS!Q$25*$AM951^6+WeightSDS!R$25*$AM951^5+WeightSDS!S$25*$AM951^4+WeightSDS!T$25*$AM951^3+WeightSDS!U$25*$AM951^2+WeightSDS!V$25*$AM951+WeightSDS!W$25,WeightSDS!M$27+WeightSDS!N$27/(1+EXP(WeightSDS!O$27+WeightSDS!P$27*$AM951)))),IF($AM951&lt;43.8,WeightSDS!M$29*$AM951^10+WeightSDS!N$29*$AM951^9+WeightSDS!O$29*$AM951^8+WeightSDS!P$29*$AM951^7+WeightSDS!Q$29*$AM951^6+WeightSDS!R$29*$AM951^5+WeightSDS!S$29*$AM951^4+WeightSDS!T$29*$AM951^3+WeightSDS!U$29*$AM951^2+WeightSDS!V$29*$AM951+WeightSDS!W$29-0.010431*(1-$AM951/210),IF($AM951&lt;123,WeightSDS!M$30*$AM951^10+WeightSDS!N$30*$AM951^9+WeightSDS!O$30*$AM951^8+WeightSDS!P$30*$AM951^7+WeightSDS!Q$30*$AM951^6+WeightSDS!R$30*$AM951^5+WeightSDS!S$30*$AM951^4+WeightSDS!T$30*$AM951^3+WeightSDS!U$30*$AM951^2+WeightSDS!V$30*$AM951+WeightSDS!W$30-0.010431*(1-1/$AM951),WeightSDS!M$32+WeightSDS!N$32/(1+EXP(WeightSDS!O$32+WeightSDS!P$32*$AM951))-0.010431*(1-$AM951/210))))</f>
        <v>2.9500001032655536</v>
      </c>
      <c r="AQ951" s="4">
        <f>IF(D951="M",IF($AM951&lt;162,WeightSDS!P$12*$AM951^7+WeightSDS!Q$12*$AM951^6+WeightSDS!R$12*$AM951^5+WeightSDS!S$12*$AM951^4+WeightSDS!T$12*$AM951^3+WeightSDS!U$12*$AM951^2+WeightSDS!V$12*$AM951+WeightSDS!W$12,WeightSDS!P$14*$AM951^7+WeightSDS!Q$14*$AM951^6+WeightSDS!R$14*$AM951^5+WeightSDS!S$14*$AM951^4+WeightSDS!T$14*$AM951^3+WeightSDS!U$14*$AM951^2+WeightSDS!V$14*$AM951+WeightSDS!W$14),IF($AM951&lt;156,WeightSDS!O$17*$AM951^8+WeightSDS!P$17*$AM951^7+WeightSDS!Q$17*$AM951^6+WeightSDS!R$17*$AM951^5+WeightSDS!S$17*$AM951^4+WeightSDS!T$17*$AM951^3+WeightSDS!U$17*$AM951^2+WeightSDS!V$17*$AM951+WeightSDS!W$17,IF($AM951&lt;186,WeightSDS!$U$18+(WeightSDS!$V$18-WeightSDS!$U$18)/24*($AM951-186)+WeightSDS!$W$18*(-$AM951+186)^2-0.005,WeightSDS!$U$18+(WeightSDS!$V$18-WeightSDS!$U$18)/24*($AM951-186)-0.005)))</f>
        <v>0.14604529399999999</v>
      </c>
      <c r="AT951" s="4">
        <f t="shared" si="301"/>
        <v>0.56299999999999994</v>
      </c>
      <c r="AU951" s="4">
        <f t="shared" si="302"/>
        <v>69</v>
      </c>
      <c r="AV951" s="4">
        <f t="shared" si="303"/>
        <v>0.51</v>
      </c>
    </row>
    <row r="952" spans="1:48" x14ac:dyDescent="0.15">
      <c r="A952" s="4"/>
      <c r="B952" s="21"/>
      <c r="C952" s="21"/>
      <c r="D952" s="21"/>
      <c r="E952" s="22"/>
      <c r="F952" s="22"/>
      <c r="G952" s="23"/>
      <c r="H952" s="23"/>
      <c r="I952" s="181"/>
      <c r="J952" s="8" t="str">
        <f t="shared" si="295"/>
        <v/>
      </c>
      <c r="K952" s="2" t="str">
        <f t="shared" si="304"/>
        <v/>
      </c>
      <c r="L952" s="2" t="str">
        <f t="shared" si="296"/>
        <v/>
      </c>
      <c r="M952" s="2" t="str">
        <f t="shared" si="305"/>
        <v/>
      </c>
      <c r="N952" s="2" t="str">
        <f t="shared" si="313"/>
        <v/>
      </c>
      <c r="O952" s="2" t="str">
        <f t="shared" si="306"/>
        <v/>
      </c>
      <c r="P952" s="8" t="str">
        <f t="shared" si="307"/>
        <v/>
      </c>
      <c r="Q952" s="8" t="str">
        <f t="shared" si="308"/>
        <v/>
      </c>
      <c r="R952" s="111" t="str">
        <f t="shared" si="309"/>
        <v/>
      </c>
      <c r="S952" s="44" t="str">
        <f t="shared" si="310"/>
        <v/>
      </c>
      <c r="T952" s="37" t="str">
        <f t="shared" si="311"/>
        <v/>
      </c>
      <c r="U952" s="44" t="str">
        <f t="shared" si="312"/>
        <v/>
      </c>
      <c r="V952" s="26"/>
      <c r="W952" s="26"/>
      <c r="X952" s="26"/>
      <c r="Y952" s="26"/>
      <c r="Z952" s="24"/>
      <c r="AA952" s="169">
        <f t="shared" si="297"/>
        <v>0</v>
      </c>
      <c r="AB952" s="4">
        <f t="shared" si="298"/>
        <v>0</v>
      </c>
      <c r="AC952" s="170">
        <f t="shared" si="315"/>
        <v>0</v>
      </c>
      <c r="AD952" s="58"/>
      <c r="AE952" s="58"/>
      <c r="AF952" s="58"/>
      <c r="AG952" s="59">
        <f t="shared" si="299"/>
        <v>9.0359999999999996</v>
      </c>
      <c r="AH952" s="59">
        <f t="shared" si="300"/>
        <v>-184.49199999999999</v>
      </c>
      <c r="AJ952" s="4">
        <f>IF(D952="M",IF(AM952&lt;78,BMILMS!$D$5*AM952^3+BMILMS!$E$5*AM952^2+BMILMS!$F$5*AM952+BMILMS!$G$5,IF(AM952&lt;150,BMILMS!$D$6*AM952^3+BMILMS!$E$6*AM952^2+BMILMS!$F$6*AM952+BMILMS!$G$6,BMILMS!$D$7*AM952^3+BMILMS!$E$7*AM952^2+BMILMS!$F$7*AM952+BMILMS!$G$7)),IF(AM952&lt;69,BMILMS!$D$9*AM952^3+BMILMS!$E$9*AM952^2+BMILMS!$F$9*AM952+BMILMS!$G$9,IF(AM952&lt;150,BMILMS!$D$10*AM952^3+BMILMS!$E$10*AM952^2+BMILMS!$F$10*AM952+BMILMS!$G$10,BMILMS!$D$11*AM952^3+BMILMS!$E$11*AM952^2+BMILMS!$F$11*AM952+BMILMS!$G$11)))</f>
        <v>0.79584630099999998</v>
      </c>
      <c r="AK952" s="4">
        <f>IF(D952="M",(IF(AM952&lt;2.5,BMILMS!$D$21*AM952^3+BMILMS!$E$21*AM952^2+BMILMS!$F$21*AM952+BMILMS!$G$21,IF(AM952&lt;9.5,BMILMS!$D$22*AM952^3+BMILMS!$E$22*AM952^2+BMILMS!$F$22*AM952+BMILMS!$G$22,IF(AM952&lt;26.75,BMILMS!$D$23*AM952^3+BMILMS!$E$23*AM952^2+BMILMS!$F$23*AM952+BMILMS!$G$23,IF(AM952&lt;90,BMILMS!$D$24*AM952^3+BMILMS!$E$24*AM952^2+BMILMS!$F$24*AM952+BMILMS!$G$24,BMILMS!$D$25*AM952^3+BMILMS!$E$25*AM952^2+BMILMS!$F$25*AM952+BMILMS!$G$25))))),(IF(AM952&lt;2.5,BMILMS!$D$27*AM952^3+BMILMS!$E$27*AM952^2+BMILMS!$F$27*AM952+BMILMS!$G$27,IF(AM952&lt;9.5,BMILMS!$D$28*AM952^3+BMILMS!$E$28*AM952^2+BMILMS!$F$28*AM952+BMILMS!$G$28,IF(AM952&lt;26.75,BMILMS!$D$29*AM952^3+BMILMS!$E$29*AM952^2+BMILMS!$F$29*AM952+BMILMS!$G$29,IF(AM952&lt;90,BMILMS!$D$30*AM952^3+BMILMS!$E$30*AM952^2+BMILMS!$F$30*AM952+BMILMS!$G$30,IF(AM952&lt;150,BMILMS!$D$31*AM952^3+BMILMS!$E$31*AM952^2+BMILMS!$F$31*AM952+BMILMS!$G$31,BMILMS!$D$32*AM952^3+BMILMS!$E$32*AM952^2+BMILMS!$F$32*AM952+BMILMS!$G$32)))))))</f>
        <v>12.568967990000001</v>
      </c>
      <c r="AL952" s="4">
        <f>IF(D952="M",(IF(AM952&lt;90,BMILMS!$D$14*AM952^3+BMILMS!$E$14*AM952^2+BMILMS!$F$14*AM952+BMILMS!$G$14,BMILMS!$D$15*AM952^3+BMILMS!$E$15*AM952^2+BMILMS!$F$15*AM952+BMILMS!$G$15)),(IF(AM952&lt;90,BMILMS!$D$17*AM952^3+BMILMS!$E$17*AM952^2+BMILMS!$F$17*AM952+BMILMS!$G$17,BMILMS!$D$18*AM952^3+BMILMS!$E$18*AM952^2+BMILMS!$F$18*AM952+BMILMS!$G$18)))</f>
        <v>8.8969350000000003E-2</v>
      </c>
      <c r="AM952" s="4">
        <f t="shared" si="314"/>
        <v>0</v>
      </c>
      <c r="AO952" s="56">
        <f>IF(D952="M",WeightSDS!P$5*$AM952^7+WeightSDS!Q$5*$AM952^6+WeightSDS!R$5*$AM952^5+WeightSDS!S$5*$AM952^4+WeightSDS!T$5*$AM952^3+WeightSDS!U$5*$AM952^2+WeightSDS!V$5*$AM952+WeightSDS!W$5,IF($AM952&lt;186,WeightSDS!P$8*$AM952^7+WeightSDS!Q$8*$AM952^6+WeightSDS!R$8*$AM952^5+WeightSDS!S$8*$AM952^4+WeightSDS!T$8*$AM952^3+WeightSDS!U$8*$AM952^2+WeightSDS!V$8*$AM952+WeightSDS!W$8,WeightSDS!$U$9+WeightSDS!$V$9*($AM952-WeightSDS!$W$9)))</f>
        <v>0.75407122999999998</v>
      </c>
      <c r="AP952" s="4">
        <f>IF(D952="M",IF($AM952&lt;45,WeightSDS!M$23*$AM952^10+WeightSDS!N$23*$AM952^9+WeightSDS!O$23*$AM952^8+WeightSDS!P$23*$AM952^7+WeightSDS!Q$23*$AM952^6+WeightSDS!R$23*$AM952^5+WeightSDS!S$23*$AM952^4+WeightSDS!T$23*$AM952^3+WeightSDS!U$23*$AM952^2+WeightSDS!V$23*$AM952+WeightSDS!W$23,IF($AM952&lt;153,WeightSDS!M$25*$AM952^10+WeightSDS!N$25*$AM952^9+WeightSDS!O$25*$AM952^8+WeightSDS!P$25*$AM952^7+WeightSDS!Q$25*$AM952^6+WeightSDS!R$25*$AM952^5+WeightSDS!S$25*$AM952^4+WeightSDS!T$25*$AM952^3+WeightSDS!U$25*$AM952^2+WeightSDS!V$25*$AM952+WeightSDS!W$25,WeightSDS!M$27+WeightSDS!N$27/(1+EXP(WeightSDS!O$27+WeightSDS!P$27*$AM952)))),IF($AM952&lt;43.8,WeightSDS!M$29*$AM952^10+WeightSDS!N$29*$AM952^9+WeightSDS!O$29*$AM952^8+WeightSDS!P$29*$AM952^7+WeightSDS!Q$29*$AM952^6+WeightSDS!R$29*$AM952^5+WeightSDS!S$29*$AM952^4+WeightSDS!T$29*$AM952^3+WeightSDS!U$29*$AM952^2+WeightSDS!V$29*$AM952+WeightSDS!W$29-0.010431*(1-$AM952/210),IF($AM952&lt;123,WeightSDS!M$30*$AM952^10+WeightSDS!N$30*$AM952^9+WeightSDS!O$30*$AM952^8+WeightSDS!P$30*$AM952^7+WeightSDS!Q$30*$AM952^6+WeightSDS!R$30*$AM952^5+WeightSDS!S$30*$AM952^4+WeightSDS!T$30*$AM952^3+WeightSDS!U$30*$AM952^2+WeightSDS!V$30*$AM952+WeightSDS!W$30-0.010431*(1-1/$AM952),WeightSDS!M$32+WeightSDS!N$32/(1+EXP(WeightSDS!O$32+WeightSDS!P$32*$AM952))-0.010431*(1-$AM952/210))))</f>
        <v>2.9500001032655536</v>
      </c>
      <c r="AQ952" s="4">
        <f>IF(D952="M",IF($AM952&lt;162,WeightSDS!P$12*$AM952^7+WeightSDS!Q$12*$AM952^6+WeightSDS!R$12*$AM952^5+WeightSDS!S$12*$AM952^4+WeightSDS!T$12*$AM952^3+WeightSDS!U$12*$AM952^2+WeightSDS!V$12*$AM952+WeightSDS!W$12,WeightSDS!P$14*$AM952^7+WeightSDS!Q$14*$AM952^6+WeightSDS!R$14*$AM952^5+WeightSDS!S$14*$AM952^4+WeightSDS!T$14*$AM952^3+WeightSDS!U$14*$AM952^2+WeightSDS!V$14*$AM952+WeightSDS!W$14),IF($AM952&lt;156,WeightSDS!O$17*$AM952^8+WeightSDS!P$17*$AM952^7+WeightSDS!Q$17*$AM952^6+WeightSDS!R$17*$AM952^5+WeightSDS!S$17*$AM952^4+WeightSDS!T$17*$AM952^3+WeightSDS!U$17*$AM952^2+WeightSDS!V$17*$AM952+WeightSDS!W$17,IF($AM952&lt;186,WeightSDS!$U$18+(WeightSDS!$V$18-WeightSDS!$U$18)/24*($AM952-186)+WeightSDS!$W$18*(-$AM952+186)^2-0.005,WeightSDS!$U$18+(WeightSDS!$V$18-WeightSDS!$U$18)/24*($AM952-186)-0.005)))</f>
        <v>0.14604529399999999</v>
      </c>
      <c r="AT952" s="4">
        <f t="shared" si="301"/>
        <v>0.56299999999999994</v>
      </c>
      <c r="AU952" s="4">
        <f t="shared" si="302"/>
        <v>69</v>
      </c>
      <c r="AV952" s="4">
        <f t="shared" si="303"/>
        <v>0.51</v>
      </c>
    </row>
    <row r="953" spans="1:48" x14ac:dyDescent="0.15">
      <c r="A953" s="4"/>
      <c r="B953" s="21"/>
      <c r="C953" s="21"/>
      <c r="D953" s="21"/>
      <c r="E953" s="22"/>
      <c r="F953" s="22"/>
      <c r="G953" s="23"/>
      <c r="H953" s="23"/>
      <c r="I953" s="181"/>
      <c r="J953" s="8" t="str">
        <f t="shared" si="295"/>
        <v/>
      </c>
      <c r="K953" s="2" t="str">
        <f t="shared" si="304"/>
        <v/>
      </c>
      <c r="L953" s="2" t="str">
        <f t="shared" si="296"/>
        <v/>
      </c>
      <c r="M953" s="2" t="str">
        <f t="shared" si="305"/>
        <v/>
      </c>
      <c r="N953" s="2" t="str">
        <f t="shared" si="313"/>
        <v/>
      </c>
      <c r="O953" s="2" t="str">
        <f t="shared" si="306"/>
        <v/>
      </c>
      <c r="P953" s="8" t="str">
        <f t="shared" si="307"/>
        <v/>
      </c>
      <c r="Q953" s="8" t="str">
        <f t="shared" si="308"/>
        <v/>
      </c>
      <c r="R953" s="111" t="str">
        <f t="shared" si="309"/>
        <v/>
      </c>
      <c r="S953" s="44" t="str">
        <f t="shared" si="310"/>
        <v/>
      </c>
      <c r="T953" s="37" t="str">
        <f t="shared" si="311"/>
        <v/>
      </c>
      <c r="U953" s="44" t="str">
        <f t="shared" si="312"/>
        <v/>
      </c>
      <c r="V953" s="26"/>
      <c r="W953" s="26"/>
      <c r="X953" s="26"/>
      <c r="Y953" s="26"/>
      <c r="Z953" s="24"/>
      <c r="AA953" s="169">
        <f t="shared" si="297"/>
        <v>0</v>
      </c>
      <c r="AB953" s="4">
        <f t="shared" si="298"/>
        <v>0</v>
      </c>
      <c r="AC953" s="170">
        <f t="shared" si="315"/>
        <v>0</v>
      </c>
      <c r="AD953" s="58"/>
      <c r="AE953" s="58"/>
      <c r="AF953" s="58"/>
      <c r="AG953" s="59">
        <f t="shared" si="299"/>
        <v>9.0359999999999996</v>
      </c>
      <c r="AH953" s="59">
        <f t="shared" si="300"/>
        <v>-184.49199999999999</v>
      </c>
      <c r="AJ953" s="4">
        <f>IF(D953="M",IF(AM953&lt;78,BMILMS!$D$5*AM953^3+BMILMS!$E$5*AM953^2+BMILMS!$F$5*AM953+BMILMS!$G$5,IF(AM953&lt;150,BMILMS!$D$6*AM953^3+BMILMS!$E$6*AM953^2+BMILMS!$F$6*AM953+BMILMS!$G$6,BMILMS!$D$7*AM953^3+BMILMS!$E$7*AM953^2+BMILMS!$F$7*AM953+BMILMS!$G$7)),IF(AM953&lt;69,BMILMS!$D$9*AM953^3+BMILMS!$E$9*AM953^2+BMILMS!$F$9*AM953+BMILMS!$G$9,IF(AM953&lt;150,BMILMS!$D$10*AM953^3+BMILMS!$E$10*AM953^2+BMILMS!$F$10*AM953+BMILMS!$G$10,BMILMS!$D$11*AM953^3+BMILMS!$E$11*AM953^2+BMILMS!$F$11*AM953+BMILMS!$G$11)))</f>
        <v>0.79584630099999998</v>
      </c>
      <c r="AK953" s="4">
        <f>IF(D953="M",(IF(AM953&lt;2.5,BMILMS!$D$21*AM953^3+BMILMS!$E$21*AM953^2+BMILMS!$F$21*AM953+BMILMS!$G$21,IF(AM953&lt;9.5,BMILMS!$D$22*AM953^3+BMILMS!$E$22*AM953^2+BMILMS!$F$22*AM953+BMILMS!$G$22,IF(AM953&lt;26.75,BMILMS!$D$23*AM953^3+BMILMS!$E$23*AM953^2+BMILMS!$F$23*AM953+BMILMS!$G$23,IF(AM953&lt;90,BMILMS!$D$24*AM953^3+BMILMS!$E$24*AM953^2+BMILMS!$F$24*AM953+BMILMS!$G$24,BMILMS!$D$25*AM953^3+BMILMS!$E$25*AM953^2+BMILMS!$F$25*AM953+BMILMS!$G$25))))),(IF(AM953&lt;2.5,BMILMS!$D$27*AM953^3+BMILMS!$E$27*AM953^2+BMILMS!$F$27*AM953+BMILMS!$G$27,IF(AM953&lt;9.5,BMILMS!$D$28*AM953^3+BMILMS!$E$28*AM953^2+BMILMS!$F$28*AM953+BMILMS!$G$28,IF(AM953&lt;26.75,BMILMS!$D$29*AM953^3+BMILMS!$E$29*AM953^2+BMILMS!$F$29*AM953+BMILMS!$G$29,IF(AM953&lt;90,BMILMS!$D$30*AM953^3+BMILMS!$E$30*AM953^2+BMILMS!$F$30*AM953+BMILMS!$G$30,IF(AM953&lt;150,BMILMS!$D$31*AM953^3+BMILMS!$E$31*AM953^2+BMILMS!$F$31*AM953+BMILMS!$G$31,BMILMS!$D$32*AM953^3+BMILMS!$E$32*AM953^2+BMILMS!$F$32*AM953+BMILMS!$G$32)))))))</f>
        <v>12.568967990000001</v>
      </c>
      <c r="AL953" s="4">
        <f>IF(D953="M",(IF(AM953&lt;90,BMILMS!$D$14*AM953^3+BMILMS!$E$14*AM953^2+BMILMS!$F$14*AM953+BMILMS!$G$14,BMILMS!$D$15*AM953^3+BMILMS!$E$15*AM953^2+BMILMS!$F$15*AM953+BMILMS!$G$15)),(IF(AM953&lt;90,BMILMS!$D$17*AM953^3+BMILMS!$E$17*AM953^2+BMILMS!$F$17*AM953+BMILMS!$G$17,BMILMS!$D$18*AM953^3+BMILMS!$E$18*AM953^2+BMILMS!$F$18*AM953+BMILMS!$G$18)))</f>
        <v>8.8969350000000003E-2</v>
      </c>
      <c r="AM953" s="4">
        <f t="shared" si="314"/>
        <v>0</v>
      </c>
      <c r="AO953" s="56">
        <f>IF(D953="M",WeightSDS!P$5*$AM953^7+WeightSDS!Q$5*$AM953^6+WeightSDS!R$5*$AM953^5+WeightSDS!S$5*$AM953^4+WeightSDS!T$5*$AM953^3+WeightSDS!U$5*$AM953^2+WeightSDS!V$5*$AM953+WeightSDS!W$5,IF($AM953&lt;186,WeightSDS!P$8*$AM953^7+WeightSDS!Q$8*$AM953^6+WeightSDS!R$8*$AM953^5+WeightSDS!S$8*$AM953^4+WeightSDS!T$8*$AM953^3+WeightSDS!U$8*$AM953^2+WeightSDS!V$8*$AM953+WeightSDS!W$8,WeightSDS!$U$9+WeightSDS!$V$9*($AM953-WeightSDS!$W$9)))</f>
        <v>0.75407122999999998</v>
      </c>
      <c r="AP953" s="4">
        <f>IF(D953="M",IF($AM953&lt;45,WeightSDS!M$23*$AM953^10+WeightSDS!N$23*$AM953^9+WeightSDS!O$23*$AM953^8+WeightSDS!P$23*$AM953^7+WeightSDS!Q$23*$AM953^6+WeightSDS!R$23*$AM953^5+WeightSDS!S$23*$AM953^4+WeightSDS!T$23*$AM953^3+WeightSDS!U$23*$AM953^2+WeightSDS!V$23*$AM953+WeightSDS!W$23,IF($AM953&lt;153,WeightSDS!M$25*$AM953^10+WeightSDS!N$25*$AM953^9+WeightSDS!O$25*$AM953^8+WeightSDS!P$25*$AM953^7+WeightSDS!Q$25*$AM953^6+WeightSDS!R$25*$AM953^5+WeightSDS!S$25*$AM953^4+WeightSDS!T$25*$AM953^3+WeightSDS!U$25*$AM953^2+WeightSDS!V$25*$AM953+WeightSDS!W$25,WeightSDS!M$27+WeightSDS!N$27/(1+EXP(WeightSDS!O$27+WeightSDS!P$27*$AM953)))),IF($AM953&lt;43.8,WeightSDS!M$29*$AM953^10+WeightSDS!N$29*$AM953^9+WeightSDS!O$29*$AM953^8+WeightSDS!P$29*$AM953^7+WeightSDS!Q$29*$AM953^6+WeightSDS!R$29*$AM953^5+WeightSDS!S$29*$AM953^4+WeightSDS!T$29*$AM953^3+WeightSDS!U$29*$AM953^2+WeightSDS!V$29*$AM953+WeightSDS!W$29-0.010431*(1-$AM953/210),IF($AM953&lt;123,WeightSDS!M$30*$AM953^10+WeightSDS!N$30*$AM953^9+WeightSDS!O$30*$AM953^8+WeightSDS!P$30*$AM953^7+WeightSDS!Q$30*$AM953^6+WeightSDS!R$30*$AM953^5+WeightSDS!S$30*$AM953^4+WeightSDS!T$30*$AM953^3+WeightSDS!U$30*$AM953^2+WeightSDS!V$30*$AM953+WeightSDS!W$30-0.010431*(1-1/$AM953),WeightSDS!M$32+WeightSDS!N$32/(1+EXP(WeightSDS!O$32+WeightSDS!P$32*$AM953))-0.010431*(1-$AM953/210))))</f>
        <v>2.9500001032655536</v>
      </c>
      <c r="AQ953" s="4">
        <f>IF(D953="M",IF($AM953&lt;162,WeightSDS!P$12*$AM953^7+WeightSDS!Q$12*$AM953^6+WeightSDS!R$12*$AM953^5+WeightSDS!S$12*$AM953^4+WeightSDS!T$12*$AM953^3+WeightSDS!U$12*$AM953^2+WeightSDS!V$12*$AM953+WeightSDS!W$12,WeightSDS!P$14*$AM953^7+WeightSDS!Q$14*$AM953^6+WeightSDS!R$14*$AM953^5+WeightSDS!S$14*$AM953^4+WeightSDS!T$14*$AM953^3+WeightSDS!U$14*$AM953^2+WeightSDS!V$14*$AM953+WeightSDS!W$14),IF($AM953&lt;156,WeightSDS!O$17*$AM953^8+WeightSDS!P$17*$AM953^7+WeightSDS!Q$17*$AM953^6+WeightSDS!R$17*$AM953^5+WeightSDS!S$17*$AM953^4+WeightSDS!T$17*$AM953^3+WeightSDS!U$17*$AM953^2+WeightSDS!V$17*$AM953+WeightSDS!W$17,IF($AM953&lt;186,WeightSDS!$U$18+(WeightSDS!$V$18-WeightSDS!$U$18)/24*($AM953-186)+WeightSDS!$W$18*(-$AM953+186)^2-0.005,WeightSDS!$U$18+(WeightSDS!$V$18-WeightSDS!$U$18)/24*($AM953-186)-0.005)))</f>
        <v>0.14604529399999999</v>
      </c>
      <c r="AT953" s="4">
        <f t="shared" si="301"/>
        <v>0.56299999999999994</v>
      </c>
      <c r="AU953" s="4">
        <f t="shared" si="302"/>
        <v>69</v>
      </c>
      <c r="AV953" s="4">
        <f t="shared" si="303"/>
        <v>0.51</v>
      </c>
    </row>
    <row r="954" spans="1:48" x14ac:dyDescent="0.15">
      <c r="A954" s="4"/>
      <c r="B954" s="21"/>
      <c r="C954" s="21"/>
      <c r="D954" s="21"/>
      <c r="E954" s="22"/>
      <c r="F954" s="22"/>
      <c r="G954" s="23"/>
      <c r="H954" s="23"/>
      <c r="I954" s="181"/>
      <c r="J954" s="8" t="str">
        <f t="shared" si="295"/>
        <v/>
      </c>
      <c r="K954" s="2" t="str">
        <f t="shared" si="304"/>
        <v/>
      </c>
      <c r="L954" s="2" t="str">
        <f t="shared" si="296"/>
        <v/>
      </c>
      <c r="M954" s="2" t="str">
        <f t="shared" si="305"/>
        <v/>
      </c>
      <c r="N954" s="2" t="str">
        <f t="shared" si="313"/>
        <v/>
      </c>
      <c r="O954" s="2" t="str">
        <f t="shared" si="306"/>
        <v/>
      </c>
      <c r="P954" s="8" t="str">
        <f t="shared" si="307"/>
        <v/>
      </c>
      <c r="Q954" s="8" t="str">
        <f t="shared" si="308"/>
        <v/>
      </c>
      <c r="R954" s="111" t="str">
        <f t="shared" si="309"/>
        <v/>
      </c>
      <c r="S954" s="44" t="str">
        <f t="shared" si="310"/>
        <v/>
      </c>
      <c r="T954" s="37" t="str">
        <f t="shared" si="311"/>
        <v/>
      </c>
      <c r="U954" s="44" t="str">
        <f t="shared" si="312"/>
        <v/>
      </c>
      <c r="V954" s="26"/>
      <c r="W954" s="26"/>
      <c r="X954" s="26"/>
      <c r="Y954" s="26"/>
      <c r="Z954" s="24"/>
      <c r="AA954" s="169">
        <f t="shared" si="297"/>
        <v>0</v>
      </c>
      <c r="AB954" s="4">
        <f t="shared" si="298"/>
        <v>0</v>
      </c>
      <c r="AC954" s="170">
        <f t="shared" si="315"/>
        <v>0</v>
      </c>
      <c r="AD954" s="58"/>
      <c r="AE954" s="58"/>
      <c r="AF954" s="58"/>
      <c r="AG954" s="59">
        <f t="shared" si="299"/>
        <v>9.0359999999999996</v>
      </c>
      <c r="AH954" s="59">
        <f t="shared" si="300"/>
        <v>-184.49199999999999</v>
      </c>
      <c r="AJ954" s="4">
        <f>IF(D954="M",IF(AM954&lt;78,BMILMS!$D$5*AM954^3+BMILMS!$E$5*AM954^2+BMILMS!$F$5*AM954+BMILMS!$G$5,IF(AM954&lt;150,BMILMS!$D$6*AM954^3+BMILMS!$E$6*AM954^2+BMILMS!$F$6*AM954+BMILMS!$G$6,BMILMS!$D$7*AM954^3+BMILMS!$E$7*AM954^2+BMILMS!$F$7*AM954+BMILMS!$G$7)),IF(AM954&lt;69,BMILMS!$D$9*AM954^3+BMILMS!$E$9*AM954^2+BMILMS!$F$9*AM954+BMILMS!$G$9,IF(AM954&lt;150,BMILMS!$D$10*AM954^3+BMILMS!$E$10*AM954^2+BMILMS!$F$10*AM954+BMILMS!$G$10,BMILMS!$D$11*AM954^3+BMILMS!$E$11*AM954^2+BMILMS!$F$11*AM954+BMILMS!$G$11)))</f>
        <v>0.79584630099999998</v>
      </c>
      <c r="AK954" s="4">
        <f>IF(D954="M",(IF(AM954&lt;2.5,BMILMS!$D$21*AM954^3+BMILMS!$E$21*AM954^2+BMILMS!$F$21*AM954+BMILMS!$G$21,IF(AM954&lt;9.5,BMILMS!$D$22*AM954^3+BMILMS!$E$22*AM954^2+BMILMS!$F$22*AM954+BMILMS!$G$22,IF(AM954&lt;26.75,BMILMS!$D$23*AM954^3+BMILMS!$E$23*AM954^2+BMILMS!$F$23*AM954+BMILMS!$G$23,IF(AM954&lt;90,BMILMS!$D$24*AM954^3+BMILMS!$E$24*AM954^2+BMILMS!$F$24*AM954+BMILMS!$G$24,BMILMS!$D$25*AM954^3+BMILMS!$E$25*AM954^2+BMILMS!$F$25*AM954+BMILMS!$G$25))))),(IF(AM954&lt;2.5,BMILMS!$D$27*AM954^3+BMILMS!$E$27*AM954^2+BMILMS!$F$27*AM954+BMILMS!$G$27,IF(AM954&lt;9.5,BMILMS!$D$28*AM954^3+BMILMS!$E$28*AM954^2+BMILMS!$F$28*AM954+BMILMS!$G$28,IF(AM954&lt;26.75,BMILMS!$D$29*AM954^3+BMILMS!$E$29*AM954^2+BMILMS!$F$29*AM954+BMILMS!$G$29,IF(AM954&lt;90,BMILMS!$D$30*AM954^3+BMILMS!$E$30*AM954^2+BMILMS!$F$30*AM954+BMILMS!$G$30,IF(AM954&lt;150,BMILMS!$D$31*AM954^3+BMILMS!$E$31*AM954^2+BMILMS!$F$31*AM954+BMILMS!$G$31,BMILMS!$D$32*AM954^3+BMILMS!$E$32*AM954^2+BMILMS!$F$32*AM954+BMILMS!$G$32)))))))</f>
        <v>12.568967990000001</v>
      </c>
      <c r="AL954" s="4">
        <f>IF(D954="M",(IF(AM954&lt;90,BMILMS!$D$14*AM954^3+BMILMS!$E$14*AM954^2+BMILMS!$F$14*AM954+BMILMS!$G$14,BMILMS!$D$15*AM954^3+BMILMS!$E$15*AM954^2+BMILMS!$F$15*AM954+BMILMS!$G$15)),(IF(AM954&lt;90,BMILMS!$D$17*AM954^3+BMILMS!$E$17*AM954^2+BMILMS!$F$17*AM954+BMILMS!$G$17,BMILMS!$D$18*AM954^3+BMILMS!$E$18*AM954^2+BMILMS!$F$18*AM954+BMILMS!$G$18)))</f>
        <v>8.8969350000000003E-2</v>
      </c>
      <c r="AM954" s="4">
        <f t="shared" si="314"/>
        <v>0</v>
      </c>
      <c r="AO954" s="56">
        <f>IF(D954="M",WeightSDS!P$5*$AM954^7+WeightSDS!Q$5*$AM954^6+WeightSDS!R$5*$AM954^5+WeightSDS!S$5*$AM954^4+WeightSDS!T$5*$AM954^3+WeightSDS!U$5*$AM954^2+WeightSDS!V$5*$AM954+WeightSDS!W$5,IF($AM954&lt;186,WeightSDS!P$8*$AM954^7+WeightSDS!Q$8*$AM954^6+WeightSDS!R$8*$AM954^5+WeightSDS!S$8*$AM954^4+WeightSDS!T$8*$AM954^3+WeightSDS!U$8*$AM954^2+WeightSDS!V$8*$AM954+WeightSDS!W$8,WeightSDS!$U$9+WeightSDS!$V$9*($AM954-WeightSDS!$W$9)))</f>
        <v>0.75407122999999998</v>
      </c>
      <c r="AP954" s="4">
        <f>IF(D954="M",IF($AM954&lt;45,WeightSDS!M$23*$AM954^10+WeightSDS!N$23*$AM954^9+WeightSDS!O$23*$AM954^8+WeightSDS!P$23*$AM954^7+WeightSDS!Q$23*$AM954^6+WeightSDS!R$23*$AM954^5+WeightSDS!S$23*$AM954^4+WeightSDS!T$23*$AM954^3+WeightSDS!U$23*$AM954^2+WeightSDS!V$23*$AM954+WeightSDS!W$23,IF($AM954&lt;153,WeightSDS!M$25*$AM954^10+WeightSDS!N$25*$AM954^9+WeightSDS!O$25*$AM954^8+WeightSDS!P$25*$AM954^7+WeightSDS!Q$25*$AM954^6+WeightSDS!R$25*$AM954^5+WeightSDS!S$25*$AM954^4+WeightSDS!T$25*$AM954^3+WeightSDS!U$25*$AM954^2+WeightSDS!V$25*$AM954+WeightSDS!W$25,WeightSDS!M$27+WeightSDS!N$27/(1+EXP(WeightSDS!O$27+WeightSDS!P$27*$AM954)))),IF($AM954&lt;43.8,WeightSDS!M$29*$AM954^10+WeightSDS!N$29*$AM954^9+WeightSDS!O$29*$AM954^8+WeightSDS!P$29*$AM954^7+WeightSDS!Q$29*$AM954^6+WeightSDS!R$29*$AM954^5+WeightSDS!S$29*$AM954^4+WeightSDS!T$29*$AM954^3+WeightSDS!U$29*$AM954^2+WeightSDS!V$29*$AM954+WeightSDS!W$29-0.010431*(1-$AM954/210),IF($AM954&lt;123,WeightSDS!M$30*$AM954^10+WeightSDS!N$30*$AM954^9+WeightSDS!O$30*$AM954^8+WeightSDS!P$30*$AM954^7+WeightSDS!Q$30*$AM954^6+WeightSDS!R$30*$AM954^5+WeightSDS!S$30*$AM954^4+WeightSDS!T$30*$AM954^3+WeightSDS!U$30*$AM954^2+WeightSDS!V$30*$AM954+WeightSDS!W$30-0.010431*(1-1/$AM954),WeightSDS!M$32+WeightSDS!N$32/(1+EXP(WeightSDS!O$32+WeightSDS!P$32*$AM954))-0.010431*(1-$AM954/210))))</f>
        <v>2.9500001032655536</v>
      </c>
      <c r="AQ954" s="4">
        <f>IF(D954="M",IF($AM954&lt;162,WeightSDS!P$12*$AM954^7+WeightSDS!Q$12*$AM954^6+WeightSDS!R$12*$AM954^5+WeightSDS!S$12*$AM954^4+WeightSDS!T$12*$AM954^3+WeightSDS!U$12*$AM954^2+WeightSDS!V$12*$AM954+WeightSDS!W$12,WeightSDS!P$14*$AM954^7+WeightSDS!Q$14*$AM954^6+WeightSDS!R$14*$AM954^5+WeightSDS!S$14*$AM954^4+WeightSDS!T$14*$AM954^3+WeightSDS!U$14*$AM954^2+WeightSDS!V$14*$AM954+WeightSDS!W$14),IF($AM954&lt;156,WeightSDS!O$17*$AM954^8+WeightSDS!P$17*$AM954^7+WeightSDS!Q$17*$AM954^6+WeightSDS!R$17*$AM954^5+WeightSDS!S$17*$AM954^4+WeightSDS!T$17*$AM954^3+WeightSDS!U$17*$AM954^2+WeightSDS!V$17*$AM954+WeightSDS!W$17,IF($AM954&lt;186,WeightSDS!$U$18+(WeightSDS!$V$18-WeightSDS!$U$18)/24*($AM954-186)+WeightSDS!$W$18*(-$AM954+186)^2-0.005,WeightSDS!$U$18+(WeightSDS!$V$18-WeightSDS!$U$18)/24*($AM954-186)-0.005)))</f>
        <v>0.14604529399999999</v>
      </c>
      <c r="AT954" s="4">
        <f t="shared" si="301"/>
        <v>0.56299999999999994</v>
      </c>
      <c r="AU954" s="4">
        <f t="shared" si="302"/>
        <v>69</v>
      </c>
      <c r="AV954" s="4">
        <f t="shared" si="303"/>
        <v>0.51</v>
      </c>
    </row>
    <row r="955" spans="1:48" x14ac:dyDescent="0.15">
      <c r="A955" s="4"/>
      <c r="B955" s="21"/>
      <c r="C955" s="21"/>
      <c r="D955" s="21"/>
      <c r="E955" s="22"/>
      <c r="F955" s="22"/>
      <c r="G955" s="23"/>
      <c r="H955" s="23"/>
      <c r="I955" s="181"/>
      <c r="J955" s="8" t="str">
        <f t="shared" si="295"/>
        <v/>
      </c>
      <c r="K955" s="2" t="str">
        <f t="shared" si="304"/>
        <v/>
      </c>
      <c r="L955" s="2" t="str">
        <f t="shared" si="296"/>
        <v/>
      </c>
      <c r="M955" s="2" t="str">
        <f t="shared" si="305"/>
        <v/>
      </c>
      <c r="N955" s="2" t="str">
        <f t="shared" si="313"/>
        <v/>
      </c>
      <c r="O955" s="2" t="str">
        <f t="shared" si="306"/>
        <v/>
      </c>
      <c r="P955" s="8" t="str">
        <f t="shared" si="307"/>
        <v/>
      </c>
      <c r="Q955" s="8" t="str">
        <f t="shared" si="308"/>
        <v/>
      </c>
      <c r="R955" s="111" t="str">
        <f t="shared" si="309"/>
        <v/>
      </c>
      <c r="S955" s="44" t="str">
        <f t="shared" si="310"/>
        <v/>
      </c>
      <c r="T955" s="37" t="str">
        <f t="shared" si="311"/>
        <v/>
      </c>
      <c r="U955" s="44" t="str">
        <f t="shared" si="312"/>
        <v/>
      </c>
      <c r="V955" s="26"/>
      <c r="W955" s="26"/>
      <c r="X955" s="26"/>
      <c r="Y955" s="26"/>
      <c r="Z955" s="24"/>
      <c r="AA955" s="169">
        <f t="shared" si="297"/>
        <v>0</v>
      </c>
      <c r="AB955" s="4">
        <f t="shared" si="298"/>
        <v>0</v>
      </c>
      <c r="AC955" s="170">
        <f t="shared" si="315"/>
        <v>0</v>
      </c>
      <c r="AD955" s="58"/>
      <c r="AE955" s="58"/>
      <c r="AF955" s="58"/>
      <c r="AG955" s="59">
        <f t="shared" si="299"/>
        <v>9.0359999999999996</v>
      </c>
      <c r="AH955" s="59">
        <f t="shared" si="300"/>
        <v>-184.49199999999999</v>
      </c>
      <c r="AJ955" s="4">
        <f>IF(D955="M",IF(AM955&lt;78,BMILMS!$D$5*AM955^3+BMILMS!$E$5*AM955^2+BMILMS!$F$5*AM955+BMILMS!$G$5,IF(AM955&lt;150,BMILMS!$D$6*AM955^3+BMILMS!$E$6*AM955^2+BMILMS!$F$6*AM955+BMILMS!$G$6,BMILMS!$D$7*AM955^3+BMILMS!$E$7*AM955^2+BMILMS!$F$7*AM955+BMILMS!$G$7)),IF(AM955&lt;69,BMILMS!$D$9*AM955^3+BMILMS!$E$9*AM955^2+BMILMS!$F$9*AM955+BMILMS!$G$9,IF(AM955&lt;150,BMILMS!$D$10*AM955^3+BMILMS!$E$10*AM955^2+BMILMS!$F$10*AM955+BMILMS!$G$10,BMILMS!$D$11*AM955^3+BMILMS!$E$11*AM955^2+BMILMS!$F$11*AM955+BMILMS!$G$11)))</f>
        <v>0.79584630099999998</v>
      </c>
      <c r="AK955" s="4">
        <f>IF(D955="M",(IF(AM955&lt;2.5,BMILMS!$D$21*AM955^3+BMILMS!$E$21*AM955^2+BMILMS!$F$21*AM955+BMILMS!$G$21,IF(AM955&lt;9.5,BMILMS!$D$22*AM955^3+BMILMS!$E$22*AM955^2+BMILMS!$F$22*AM955+BMILMS!$G$22,IF(AM955&lt;26.75,BMILMS!$D$23*AM955^3+BMILMS!$E$23*AM955^2+BMILMS!$F$23*AM955+BMILMS!$G$23,IF(AM955&lt;90,BMILMS!$D$24*AM955^3+BMILMS!$E$24*AM955^2+BMILMS!$F$24*AM955+BMILMS!$G$24,BMILMS!$D$25*AM955^3+BMILMS!$E$25*AM955^2+BMILMS!$F$25*AM955+BMILMS!$G$25))))),(IF(AM955&lt;2.5,BMILMS!$D$27*AM955^3+BMILMS!$E$27*AM955^2+BMILMS!$F$27*AM955+BMILMS!$G$27,IF(AM955&lt;9.5,BMILMS!$D$28*AM955^3+BMILMS!$E$28*AM955^2+BMILMS!$F$28*AM955+BMILMS!$G$28,IF(AM955&lt;26.75,BMILMS!$D$29*AM955^3+BMILMS!$E$29*AM955^2+BMILMS!$F$29*AM955+BMILMS!$G$29,IF(AM955&lt;90,BMILMS!$D$30*AM955^3+BMILMS!$E$30*AM955^2+BMILMS!$F$30*AM955+BMILMS!$G$30,IF(AM955&lt;150,BMILMS!$D$31*AM955^3+BMILMS!$E$31*AM955^2+BMILMS!$F$31*AM955+BMILMS!$G$31,BMILMS!$D$32*AM955^3+BMILMS!$E$32*AM955^2+BMILMS!$F$32*AM955+BMILMS!$G$32)))))))</f>
        <v>12.568967990000001</v>
      </c>
      <c r="AL955" s="4">
        <f>IF(D955="M",(IF(AM955&lt;90,BMILMS!$D$14*AM955^3+BMILMS!$E$14*AM955^2+BMILMS!$F$14*AM955+BMILMS!$G$14,BMILMS!$D$15*AM955^3+BMILMS!$E$15*AM955^2+BMILMS!$F$15*AM955+BMILMS!$G$15)),(IF(AM955&lt;90,BMILMS!$D$17*AM955^3+BMILMS!$E$17*AM955^2+BMILMS!$F$17*AM955+BMILMS!$G$17,BMILMS!$D$18*AM955^3+BMILMS!$E$18*AM955^2+BMILMS!$F$18*AM955+BMILMS!$G$18)))</f>
        <v>8.8969350000000003E-2</v>
      </c>
      <c r="AM955" s="4">
        <f t="shared" si="314"/>
        <v>0</v>
      </c>
      <c r="AO955" s="56">
        <f>IF(D955="M",WeightSDS!P$5*$AM955^7+WeightSDS!Q$5*$AM955^6+WeightSDS!R$5*$AM955^5+WeightSDS!S$5*$AM955^4+WeightSDS!T$5*$AM955^3+WeightSDS!U$5*$AM955^2+WeightSDS!V$5*$AM955+WeightSDS!W$5,IF($AM955&lt;186,WeightSDS!P$8*$AM955^7+WeightSDS!Q$8*$AM955^6+WeightSDS!R$8*$AM955^5+WeightSDS!S$8*$AM955^4+WeightSDS!T$8*$AM955^3+WeightSDS!U$8*$AM955^2+WeightSDS!V$8*$AM955+WeightSDS!W$8,WeightSDS!$U$9+WeightSDS!$V$9*($AM955-WeightSDS!$W$9)))</f>
        <v>0.75407122999999998</v>
      </c>
      <c r="AP955" s="4">
        <f>IF(D955="M",IF($AM955&lt;45,WeightSDS!M$23*$AM955^10+WeightSDS!N$23*$AM955^9+WeightSDS!O$23*$AM955^8+WeightSDS!P$23*$AM955^7+WeightSDS!Q$23*$AM955^6+WeightSDS!R$23*$AM955^5+WeightSDS!S$23*$AM955^4+WeightSDS!T$23*$AM955^3+WeightSDS!U$23*$AM955^2+WeightSDS!V$23*$AM955+WeightSDS!W$23,IF($AM955&lt;153,WeightSDS!M$25*$AM955^10+WeightSDS!N$25*$AM955^9+WeightSDS!O$25*$AM955^8+WeightSDS!P$25*$AM955^7+WeightSDS!Q$25*$AM955^6+WeightSDS!R$25*$AM955^5+WeightSDS!S$25*$AM955^4+WeightSDS!T$25*$AM955^3+WeightSDS!U$25*$AM955^2+WeightSDS!V$25*$AM955+WeightSDS!W$25,WeightSDS!M$27+WeightSDS!N$27/(1+EXP(WeightSDS!O$27+WeightSDS!P$27*$AM955)))),IF($AM955&lt;43.8,WeightSDS!M$29*$AM955^10+WeightSDS!N$29*$AM955^9+WeightSDS!O$29*$AM955^8+WeightSDS!P$29*$AM955^7+WeightSDS!Q$29*$AM955^6+WeightSDS!R$29*$AM955^5+WeightSDS!S$29*$AM955^4+WeightSDS!T$29*$AM955^3+WeightSDS!U$29*$AM955^2+WeightSDS!V$29*$AM955+WeightSDS!W$29-0.010431*(1-$AM955/210),IF($AM955&lt;123,WeightSDS!M$30*$AM955^10+WeightSDS!N$30*$AM955^9+WeightSDS!O$30*$AM955^8+WeightSDS!P$30*$AM955^7+WeightSDS!Q$30*$AM955^6+WeightSDS!R$30*$AM955^5+WeightSDS!S$30*$AM955^4+WeightSDS!T$30*$AM955^3+WeightSDS!U$30*$AM955^2+WeightSDS!V$30*$AM955+WeightSDS!W$30-0.010431*(1-1/$AM955),WeightSDS!M$32+WeightSDS!N$32/(1+EXP(WeightSDS!O$32+WeightSDS!P$32*$AM955))-0.010431*(1-$AM955/210))))</f>
        <v>2.9500001032655536</v>
      </c>
      <c r="AQ955" s="4">
        <f>IF(D955="M",IF($AM955&lt;162,WeightSDS!P$12*$AM955^7+WeightSDS!Q$12*$AM955^6+WeightSDS!R$12*$AM955^5+WeightSDS!S$12*$AM955^4+WeightSDS!T$12*$AM955^3+WeightSDS!U$12*$AM955^2+WeightSDS!V$12*$AM955+WeightSDS!W$12,WeightSDS!P$14*$AM955^7+WeightSDS!Q$14*$AM955^6+WeightSDS!R$14*$AM955^5+WeightSDS!S$14*$AM955^4+WeightSDS!T$14*$AM955^3+WeightSDS!U$14*$AM955^2+WeightSDS!V$14*$AM955+WeightSDS!W$14),IF($AM955&lt;156,WeightSDS!O$17*$AM955^8+WeightSDS!P$17*$AM955^7+WeightSDS!Q$17*$AM955^6+WeightSDS!R$17*$AM955^5+WeightSDS!S$17*$AM955^4+WeightSDS!T$17*$AM955^3+WeightSDS!U$17*$AM955^2+WeightSDS!V$17*$AM955+WeightSDS!W$17,IF($AM955&lt;186,WeightSDS!$U$18+(WeightSDS!$V$18-WeightSDS!$U$18)/24*($AM955-186)+WeightSDS!$W$18*(-$AM955+186)^2-0.005,WeightSDS!$U$18+(WeightSDS!$V$18-WeightSDS!$U$18)/24*($AM955-186)-0.005)))</f>
        <v>0.14604529399999999</v>
      </c>
      <c r="AT955" s="4">
        <f t="shared" si="301"/>
        <v>0.56299999999999994</v>
      </c>
      <c r="AU955" s="4">
        <f t="shared" si="302"/>
        <v>69</v>
      </c>
      <c r="AV955" s="4">
        <f t="shared" si="303"/>
        <v>0.51</v>
      </c>
    </row>
    <row r="956" spans="1:48" x14ac:dyDescent="0.15">
      <c r="A956" s="4"/>
      <c r="B956" s="21"/>
      <c r="C956" s="21"/>
      <c r="D956" s="21"/>
      <c r="E956" s="22"/>
      <c r="F956" s="22"/>
      <c r="G956" s="23"/>
      <c r="H956" s="23"/>
      <c r="I956" s="181"/>
      <c r="J956" s="8" t="str">
        <f t="shared" si="295"/>
        <v/>
      </c>
      <c r="K956" s="2" t="str">
        <f t="shared" si="304"/>
        <v/>
      </c>
      <c r="L956" s="2" t="str">
        <f t="shared" si="296"/>
        <v/>
      </c>
      <c r="M956" s="2" t="str">
        <f t="shared" si="305"/>
        <v/>
      </c>
      <c r="N956" s="2" t="str">
        <f t="shared" si="313"/>
        <v/>
      </c>
      <c r="O956" s="2" t="str">
        <f t="shared" si="306"/>
        <v/>
      </c>
      <c r="P956" s="8" t="str">
        <f t="shared" si="307"/>
        <v/>
      </c>
      <c r="Q956" s="8" t="str">
        <f t="shared" si="308"/>
        <v/>
      </c>
      <c r="R956" s="111" t="str">
        <f t="shared" si="309"/>
        <v/>
      </c>
      <c r="S956" s="44" t="str">
        <f t="shared" si="310"/>
        <v/>
      </c>
      <c r="T956" s="37" t="str">
        <f t="shared" si="311"/>
        <v/>
      </c>
      <c r="U956" s="44" t="str">
        <f t="shared" si="312"/>
        <v/>
      </c>
      <c r="V956" s="26"/>
      <c r="W956" s="26"/>
      <c r="X956" s="26"/>
      <c r="Y956" s="26"/>
      <c r="Z956" s="24"/>
      <c r="AA956" s="169">
        <f t="shared" si="297"/>
        <v>0</v>
      </c>
      <c r="AB956" s="4">
        <f t="shared" si="298"/>
        <v>0</v>
      </c>
      <c r="AC956" s="170">
        <f t="shared" si="315"/>
        <v>0</v>
      </c>
      <c r="AD956" s="58"/>
      <c r="AE956" s="58"/>
      <c r="AF956" s="58"/>
      <c r="AG956" s="59">
        <f t="shared" si="299"/>
        <v>9.0359999999999996</v>
      </c>
      <c r="AH956" s="59">
        <f t="shared" si="300"/>
        <v>-184.49199999999999</v>
      </c>
      <c r="AJ956" s="4">
        <f>IF(D956="M",IF(AM956&lt;78,BMILMS!$D$5*AM956^3+BMILMS!$E$5*AM956^2+BMILMS!$F$5*AM956+BMILMS!$G$5,IF(AM956&lt;150,BMILMS!$D$6*AM956^3+BMILMS!$E$6*AM956^2+BMILMS!$F$6*AM956+BMILMS!$G$6,BMILMS!$D$7*AM956^3+BMILMS!$E$7*AM956^2+BMILMS!$F$7*AM956+BMILMS!$G$7)),IF(AM956&lt;69,BMILMS!$D$9*AM956^3+BMILMS!$E$9*AM956^2+BMILMS!$F$9*AM956+BMILMS!$G$9,IF(AM956&lt;150,BMILMS!$D$10*AM956^3+BMILMS!$E$10*AM956^2+BMILMS!$F$10*AM956+BMILMS!$G$10,BMILMS!$D$11*AM956^3+BMILMS!$E$11*AM956^2+BMILMS!$F$11*AM956+BMILMS!$G$11)))</f>
        <v>0.79584630099999998</v>
      </c>
      <c r="AK956" s="4">
        <f>IF(D956="M",(IF(AM956&lt;2.5,BMILMS!$D$21*AM956^3+BMILMS!$E$21*AM956^2+BMILMS!$F$21*AM956+BMILMS!$G$21,IF(AM956&lt;9.5,BMILMS!$D$22*AM956^3+BMILMS!$E$22*AM956^2+BMILMS!$F$22*AM956+BMILMS!$G$22,IF(AM956&lt;26.75,BMILMS!$D$23*AM956^3+BMILMS!$E$23*AM956^2+BMILMS!$F$23*AM956+BMILMS!$G$23,IF(AM956&lt;90,BMILMS!$D$24*AM956^3+BMILMS!$E$24*AM956^2+BMILMS!$F$24*AM956+BMILMS!$G$24,BMILMS!$D$25*AM956^3+BMILMS!$E$25*AM956^2+BMILMS!$F$25*AM956+BMILMS!$G$25))))),(IF(AM956&lt;2.5,BMILMS!$D$27*AM956^3+BMILMS!$E$27*AM956^2+BMILMS!$F$27*AM956+BMILMS!$G$27,IF(AM956&lt;9.5,BMILMS!$D$28*AM956^3+BMILMS!$E$28*AM956^2+BMILMS!$F$28*AM956+BMILMS!$G$28,IF(AM956&lt;26.75,BMILMS!$D$29*AM956^3+BMILMS!$E$29*AM956^2+BMILMS!$F$29*AM956+BMILMS!$G$29,IF(AM956&lt;90,BMILMS!$D$30*AM956^3+BMILMS!$E$30*AM956^2+BMILMS!$F$30*AM956+BMILMS!$G$30,IF(AM956&lt;150,BMILMS!$D$31*AM956^3+BMILMS!$E$31*AM956^2+BMILMS!$F$31*AM956+BMILMS!$G$31,BMILMS!$D$32*AM956^3+BMILMS!$E$32*AM956^2+BMILMS!$F$32*AM956+BMILMS!$G$32)))))))</f>
        <v>12.568967990000001</v>
      </c>
      <c r="AL956" s="4">
        <f>IF(D956="M",(IF(AM956&lt;90,BMILMS!$D$14*AM956^3+BMILMS!$E$14*AM956^2+BMILMS!$F$14*AM956+BMILMS!$G$14,BMILMS!$D$15*AM956^3+BMILMS!$E$15*AM956^2+BMILMS!$F$15*AM956+BMILMS!$G$15)),(IF(AM956&lt;90,BMILMS!$D$17*AM956^3+BMILMS!$E$17*AM956^2+BMILMS!$F$17*AM956+BMILMS!$G$17,BMILMS!$D$18*AM956^3+BMILMS!$E$18*AM956^2+BMILMS!$F$18*AM956+BMILMS!$G$18)))</f>
        <v>8.8969350000000003E-2</v>
      </c>
      <c r="AM956" s="4">
        <f t="shared" si="314"/>
        <v>0</v>
      </c>
      <c r="AO956" s="56">
        <f>IF(D956="M",WeightSDS!P$5*$AM956^7+WeightSDS!Q$5*$AM956^6+WeightSDS!R$5*$AM956^5+WeightSDS!S$5*$AM956^4+WeightSDS!T$5*$AM956^3+WeightSDS!U$5*$AM956^2+WeightSDS!V$5*$AM956+WeightSDS!W$5,IF($AM956&lt;186,WeightSDS!P$8*$AM956^7+WeightSDS!Q$8*$AM956^6+WeightSDS!R$8*$AM956^5+WeightSDS!S$8*$AM956^4+WeightSDS!T$8*$AM956^3+WeightSDS!U$8*$AM956^2+WeightSDS!V$8*$AM956+WeightSDS!W$8,WeightSDS!$U$9+WeightSDS!$V$9*($AM956-WeightSDS!$W$9)))</f>
        <v>0.75407122999999998</v>
      </c>
      <c r="AP956" s="4">
        <f>IF(D956="M",IF($AM956&lt;45,WeightSDS!M$23*$AM956^10+WeightSDS!N$23*$AM956^9+WeightSDS!O$23*$AM956^8+WeightSDS!P$23*$AM956^7+WeightSDS!Q$23*$AM956^6+WeightSDS!R$23*$AM956^5+WeightSDS!S$23*$AM956^4+WeightSDS!T$23*$AM956^3+WeightSDS!U$23*$AM956^2+WeightSDS!V$23*$AM956+WeightSDS!W$23,IF($AM956&lt;153,WeightSDS!M$25*$AM956^10+WeightSDS!N$25*$AM956^9+WeightSDS!O$25*$AM956^8+WeightSDS!P$25*$AM956^7+WeightSDS!Q$25*$AM956^6+WeightSDS!R$25*$AM956^5+WeightSDS!S$25*$AM956^4+WeightSDS!T$25*$AM956^3+WeightSDS!U$25*$AM956^2+WeightSDS!V$25*$AM956+WeightSDS!W$25,WeightSDS!M$27+WeightSDS!N$27/(1+EXP(WeightSDS!O$27+WeightSDS!P$27*$AM956)))),IF($AM956&lt;43.8,WeightSDS!M$29*$AM956^10+WeightSDS!N$29*$AM956^9+WeightSDS!O$29*$AM956^8+WeightSDS!P$29*$AM956^7+WeightSDS!Q$29*$AM956^6+WeightSDS!R$29*$AM956^5+WeightSDS!S$29*$AM956^4+WeightSDS!T$29*$AM956^3+WeightSDS!U$29*$AM956^2+WeightSDS!V$29*$AM956+WeightSDS!W$29-0.010431*(1-$AM956/210),IF($AM956&lt;123,WeightSDS!M$30*$AM956^10+WeightSDS!N$30*$AM956^9+WeightSDS!O$30*$AM956^8+WeightSDS!P$30*$AM956^7+WeightSDS!Q$30*$AM956^6+WeightSDS!R$30*$AM956^5+WeightSDS!S$30*$AM956^4+WeightSDS!T$30*$AM956^3+WeightSDS!U$30*$AM956^2+WeightSDS!V$30*$AM956+WeightSDS!W$30-0.010431*(1-1/$AM956),WeightSDS!M$32+WeightSDS!N$32/(1+EXP(WeightSDS!O$32+WeightSDS!P$32*$AM956))-0.010431*(1-$AM956/210))))</f>
        <v>2.9500001032655536</v>
      </c>
      <c r="AQ956" s="4">
        <f>IF(D956="M",IF($AM956&lt;162,WeightSDS!P$12*$AM956^7+WeightSDS!Q$12*$AM956^6+WeightSDS!R$12*$AM956^5+WeightSDS!S$12*$AM956^4+WeightSDS!T$12*$AM956^3+WeightSDS!U$12*$AM956^2+WeightSDS!V$12*$AM956+WeightSDS!W$12,WeightSDS!P$14*$AM956^7+WeightSDS!Q$14*$AM956^6+WeightSDS!R$14*$AM956^5+WeightSDS!S$14*$AM956^4+WeightSDS!T$14*$AM956^3+WeightSDS!U$14*$AM956^2+WeightSDS!V$14*$AM956+WeightSDS!W$14),IF($AM956&lt;156,WeightSDS!O$17*$AM956^8+WeightSDS!P$17*$AM956^7+WeightSDS!Q$17*$AM956^6+WeightSDS!R$17*$AM956^5+WeightSDS!S$17*$AM956^4+WeightSDS!T$17*$AM956^3+WeightSDS!U$17*$AM956^2+WeightSDS!V$17*$AM956+WeightSDS!W$17,IF($AM956&lt;186,WeightSDS!$U$18+(WeightSDS!$V$18-WeightSDS!$U$18)/24*($AM956-186)+WeightSDS!$W$18*(-$AM956+186)^2-0.005,WeightSDS!$U$18+(WeightSDS!$V$18-WeightSDS!$U$18)/24*($AM956-186)-0.005)))</f>
        <v>0.14604529399999999</v>
      </c>
      <c r="AT956" s="4">
        <f t="shared" si="301"/>
        <v>0.56299999999999994</v>
      </c>
      <c r="AU956" s="4">
        <f t="shared" si="302"/>
        <v>69</v>
      </c>
      <c r="AV956" s="4">
        <f t="shared" si="303"/>
        <v>0.51</v>
      </c>
    </row>
    <row r="957" spans="1:48" x14ac:dyDescent="0.15">
      <c r="A957" s="4"/>
      <c r="B957" s="21"/>
      <c r="C957" s="21"/>
      <c r="D957" s="21"/>
      <c r="E957" s="22"/>
      <c r="F957" s="22"/>
      <c r="G957" s="23"/>
      <c r="H957" s="23"/>
      <c r="I957" s="181"/>
      <c r="J957" s="8" t="str">
        <f t="shared" si="295"/>
        <v/>
      </c>
      <c r="K957" s="2" t="str">
        <f t="shared" si="304"/>
        <v/>
      </c>
      <c r="L957" s="2" t="str">
        <f t="shared" si="296"/>
        <v/>
      </c>
      <c r="M957" s="2" t="str">
        <f t="shared" si="305"/>
        <v/>
      </c>
      <c r="N957" s="2" t="str">
        <f t="shared" si="313"/>
        <v/>
      </c>
      <c r="O957" s="2" t="str">
        <f t="shared" si="306"/>
        <v/>
      </c>
      <c r="P957" s="8" t="str">
        <f t="shared" si="307"/>
        <v/>
      </c>
      <c r="Q957" s="8" t="str">
        <f t="shared" si="308"/>
        <v/>
      </c>
      <c r="R957" s="111" t="str">
        <f t="shared" si="309"/>
        <v/>
      </c>
      <c r="S957" s="44" t="str">
        <f t="shared" si="310"/>
        <v/>
      </c>
      <c r="T957" s="37" t="str">
        <f t="shared" si="311"/>
        <v/>
      </c>
      <c r="U957" s="44" t="str">
        <f t="shared" si="312"/>
        <v/>
      </c>
      <c r="V957" s="26"/>
      <c r="W957" s="26"/>
      <c r="X957" s="26"/>
      <c r="Y957" s="26"/>
      <c r="Z957" s="24"/>
      <c r="AA957" s="169">
        <f t="shared" si="297"/>
        <v>0</v>
      </c>
      <c r="AB957" s="4">
        <f t="shared" si="298"/>
        <v>0</v>
      </c>
      <c r="AC957" s="170">
        <f t="shared" si="315"/>
        <v>0</v>
      </c>
      <c r="AD957" s="58"/>
      <c r="AE957" s="58"/>
      <c r="AF957" s="58"/>
      <c r="AG957" s="59">
        <f t="shared" si="299"/>
        <v>9.0359999999999996</v>
      </c>
      <c r="AH957" s="59">
        <f t="shared" si="300"/>
        <v>-184.49199999999999</v>
      </c>
      <c r="AJ957" s="4">
        <f>IF(D957="M",IF(AM957&lt;78,BMILMS!$D$5*AM957^3+BMILMS!$E$5*AM957^2+BMILMS!$F$5*AM957+BMILMS!$G$5,IF(AM957&lt;150,BMILMS!$D$6*AM957^3+BMILMS!$E$6*AM957^2+BMILMS!$F$6*AM957+BMILMS!$G$6,BMILMS!$D$7*AM957^3+BMILMS!$E$7*AM957^2+BMILMS!$F$7*AM957+BMILMS!$G$7)),IF(AM957&lt;69,BMILMS!$D$9*AM957^3+BMILMS!$E$9*AM957^2+BMILMS!$F$9*AM957+BMILMS!$G$9,IF(AM957&lt;150,BMILMS!$D$10*AM957^3+BMILMS!$E$10*AM957^2+BMILMS!$F$10*AM957+BMILMS!$G$10,BMILMS!$D$11*AM957^3+BMILMS!$E$11*AM957^2+BMILMS!$F$11*AM957+BMILMS!$G$11)))</f>
        <v>0.79584630099999998</v>
      </c>
      <c r="AK957" s="4">
        <f>IF(D957="M",(IF(AM957&lt;2.5,BMILMS!$D$21*AM957^3+BMILMS!$E$21*AM957^2+BMILMS!$F$21*AM957+BMILMS!$G$21,IF(AM957&lt;9.5,BMILMS!$D$22*AM957^3+BMILMS!$E$22*AM957^2+BMILMS!$F$22*AM957+BMILMS!$G$22,IF(AM957&lt;26.75,BMILMS!$D$23*AM957^3+BMILMS!$E$23*AM957^2+BMILMS!$F$23*AM957+BMILMS!$G$23,IF(AM957&lt;90,BMILMS!$D$24*AM957^3+BMILMS!$E$24*AM957^2+BMILMS!$F$24*AM957+BMILMS!$G$24,BMILMS!$D$25*AM957^3+BMILMS!$E$25*AM957^2+BMILMS!$F$25*AM957+BMILMS!$G$25))))),(IF(AM957&lt;2.5,BMILMS!$D$27*AM957^3+BMILMS!$E$27*AM957^2+BMILMS!$F$27*AM957+BMILMS!$G$27,IF(AM957&lt;9.5,BMILMS!$D$28*AM957^3+BMILMS!$E$28*AM957^2+BMILMS!$F$28*AM957+BMILMS!$G$28,IF(AM957&lt;26.75,BMILMS!$D$29*AM957^3+BMILMS!$E$29*AM957^2+BMILMS!$F$29*AM957+BMILMS!$G$29,IF(AM957&lt;90,BMILMS!$D$30*AM957^3+BMILMS!$E$30*AM957^2+BMILMS!$F$30*AM957+BMILMS!$G$30,IF(AM957&lt;150,BMILMS!$D$31*AM957^3+BMILMS!$E$31*AM957^2+BMILMS!$F$31*AM957+BMILMS!$G$31,BMILMS!$D$32*AM957^3+BMILMS!$E$32*AM957^2+BMILMS!$F$32*AM957+BMILMS!$G$32)))))))</f>
        <v>12.568967990000001</v>
      </c>
      <c r="AL957" s="4">
        <f>IF(D957="M",(IF(AM957&lt;90,BMILMS!$D$14*AM957^3+BMILMS!$E$14*AM957^2+BMILMS!$F$14*AM957+BMILMS!$G$14,BMILMS!$D$15*AM957^3+BMILMS!$E$15*AM957^2+BMILMS!$F$15*AM957+BMILMS!$G$15)),(IF(AM957&lt;90,BMILMS!$D$17*AM957^3+BMILMS!$E$17*AM957^2+BMILMS!$F$17*AM957+BMILMS!$G$17,BMILMS!$D$18*AM957^3+BMILMS!$E$18*AM957^2+BMILMS!$F$18*AM957+BMILMS!$G$18)))</f>
        <v>8.8969350000000003E-2</v>
      </c>
      <c r="AM957" s="4">
        <f t="shared" si="314"/>
        <v>0</v>
      </c>
      <c r="AO957" s="56">
        <f>IF(D957="M",WeightSDS!P$5*$AM957^7+WeightSDS!Q$5*$AM957^6+WeightSDS!R$5*$AM957^5+WeightSDS!S$5*$AM957^4+WeightSDS!T$5*$AM957^3+WeightSDS!U$5*$AM957^2+WeightSDS!V$5*$AM957+WeightSDS!W$5,IF($AM957&lt;186,WeightSDS!P$8*$AM957^7+WeightSDS!Q$8*$AM957^6+WeightSDS!R$8*$AM957^5+WeightSDS!S$8*$AM957^4+WeightSDS!T$8*$AM957^3+WeightSDS!U$8*$AM957^2+WeightSDS!V$8*$AM957+WeightSDS!W$8,WeightSDS!$U$9+WeightSDS!$V$9*($AM957-WeightSDS!$W$9)))</f>
        <v>0.75407122999999998</v>
      </c>
      <c r="AP957" s="4">
        <f>IF(D957="M",IF($AM957&lt;45,WeightSDS!M$23*$AM957^10+WeightSDS!N$23*$AM957^9+WeightSDS!O$23*$AM957^8+WeightSDS!P$23*$AM957^7+WeightSDS!Q$23*$AM957^6+WeightSDS!R$23*$AM957^5+WeightSDS!S$23*$AM957^4+WeightSDS!T$23*$AM957^3+WeightSDS!U$23*$AM957^2+WeightSDS!V$23*$AM957+WeightSDS!W$23,IF($AM957&lt;153,WeightSDS!M$25*$AM957^10+WeightSDS!N$25*$AM957^9+WeightSDS!O$25*$AM957^8+WeightSDS!P$25*$AM957^7+WeightSDS!Q$25*$AM957^6+WeightSDS!R$25*$AM957^5+WeightSDS!S$25*$AM957^4+WeightSDS!T$25*$AM957^3+WeightSDS!U$25*$AM957^2+WeightSDS!V$25*$AM957+WeightSDS!W$25,WeightSDS!M$27+WeightSDS!N$27/(1+EXP(WeightSDS!O$27+WeightSDS!P$27*$AM957)))),IF($AM957&lt;43.8,WeightSDS!M$29*$AM957^10+WeightSDS!N$29*$AM957^9+WeightSDS!O$29*$AM957^8+WeightSDS!P$29*$AM957^7+WeightSDS!Q$29*$AM957^6+WeightSDS!R$29*$AM957^5+WeightSDS!S$29*$AM957^4+WeightSDS!T$29*$AM957^3+WeightSDS!U$29*$AM957^2+WeightSDS!V$29*$AM957+WeightSDS!W$29-0.010431*(1-$AM957/210),IF($AM957&lt;123,WeightSDS!M$30*$AM957^10+WeightSDS!N$30*$AM957^9+WeightSDS!O$30*$AM957^8+WeightSDS!P$30*$AM957^7+WeightSDS!Q$30*$AM957^6+WeightSDS!R$30*$AM957^5+WeightSDS!S$30*$AM957^4+WeightSDS!T$30*$AM957^3+WeightSDS!U$30*$AM957^2+WeightSDS!V$30*$AM957+WeightSDS!W$30-0.010431*(1-1/$AM957),WeightSDS!M$32+WeightSDS!N$32/(1+EXP(WeightSDS!O$32+WeightSDS!P$32*$AM957))-0.010431*(1-$AM957/210))))</f>
        <v>2.9500001032655536</v>
      </c>
      <c r="AQ957" s="4">
        <f>IF(D957="M",IF($AM957&lt;162,WeightSDS!P$12*$AM957^7+WeightSDS!Q$12*$AM957^6+WeightSDS!R$12*$AM957^5+WeightSDS!S$12*$AM957^4+WeightSDS!T$12*$AM957^3+WeightSDS!U$12*$AM957^2+WeightSDS!V$12*$AM957+WeightSDS!W$12,WeightSDS!P$14*$AM957^7+WeightSDS!Q$14*$AM957^6+WeightSDS!R$14*$AM957^5+WeightSDS!S$14*$AM957^4+WeightSDS!T$14*$AM957^3+WeightSDS!U$14*$AM957^2+WeightSDS!V$14*$AM957+WeightSDS!W$14),IF($AM957&lt;156,WeightSDS!O$17*$AM957^8+WeightSDS!P$17*$AM957^7+WeightSDS!Q$17*$AM957^6+WeightSDS!R$17*$AM957^5+WeightSDS!S$17*$AM957^4+WeightSDS!T$17*$AM957^3+WeightSDS!U$17*$AM957^2+WeightSDS!V$17*$AM957+WeightSDS!W$17,IF($AM957&lt;186,WeightSDS!$U$18+(WeightSDS!$V$18-WeightSDS!$U$18)/24*($AM957-186)+WeightSDS!$W$18*(-$AM957+186)^2-0.005,WeightSDS!$U$18+(WeightSDS!$V$18-WeightSDS!$U$18)/24*($AM957-186)-0.005)))</f>
        <v>0.14604529399999999</v>
      </c>
      <c r="AT957" s="4">
        <f t="shared" si="301"/>
        <v>0.56299999999999994</v>
      </c>
      <c r="AU957" s="4">
        <f t="shared" si="302"/>
        <v>69</v>
      </c>
      <c r="AV957" s="4">
        <f t="shared" si="303"/>
        <v>0.51</v>
      </c>
    </row>
    <row r="958" spans="1:48" x14ac:dyDescent="0.15">
      <c r="A958" s="4"/>
      <c r="B958" s="21"/>
      <c r="C958" s="21"/>
      <c r="D958" s="21"/>
      <c r="E958" s="22"/>
      <c r="F958" s="22"/>
      <c r="G958" s="23"/>
      <c r="H958" s="23"/>
      <c r="I958" s="181"/>
      <c r="J958" s="8" t="str">
        <f t="shared" si="295"/>
        <v/>
      </c>
      <c r="K958" s="2" t="str">
        <f t="shared" si="304"/>
        <v/>
      </c>
      <c r="L958" s="2" t="str">
        <f t="shared" si="296"/>
        <v/>
      </c>
      <c r="M958" s="2" t="str">
        <f t="shared" si="305"/>
        <v/>
      </c>
      <c r="N958" s="2" t="str">
        <f t="shared" si="313"/>
        <v/>
      </c>
      <c r="O958" s="2" t="str">
        <f t="shared" si="306"/>
        <v/>
      </c>
      <c r="P958" s="8" t="str">
        <f t="shared" si="307"/>
        <v/>
      </c>
      <c r="Q958" s="8" t="str">
        <f t="shared" si="308"/>
        <v/>
      </c>
      <c r="R958" s="111" t="str">
        <f t="shared" si="309"/>
        <v/>
      </c>
      <c r="S958" s="44" t="str">
        <f t="shared" si="310"/>
        <v/>
      </c>
      <c r="T958" s="37" t="str">
        <f t="shared" si="311"/>
        <v/>
      </c>
      <c r="U958" s="44" t="str">
        <f t="shared" si="312"/>
        <v/>
      </c>
      <c r="V958" s="26"/>
      <c r="W958" s="26"/>
      <c r="X958" s="26"/>
      <c r="Y958" s="26"/>
      <c r="Z958" s="24"/>
      <c r="AA958" s="169">
        <f t="shared" si="297"/>
        <v>0</v>
      </c>
      <c r="AB958" s="4">
        <f t="shared" si="298"/>
        <v>0</v>
      </c>
      <c r="AC958" s="170">
        <f t="shared" si="315"/>
        <v>0</v>
      </c>
      <c r="AD958" s="58"/>
      <c r="AE958" s="58"/>
      <c r="AF958" s="58"/>
      <c r="AG958" s="59">
        <f t="shared" si="299"/>
        <v>9.0359999999999996</v>
      </c>
      <c r="AH958" s="59">
        <f t="shared" si="300"/>
        <v>-184.49199999999999</v>
      </c>
      <c r="AJ958" s="4">
        <f>IF(D958="M",IF(AM958&lt;78,BMILMS!$D$5*AM958^3+BMILMS!$E$5*AM958^2+BMILMS!$F$5*AM958+BMILMS!$G$5,IF(AM958&lt;150,BMILMS!$D$6*AM958^3+BMILMS!$E$6*AM958^2+BMILMS!$F$6*AM958+BMILMS!$G$6,BMILMS!$D$7*AM958^3+BMILMS!$E$7*AM958^2+BMILMS!$F$7*AM958+BMILMS!$G$7)),IF(AM958&lt;69,BMILMS!$D$9*AM958^3+BMILMS!$E$9*AM958^2+BMILMS!$F$9*AM958+BMILMS!$G$9,IF(AM958&lt;150,BMILMS!$D$10*AM958^3+BMILMS!$E$10*AM958^2+BMILMS!$F$10*AM958+BMILMS!$G$10,BMILMS!$D$11*AM958^3+BMILMS!$E$11*AM958^2+BMILMS!$F$11*AM958+BMILMS!$G$11)))</f>
        <v>0.79584630099999998</v>
      </c>
      <c r="AK958" s="4">
        <f>IF(D958="M",(IF(AM958&lt;2.5,BMILMS!$D$21*AM958^3+BMILMS!$E$21*AM958^2+BMILMS!$F$21*AM958+BMILMS!$G$21,IF(AM958&lt;9.5,BMILMS!$D$22*AM958^3+BMILMS!$E$22*AM958^2+BMILMS!$F$22*AM958+BMILMS!$G$22,IF(AM958&lt;26.75,BMILMS!$D$23*AM958^3+BMILMS!$E$23*AM958^2+BMILMS!$F$23*AM958+BMILMS!$G$23,IF(AM958&lt;90,BMILMS!$D$24*AM958^3+BMILMS!$E$24*AM958^2+BMILMS!$F$24*AM958+BMILMS!$G$24,BMILMS!$D$25*AM958^3+BMILMS!$E$25*AM958^2+BMILMS!$F$25*AM958+BMILMS!$G$25))))),(IF(AM958&lt;2.5,BMILMS!$D$27*AM958^3+BMILMS!$E$27*AM958^2+BMILMS!$F$27*AM958+BMILMS!$G$27,IF(AM958&lt;9.5,BMILMS!$D$28*AM958^3+BMILMS!$E$28*AM958^2+BMILMS!$F$28*AM958+BMILMS!$G$28,IF(AM958&lt;26.75,BMILMS!$D$29*AM958^3+BMILMS!$E$29*AM958^2+BMILMS!$F$29*AM958+BMILMS!$G$29,IF(AM958&lt;90,BMILMS!$D$30*AM958^3+BMILMS!$E$30*AM958^2+BMILMS!$F$30*AM958+BMILMS!$G$30,IF(AM958&lt;150,BMILMS!$D$31*AM958^3+BMILMS!$E$31*AM958^2+BMILMS!$F$31*AM958+BMILMS!$G$31,BMILMS!$D$32*AM958^3+BMILMS!$E$32*AM958^2+BMILMS!$F$32*AM958+BMILMS!$G$32)))))))</f>
        <v>12.568967990000001</v>
      </c>
      <c r="AL958" s="4">
        <f>IF(D958="M",(IF(AM958&lt;90,BMILMS!$D$14*AM958^3+BMILMS!$E$14*AM958^2+BMILMS!$F$14*AM958+BMILMS!$G$14,BMILMS!$D$15*AM958^3+BMILMS!$E$15*AM958^2+BMILMS!$F$15*AM958+BMILMS!$G$15)),(IF(AM958&lt;90,BMILMS!$D$17*AM958^3+BMILMS!$E$17*AM958^2+BMILMS!$F$17*AM958+BMILMS!$G$17,BMILMS!$D$18*AM958^3+BMILMS!$E$18*AM958^2+BMILMS!$F$18*AM958+BMILMS!$G$18)))</f>
        <v>8.8969350000000003E-2</v>
      </c>
      <c r="AM958" s="4">
        <f t="shared" si="314"/>
        <v>0</v>
      </c>
      <c r="AO958" s="56">
        <f>IF(D958="M",WeightSDS!P$5*$AM958^7+WeightSDS!Q$5*$AM958^6+WeightSDS!R$5*$AM958^5+WeightSDS!S$5*$AM958^4+WeightSDS!T$5*$AM958^3+WeightSDS!U$5*$AM958^2+WeightSDS!V$5*$AM958+WeightSDS!W$5,IF($AM958&lt;186,WeightSDS!P$8*$AM958^7+WeightSDS!Q$8*$AM958^6+WeightSDS!R$8*$AM958^5+WeightSDS!S$8*$AM958^4+WeightSDS!T$8*$AM958^3+WeightSDS!U$8*$AM958^2+WeightSDS!V$8*$AM958+WeightSDS!W$8,WeightSDS!$U$9+WeightSDS!$V$9*($AM958-WeightSDS!$W$9)))</f>
        <v>0.75407122999999998</v>
      </c>
      <c r="AP958" s="4">
        <f>IF(D958="M",IF($AM958&lt;45,WeightSDS!M$23*$AM958^10+WeightSDS!N$23*$AM958^9+WeightSDS!O$23*$AM958^8+WeightSDS!P$23*$AM958^7+WeightSDS!Q$23*$AM958^6+WeightSDS!R$23*$AM958^5+WeightSDS!S$23*$AM958^4+WeightSDS!T$23*$AM958^3+WeightSDS!U$23*$AM958^2+WeightSDS!V$23*$AM958+WeightSDS!W$23,IF($AM958&lt;153,WeightSDS!M$25*$AM958^10+WeightSDS!N$25*$AM958^9+WeightSDS!O$25*$AM958^8+WeightSDS!P$25*$AM958^7+WeightSDS!Q$25*$AM958^6+WeightSDS!R$25*$AM958^5+WeightSDS!S$25*$AM958^4+WeightSDS!T$25*$AM958^3+WeightSDS!U$25*$AM958^2+WeightSDS!V$25*$AM958+WeightSDS!W$25,WeightSDS!M$27+WeightSDS!N$27/(1+EXP(WeightSDS!O$27+WeightSDS!P$27*$AM958)))),IF($AM958&lt;43.8,WeightSDS!M$29*$AM958^10+WeightSDS!N$29*$AM958^9+WeightSDS!O$29*$AM958^8+WeightSDS!P$29*$AM958^7+WeightSDS!Q$29*$AM958^6+WeightSDS!R$29*$AM958^5+WeightSDS!S$29*$AM958^4+WeightSDS!T$29*$AM958^3+WeightSDS!U$29*$AM958^2+WeightSDS!V$29*$AM958+WeightSDS!W$29-0.010431*(1-$AM958/210),IF($AM958&lt;123,WeightSDS!M$30*$AM958^10+WeightSDS!N$30*$AM958^9+WeightSDS!O$30*$AM958^8+WeightSDS!P$30*$AM958^7+WeightSDS!Q$30*$AM958^6+WeightSDS!R$30*$AM958^5+WeightSDS!S$30*$AM958^4+WeightSDS!T$30*$AM958^3+WeightSDS!U$30*$AM958^2+WeightSDS!V$30*$AM958+WeightSDS!W$30-0.010431*(1-1/$AM958),WeightSDS!M$32+WeightSDS!N$32/(1+EXP(WeightSDS!O$32+WeightSDS!P$32*$AM958))-0.010431*(1-$AM958/210))))</f>
        <v>2.9500001032655536</v>
      </c>
      <c r="AQ958" s="4">
        <f>IF(D958="M",IF($AM958&lt;162,WeightSDS!P$12*$AM958^7+WeightSDS!Q$12*$AM958^6+WeightSDS!R$12*$AM958^5+WeightSDS!S$12*$AM958^4+WeightSDS!T$12*$AM958^3+WeightSDS!U$12*$AM958^2+WeightSDS!V$12*$AM958+WeightSDS!W$12,WeightSDS!P$14*$AM958^7+WeightSDS!Q$14*$AM958^6+WeightSDS!R$14*$AM958^5+WeightSDS!S$14*$AM958^4+WeightSDS!T$14*$AM958^3+WeightSDS!U$14*$AM958^2+WeightSDS!V$14*$AM958+WeightSDS!W$14),IF($AM958&lt;156,WeightSDS!O$17*$AM958^8+WeightSDS!P$17*$AM958^7+WeightSDS!Q$17*$AM958^6+WeightSDS!R$17*$AM958^5+WeightSDS!S$17*$AM958^4+WeightSDS!T$17*$AM958^3+WeightSDS!U$17*$AM958^2+WeightSDS!V$17*$AM958+WeightSDS!W$17,IF($AM958&lt;186,WeightSDS!$U$18+(WeightSDS!$V$18-WeightSDS!$U$18)/24*($AM958-186)+WeightSDS!$W$18*(-$AM958+186)^2-0.005,WeightSDS!$U$18+(WeightSDS!$V$18-WeightSDS!$U$18)/24*($AM958-186)-0.005)))</f>
        <v>0.14604529399999999</v>
      </c>
      <c r="AT958" s="4">
        <f t="shared" si="301"/>
        <v>0.56299999999999994</v>
      </c>
      <c r="AU958" s="4">
        <f t="shared" si="302"/>
        <v>69</v>
      </c>
      <c r="AV958" s="4">
        <f t="shared" si="303"/>
        <v>0.51</v>
      </c>
    </row>
    <row r="959" spans="1:48" x14ac:dyDescent="0.15">
      <c r="A959" s="4"/>
      <c r="B959" s="21"/>
      <c r="C959" s="21"/>
      <c r="D959" s="21"/>
      <c r="E959" s="22"/>
      <c r="F959" s="22"/>
      <c r="G959" s="23"/>
      <c r="H959" s="23"/>
      <c r="I959" s="181"/>
      <c r="J959" s="8" t="str">
        <f t="shared" si="295"/>
        <v/>
      </c>
      <c r="K959" s="2" t="str">
        <f t="shared" si="304"/>
        <v/>
      </c>
      <c r="L959" s="2" t="str">
        <f t="shared" si="296"/>
        <v/>
      </c>
      <c r="M959" s="2" t="str">
        <f t="shared" si="305"/>
        <v/>
      </c>
      <c r="N959" s="2" t="str">
        <f t="shared" si="313"/>
        <v/>
      </c>
      <c r="O959" s="2" t="str">
        <f t="shared" si="306"/>
        <v/>
      </c>
      <c r="P959" s="8" t="str">
        <f t="shared" si="307"/>
        <v/>
      </c>
      <c r="Q959" s="8" t="str">
        <f t="shared" si="308"/>
        <v/>
      </c>
      <c r="R959" s="111" t="str">
        <f t="shared" si="309"/>
        <v/>
      </c>
      <c r="S959" s="44" t="str">
        <f t="shared" si="310"/>
        <v/>
      </c>
      <c r="T959" s="37" t="str">
        <f t="shared" si="311"/>
        <v/>
      </c>
      <c r="U959" s="44" t="str">
        <f t="shared" si="312"/>
        <v/>
      </c>
      <c r="V959" s="26"/>
      <c r="W959" s="26"/>
      <c r="X959" s="26"/>
      <c r="Y959" s="26"/>
      <c r="Z959" s="24"/>
      <c r="AA959" s="169">
        <f t="shared" si="297"/>
        <v>0</v>
      </c>
      <c r="AB959" s="4">
        <f t="shared" si="298"/>
        <v>0</v>
      </c>
      <c r="AC959" s="170">
        <f t="shared" si="315"/>
        <v>0</v>
      </c>
      <c r="AD959" s="58"/>
      <c r="AE959" s="58"/>
      <c r="AF959" s="58"/>
      <c r="AG959" s="59">
        <f t="shared" si="299"/>
        <v>9.0359999999999996</v>
      </c>
      <c r="AH959" s="59">
        <f t="shared" si="300"/>
        <v>-184.49199999999999</v>
      </c>
      <c r="AJ959" s="4">
        <f>IF(D959="M",IF(AM959&lt;78,BMILMS!$D$5*AM959^3+BMILMS!$E$5*AM959^2+BMILMS!$F$5*AM959+BMILMS!$G$5,IF(AM959&lt;150,BMILMS!$D$6*AM959^3+BMILMS!$E$6*AM959^2+BMILMS!$F$6*AM959+BMILMS!$G$6,BMILMS!$D$7*AM959^3+BMILMS!$E$7*AM959^2+BMILMS!$F$7*AM959+BMILMS!$G$7)),IF(AM959&lt;69,BMILMS!$D$9*AM959^3+BMILMS!$E$9*AM959^2+BMILMS!$F$9*AM959+BMILMS!$G$9,IF(AM959&lt;150,BMILMS!$D$10*AM959^3+BMILMS!$E$10*AM959^2+BMILMS!$F$10*AM959+BMILMS!$G$10,BMILMS!$D$11*AM959^3+BMILMS!$E$11*AM959^2+BMILMS!$F$11*AM959+BMILMS!$G$11)))</f>
        <v>0.79584630099999998</v>
      </c>
      <c r="AK959" s="4">
        <f>IF(D959="M",(IF(AM959&lt;2.5,BMILMS!$D$21*AM959^3+BMILMS!$E$21*AM959^2+BMILMS!$F$21*AM959+BMILMS!$G$21,IF(AM959&lt;9.5,BMILMS!$D$22*AM959^3+BMILMS!$E$22*AM959^2+BMILMS!$F$22*AM959+BMILMS!$G$22,IF(AM959&lt;26.75,BMILMS!$D$23*AM959^3+BMILMS!$E$23*AM959^2+BMILMS!$F$23*AM959+BMILMS!$G$23,IF(AM959&lt;90,BMILMS!$D$24*AM959^3+BMILMS!$E$24*AM959^2+BMILMS!$F$24*AM959+BMILMS!$G$24,BMILMS!$D$25*AM959^3+BMILMS!$E$25*AM959^2+BMILMS!$F$25*AM959+BMILMS!$G$25))))),(IF(AM959&lt;2.5,BMILMS!$D$27*AM959^3+BMILMS!$E$27*AM959^2+BMILMS!$F$27*AM959+BMILMS!$G$27,IF(AM959&lt;9.5,BMILMS!$D$28*AM959^3+BMILMS!$E$28*AM959^2+BMILMS!$F$28*AM959+BMILMS!$G$28,IF(AM959&lt;26.75,BMILMS!$D$29*AM959^3+BMILMS!$E$29*AM959^2+BMILMS!$F$29*AM959+BMILMS!$G$29,IF(AM959&lt;90,BMILMS!$D$30*AM959^3+BMILMS!$E$30*AM959^2+BMILMS!$F$30*AM959+BMILMS!$G$30,IF(AM959&lt;150,BMILMS!$D$31*AM959^3+BMILMS!$E$31*AM959^2+BMILMS!$F$31*AM959+BMILMS!$G$31,BMILMS!$D$32*AM959^3+BMILMS!$E$32*AM959^2+BMILMS!$F$32*AM959+BMILMS!$G$32)))))))</f>
        <v>12.568967990000001</v>
      </c>
      <c r="AL959" s="4">
        <f>IF(D959="M",(IF(AM959&lt;90,BMILMS!$D$14*AM959^3+BMILMS!$E$14*AM959^2+BMILMS!$F$14*AM959+BMILMS!$G$14,BMILMS!$D$15*AM959^3+BMILMS!$E$15*AM959^2+BMILMS!$F$15*AM959+BMILMS!$G$15)),(IF(AM959&lt;90,BMILMS!$D$17*AM959^3+BMILMS!$E$17*AM959^2+BMILMS!$F$17*AM959+BMILMS!$G$17,BMILMS!$D$18*AM959^3+BMILMS!$E$18*AM959^2+BMILMS!$F$18*AM959+BMILMS!$G$18)))</f>
        <v>8.8969350000000003E-2</v>
      </c>
      <c r="AM959" s="4">
        <f t="shared" si="314"/>
        <v>0</v>
      </c>
      <c r="AO959" s="56">
        <f>IF(D959="M",WeightSDS!P$5*$AM959^7+WeightSDS!Q$5*$AM959^6+WeightSDS!R$5*$AM959^5+WeightSDS!S$5*$AM959^4+WeightSDS!T$5*$AM959^3+WeightSDS!U$5*$AM959^2+WeightSDS!V$5*$AM959+WeightSDS!W$5,IF($AM959&lt;186,WeightSDS!P$8*$AM959^7+WeightSDS!Q$8*$AM959^6+WeightSDS!R$8*$AM959^5+WeightSDS!S$8*$AM959^4+WeightSDS!T$8*$AM959^3+WeightSDS!U$8*$AM959^2+WeightSDS!V$8*$AM959+WeightSDS!W$8,WeightSDS!$U$9+WeightSDS!$V$9*($AM959-WeightSDS!$W$9)))</f>
        <v>0.75407122999999998</v>
      </c>
      <c r="AP959" s="4">
        <f>IF(D959="M",IF($AM959&lt;45,WeightSDS!M$23*$AM959^10+WeightSDS!N$23*$AM959^9+WeightSDS!O$23*$AM959^8+WeightSDS!P$23*$AM959^7+WeightSDS!Q$23*$AM959^6+WeightSDS!R$23*$AM959^5+WeightSDS!S$23*$AM959^4+WeightSDS!T$23*$AM959^3+WeightSDS!U$23*$AM959^2+WeightSDS!V$23*$AM959+WeightSDS!W$23,IF($AM959&lt;153,WeightSDS!M$25*$AM959^10+WeightSDS!N$25*$AM959^9+WeightSDS!O$25*$AM959^8+WeightSDS!P$25*$AM959^7+WeightSDS!Q$25*$AM959^6+WeightSDS!R$25*$AM959^5+WeightSDS!S$25*$AM959^4+WeightSDS!T$25*$AM959^3+WeightSDS!U$25*$AM959^2+WeightSDS!V$25*$AM959+WeightSDS!W$25,WeightSDS!M$27+WeightSDS!N$27/(1+EXP(WeightSDS!O$27+WeightSDS!P$27*$AM959)))),IF($AM959&lt;43.8,WeightSDS!M$29*$AM959^10+WeightSDS!N$29*$AM959^9+WeightSDS!O$29*$AM959^8+WeightSDS!P$29*$AM959^7+WeightSDS!Q$29*$AM959^6+WeightSDS!R$29*$AM959^5+WeightSDS!S$29*$AM959^4+WeightSDS!T$29*$AM959^3+WeightSDS!U$29*$AM959^2+WeightSDS!V$29*$AM959+WeightSDS!W$29-0.010431*(1-$AM959/210),IF($AM959&lt;123,WeightSDS!M$30*$AM959^10+WeightSDS!N$30*$AM959^9+WeightSDS!O$30*$AM959^8+WeightSDS!P$30*$AM959^7+WeightSDS!Q$30*$AM959^6+WeightSDS!R$30*$AM959^5+WeightSDS!S$30*$AM959^4+WeightSDS!T$30*$AM959^3+WeightSDS!U$30*$AM959^2+WeightSDS!V$30*$AM959+WeightSDS!W$30-0.010431*(1-1/$AM959),WeightSDS!M$32+WeightSDS!N$32/(1+EXP(WeightSDS!O$32+WeightSDS!P$32*$AM959))-0.010431*(1-$AM959/210))))</f>
        <v>2.9500001032655536</v>
      </c>
      <c r="AQ959" s="4">
        <f>IF(D959="M",IF($AM959&lt;162,WeightSDS!P$12*$AM959^7+WeightSDS!Q$12*$AM959^6+WeightSDS!R$12*$AM959^5+WeightSDS!S$12*$AM959^4+WeightSDS!T$12*$AM959^3+WeightSDS!U$12*$AM959^2+WeightSDS!V$12*$AM959+WeightSDS!W$12,WeightSDS!P$14*$AM959^7+WeightSDS!Q$14*$AM959^6+WeightSDS!R$14*$AM959^5+WeightSDS!S$14*$AM959^4+WeightSDS!T$14*$AM959^3+WeightSDS!U$14*$AM959^2+WeightSDS!V$14*$AM959+WeightSDS!W$14),IF($AM959&lt;156,WeightSDS!O$17*$AM959^8+WeightSDS!P$17*$AM959^7+WeightSDS!Q$17*$AM959^6+WeightSDS!R$17*$AM959^5+WeightSDS!S$17*$AM959^4+WeightSDS!T$17*$AM959^3+WeightSDS!U$17*$AM959^2+WeightSDS!V$17*$AM959+WeightSDS!W$17,IF($AM959&lt;186,WeightSDS!$U$18+(WeightSDS!$V$18-WeightSDS!$U$18)/24*($AM959-186)+WeightSDS!$W$18*(-$AM959+186)^2-0.005,WeightSDS!$U$18+(WeightSDS!$V$18-WeightSDS!$U$18)/24*($AM959-186)-0.005)))</f>
        <v>0.14604529399999999</v>
      </c>
      <c r="AT959" s="4">
        <f t="shared" si="301"/>
        <v>0.56299999999999994</v>
      </c>
      <c r="AU959" s="4">
        <f t="shared" si="302"/>
        <v>69</v>
      </c>
      <c r="AV959" s="4">
        <f t="shared" si="303"/>
        <v>0.51</v>
      </c>
    </row>
    <row r="960" spans="1:48" x14ac:dyDescent="0.15">
      <c r="A960" s="4"/>
      <c r="B960" s="21"/>
      <c r="C960" s="21"/>
      <c r="D960" s="21"/>
      <c r="E960" s="22"/>
      <c r="F960" s="22"/>
      <c r="G960" s="23"/>
      <c r="H960" s="23"/>
      <c r="I960" s="181"/>
      <c r="J960" s="8" t="str">
        <f t="shared" si="295"/>
        <v/>
      </c>
      <c r="K960" s="2" t="str">
        <f t="shared" si="304"/>
        <v/>
      </c>
      <c r="L960" s="2" t="str">
        <f t="shared" si="296"/>
        <v/>
      </c>
      <c r="M960" s="2" t="str">
        <f t="shared" si="305"/>
        <v/>
      </c>
      <c r="N960" s="2" t="str">
        <f t="shared" si="313"/>
        <v/>
      </c>
      <c r="O960" s="2" t="str">
        <f t="shared" si="306"/>
        <v/>
      </c>
      <c r="P960" s="8" t="str">
        <f t="shared" si="307"/>
        <v/>
      </c>
      <c r="Q960" s="8" t="str">
        <f t="shared" si="308"/>
        <v/>
      </c>
      <c r="R960" s="111" t="str">
        <f t="shared" si="309"/>
        <v/>
      </c>
      <c r="S960" s="44" t="str">
        <f t="shared" si="310"/>
        <v/>
      </c>
      <c r="T960" s="37" t="str">
        <f t="shared" si="311"/>
        <v/>
      </c>
      <c r="U960" s="44" t="str">
        <f t="shared" si="312"/>
        <v/>
      </c>
      <c r="V960" s="26"/>
      <c r="W960" s="26"/>
      <c r="X960" s="26"/>
      <c r="Y960" s="26"/>
      <c r="Z960" s="24"/>
      <c r="AA960" s="169">
        <f t="shared" si="297"/>
        <v>0</v>
      </c>
      <c r="AB960" s="4">
        <f t="shared" si="298"/>
        <v>0</v>
      </c>
      <c r="AC960" s="170">
        <f t="shared" si="315"/>
        <v>0</v>
      </c>
      <c r="AD960" s="58"/>
      <c r="AE960" s="58"/>
      <c r="AF960" s="58"/>
      <c r="AG960" s="59">
        <f t="shared" si="299"/>
        <v>9.0359999999999996</v>
      </c>
      <c r="AH960" s="59">
        <f t="shared" si="300"/>
        <v>-184.49199999999999</v>
      </c>
      <c r="AJ960" s="4">
        <f>IF(D960="M",IF(AM960&lt;78,BMILMS!$D$5*AM960^3+BMILMS!$E$5*AM960^2+BMILMS!$F$5*AM960+BMILMS!$G$5,IF(AM960&lt;150,BMILMS!$D$6*AM960^3+BMILMS!$E$6*AM960^2+BMILMS!$F$6*AM960+BMILMS!$G$6,BMILMS!$D$7*AM960^3+BMILMS!$E$7*AM960^2+BMILMS!$F$7*AM960+BMILMS!$G$7)),IF(AM960&lt;69,BMILMS!$D$9*AM960^3+BMILMS!$E$9*AM960^2+BMILMS!$F$9*AM960+BMILMS!$G$9,IF(AM960&lt;150,BMILMS!$D$10*AM960^3+BMILMS!$E$10*AM960^2+BMILMS!$F$10*AM960+BMILMS!$G$10,BMILMS!$D$11*AM960^3+BMILMS!$E$11*AM960^2+BMILMS!$F$11*AM960+BMILMS!$G$11)))</f>
        <v>0.79584630099999998</v>
      </c>
      <c r="AK960" s="4">
        <f>IF(D960="M",(IF(AM960&lt;2.5,BMILMS!$D$21*AM960^3+BMILMS!$E$21*AM960^2+BMILMS!$F$21*AM960+BMILMS!$G$21,IF(AM960&lt;9.5,BMILMS!$D$22*AM960^3+BMILMS!$E$22*AM960^2+BMILMS!$F$22*AM960+BMILMS!$G$22,IF(AM960&lt;26.75,BMILMS!$D$23*AM960^3+BMILMS!$E$23*AM960^2+BMILMS!$F$23*AM960+BMILMS!$G$23,IF(AM960&lt;90,BMILMS!$D$24*AM960^3+BMILMS!$E$24*AM960^2+BMILMS!$F$24*AM960+BMILMS!$G$24,BMILMS!$D$25*AM960^3+BMILMS!$E$25*AM960^2+BMILMS!$F$25*AM960+BMILMS!$G$25))))),(IF(AM960&lt;2.5,BMILMS!$D$27*AM960^3+BMILMS!$E$27*AM960^2+BMILMS!$F$27*AM960+BMILMS!$G$27,IF(AM960&lt;9.5,BMILMS!$D$28*AM960^3+BMILMS!$E$28*AM960^2+BMILMS!$F$28*AM960+BMILMS!$G$28,IF(AM960&lt;26.75,BMILMS!$D$29*AM960^3+BMILMS!$E$29*AM960^2+BMILMS!$F$29*AM960+BMILMS!$G$29,IF(AM960&lt;90,BMILMS!$D$30*AM960^3+BMILMS!$E$30*AM960^2+BMILMS!$F$30*AM960+BMILMS!$G$30,IF(AM960&lt;150,BMILMS!$D$31*AM960^3+BMILMS!$E$31*AM960^2+BMILMS!$F$31*AM960+BMILMS!$G$31,BMILMS!$D$32*AM960^3+BMILMS!$E$32*AM960^2+BMILMS!$F$32*AM960+BMILMS!$G$32)))))))</f>
        <v>12.568967990000001</v>
      </c>
      <c r="AL960" s="4">
        <f>IF(D960="M",(IF(AM960&lt;90,BMILMS!$D$14*AM960^3+BMILMS!$E$14*AM960^2+BMILMS!$F$14*AM960+BMILMS!$G$14,BMILMS!$D$15*AM960^3+BMILMS!$E$15*AM960^2+BMILMS!$F$15*AM960+BMILMS!$G$15)),(IF(AM960&lt;90,BMILMS!$D$17*AM960^3+BMILMS!$E$17*AM960^2+BMILMS!$F$17*AM960+BMILMS!$G$17,BMILMS!$D$18*AM960^3+BMILMS!$E$18*AM960^2+BMILMS!$F$18*AM960+BMILMS!$G$18)))</f>
        <v>8.8969350000000003E-2</v>
      </c>
      <c r="AM960" s="4">
        <f t="shared" si="314"/>
        <v>0</v>
      </c>
      <c r="AO960" s="56">
        <f>IF(D960="M",WeightSDS!P$5*$AM960^7+WeightSDS!Q$5*$AM960^6+WeightSDS!R$5*$AM960^5+WeightSDS!S$5*$AM960^4+WeightSDS!T$5*$AM960^3+WeightSDS!U$5*$AM960^2+WeightSDS!V$5*$AM960+WeightSDS!W$5,IF($AM960&lt;186,WeightSDS!P$8*$AM960^7+WeightSDS!Q$8*$AM960^6+WeightSDS!R$8*$AM960^5+WeightSDS!S$8*$AM960^4+WeightSDS!T$8*$AM960^3+WeightSDS!U$8*$AM960^2+WeightSDS!V$8*$AM960+WeightSDS!W$8,WeightSDS!$U$9+WeightSDS!$V$9*($AM960-WeightSDS!$W$9)))</f>
        <v>0.75407122999999998</v>
      </c>
      <c r="AP960" s="4">
        <f>IF(D960="M",IF($AM960&lt;45,WeightSDS!M$23*$AM960^10+WeightSDS!N$23*$AM960^9+WeightSDS!O$23*$AM960^8+WeightSDS!P$23*$AM960^7+WeightSDS!Q$23*$AM960^6+WeightSDS!R$23*$AM960^5+WeightSDS!S$23*$AM960^4+WeightSDS!T$23*$AM960^3+WeightSDS!U$23*$AM960^2+WeightSDS!V$23*$AM960+WeightSDS!W$23,IF($AM960&lt;153,WeightSDS!M$25*$AM960^10+WeightSDS!N$25*$AM960^9+WeightSDS!O$25*$AM960^8+WeightSDS!P$25*$AM960^7+WeightSDS!Q$25*$AM960^6+WeightSDS!R$25*$AM960^5+WeightSDS!S$25*$AM960^4+WeightSDS!T$25*$AM960^3+WeightSDS!U$25*$AM960^2+WeightSDS!V$25*$AM960+WeightSDS!W$25,WeightSDS!M$27+WeightSDS!N$27/(1+EXP(WeightSDS!O$27+WeightSDS!P$27*$AM960)))),IF($AM960&lt;43.8,WeightSDS!M$29*$AM960^10+WeightSDS!N$29*$AM960^9+WeightSDS!O$29*$AM960^8+WeightSDS!P$29*$AM960^7+WeightSDS!Q$29*$AM960^6+WeightSDS!R$29*$AM960^5+WeightSDS!S$29*$AM960^4+WeightSDS!T$29*$AM960^3+WeightSDS!U$29*$AM960^2+WeightSDS!V$29*$AM960+WeightSDS!W$29-0.010431*(1-$AM960/210),IF($AM960&lt;123,WeightSDS!M$30*$AM960^10+WeightSDS!N$30*$AM960^9+WeightSDS!O$30*$AM960^8+WeightSDS!P$30*$AM960^7+WeightSDS!Q$30*$AM960^6+WeightSDS!R$30*$AM960^5+WeightSDS!S$30*$AM960^4+WeightSDS!T$30*$AM960^3+WeightSDS!U$30*$AM960^2+WeightSDS!V$30*$AM960+WeightSDS!W$30-0.010431*(1-1/$AM960),WeightSDS!M$32+WeightSDS!N$32/(1+EXP(WeightSDS!O$32+WeightSDS!P$32*$AM960))-0.010431*(1-$AM960/210))))</f>
        <v>2.9500001032655536</v>
      </c>
      <c r="AQ960" s="4">
        <f>IF(D960="M",IF($AM960&lt;162,WeightSDS!P$12*$AM960^7+WeightSDS!Q$12*$AM960^6+WeightSDS!R$12*$AM960^5+WeightSDS!S$12*$AM960^4+WeightSDS!T$12*$AM960^3+WeightSDS!U$12*$AM960^2+WeightSDS!V$12*$AM960+WeightSDS!W$12,WeightSDS!P$14*$AM960^7+WeightSDS!Q$14*$AM960^6+WeightSDS!R$14*$AM960^5+WeightSDS!S$14*$AM960^4+WeightSDS!T$14*$AM960^3+WeightSDS!U$14*$AM960^2+WeightSDS!V$14*$AM960+WeightSDS!W$14),IF($AM960&lt;156,WeightSDS!O$17*$AM960^8+WeightSDS!P$17*$AM960^7+WeightSDS!Q$17*$AM960^6+WeightSDS!R$17*$AM960^5+WeightSDS!S$17*$AM960^4+WeightSDS!T$17*$AM960^3+WeightSDS!U$17*$AM960^2+WeightSDS!V$17*$AM960+WeightSDS!W$17,IF($AM960&lt;186,WeightSDS!$U$18+(WeightSDS!$V$18-WeightSDS!$U$18)/24*($AM960-186)+WeightSDS!$W$18*(-$AM960+186)^2-0.005,WeightSDS!$U$18+(WeightSDS!$V$18-WeightSDS!$U$18)/24*($AM960-186)-0.005)))</f>
        <v>0.14604529399999999</v>
      </c>
      <c r="AT960" s="4">
        <f t="shared" si="301"/>
        <v>0.56299999999999994</v>
      </c>
      <c r="AU960" s="4">
        <f t="shared" si="302"/>
        <v>69</v>
      </c>
      <c r="AV960" s="4">
        <f t="shared" si="303"/>
        <v>0.51</v>
      </c>
    </row>
    <row r="961" spans="1:48" x14ac:dyDescent="0.15">
      <c r="A961" s="4"/>
      <c r="B961" s="21"/>
      <c r="C961" s="21"/>
      <c r="D961" s="21"/>
      <c r="E961" s="22"/>
      <c r="F961" s="22"/>
      <c r="G961" s="23"/>
      <c r="H961" s="23"/>
      <c r="I961" s="181"/>
      <c r="J961" s="8" t="str">
        <f t="shared" si="295"/>
        <v/>
      </c>
      <c r="K961" s="2" t="str">
        <f t="shared" si="304"/>
        <v/>
      </c>
      <c r="L961" s="2" t="str">
        <f t="shared" si="296"/>
        <v/>
      </c>
      <c r="M961" s="2" t="str">
        <f t="shared" si="305"/>
        <v/>
      </c>
      <c r="N961" s="2" t="str">
        <f t="shared" si="313"/>
        <v/>
      </c>
      <c r="O961" s="2" t="str">
        <f t="shared" si="306"/>
        <v/>
      </c>
      <c r="P961" s="8" t="str">
        <f t="shared" si="307"/>
        <v/>
      </c>
      <c r="Q961" s="8" t="str">
        <f t="shared" si="308"/>
        <v/>
      </c>
      <c r="R961" s="111" t="str">
        <f t="shared" si="309"/>
        <v/>
      </c>
      <c r="S961" s="44" t="str">
        <f t="shared" si="310"/>
        <v/>
      </c>
      <c r="T961" s="37" t="str">
        <f t="shared" si="311"/>
        <v/>
      </c>
      <c r="U961" s="44" t="str">
        <f t="shared" si="312"/>
        <v/>
      </c>
      <c r="V961" s="26"/>
      <c r="W961" s="26"/>
      <c r="X961" s="26"/>
      <c r="Y961" s="26"/>
      <c r="Z961" s="24"/>
      <c r="AA961" s="169">
        <f t="shared" si="297"/>
        <v>0</v>
      </c>
      <c r="AB961" s="4">
        <f t="shared" si="298"/>
        <v>0</v>
      </c>
      <c r="AC961" s="170">
        <f t="shared" si="315"/>
        <v>0</v>
      </c>
      <c r="AD961" s="58"/>
      <c r="AE961" s="58"/>
      <c r="AF961" s="58"/>
      <c r="AG961" s="59">
        <f t="shared" si="299"/>
        <v>9.0359999999999996</v>
      </c>
      <c r="AH961" s="59">
        <f t="shared" si="300"/>
        <v>-184.49199999999999</v>
      </c>
      <c r="AJ961" s="4">
        <f>IF(D961="M",IF(AM961&lt;78,BMILMS!$D$5*AM961^3+BMILMS!$E$5*AM961^2+BMILMS!$F$5*AM961+BMILMS!$G$5,IF(AM961&lt;150,BMILMS!$D$6*AM961^3+BMILMS!$E$6*AM961^2+BMILMS!$F$6*AM961+BMILMS!$G$6,BMILMS!$D$7*AM961^3+BMILMS!$E$7*AM961^2+BMILMS!$F$7*AM961+BMILMS!$G$7)),IF(AM961&lt;69,BMILMS!$D$9*AM961^3+BMILMS!$E$9*AM961^2+BMILMS!$F$9*AM961+BMILMS!$G$9,IF(AM961&lt;150,BMILMS!$D$10*AM961^3+BMILMS!$E$10*AM961^2+BMILMS!$F$10*AM961+BMILMS!$G$10,BMILMS!$D$11*AM961^3+BMILMS!$E$11*AM961^2+BMILMS!$F$11*AM961+BMILMS!$G$11)))</f>
        <v>0.79584630099999998</v>
      </c>
      <c r="AK961" s="4">
        <f>IF(D961="M",(IF(AM961&lt;2.5,BMILMS!$D$21*AM961^3+BMILMS!$E$21*AM961^2+BMILMS!$F$21*AM961+BMILMS!$G$21,IF(AM961&lt;9.5,BMILMS!$D$22*AM961^3+BMILMS!$E$22*AM961^2+BMILMS!$F$22*AM961+BMILMS!$G$22,IF(AM961&lt;26.75,BMILMS!$D$23*AM961^3+BMILMS!$E$23*AM961^2+BMILMS!$F$23*AM961+BMILMS!$G$23,IF(AM961&lt;90,BMILMS!$D$24*AM961^3+BMILMS!$E$24*AM961^2+BMILMS!$F$24*AM961+BMILMS!$G$24,BMILMS!$D$25*AM961^3+BMILMS!$E$25*AM961^2+BMILMS!$F$25*AM961+BMILMS!$G$25))))),(IF(AM961&lt;2.5,BMILMS!$D$27*AM961^3+BMILMS!$E$27*AM961^2+BMILMS!$F$27*AM961+BMILMS!$G$27,IF(AM961&lt;9.5,BMILMS!$D$28*AM961^3+BMILMS!$E$28*AM961^2+BMILMS!$F$28*AM961+BMILMS!$G$28,IF(AM961&lt;26.75,BMILMS!$D$29*AM961^3+BMILMS!$E$29*AM961^2+BMILMS!$F$29*AM961+BMILMS!$G$29,IF(AM961&lt;90,BMILMS!$D$30*AM961^3+BMILMS!$E$30*AM961^2+BMILMS!$F$30*AM961+BMILMS!$G$30,IF(AM961&lt;150,BMILMS!$D$31*AM961^3+BMILMS!$E$31*AM961^2+BMILMS!$F$31*AM961+BMILMS!$G$31,BMILMS!$D$32*AM961^3+BMILMS!$E$32*AM961^2+BMILMS!$F$32*AM961+BMILMS!$G$32)))))))</f>
        <v>12.568967990000001</v>
      </c>
      <c r="AL961" s="4">
        <f>IF(D961="M",(IF(AM961&lt;90,BMILMS!$D$14*AM961^3+BMILMS!$E$14*AM961^2+BMILMS!$F$14*AM961+BMILMS!$G$14,BMILMS!$D$15*AM961^3+BMILMS!$E$15*AM961^2+BMILMS!$F$15*AM961+BMILMS!$G$15)),(IF(AM961&lt;90,BMILMS!$D$17*AM961^3+BMILMS!$E$17*AM961^2+BMILMS!$F$17*AM961+BMILMS!$G$17,BMILMS!$D$18*AM961^3+BMILMS!$E$18*AM961^2+BMILMS!$F$18*AM961+BMILMS!$G$18)))</f>
        <v>8.8969350000000003E-2</v>
      </c>
      <c r="AM961" s="4">
        <f t="shared" si="314"/>
        <v>0</v>
      </c>
      <c r="AO961" s="56">
        <f>IF(D961="M",WeightSDS!P$5*$AM961^7+WeightSDS!Q$5*$AM961^6+WeightSDS!R$5*$AM961^5+WeightSDS!S$5*$AM961^4+WeightSDS!T$5*$AM961^3+WeightSDS!U$5*$AM961^2+WeightSDS!V$5*$AM961+WeightSDS!W$5,IF($AM961&lt;186,WeightSDS!P$8*$AM961^7+WeightSDS!Q$8*$AM961^6+WeightSDS!R$8*$AM961^5+WeightSDS!S$8*$AM961^4+WeightSDS!T$8*$AM961^3+WeightSDS!U$8*$AM961^2+WeightSDS!V$8*$AM961+WeightSDS!W$8,WeightSDS!$U$9+WeightSDS!$V$9*($AM961-WeightSDS!$W$9)))</f>
        <v>0.75407122999999998</v>
      </c>
      <c r="AP961" s="4">
        <f>IF(D961="M",IF($AM961&lt;45,WeightSDS!M$23*$AM961^10+WeightSDS!N$23*$AM961^9+WeightSDS!O$23*$AM961^8+WeightSDS!P$23*$AM961^7+WeightSDS!Q$23*$AM961^6+WeightSDS!R$23*$AM961^5+WeightSDS!S$23*$AM961^4+WeightSDS!T$23*$AM961^3+WeightSDS!U$23*$AM961^2+WeightSDS!V$23*$AM961+WeightSDS!W$23,IF($AM961&lt;153,WeightSDS!M$25*$AM961^10+WeightSDS!N$25*$AM961^9+WeightSDS!O$25*$AM961^8+WeightSDS!P$25*$AM961^7+WeightSDS!Q$25*$AM961^6+WeightSDS!R$25*$AM961^5+WeightSDS!S$25*$AM961^4+WeightSDS!T$25*$AM961^3+WeightSDS!U$25*$AM961^2+WeightSDS!V$25*$AM961+WeightSDS!W$25,WeightSDS!M$27+WeightSDS!N$27/(1+EXP(WeightSDS!O$27+WeightSDS!P$27*$AM961)))),IF($AM961&lt;43.8,WeightSDS!M$29*$AM961^10+WeightSDS!N$29*$AM961^9+WeightSDS!O$29*$AM961^8+WeightSDS!P$29*$AM961^7+WeightSDS!Q$29*$AM961^6+WeightSDS!R$29*$AM961^5+WeightSDS!S$29*$AM961^4+WeightSDS!T$29*$AM961^3+WeightSDS!U$29*$AM961^2+WeightSDS!V$29*$AM961+WeightSDS!W$29-0.010431*(1-$AM961/210),IF($AM961&lt;123,WeightSDS!M$30*$AM961^10+WeightSDS!N$30*$AM961^9+WeightSDS!O$30*$AM961^8+WeightSDS!P$30*$AM961^7+WeightSDS!Q$30*$AM961^6+WeightSDS!R$30*$AM961^5+WeightSDS!S$30*$AM961^4+WeightSDS!T$30*$AM961^3+WeightSDS!U$30*$AM961^2+WeightSDS!V$30*$AM961+WeightSDS!W$30-0.010431*(1-1/$AM961),WeightSDS!M$32+WeightSDS!N$32/(1+EXP(WeightSDS!O$32+WeightSDS!P$32*$AM961))-0.010431*(1-$AM961/210))))</f>
        <v>2.9500001032655536</v>
      </c>
      <c r="AQ961" s="4">
        <f>IF(D961="M",IF($AM961&lt;162,WeightSDS!P$12*$AM961^7+WeightSDS!Q$12*$AM961^6+WeightSDS!R$12*$AM961^5+WeightSDS!S$12*$AM961^4+WeightSDS!T$12*$AM961^3+WeightSDS!U$12*$AM961^2+WeightSDS!V$12*$AM961+WeightSDS!W$12,WeightSDS!P$14*$AM961^7+WeightSDS!Q$14*$AM961^6+WeightSDS!R$14*$AM961^5+WeightSDS!S$14*$AM961^4+WeightSDS!T$14*$AM961^3+WeightSDS!U$14*$AM961^2+WeightSDS!V$14*$AM961+WeightSDS!W$14),IF($AM961&lt;156,WeightSDS!O$17*$AM961^8+WeightSDS!P$17*$AM961^7+WeightSDS!Q$17*$AM961^6+WeightSDS!R$17*$AM961^5+WeightSDS!S$17*$AM961^4+WeightSDS!T$17*$AM961^3+WeightSDS!U$17*$AM961^2+WeightSDS!V$17*$AM961+WeightSDS!W$17,IF($AM961&lt;186,WeightSDS!$U$18+(WeightSDS!$V$18-WeightSDS!$U$18)/24*($AM961-186)+WeightSDS!$W$18*(-$AM961+186)^2-0.005,WeightSDS!$U$18+(WeightSDS!$V$18-WeightSDS!$U$18)/24*($AM961-186)-0.005)))</f>
        <v>0.14604529399999999</v>
      </c>
      <c r="AT961" s="4">
        <f t="shared" si="301"/>
        <v>0.56299999999999994</v>
      </c>
      <c r="AU961" s="4">
        <f t="shared" si="302"/>
        <v>69</v>
      </c>
      <c r="AV961" s="4">
        <f t="shared" si="303"/>
        <v>0.51</v>
      </c>
    </row>
    <row r="962" spans="1:48" x14ac:dyDescent="0.15">
      <c r="A962" s="4"/>
      <c r="B962" s="21"/>
      <c r="C962" s="21"/>
      <c r="D962" s="21"/>
      <c r="E962" s="22"/>
      <c r="F962" s="22"/>
      <c r="G962" s="23"/>
      <c r="H962" s="23"/>
      <c r="I962" s="181"/>
      <c r="J962" s="8" t="str">
        <f t="shared" si="295"/>
        <v/>
      </c>
      <c r="K962" s="2" t="str">
        <f t="shared" si="304"/>
        <v/>
      </c>
      <c r="L962" s="2" t="str">
        <f t="shared" si="296"/>
        <v/>
      </c>
      <c r="M962" s="2" t="str">
        <f t="shared" si="305"/>
        <v/>
      </c>
      <c r="N962" s="2" t="str">
        <f t="shared" si="313"/>
        <v/>
      </c>
      <c r="O962" s="2" t="str">
        <f t="shared" si="306"/>
        <v/>
      </c>
      <c r="P962" s="8" t="str">
        <f t="shared" si="307"/>
        <v/>
      </c>
      <c r="Q962" s="8" t="str">
        <f t="shared" si="308"/>
        <v/>
      </c>
      <c r="R962" s="111" t="str">
        <f t="shared" si="309"/>
        <v/>
      </c>
      <c r="S962" s="44" t="str">
        <f t="shared" si="310"/>
        <v/>
      </c>
      <c r="T962" s="37" t="str">
        <f t="shared" si="311"/>
        <v/>
      </c>
      <c r="U962" s="44" t="str">
        <f t="shared" si="312"/>
        <v/>
      </c>
      <c r="V962" s="26"/>
      <c r="W962" s="26"/>
      <c r="X962" s="26"/>
      <c r="Y962" s="26"/>
      <c r="Z962" s="24"/>
      <c r="AA962" s="169">
        <f t="shared" si="297"/>
        <v>0</v>
      </c>
      <c r="AB962" s="4">
        <f t="shared" si="298"/>
        <v>0</v>
      </c>
      <c r="AC962" s="170">
        <f t="shared" si="315"/>
        <v>0</v>
      </c>
      <c r="AD962" s="58"/>
      <c r="AE962" s="58"/>
      <c r="AF962" s="58"/>
      <c r="AG962" s="59">
        <f t="shared" si="299"/>
        <v>9.0359999999999996</v>
      </c>
      <c r="AH962" s="59">
        <f t="shared" si="300"/>
        <v>-184.49199999999999</v>
      </c>
      <c r="AJ962" s="4">
        <f>IF(D962="M",IF(AM962&lt;78,BMILMS!$D$5*AM962^3+BMILMS!$E$5*AM962^2+BMILMS!$F$5*AM962+BMILMS!$G$5,IF(AM962&lt;150,BMILMS!$D$6*AM962^3+BMILMS!$E$6*AM962^2+BMILMS!$F$6*AM962+BMILMS!$G$6,BMILMS!$D$7*AM962^3+BMILMS!$E$7*AM962^2+BMILMS!$F$7*AM962+BMILMS!$G$7)),IF(AM962&lt;69,BMILMS!$D$9*AM962^3+BMILMS!$E$9*AM962^2+BMILMS!$F$9*AM962+BMILMS!$G$9,IF(AM962&lt;150,BMILMS!$D$10*AM962^3+BMILMS!$E$10*AM962^2+BMILMS!$F$10*AM962+BMILMS!$G$10,BMILMS!$D$11*AM962^3+BMILMS!$E$11*AM962^2+BMILMS!$F$11*AM962+BMILMS!$G$11)))</f>
        <v>0.79584630099999998</v>
      </c>
      <c r="AK962" s="4">
        <f>IF(D962="M",(IF(AM962&lt;2.5,BMILMS!$D$21*AM962^3+BMILMS!$E$21*AM962^2+BMILMS!$F$21*AM962+BMILMS!$G$21,IF(AM962&lt;9.5,BMILMS!$D$22*AM962^3+BMILMS!$E$22*AM962^2+BMILMS!$F$22*AM962+BMILMS!$G$22,IF(AM962&lt;26.75,BMILMS!$D$23*AM962^3+BMILMS!$E$23*AM962^2+BMILMS!$F$23*AM962+BMILMS!$G$23,IF(AM962&lt;90,BMILMS!$D$24*AM962^3+BMILMS!$E$24*AM962^2+BMILMS!$F$24*AM962+BMILMS!$G$24,BMILMS!$D$25*AM962^3+BMILMS!$E$25*AM962^2+BMILMS!$F$25*AM962+BMILMS!$G$25))))),(IF(AM962&lt;2.5,BMILMS!$D$27*AM962^3+BMILMS!$E$27*AM962^2+BMILMS!$F$27*AM962+BMILMS!$G$27,IF(AM962&lt;9.5,BMILMS!$D$28*AM962^3+BMILMS!$E$28*AM962^2+BMILMS!$F$28*AM962+BMILMS!$G$28,IF(AM962&lt;26.75,BMILMS!$D$29*AM962^3+BMILMS!$E$29*AM962^2+BMILMS!$F$29*AM962+BMILMS!$G$29,IF(AM962&lt;90,BMILMS!$D$30*AM962^3+BMILMS!$E$30*AM962^2+BMILMS!$F$30*AM962+BMILMS!$G$30,IF(AM962&lt;150,BMILMS!$D$31*AM962^3+BMILMS!$E$31*AM962^2+BMILMS!$F$31*AM962+BMILMS!$G$31,BMILMS!$D$32*AM962^3+BMILMS!$E$32*AM962^2+BMILMS!$F$32*AM962+BMILMS!$G$32)))))))</f>
        <v>12.568967990000001</v>
      </c>
      <c r="AL962" s="4">
        <f>IF(D962="M",(IF(AM962&lt;90,BMILMS!$D$14*AM962^3+BMILMS!$E$14*AM962^2+BMILMS!$F$14*AM962+BMILMS!$G$14,BMILMS!$D$15*AM962^3+BMILMS!$E$15*AM962^2+BMILMS!$F$15*AM962+BMILMS!$G$15)),(IF(AM962&lt;90,BMILMS!$D$17*AM962^3+BMILMS!$E$17*AM962^2+BMILMS!$F$17*AM962+BMILMS!$G$17,BMILMS!$D$18*AM962^3+BMILMS!$E$18*AM962^2+BMILMS!$F$18*AM962+BMILMS!$G$18)))</f>
        <v>8.8969350000000003E-2</v>
      </c>
      <c r="AM962" s="4">
        <f t="shared" si="314"/>
        <v>0</v>
      </c>
      <c r="AO962" s="56">
        <f>IF(D962="M",WeightSDS!P$5*$AM962^7+WeightSDS!Q$5*$AM962^6+WeightSDS!R$5*$AM962^5+WeightSDS!S$5*$AM962^4+WeightSDS!T$5*$AM962^3+WeightSDS!U$5*$AM962^2+WeightSDS!V$5*$AM962+WeightSDS!W$5,IF($AM962&lt;186,WeightSDS!P$8*$AM962^7+WeightSDS!Q$8*$AM962^6+WeightSDS!R$8*$AM962^5+WeightSDS!S$8*$AM962^4+WeightSDS!T$8*$AM962^3+WeightSDS!U$8*$AM962^2+WeightSDS!V$8*$AM962+WeightSDS!W$8,WeightSDS!$U$9+WeightSDS!$V$9*($AM962-WeightSDS!$W$9)))</f>
        <v>0.75407122999999998</v>
      </c>
      <c r="AP962" s="4">
        <f>IF(D962="M",IF($AM962&lt;45,WeightSDS!M$23*$AM962^10+WeightSDS!N$23*$AM962^9+WeightSDS!O$23*$AM962^8+WeightSDS!P$23*$AM962^7+WeightSDS!Q$23*$AM962^6+WeightSDS!R$23*$AM962^5+WeightSDS!S$23*$AM962^4+WeightSDS!T$23*$AM962^3+WeightSDS!U$23*$AM962^2+WeightSDS!V$23*$AM962+WeightSDS!W$23,IF($AM962&lt;153,WeightSDS!M$25*$AM962^10+WeightSDS!N$25*$AM962^9+WeightSDS!O$25*$AM962^8+WeightSDS!P$25*$AM962^7+WeightSDS!Q$25*$AM962^6+WeightSDS!R$25*$AM962^5+WeightSDS!S$25*$AM962^4+WeightSDS!T$25*$AM962^3+WeightSDS!U$25*$AM962^2+WeightSDS!V$25*$AM962+WeightSDS!W$25,WeightSDS!M$27+WeightSDS!N$27/(1+EXP(WeightSDS!O$27+WeightSDS!P$27*$AM962)))),IF($AM962&lt;43.8,WeightSDS!M$29*$AM962^10+WeightSDS!N$29*$AM962^9+WeightSDS!O$29*$AM962^8+WeightSDS!P$29*$AM962^7+WeightSDS!Q$29*$AM962^6+WeightSDS!R$29*$AM962^5+WeightSDS!S$29*$AM962^4+WeightSDS!T$29*$AM962^3+WeightSDS!U$29*$AM962^2+WeightSDS!V$29*$AM962+WeightSDS!W$29-0.010431*(1-$AM962/210),IF($AM962&lt;123,WeightSDS!M$30*$AM962^10+WeightSDS!N$30*$AM962^9+WeightSDS!O$30*$AM962^8+WeightSDS!P$30*$AM962^7+WeightSDS!Q$30*$AM962^6+WeightSDS!R$30*$AM962^5+WeightSDS!S$30*$AM962^4+WeightSDS!T$30*$AM962^3+WeightSDS!U$30*$AM962^2+WeightSDS!V$30*$AM962+WeightSDS!W$30-0.010431*(1-1/$AM962),WeightSDS!M$32+WeightSDS!N$32/(1+EXP(WeightSDS!O$32+WeightSDS!P$32*$AM962))-0.010431*(1-$AM962/210))))</f>
        <v>2.9500001032655536</v>
      </c>
      <c r="AQ962" s="4">
        <f>IF(D962="M",IF($AM962&lt;162,WeightSDS!P$12*$AM962^7+WeightSDS!Q$12*$AM962^6+WeightSDS!R$12*$AM962^5+WeightSDS!S$12*$AM962^4+WeightSDS!T$12*$AM962^3+WeightSDS!U$12*$AM962^2+WeightSDS!V$12*$AM962+WeightSDS!W$12,WeightSDS!P$14*$AM962^7+WeightSDS!Q$14*$AM962^6+WeightSDS!R$14*$AM962^5+WeightSDS!S$14*$AM962^4+WeightSDS!T$14*$AM962^3+WeightSDS!U$14*$AM962^2+WeightSDS!V$14*$AM962+WeightSDS!W$14),IF($AM962&lt;156,WeightSDS!O$17*$AM962^8+WeightSDS!P$17*$AM962^7+WeightSDS!Q$17*$AM962^6+WeightSDS!R$17*$AM962^5+WeightSDS!S$17*$AM962^4+WeightSDS!T$17*$AM962^3+WeightSDS!U$17*$AM962^2+WeightSDS!V$17*$AM962+WeightSDS!W$17,IF($AM962&lt;186,WeightSDS!$U$18+(WeightSDS!$V$18-WeightSDS!$U$18)/24*($AM962-186)+WeightSDS!$W$18*(-$AM962+186)^2-0.005,WeightSDS!$U$18+(WeightSDS!$V$18-WeightSDS!$U$18)/24*($AM962-186)-0.005)))</f>
        <v>0.14604529399999999</v>
      </c>
      <c r="AT962" s="4">
        <f t="shared" si="301"/>
        <v>0.56299999999999994</v>
      </c>
      <c r="AU962" s="4">
        <f t="shared" si="302"/>
        <v>69</v>
      </c>
      <c r="AV962" s="4">
        <f t="shared" si="303"/>
        <v>0.51</v>
      </c>
    </row>
    <row r="963" spans="1:48" x14ac:dyDescent="0.15">
      <c r="A963" s="4"/>
      <c r="B963" s="21"/>
      <c r="C963" s="21"/>
      <c r="D963" s="21"/>
      <c r="E963" s="22"/>
      <c r="F963" s="22"/>
      <c r="G963" s="23"/>
      <c r="H963" s="23"/>
      <c r="I963" s="181"/>
      <c r="J963" s="8" t="str">
        <f t="shared" ref="J963:J1002" si="316">IF(COUNTA(D963,E963,F963,G963)=4,IF(AA963+AB963/12&gt;17.583,"       *",(G963-(INDEX(IF(D963="F",Hfemalemean,Hmalemean),AB963+1,AA963+1)))/(INDEX(IF(D963="F",Hfemalesd,Hmalesd),AB963+1,AA963+1))),"")</f>
        <v/>
      </c>
      <c r="K963" s="2" t="str">
        <f t="shared" si="304"/>
        <v/>
      </c>
      <c r="L963" s="2" t="str">
        <f t="shared" ref="L963:L1002" si="317">IF(COUNTA(D963,E963,F963,G963,H963)&lt;5,"",IF(T963&lt;6,"       *",IF(AA963+AB963/12&gt;=17.583,"       *",(H963-G963*INDEX(IF(D963="F",muratafemale,muratamale),AA963-4,1)-INDEX(IF(D963="F",muratafemale,muratamale),AA963-4,2))/(G963*INDEX(IF(D963="F",muratafemale,muratamale),AA963-4,1)+INDEX(IF(D963="F",muratafemale,muratamale),AA963-4,2))*100)))</f>
        <v/>
      </c>
      <c r="M963" s="2" t="str">
        <f t="shared" si="305"/>
        <v/>
      </c>
      <c r="N963" s="2" t="str">
        <f t="shared" si="313"/>
        <v/>
      </c>
      <c r="O963" s="2" t="str">
        <f t="shared" si="306"/>
        <v/>
      </c>
      <c r="P963" s="8" t="str">
        <f t="shared" si="307"/>
        <v/>
      </c>
      <c r="Q963" s="8" t="str">
        <f t="shared" si="308"/>
        <v/>
      </c>
      <c r="R963" s="111" t="str">
        <f t="shared" si="309"/>
        <v/>
      </c>
      <c r="S963" s="44" t="str">
        <f t="shared" si="310"/>
        <v/>
      </c>
      <c r="T963" s="37" t="str">
        <f t="shared" si="311"/>
        <v/>
      </c>
      <c r="U963" s="44" t="str">
        <f t="shared" si="312"/>
        <v/>
      </c>
      <c r="V963" s="26"/>
      <c r="W963" s="26"/>
      <c r="X963" s="26"/>
      <c r="Y963" s="26"/>
      <c r="Z963" s="24"/>
      <c r="AA963" s="169">
        <f t="shared" si="297"/>
        <v>0</v>
      </c>
      <c r="AB963" s="4">
        <f t="shared" si="298"/>
        <v>0</v>
      </c>
      <c r="AC963" s="170">
        <f t="shared" si="315"/>
        <v>0</v>
      </c>
      <c r="AD963" s="58"/>
      <c r="AE963" s="58"/>
      <c r="AF963" s="58"/>
      <c r="AG963" s="59">
        <f t="shared" ref="AG963:AG998" si="318">IF(D963="M",2.06*10^-3*G963^2-0.1166*G963+6.5273,2.49*10^-3*G963^2-0.1858*G963+9.036)</f>
        <v>9.0359999999999996</v>
      </c>
      <c r="AH963" s="59">
        <f t="shared" ref="AH963:AH998" si="319">((G963/100)^3*INDEX(itoOI,IF(D963="M",0,3)+IF(G963&lt;140,1,IF(G963&lt;=149,2,3)),1)+(G963/100)^2*INDEX(itoOI,IF(D963="M",0,3)+IF(G963&lt;140,1,IF(G963&lt;=149,2,3)),2)+(G963/100)*INDEX(itoOI,IF(D963="M",0,3)+IF(G963&lt;140,1,IF(G963&lt;=149,2,3)),3)+INDEX(itoOI,IF(D963="M",0,3)+IF(G963&lt;140,1,IF(G963&lt;=149,2,3)),4))</f>
        <v>-184.49199999999999</v>
      </c>
      <c r="AJ963" s="4">
        <f>IF(D963="M",IF(AM963&lt;78,BMILMS!$D$5*AM963^3+BMILMS!$E$5*AM963^2+BMILMS!$F$5*AM963+BMILMS!$G$5,IF(AM963&lt;150,BMILMS!$D$6*AM963^3+BMILMS!$E$6*AM963^2+BMILMS!$F$6*AM963+BMILMS!$G$6,BMILMS!$D$7*AM963^3+BMILMS!$E$7*AM963^2+BMILMS!$F$7*AM963+BMILMS!$G$7)),IF(AM963&lt;69,BMILMS!$D$9*AM963^3+BMILMS!$E$9*AM963^2+BMILMS!$F$9*AM963+BMILMS!$G$9,IF(AM963&lt;150,BMILMS!$D$10*AM963^3+BMILMS!$E$10*AM963^2+BMILMS!$F$10*AM963+BMILMS!$G$10,BMILMS!$D$11*AM963^3+BMILMS!$E$11*AM963^2+BMILMS!$F$11*AM963+BMILMS!$G$11)))</f>
        <v>0.79584630099999998</v>
      </c>
      <c r="AK963" s="4">
        <f>IF(D963="M",(IF(AM963&lt;2.5,BMILMS!$D$21*AM963^3+BMILMS!$E$21*AM963^2+BMILMS!$F$21*AM963+BMILMS!$G$21,IF(AM963&lt;9.5,BMILMS!$D$22*AM963^3+BMILMS!$E$22*AM963^2+BMILMS!$F$22*AM963+BMILMS!$G$22,IF(AM963&lt;26.75,BMILMS!$D$23*AM963^3+BMILMS!$E$23*AM963^2+BMILMS!$F$23*AM963+BMILMS!$G$23,IF(AM963&lt;90,BMILMS!$D$24*AM963^3+BMILMS!$E$24*AM963^2+BMILMS!$F$24*AM963+BMILMS!$G$24,BMILMS!$D$25*AM963^3+BMILMS!$E$25*AM963^2+BMILMS!$F$25*AM963+BMILMS!$G$25))))),(IF(AM963&lt;2.5,BMILMS!$D$27*AM963^3+BMILMS!$E$27*AM963^2+BMILMS!$F$27*AM963+BMILMS!$G$27,IF(AM963&lt;9.5,BMILMS!$D$28*AM963^3+BMILMS!$E$28*AM963^2+BMILMS!$F$28*AM963+BMILMS!$G$28,IF(AM963&lt;26.75,BMILMS!$D$29*AM963^3+BMILMS!$E$29*AM963^2+BMILMS!$F$29*AM963+BMILMS!$G$29,IF(AM963&lt;90,BMILMS!$D$30*AM963^3+BMILMS!$E$30*AM963^2+BMILMS!$F$30*AM963+BMILMS!$G$30,IF(AM963&lt;150,BMILMS!$D$31*AM963^3+BMILMS!$E$31*AM963^2+BMILMS!$F$31*AM963+BMILMS!$G$31,BMILMS!$D$32*AM963^3+BMILMS!$E$32*AM963^2+BMILMS!$F$32*AM963+BMILMS!$G$32)))))))</f>
        <v>12.568967990000001</v>
      </c>
      <c r="AL963" s="4">
        <f>IF(D963="M",(IF(AM963&lt;90,BMILMS!$D$14*AM963^3+BMILMS!$E$14*AM963^2+BMILMS!$F$14*AM963+BMILMS!$G$14,BMILMS!$D$15*AM963^3+BMILMS!$E$15*AM963^2+BMILMS!$F$15*AM963+BMILMS!$G$15)),(IF(AM963&lt;90,BMILMS!$D$17*AM963^3+BMILMS!$E$17*AM963^2+BMILMS!$F$17*AM963+BMILMS!$G$17,BMILMS!$D$18*AM963^3+BMILMS!$E$18*AM963^2+BMILMS!$F$18*AM963+BMILMS!$G$18)))</f>
        <v>8.8969350000000003E-2</v>
      </c>
      <c r="AM963" s="4">
        <f t="shared" si="314"/>
        <v>0</v>
      </c>
      <c r="AO963" s="56">
        <f>IF(D963="M",WeightSDS!P$5*$AM963^7+WeightSDS!Q$5*$AM963^6+WeightSDS!R$5*$AM963^5+WeightSDS!S$5*$AM963^4+WeightSDS!T$5*$AM963^3+WeightSDS!U$5*$AM963^2+WeightSDS!V$5*$AM963+WeightSDS!W$5,IF($AM963&lt;186,WeightSDS!P$8*$AM963^7+WeightSDS!Q$8*$AM963^6+WeightSDS!R$8*$AM963^5+WeightSDS!S$8*$AM963^4+WeightSDS!T$8*$AM963^3+WeightSDS!U$8*$AM963^2+WeightSDS!V$8*$AM963+WeightSDS!W$8,WeightSDS!$U$9+WeightSDS!$V$9*($AM963-WeightSDS!$W$9)))</f>
        <v>0.75407122999999998</v>
      </c>
      <c r="AP963" s="4">
        <f>IF(D963="M",IF($AM963&lt;45,WeightSDS!M$23*$AM963^10+WeightSDS!N$23*$AM963^9+WeightSDS!O$23*$AM963^8+WeightSDS!P$23*$AM963^7+WeightSDS!Q$23*$AM963^6+WeightSDS!R$23*$AM963^5+WeightSDS!S$23*$AM963^4+WeightSDS!T$23*$AM963^3+WeightSDS!U$23*$AM963^2+WeightSDS!V$23*$AM963+WeightSDS!W$23,IF($AM963&lt;153,WeightSDS!M$25*$AM963^10+WeightSDS!N$25*$AM963^9+WeightSDS!O$25*$AM963^8+WeightSDS!P$25*$AM963^7+WeightSDS!Q$25*$AM963^6+WeightSDS!R$25*$AM963^5+WeightSDS!S$25*$AM963^4+WeightSDS!T$25*$AM963^3+WeightSDS!U$25*$AM963^2+WeightSDS!V$25*$AM963+WeightSDS!W$25,WeightSDS!M$27+WeightSDS!N$27/(1+EXP(WeightSDS!O$27+WeightSDS!P$27*$AM963)))),IF($AM963&lt;43.8,WeightSDS!M$29*$AM963^10+WeightSDS!N$29*$AM963^9+WeightSDS!O$29*$AM963^8+WeightSDS!P$29*$AM963^7+WeightSDS!Q$29*$AM963^6+WeightSDS!R$29*$AM963^5+WeightSDS!S$29*$AM963^4+WeightSDS!T$29*$AM963^3+WeightSDS!U$29*$AM963^2+WeightSDS!V$29*$AM963+WeightSDS!W$29-0.010431*(1-$AM963/210),IF($AM963&lt;123,WeightSDS!M$30*$AM963^10+WeightSDS!N$30*$AM963^9+WeightSDS!O$30*$AM963^8+WeightSDS!P$30*$AM963^7+WeightSDS!Q$30*$AM963^6+WeightSDS!R$30*$AM963^5+WeightSDS!S$30*$AM963^4+WeightSDS!T$30*$AM963^3+WeightSDS!U$30*$AM963^2+WeightSDS!V$30*$AM963+WeightSDS!W$30-0.010431*(1-1/$AM963),WeightSDS!M$32+WeightSDS!N$32/(1+EXP(WeightSDS!O$32+WeightSDS!P$32*$AM963))-0.010431*(1-$AM963/210))))</f>
        <v>2.9500001032655536</v>
      </c>
      <c r="AQ963" s="4">
        <f>IF(D963="M",IF($AM963&lt;162,WeightSDS!P$12*$AM963^7+WeightSDS!Q$12*$AM963^6+WeightSDS!R$12*$AM963^5+WeightSDS!S$12*$AM963^4+WeightSDS!T$12*$AM963^3+WeightSDS!U$12*$AM963^2+WeightSDS!V$12*$AM963+WeightSDS!W$12,WeightSDS!P$14*$AM963^7+WeightSDS!Q$14*$AM963^6+WeightSDS!R$14*$AM963^5+WeightSDS!S$14*$AM963^4+WeightSDS!T$14*$AM963^3+WeightSDS!U$14*$AM963^2+WeightSDS!V$14*$AM963+WeightSDS!W$14),IF($AM963&lt;156,WeightSDS!O$17*$AM963^8+WeightSDS!P$17*$AM963^7+WeightSDS!Q$17*$AM963^6+WeightSDS!R$17*$AM963^5+WeightSDS!S$17*$AM963^4+WeightSDS!T$17*$AM963^3+WeightSDS!U$17*$AM963^2+WeightSDS!V$17*$AM963+WeightSDS!W$17,IF($AM963&lt;186,WeightSDS!$U$18+(WeightSDS!$V$18-WeightSDS!$U$18)/24*($AM963-186)+WeightSDS!$W$18*(-$AM963+186)^2-0.005,WeightSDS!$U$18+(WeightSDS!$V$18-WeightSDS!$U$18)/24*($AM963-186)-0.005)))</f>
        <v>0.14604529399999999</v>
      </c>
      <c r="AT963" s="4">
        <f t="shared" ref="AT963:AT1002" si="320">INDEX(IF(D963="M",IGFmale, IGFfemale), AA963+1,1)</f>
        <v>0.56299999999999994</v>
      </c>
      <c r="AU963" s="4">
        <f t="shared" ref="AU963:AU1002" si="321">INDEX(IF(D963="M",IGFmale, IGFfemale), AA963+1,2)</f>
        <v>69</v>
      </c>
      <c r="AV963" s="4">
        <f t="shared" ref="AV963:AV1002" si="322">INDEX(IF(D963="M",IGFmale, IGFfemale), AA963+1,3)</f>
        <v>0.51</v>
      </c>
    </row>
    <row r="964" spans="1:48" x14ac:dyDescent="0.15">
      <c r="A964" s="4"/>
      <c r="B964" s="21"/>
      <c r="C964" s="21"/>
      <c r="D964" s="21"/>
      <c r="E964" s="22"/>
      <c r="F964" s="22"/>
      <c r="G964" s="23"/>
      <c r="H964" s="23"/>
      <c r="I964" s="181"/>
      <c r="J964" s="8" t="str">
        <f t="shared" si="316"/>
        <v/>
      </c>
      <c r="K964" s="2" t="str">
        <f t="shared" ref="K964:K1002" si="323">IF(COUNTA(D964,E964,F964,G964,H964)=5,IF(T964&lt;1,"       *",IF(T964&gt;=6,"       *",IF(G964&gt;=120,"       *",IF(G964&lt;70,"       *",(H964-AG964)/AG964*100)))),"")</f>
        <v/>
      </c>
      <c r="L964" s="2" t="str">
        <f t="shared" si="317"/>
        <v/>
      </c>
      <c r="M964" s="2" t="str">
        <f t="shared" ref="M964:M1002" si="324">IF(COUNTA(D964,E964,F964,G964,H964)=5,IF(G964&gt;=IF(D964="M",181,174),"*",IF(G964&lt;101,"       *",IF(T964&lt;6,"       *",IF(AA964+AB964/12&gt;=17.583,"*",(H964-AH964)/AH964*100)))),"")</f>
        <v/>
      </c>
      <c r="N964" s="2" t="str">
        <f t="shared" si="313"/>
        <v/>
      </c>
      <c r="O964" s="2" t="str">
        <f t="shared" ref="O964:O1002" si="325">IF(COUNTA(D964,E964,F964,G964,H964)=5,IF(AA964+AB964/12&gt;17.583,"   *",NORMSDIST(((N964/AK964)^(AJ964)-1)/AJ964/AL964)*100),"")</f>
        <v/>
      </c>
      <c r="P964" s="8" t="str">
        <f t="shared" ref="P964:P1002" si="326">IF(COUNTA(D964,E964,F964,G964,H964)=5,IF(AA964+AB964/12&gt;17.583,"   *",((N964/AK964)^(AJ964)-1)/AJ964/AL964),"")</f>
        <v/>
      </c>
      <c r="Q964" s="8" t="str">
        <f t="shared" ref="Q964:Q1002" si="327">IF(COUNTA(D964,E964,F964,H964)=4,IF(AA964+AB964/12&gt;17.583,"   *",((H964/AP964)^(AO964)-1)/AO964/AQ964),"")</f>
        <v/>
      </c>
      <c r="R964" s="111" t="str">
        <f t="shared" ref="R964:R1002" si="328">IF(COUNTA(D964,E964,F964,I964)=4,IF(AC964&gt;77,"*",NORMSDIST(((I964/AU964)^(AT964)-1)/AT964/AV964)*100),"")</f>
        <v/>
      </c>
      <c r="S964" s="44" t="str">
        <f t="shared" ref="S964:S1002" si="329">IF(COUNTA(D964,E964,F964,I964)=4,IF(AC964&gt;77,"*",((I964/AU964)^(AT964)-1)/AT964/AV964),"")</f>
        <v/>
      </c>
      <c r="T964" s="37" t="str">
        <f t="shared" ref="T964:T1002" si="330">IF(COUNTA(E964,F964)=2,AC964,"")</f>
        <v/>
      </c>
      <c r="U964" s="44" t="str">
        <f t="shared" ref="U964:U1002" si="331">IF(COUNTA(E964,F964)=2,AA964&amp;"歳"&amp;AB964&amp;"か月","")</f>
        <v/>
      </c>
      <c r="V964" s="26"/>
      <c r="W964" s="26"/>
      <c r="X964" s="26"/>
      <c r="Y964" s="26"/>
      <c r="Z964" s="24"/>
      <c r="AA964" s="169">
        <f t="shared" ref="AA964:AA1002" si="332">DATEDIF(E964,F964,"Y")</f>
        <v>0</v>
      </c>
      <c r="AB964" s="4">
        <f t="shared" si="298"/>
        <v>0</v>
      </c>
      <c r="AC964" s="170">
        <f t="shared" si="315"/>
        <v>0</v>
      </c>
      <c r="AD964" s="58"/>
      <c r="AE964" s="58"/>
      <c r="AF964" s="58"/>
      <c r="AG964" s="59">
        <f t="shared" si="318"/>
        <v>9.0359999999999996</v>
      </c>
      <c r="AH964" s="59">
        <f t="shared" si="319"/>
        <v>-184.49199999999999</v>
      </c>
      <c r="AJ964" s="4">
        <f>IF(D964="M",IF(AM964&lt;78,BMILMS!$D$5*AM964^3+BMILMS!$E$5*AM964^2+BMILMS!$F$5*AM964+BMILMS!$G$5,IF(AM964&lt;150,BMILMS!$D$6*AM964^3+BMILMS!$E$6*AM964^2+BMILMS!$F$6*AM964+BMILMS!$G$6,BMILMS!$D$7*AM964^3+BMILMS!$E$7*AM964^2+BMILMS!$F$7*AM964+BMILMS!$G$7)),IF(AM964&lt;69,BMILMS!$D$9*AM964^3+BMILMS!$E$9*AM964^2+BMILMS!$F$9*AM964+BMILMS!$G$9,IF(AM964&lt;150,BMILMS!$D$10*AM964^3+BMILMS!$E$10*AM964^2+BMILMS!$F$10*AM964+BMILMS!$G$10,BMILMS!$D$11*AM964^3+BMILMS!$E$11*AM964^2+BMILMS!$F$11*AM964+BMILMS!$G$11)))</f>
        <v>0.79584630099999998</v>
      </c>
      <c r="AK964" s="4">
        <f>IF(D964="M",(IF(AM964&lt;2.5,BMILMS!$D$21*AM964^3+BMILMS!$E$21*AM964^2+BMILMS!$F$21*AM964+BMILMS!$G$21,IF(AM964&lt;9.5,BMILMS!$D$22*AM964^3+BMILMS!$E$22*AM964^2+BMILMS!$F$22*AM964+BMILMS!$G$22,IF(AM964&lt;26.75,BMILMS!$D$23*AM964^3+BMILMS!$E$23*AM964^2+BMILMS!$F$23*AM964+BMILMS!$G$23,IF(AM964&lt;90,BMILMS!$D$24*AM964^3+BMILMS!$E$24*AM964^2+BMILMS!$F$24*AM964+BMILMS!$G$24,BMILMS!$D$25*AM964^3+BMILMS!$E$25*AM964^2+BMILMS!$F$25*AM964+BMILMS!$G$25))))),(IF(AM964&lt;2.5,BMILMS!$D$27*AM964^3+BMILMS!$E$27*AM964^2+BMILMS!$F$27*AM964+BMILMS!$G$27,IF(AM964&lt;9.5,BMILMS!$D$28*AM964^3+BMILMS!$E$28*AM964^2+BMILMS!$F$28*AM964+BMILMS!$G$28,IF(AM964&lt;26.75,BMILMS!$D$29*AM964^3+BMILMS!$E$29*AM964^2+BMILMS!$F$29*AM964+BMILMS!$G$29,IF(AM964&lt;90,BMILMS!$D$30*AM964^3+BMILMS!$E$30*AM964^2+BMILMS!$F$30*AM964+BMILMS!$G$30,IF(AM964&lt;150,BMILMS!$D$31*AM964^3+BMILMS!$E$31*AM964^2+BMILMS!$F$31*AM964+BMILMS!$G$31,BMILMS!$D$32*AM964^3+BMILMS!$E$32*AM964^2+BMILMS!$F$32*AM964+BMILMS!$G$32)))))))</f>
        <v>12.568967990000001</v>
      </c>
      <c r="AL964" s="4">
        <f>IF(D964="M",(IF(AM964&lt;90,BMILMS!$D$14*AM964^3+BMILMS!$E$14*AM964^2+BMILMS!$F$14*AM964+BMILMS!$G$14,BMILMS!$D$15*AM964^3+BMILMS!$E$15*AM964^2+BMILMS!$F$15*AM964+BMILMS!$G$15)),(IF(AM964&lt;90,BMILMS!$D$17*AM964^3+BMILMS!$E$17*AM964^2+BMILMS!$F$17*AM964+BMILMS!$G$17,BMILMS!$D$18*AM964^3+BMILMS!$E$18*AM964^2+BMILMS!$F$18*AM964+BMILMS!$G$18)))</f>
        <v>8.8969350000000003E-2</v>
      </c>
      <c r="AM964" s="4">
        <f t="shared" si="314"/>
        <v>0</v>
      </c>
      <c r="AO964" s="56">
        <f>IF(D964="M",WeightSDS!P$5*$AM964^7+WeightSDS!Q$5*$AM964^6+WeightSDS!R$5*$AM964^5+WeightSDS!S$5*$AM964^4+WeightSDS!T$5*$AM964^3+WeightSDS!U$5*$AM964^2+WeightSDS!V$5*$AM964+WeightSDS!W$5,IF($AM964&lt;186,WeightSDS!P$8*$AM964^7+WeightSDS!Q$8*$AM964^6+WeightSDS!R$8*$AM964^5+WeightSDS!S$8*$AM964^4+WeightSDS!T$8*$AM964^3+WeightSDS!U$8*$AM964^2+WeightSDS!V$8*$AM964+WeightSDS!W$8,WeightSDS!$U$9+WeightSDS!$V$9*($AM964-WeightSDS!$W$9)))</f>
        <v>0.75407122999999998</v>
      </c>
      <c r="AP964" s="4">
        <f>IF(D964="M",IF($AM964&lt;45,WeightSDS!M$23*$AM964^10+WeightSDS!N$23*$AM964^9+WeightSDS!O$23*$AM964^8+WeightSDS!P$23*$AM964^7+WeightSDS!Q$23*$AM964^6+WeightSDS!R$23*$AM964^5+WeightSDS!S$23*$AM964^4+WeightSDS!T$23*$AM964^3+WeightSDS!U$23*$AM964^2+WeightSDS!V$23*$AM964+WeightSDS!W$23,IF($AM964&lt;153,WeightSDS!M$25*$AM964^10+WeightSDS!N$25*$AM964^9+WeightSDS!O$25*$AM964^8+WeightSDS!P$25*$AM964^7+WeightSDS!Q$25*$AM964^6+WeightSDS!R$25*$AM964^5+WeightSDS!S$25*$AM964^4+WeightSDS!T$25*$AM964^3+WeightSDS!U$25*$AM964^2+WeightSDS!V$25*$AM964+WeightSDS!W$25,WeightSDS!M$27+WeightSDS!N$27/(1+EXP(WeightSDS!O$27+WeightSDS!P$27*$AM964)))),IF($AM964&lt;43.8,WeightSDS!M$29*$AM964^10+WeightSDS!N$29*$AM964^9+WeightSDS!O$29*$AM964^8+WeightSDS!P$29*$AM964^7+WeightSDS!Q$29*$AM964^6+WeightSDS!R$29*$AM964^5+WeightSDS!S$29*$AM964^4+WeightSDS!T$29*$AM964^3+WeightSDS!U$29*$AM964^2+WeightSDS!V$29*$AM964+WeightSDS!W$29-0.010431*(1-$AM964/210),IF($AM964&lt;123,WeightSDS!M$30*$AM964^10+WeightSDS!N$30*$AM964^9+WeightSDS!O$30*$AM964^8+WeightSDS!P$30*$AM964^7+WeightSDS!Q$30*$AM964^6+WeightSDS!R$30*$AM964^5+WeightSDS!S$30*$AM964^4+WeightSDS!T$30*$AM964^3+WeightSDS!U$30*$AM964^2+WeightSDS!V$30*$AM964+WeightSDS!W$30-0.010431*(1-1/$AM964),WeightSDS!M$32+WeightSDS!N$32/(1+EXP(WeightSDS!O$32+WeightSDS!P$32*$AM964))-0.010431*(1-$AM964/210))))</f>
        <v>2.9500001032655536</v>
      </c>
      <c r="AQ964" s="4">
        <f>IF(D964="M",IF($AM964&lt;162,WeightSDS!P$12*$AM964^7+WeightSDS!Q$12*$AM964^6+WeightSDS!R$12*$AM964^5+WeightSDS!S$12*$AM964^4+WeightSDS!T$12*$AM964^3+WeightSDS!U$12*$AM964^2+WeightSDS!V$12*$AM964+WeightSDS!W$12,WeightSDS!P$14*$AM964^7+WeightSDS!Q$14*$AM964^6+WeightSDS!R$14*$AM964^5+WeightSDS!S$14*$AM964^4+WeightSDS!T$14*$AM964^3+WeightSDS!U$14*$AM964^2+WeightSDS!V$14*$AM964+WeightSDS!W$14),IF($AM964&lt;156,WeightSDS!O$17*$AM964^8+WeightSDS!P$17*$AM964^7+WeightSDS!Q$17*$AM964^6+WeightSDS!R$17*$AM964^5+WeightSDS!S$17*$AM964^4+WeightSDS!T$17*$AM964^3+WeightSDS!U$17*$AM964^2+WeightSDS!V$17*$AM964+WeightSDS!W$17,IF($AM964&lt;186,WeightSDS!$U$18+(WeightSDS!$V$18-WeightSDS!$U$18)/24*($AM964-186)+WeightSDS!$W$18*(-$AM964+186)^2-0.005,WeightSDS!$U$18+(WeightSDS!$V$18-WeightSDS!$U$18)/24*($AM964-186)-0.005)))</f>
        <v>0.14604529399999999</v>
      </c>
      <c r="AT964" s="4">
        <f t="shared" si="320"/>
        <v>0.56299999999999994</v>
      </c>
      <c r="AU964" s="4">
        <f t="shared" si="321"/>
        <v>69</v>
      </c>
      <c r="AV964" s="4">
        <f t="shared" si="322"/>
        <v>0.51</v>
      </c>
    </row>
    <row r="965" spans="1:48" x14ac:dyDescent="0.15">
      <c r="A965" s="4"/>
      <c r="B965" s="21"/>
      <c r="C965" s="21"/>
      <c r="D965" s="21"/>
      <c r="E965" s="22"/>
      <c r="F965" s="22"/>
      <c r="G965" s="23"/>
      <c r="H965" s="23"/>
      <c r="I965" s="181"/>
      <c r="J965" s="8" t="str">
        <f t="shared" si="316"/>
        <v/>
      </c>
      <c r="K965" s="2" t="str">
        <f t="shared" si="323"/>
        <v/>
      </c>
      <c r="L965" s="2" t="str">
        <f t="shared" si="317"/>
        <v/>
      </c>
      <c r="M965" s="2" t="str">
        <f t="shared" si="324"/>
        <v/>
      </c>
      <c r="N965" s="2" t="str">
        <f t="shared" si="313"/>
        <v/>
      </c>
      <c r="O965" s="2" t="str">
        <f t="shared" si="325"/>
        <v/>
      </c>
      <c r="P965" s="8" t="str">
        <f t="shared" si="326"/>
        <v/>
      </c>
      <c r="Q965" s="8" t="str">
        <f t="shared" si="327"/>
        <v/>
      </c>
      <c r="R965" s="111" t="str">
        <f t="shared" si="328"/>
        <v/>
      </c>
      <c r="S965" s="44" t="str">
        <f t="shared" si="329"/>
        <v/>
      </c>
      <c r="T965" s="37" t="str">
        <f t="shared" si="330"/>
        <v/>
      </c>
      <c r="U965" s="44" t="str">
        <f t="shared" si="331"/>
        <v/>
      </c>
      <c r="V965" s="26"/>
      <c r="W965" s="26"/>
      <c r="X965" s="26"/>
      <c r="Y965" s="26"/>
      <c r="Z965" s="24"/>
      <c r="AA965" s="169">
        <f t="shared" si="332"/>
        <v>0</v>
      </c>
      <c r="AB965" s="4">
        <f t="shared" si="298"/>
        <v>0</v>
      </c>
      <c r="AC965" s="170">
        <f t="shared" si="315"/>
        <v>0</v>
      </c>
      <c r="AD965" s="58"/>
      <c r="AE965" s="58"/>
      <c r="AF965" s="58"/>
      <c r="AG965" s="59">
        <f t="shared" si="318"/>
        <v>9.0359999999999996</v>
      </c>
      <c r="AH965" s="59">
        <f t="shared" si="319"/>
        <v>-184.49199999999999</v>
      </c>
      <c r="AJ965" s="4">
        <f>IF(D965="M",IF(AM965&lt;78,BMILMS!$D$5*AM965^3+BMILMS!$E$5*AM965^2+BMILMS!$F$5*AM965+BMILMS!$G$5,IF(AM965&lt;150,BMILMS!$D$6*AM965^3+BMILMS!$E$6*AM965^2+BMILMS!$F$6*AM965+BMILMS!$G$6,BMILMS!$D$7*AM965^3+BMILMS!$E$7*AM965^2+BMILMS!$F$7*AM965+BMILMS!$G$7)),IF(AM965&lt;69,BMILMS!$D$9*AM965^3+BMILMS!$E$9*AM965^2+BMILMS!$F$9*AM965+BMILMS!$G$9,IF(AM965&lt;150,BMILMS!$D$10*AM965^3+BMILMS!$E$10*AM965^2+BMILMS!$F$10*AM965+BMILMS!$G$10,BMILMS!$D$11*AM965^3+BMILMS!$E$11*AM965^2+BMILMS!$F$11*AM965+BMILMS!$G$11)))</f>
        <v>0.79584630099999998</v>
      </c>
      <c r="AK965" s="4">
        <f>IF(D965="M",(IF(AM965&lt;2.5,BMILMS!$D$21*AM965^3+BMILMS!$E$21*AM965^2+BMILMS!$F$21*AM965+BMILMS!$G$21,IF(AM965&lt;9.5,BMILMS!$D$22*AM965^3+BMILMS!$E$22*AM965^2+BMILMS!$F$22*AM965+BMILMS!$G$22,IF(AM965&lt;26.75,BMILMS!$D$23*AM965^3+BMILMS!$E$23*AM965^2+BMILMS!$F$23*AM965+BMILMS!$G$23,IF(AM965&lt;90,BMILMS!$D$24*AM965^3+BMILMS!$E$24*AM965^2+BMILMS!$F$24*AM965+BMILMS!$G$24,BMILMS!$D$25*AM965^3+BMILMS!$E$25*AM965^2+BMILMS!$F$25*AM965+BMILMS!$G$25))))),(IF(AM965&lt;2.5,BMILMS!$D$27*AM965^3+BMILMS!$E$27*AM965^2+BMILMS!$F$27*AM965+BMILMS!$G$27,IF(AM965&lt;9.5,BMILMS!$D$28*AM965^3+BMILMS!$E$28*AM965^2+BMILMS!$F$28*AM965+BMILMS!$G$28,IF(AM965&lt;26.75,BMILMS!$D$29*AM965^3+BMILMS!$E$29*AM965^2+BMILMS!$F$29*AM965+BMILMS!$G$29,IF(AM965&lt;90,BMILMS!$D$30*AM965^3+BMILMS!$E$30*AM965^2+BMILMS!$F$30*AM965+BMILMS!$G$30,IF(AM965&lt;150,BMILMS!$D$31*AM965^3+BMILMS!$E$31*AM965^2+BMILMS!$F$31*AM965+BMILMS!$G$31,BMILMS!$D$32*AM965^3+BMILMS!$E$32*AM965^2+BMILMS!$F$32*AM965+BMILMS!$G$32)))))))</f>
        <v>12.568967990000001</v>
      </c>
      <c r="AL965" s="4">
        <f>IF(D965="M",(IF(AM965&lt;90,BMILMS!$D$14*AM965^3+BMILMS!$E$14*AM965^2+BMILMS!$F$14*AM965+BMILMS!$G$14,BMILMS!$D$15*AM965^3+BMILMS!$E$15*AM965^2+BMILMS!$F$15*AM965+BMILMS!$G$15)),(IF(AM965&lt;90,BMILMS!$D$17*AM965^3+BMILMS!$E$17*AM965^2+BMILMS!$F$17*AM965+BMILMS!$G$17,BMILMS!$D$18*AM965^3+BMILMS!$E$18*AM965^2+BMILMS!$F$18*AM965+BMILMS!$G$18)))</f>
        <v>8.8969350000000003E-2</v>
      </c>
      <c r="AM965" s="4">
        <f t="shared" si="314"/>
        <v>0</v>
      </c>
      <c r="AO965" s="56">
        <f>IF(D965="M",WeightSDS!P$5*$AM965^7+WeightSDS!Q$5*$AM965^6+WeightSDS!R$5*$AM965^5+WeightSDS!S$5*$AM965^4+WeightSDS!T$5*$AM965^3+WeightSDS!U$5*$AM965^2+WeightSDS!V$5*$AM965+WeightSDS!W$5,IF($AM965&lt;186,WeightSDS!P$8*$AM965^7+WeightSDS!Q$8*$AM965^6+WeightSDS!R$8*$AM965^5+WeightSDS!S$8*$AM965^4+WeightSDS!T$8*$AM965^3+WeightSDS!U$8*$AM965^2+WeightSDS!V$8*$AM965+WeightSDS!W$8,WeightSDS!$U$9+WeightSDS!$V$9*($AM965-WeightSDS!$W$9)))</f>
        <v>0.75407122999999998</v>
      </c>
      <c r="AP965" s="4">
        <f>IF(D965="M",IF($AM965&lt;45,WeightSDS!M$23*$AM965^10+WeightSDS!N$23*$AM965^9+WeightSDS!O$23*$AM965^8+WeightSDS!P$23*$AM965^7+WeightSDS!Q$23*$AM965^6+WeightSDS!R$23*$AM965^5+WeightSDS!S$23*$AM965^4+WeightSDS!T$23*$AM965^3+WeightSDS!U$23*$AM965^2+WeightSDS!V$23*$AM965+WeightSDS!W$23,IF($AM965&lt;153,WeightSDS!M$25*$AM965^10+WeightSDS!N$25*$AM965^9+WeightSDS!O$25*$AM965^8+WeightSDS!P$25*$AM965^7+WeightSDS!Q$25*$AM965^6+WeightSDS!R$25*$AM965^5+WeightSDS!S$25*$AM965^4+WeightSDS!T$25*$AM965^3+WeightSDS!U$25*$AM965^2+WeightSDS!V$25*$AM965+WeightSDS!W$25,WeightSDS!M$27+WeightSDS!N$27/(1+EXP(WeightSDS!O$27+WeightSDS!P$27*$AM965)))),IF($AM965&lt;43.8,WeightSDS!M$29*$AM965^10+WeightSDS!N$29*$AM965^9+WeightSDS!O$29*$AM965^8+WeightSDS!P$29*$AM965^7+WeightSDS!Q$29*$AM965^6+WeightSDS!R$29*$AM965^5+WeightSDS!S$29*$AM965^4+WeightSDS!T$29*$AM965^3+WeightSDS!U$29*$AM965^2+WeightSDS!V$29*$AM965+WeightSDS!W$29-0.010431*(1-$AM965/210),IF($AM965&lt;123,WeightSDS!M$30*$AM965^10+WeightSDS!N$30*$AM965^9+WeightSDS!O$30*$AM965^8+WeightSDS!P$30*$AM965^7+WeightSDS!Q$30*$AM965^6+WeightSDS!R$30*$AM965^5+WeightSDS!S$30*$AM965^4+WeightSDS!T$30*$AM965^3+WeightSDS!U$30*$AM965^2+WeightSDS!V$30*$AM965+WeightSDS!W$30-0.010431*(1-1/$AM965),WeightSDS!M$32+WeightSDS!N$32/(1+EXP(WeightSDS!O$32+WeightSDS!P$32*$AM965))-0.010431*(1-$AM965/210))))</f>
        <v>2.9500001032655536</v>
      </c>
      <c r="AQ965" s="4">
        <f>IF(D965="M",IF($AM965&lt;162,WeightSDS!P$12*$AM965^7+WeightSDS!Q$12*$AM965^6+WeightSDS!R$12*$AM965^5+WeightSDS!S$12*$AM965^4+WeightSDS!T$12*$AM965^3+WeightSDS!U$12*$AM965^2+WeightSDS!V$12*$AM965+WeightSDS!W$12,WeightSDS!P$14*$AM965^7+WeightSDS!Q$14*$AM965^6+WeightSDS!R$14*$AM965^5+WeightSDS!S$14*$AM965^4+WeightSDS!T$14*$AM965^3+WeightSDS!U$14*$AM965^2+WeightSDS!V$14*$AM965+WeightSDS!W$14),IF($AM965&lt;156,WeightSDS!O$17*$AM965^8+WeightSDS!P$17*$AM965^7+WeightSDS!Q$17*$AM965^6+WeightSDS!R$17*$AM965^5+WeightSDS!S$17*$AM965^4+WeightSDS!T$17*$AM965^3+WeightSDS!U$17*$AM965^2+WeightSDS!V$17*$AM965+WeightSDS!W$17,IF($AM965&lt;186,WeightSDS!$U$18+(WeightSDS!$V$18-WeightSDS!$U$18)/24*($AM965-186)+WeightSDS!$W$18*(-$AM965+186)^2-0.005,WeightSDS!$U$18+(WeightSDS!$V$18-WeightSDS!$U$18)/24*($AM965-186)-0.005)))</f>
        <v>0.14604529399999999</v>
      </c>
      <c r="AT965" s="4">
        <f t="shared" si="320"/>
        <v>0.56299999999999994</v>
      </c>
      <c r="AU965" s="4">
        <f t="shared" si="321"/>
        <v>69</v>
      </c>
      <c r="AV965" s="4">
        <f t="shared" si="322"/>
        <v>0.51</v>
      </c>
    </row>
    <row r="966" spans="1:48" x14ac:dyDescent="0.15">
      <c r="A966" s="4"/>
      <c r="B966" s="21"/>
      <c r="C966" s="21"/>
      <c r="D966" s="21"/>
      <c r="E966" s="22"/>
      <c r="F966" s="22"/>
      <c r="G966" s="23"/>
      <c r="H966" s="23"/>
      <c r="I966" s="181"/>
      <c r="J966" s="8" t="str">
        <f t="shared" si="316"/>
        <v/>
      </c>
      <c r="K966" s="2" t="str">
        <f t="shared" si="323"/>
        <v/>
      </c>
      <c r="L966" s="2" t="str">
        <f t="shared" si="317"/>
        <v/>
      </c>
      <c r="M966" s="2" t="str">
        <f t="shared" si="324"/>
        <v/>
      </c>
      <c r="N966" s="2" t="str">
        <f t="shared" si="313"/>
        <v/>
      </c>
      <c r="O966" s="2" t="str">
        <f t="shared" si="325"/>
        <v/>
      </c>
      <c r="P966" s="8" t="str">
        <f t="shared" si="326"/>
        <v/>
      </c>
      <c r="Q966" s="8" t="str">
        <f t="shared" si="327"/>
        <v/>
      </c>
      <c r="R966" s="111" t="str">
        <f t="shared" si="328"/>
        <v/>
      </c>
      <c r="S966" s="44" t="str">
        <f t="shared" si="329"/>
        <v/>
      </c>
      <c r="T966" s="37" t="str">
        <f t="shared" si="330"/>
        <v/>
      </c>
      <c r="U966" s="44" t="str">
        <f t="shared" si="331"/>
        <v/>
      </c>
      <c r="V966" s="26"/>
      <c r="W966" s="26"/>
      <c r="X966" s="26"/>
      <c r="Y966" s="26"/>
      <c r="Z966" s="24"/>
      <c r="AA966" s="169">
        <f t="shared" si="332"/>
        <v>0</v>
      </c>
      <c r="AB966" s="4">
        <f t="shared" ref="AB966:AB1002" si="333">DATEDIF(E966,F966,"YM")</f>
        <v>0</v>
      </c>
      <c r="AC966" s="170">
        <f t="shared" si="315"/>
        <v>0</v>
      </c>
      <c r="AD966" s="58"/>
      <c r="AE966" s="58"/>
      <c r="AF966" s="58"/>
      <c r="AG966" s="59">
        <f t="shared" si="318"/>
        <v>9.0359999999999996</v>
      </c>
      <c r="AH966" s="59">
        <f t="shared" si="319"/>
        <v>-184.49199999999999</v>
      </c>
      <c r="AJ966" s="4">
        <f>IF(D966="M",IF(AM966&lt;78,BMILMS!$D$5*AM966^3+BMILMS!$E$5*AM966^2+BMILMS!$F$5*AM966+BMILMS!$G$5,IF(AM966&lt;150,BMILMS!$D$6*AM966^3+BMILMS!$E$6*AM966^2+BMILMS!$F$6*AM966+BMILMS!$G$6,BMILMS!$D$7*AM966^3+BMILMS!$E$7*AM966^2+BMILMS!$F$7*AM966+BMILMS!$G$7)),IF(AM966&lt;69,BMILMS!$D$9*AM966^3+BMILMS!$E$9*AM966^2+BMILMS!$F$9*AM966+BMILMS!$G$9,IF(AM966&lt;150,BMILMS!$D$10*AM966^3+BMILMS!$E$10*AM966^2+BMILMS!$F$10*AM966+BMILMS!$G$10,BMILMS!$D$11*AM966^3+BMILMS!$E$11*AM966^2+BMILMS!$F$11*AM966+BMILMS!$G$11)))</f>
        <v>0.79584630099999998</v>
      </c>
      <c r="AK966" s="4">
        <f>IF(D966="M",(IF(AM966&lt;2.5,BMILMS!$D$21*AM966^3+BMILMS!$E$21*AM966^2+BMILMS!$F$21*AM966+BMILMS!$G$21,IF(AM966&lt;9.5,BMILMS!$D$22*AM966^3+BMILMS!$E$22*AM966^2+BMILMS!$F$22*AM966+BMILMS!$G$22,IF(AM966&lt;26.75,BMILMS!$D$23*AM966^3+BMILMS!$E$23*AM966^2+BMILMS!$F$23*AM966+BMILMS!$G$23,IF(AM966&lt;90,BMILMS!$D$24*AM966^3+BMILMS!$E$24*AM966^2+BMILMS!$F$24*AM966+BMILMS!$G$24,BMILMS!$D$25*AM966^3+BMILMS!$E$25*AM966^2+BMILMS!$F$25*AM966+BMILMS!$G$25))))),(IF(AM966&lt;2.5,BMILMS!$D$27*AM966^3+BMILMS!$E$27*AM966^2+BMILMS!$F$27*AM966+BMILMS!$G$27,IF(AM966&lt;9.5,BMILMS!$D$28*AM966^3+BMILMS!$E$28*AM966^2+BMILMS!$F$28*AM966+BMILMS!$G$28,IF(AM966&lt;26.75,BMILMS!$D$29*AM966^3+BMILMS!$E$29*AM966^2+BMILMS!$F$29*AM966+BMILMS!$G$29,IF(AM966&lt;90,BMILMS!$D$30*AM966^3+BMILMS!$E$30*AM966^2+BMILMS!$F$30*AM966+BMILMS!$G$30,IF(AM966&lt;150,BMILMS!$D$31*AM966^3+BMILMS!$E$31*AM966^2+BMILMS!$F$31*AM966+BMILMS!$G$31,BMILMS!$D$32*AM966^3+BMILMS!$E$32*AM966^2+BMILMS!$F$32*AM966+BMILMS!$G$32)))))))</f>
        <v>12.568967990000001</v>
      </c>
      <c r="AL966" s="4">
        <f>IF(D966="M",(IF(AM966&lt;90,BMILMS!$D$14*AM966^3+BMILMS!$E$14*AM966^2+BMILMS!$F$14*AM966+BMILMS!$G$14,BMILMS!$D$15*AM966^3+BMILMS!$E$15*AM966^2+BMILMS!$F$15*AM966+BMILMS!$G$15)),(IF(AM966&lt;90,BMILMS!$D$17*AM966^3+BMILMS!$E$17*AM966^2+BMILMS!$F$17*AM966+BMILMS!$G$17,BMILMS!$D$18*AM966^3+BMILMS!$E$18*AM966^2+BMILMS!$F$18*AM966+BMILMS!$G$18)))</f>
        <v>8.8969350000000003E-2</v>
      </c>
      <c r="AM966" s="4">
        <f t="shared" si="314"/>
        <v>0</v>
      </c>
      <c r="AO966" s="56">
        <f>IF(D966="M",WeightSDS!P$5*$AM966^7+WeightSDS!Q$5*$AM966^6+WeightSDS!R$5*$AM966^5+WeightSDS!S$5*$AM966^4+WeightSDS!T$5*$AM966^3+WeightSDS!U$5*$AM966^2+WeightSDS!V$5*$AM966+WeightSDS!W$5,IF($AM966&lt;186,WeightSDS!P$8*$AM966^7+WeightSDS!Q$8*$AM966^6+WeightSDS!R$8*$AM966^5+WeightSDS!S$8*$AM966^4+WeightSDS!T$8*$AM966^3+WeightSDS!U$8*$AM966^2+WeightSDS!V$8*$AM966+WeightSDS!W$8,WeightSDS!$U$9+WeightSDS!$V$9*($AM966-WeightSDS!$W$9)))</f>
        <v>0.75407122999999998</v>
      </c>
      <c r="AP966" s="4">
        <f>IF(D966="M",IF($AM966&lt;45,WeightSDS!M$23*$AM966^10+WeightSDS!N$23*$AM966^9+WeightSDS!O$23*$AM966^8+WeightSDS!P$23*$AM966^7+WeightSDS!Q$23*$AM966^6+WeightSDS!R$23*$AM966^5+WeightSDS!S$23*$AM966^4+WeightSDS!T$23*$AM966^3+WeightSDS!U$23*$AM966^2+WeightSDS!V$23*$AM966+WeightSDS!W$23,IF($AM966&lt;153,WeightSDS!M$25*$AM966^10+WeightSDS!N$25*$AM966^9+WeightSDS!O$25*$AM966^8+WeightSDS!P$25*$AM966^7+WeightSDS!Q$25*$AM966^6+WeightSDS!R$25*$AM966^5+WeightSDS!S$25*$AM966^4+WeightSDS!T$25*$AM966^3+WeightSDS!U$25*$AM966^2+WeightSDS!V$25*$AM966+WeightSDS!W$25,WeightSDS!M$27+WeightSDS!N$27/(1+EXP(WeightSDS!O$27+WeightSDS!P$27*$AM966)))),IF($AM966&lt;43.8,WeightSDS!M$29*$AM966^10+WeightSDS!N$29*$AM966^9+WeightSDS!O$29*$AM966^8+WeightSDS!P$29*$AM966^7+WeightSDS!Q$29*$AM966^6+WeightSDS!R$29*$AM966^5+WeightSDS!S$29*$AM966^4+WeightSDS!T$29*$AM966^3+WeightSDS!U$29*$AM966^2+WeightSDS!V$29*$AM966+WeightSDS!W$29-0.010431*(1-$AM966/210),IF($AM966&lt;123,WeightSDS!M$30*$AM966^10+WeightSDS!N$30*$AM966^9+WeightSDS!O$30*$AM966^8+WeightSDS!P$30*$AM966^7+WeightSDS!Q$30*$AM966^6+WeightSDS!R$30*$AM966^5+WeightSDS!S$30*$AM966^4+WeightSDS!T$30*$AM966^3+WeightSDS!U$30*$AM966^2+WeightSDS!V$30*$AM966+WeightSDS!W$30-0.010431*(1-1/$AM966),WeightSDS!M$32+WeightSDS!N$32/(1+EXP(WeightSDS!O$32+WeightSDS!P$32*$AM966))-0.010431*(1-$AM966/210))))</f>
        <v>2.9500001032655536</v>
      </c>
      <c r="AQ966" s="4">
        <f>IF(D966="M",IF($AM966&lt;162,WeightSDS!P$12*$AM966^7+WeightSDS!Q$12*$AM966^6+WeightSDS!R$12*$AM966^5+WeightSDS!S$12*$AM966^4+WeightSDS!T$12*$AM966^3+WeightSDS!U$12*$AM966^2+WeightSDS!V$12*$AM966+WeightSDS!W$12,WeightSDS!P$14*$AM966^7+WeightSDS!Q$14*$AM966^6+WeightSDS!R$14*$AM966^5+WeightSDS!S$14*$AM966^4+WeightSDS!T$14*$AM966^3+WeightSDS!U$14*$AM966^2+WeightSDS!V$14*$AM966+WeightSDS!W$14),IF($AM966&lt;156,WeightSDS!O$17*$AM966^8+WeightSDS!P$17*$AM966^7+WeightSDS!Q$17*$AM966^6+WeightSDS!R$17*$AM966^5+WeightSDS!S$17*$AM966^4+WeightSDS!T$17*$AM966^3+WeightSDS!U$17*$AM966^2+WeightSDS!V$17*$AM966+WeightSDS!W$17,IF($AM966&lt;186,WeightSDS!$U$18+(WeightSDS!$V$18-WeightSDS!$U$18)/24*($AM966-186)+WeightSDS!$W$18*(-$AM966+186)^2-0.005,WeightSDS!$U$18+(WeightSDS!$V$18-WeightSDS!$U$18)/24*($AM966-186)-0.005)))</f>
        <v>0.14604529399999999</v>
      </c>
      <c r="AT966" s="4">
        <f t="shared" si="320"/>
        <v>0.56299999999999994</v>
      </c>
      <c r="AU966" s="4">
        <f t="shared" si="321"/>
        <v>69</v>
      </c>
      <c r="AV966" s="4">
        <f t="shared" si="322"/>
        <v>0.51</v>
      </c>
    </row>
    <row r="967" spans="1:48" x14ac:dyDescent="0.15">
      <c r="A967" s="4"/>
      <c r="B967" s="21"/>
      <c r="C967" s="21"/>
      <c r="D967" s="21"/>
      <c r="E967" s="22"/>
      <c r="F967" s="22"/>
      <c r="G967" s="23"/>
      <c r="H967" s="23"/>
      <c r="I967" s="181"/>
      <c r="J967" s="8" t="str">
        <f t="shared" si="316"/>
        <v/>
      </c>
      <c r="K967" s="2" t="str">
        <f t="shared" si="323"/>
        <v/>
      </c>
      <c r="L967" s="2" t="str">
        <f t="shared" si="317"/>
        <v/>
      </c>
      <c r="M967" s="2" t="str">
        <f t="shared" si="324"/>
        <v/>
      </c>
      <c r="N967" s="2" t="str">
        <f t="shared" si="313"/>
        <v/>
      </c>
      <c r="O967" s="2" t="str">
        <f t="shared" si="325"/>
        <v/>
      </c>
      <c r="P967" s="8" t="str">
        <f t="shared" si="326"/>
        <v/>
      </c>
      <c r="Q967" s="8" t="str">
        <f t="shared" si="327"/>
        <v/>
      </c>
      <c r="R967" s="111" t="str">
        <f t="shared" si="328"/>
        <v/>
      </c>
      <c r="S967" s="44" t="str">
        <f t="shared" si="329"/>
        <v/>
      </c>
      <c r="T967" s="37" t="str">
        <f t="shared" si="330"/>
        <v/>
      </c>
      <c r="U967" s="44" t="str">
        <f t="shared" si="331"/>
        <v/>
      </c>
      <c r="V967" s="26"/>
      <c r="W967" s="26"/>
      <c r="X967" s="26"/>
      <c r="Y967" s="26"/>
      <c r="Z967" s="24"/>
      <c r="AA967" s="169">
        <f t="shared" si="332"/>
        <v>0</v>
      </c>
      <c r="AB967" s="4">
        <f t="shared" si="333"/>
        <v>0</v>
      </c>
      <c r="AC967" s="170">
        <f t="shared" si="315"/>
        <v>0</v>
      </c>
      <c r="AD967" s="58"/>
      <c r="AE967" s="58"/>
      <c r="AF967" s="58"/>
      <c r="AG967" s="59">
        <f t="shared" si="318"/>
        <v>9.0359999999999996</v>
      </c>
      <c r="AH967" s="59">
        <f t="shared" si="319"/>
        <v>-184.49199999999999</v>
      </c>
      <c r="AJ967" s="4">
        <f>IF(D967="M",IF(AM967&lt;78,BMILMS!$D$5*AM967^3+BMILMS!$E$5*AM967^2+BMILMS!$F$5*AM967+BMILMS!$G$5,IF(AM967&lt;150,BMILMS!$D$6*AM967^3+BMILMS!$E$6*AM967^2+BMILMS!$F$6*AM967+BMILMS!$G$6,BMILMS!$D$7*AM967^3+BMILMS!$E$7*AM967^2+BMILMS!$F$7*AM967+BMILMS!$G$7)),IF(AM967&lt;69,BMILMS!$D$9*AM967^3+BMILMS!$E$9*AM967^2+BMILMS!$F$9*AM967+BMILMS!$G$9,IF(AM967&lt;150,BMILMS!$D$10*AM967^3+BMILMS!$E$10*AM967^2+BMILMS!$F$10*AM967+BMILMS!$G$10,BMILMS!$D$11*AM967^3+BMILMS!$E$11*AM967^2+BMILMS!$F$11*AM967+BMILMS!$G$11)))</f>
        <v>0.79584630099999998</v>
      </c>
      <c r="AK967" s="4">
        <f>IF(D967="M",(IF(AM967&lt;2.5,BMILMS!$D$21*AM967^3+BMILMS!$E$21*AM967^2+BMILMS!$F$21*AM967+BMILMS!$G$21,IF(AM967&lt;9.5,BMILMS!$D$22*AM967^3+BMILMS!$E$22*AM967^2+BMILMS!$F$22*AM967+BMILMS!$G$22,IF(AM967&lt;26.75,BMILMS!$D$23*AM967^3+BMILMS!$E$23*AM967^2+BMILMS!$F$23*AM967+BMILMS!$G$23,IF(AM967&lt;90,BMILMS!$D$24*AM967^3+BMILMS!$E$24*AM967^2+BMILMS!$F$24*AM967+BMILMS!$G$24,BMILMS!$D$25*AM967^3+BMILMS!$E$25*AM967^2+BMILMS!$F$25*AM967+BMILMS!$G$25))))),(IF(AM967&lt;2.5,BMILMS!$D$27*AM967^3+BMILMS!$E$27*AM967^2+BMILMS!$F$27*AM967+BMILMS!$G$27,IF(AM967&lt;9.5,BMILMS!$D$28*AM967^3+BMILMS!$E$28*AM967^2+BMILMS!$F$28*AM967+BMILMS!$G$28,IF(AM967&lt;26.75,BMILMS!$D$29*AM967^3+BMILMS!$E$29*AM967^2+BMILMS!$F$29*AM967+BMILMS!$G$29,IF(AM967&lt;90,BMILMS!$D$30*AM967^3+BMILMS!$E$30*AM967^2+BMILMS!$F$30*AM967+BMILMS!$G$30,IF(AM967&lt;150,BMILMS!$D$31*AM967^3+BMILMS!$E$31*AM967^2+BMILMS!$F$31*AM967+BMILMS!$G$31,BMILMS!$D$32*AM967^3+BMILMS!$E$32*AM967^2+BMILMS!$F$32*AM967+BMILMS!$G$32)))))))</f>
        <v>12.568967990000001</v>
      </c>
      <c r="AL967" s="4">
        <f>IF(D967="M",(IF(AM967&lt;90,BMILMS!$D$14*AM967^3+BMILMS!$E$14*AM967^2+BMILMS!$F$14*AM967+BMILMS!$G$14,BMILMS!$D$15*AM967^3+BMILMS!$E$15*AM967^2+BMILMS!$F$15*AM967+BMILMS!$G$15)),(IF(AM967&lt;90,BMILMS!$D$17*AM967^3+BMILMS!$E$17*AM967^2+BMILMS!$F$17*AM967+BMILMS!$G$17,BMILMS!$D$18*AM967^3+BMILMS!$E$18*AM967^2+BMILMS!$F$18*AM967+BMILMS!$G$18)))</f>
        <v>8.8969350000000003E-2</v>
      </c>
      <c r="AM967" s="4">
        <f t="shared" si="314"/>
        <v>0</v>
      </c>
      <c r="AO967" s="56">
        <f>IF(D967="M",WeightSDS!P$5*$AM967^7+WeightSDS!Q$5*$AM967^6+WeightSDS!R$5*$AM967^5+WeightSDS!S$5*$AM967^4+WeightSDS!T$5*$AM967^3+WeightSDS!U$5*$AM967^2+WeightSDS!V$5*$AM967+WeightSDS!W$5,IF($AM967&lt;186,WeightSDS!P$8*$AM967^7+WeightSDS!Q$8*$AM967^6+WeightSDS!R$8*$AM967^5+WeightSDS!S$8*$AM967^4+WeightSDS!T$8*$AM967^3+WeightSDS!U$8*$AM967^2+WeightSDS!V$8*$AM967+WeightSDS!W$8,WeightSDS!$U$9+WeightSDS!$V$9*($AM967-WeightSDS!$W$9)))</f>
        <v>0.75407122999999998</v>
      </c>
      <c r="AP967" s="4">
        <f>IF(D967="M",IF($AM967&lt;45,WeightSDS!M$23*$AM967^10+WeightSDS!N$23*$AM967^9+WeightSDS!O$23*$AM967^8+WeightSDS!P$23*$AM967^7+WeightSDS!Q$23*$AM967^6+WeightSDS!R$23*$AM967^5+WeightSDS!S$23*$AM967^4+WeightSDS!T$23*$AM967^3+WeightSDS!U$23*$AM967^2+WeightSDS!V$23*$AM967+WeightSDS!W$23,IF($AM967&lt;153,WeightSDS!M$25*$AM967^10+WeightSDS!N$25*$AM967^9+WeightSDS!O$25*$AM967^8+WeightSDS!P$25*$AM967^7+WeightSDS!Q$25*$AM967^6+WeightSDS!R$25*$AM967^5+WeightSDS!S$25*$AM967^4+WeightSDS!T$25*$AM967^3+WeightSDS!U$25*$AM967^2+WeightSDS!V$25*$AM967+WeightSDS!W$25,WeightSDS!M$27+WeightSDS!N$27/(1+EXP(WeightSDS!O$27+WeightSDS!P$27*$AM967)))),IF($AM967&lt;43.8,WeightSDS!M$29*$AM967^10+WeightSDS!N$29*$AM967^9+WeightSDS!O$29*$AM967^8+WeightSDS!P$29*$AM967^7+WeightSDS!Q$29*$AM967^6+WeightSDS!R$29*$AM967^5+WeightSDS!S$29*$AM967^4+WeightSDS!T$29*$AM967^3+WeightSDS!U$29*$AM967^2+WeightSDS!V$29*$AM967+WeightSDS!W$29-0.010431*(1-$AM967/210),IF($AM967&lt;123,WeightSDS!M$30*$AM967^10+WeightSDS!N$30*$AM967^9+WeightSDS!O$30*$AM967^8+WeightSDS!P$30*$AM967^7+WeightSDS!Q$30*$AM967^6+WeightSDS!R$30*$AM967^5+WeightSDS!S$30*$AM967^4+WeightSDS!T$30*$AM967^3+WeightSDS!U$30*$AM967^2+WeightSDS!V$30*$AM967+WeightSDS!W$30-0.010431*(1-1/$AM967),WeightSDS!M$32+WeightSDS!N$32/(1+EXP(WeightSDS!O$32+WeightSDS!P$32*$AM967))-0.010431*(1-$AM967/210))))</f>
        <v>2.9500001032655536</v>
      </c>
      <c r="AQ967" s="4">
        <f>IF(D967="M",IF($AM967&lt;162,WeightSDS!P$12*$AM967^7+WeightSDS!Q$12*$AM967^6+WeightSDS!R$12*$AM967^5+WeightSDS!S$12*$AM967^4+WeightSDS!T$12*$AM967^3+WeightSDS!U$12*$AM967^2+WeightSDS!V$12*$AM967+WeightSDS!W$12,WeightSDS!P$14*$AM967^7+WeightSDS!Q$14*$AM967^6+WeightSDS!R$14*$AM967^5+WeightSDS!S$14*$AM967^4+WeightSDS!T$14*$AM967^3+WeightSDS!U$14*$AM967^2+WeightSDS!V$14*$AM967+WeightSDS!W$14),IF($AM967&lt;156,WeightSDS!O$17*$AM967^8+WeightSDS!P$17*$AM967^7+WeightSDS!Q$17*$AM967^6+WeightSDS!R$17*$AM967^5+WeightSDS!S$17*$AM967^4+WeightSDS!T$17*$AM967^3+WeightSDS!U$17*$AM967^2+WeightSDS!V$17*$AM967+WeightSDS!W$17,IF($AM967&lt;186,WeightSDS!$U$18+(WeightSDS!$V$18-WeightSDS!$U$18)/24*($AM967-186)+WeightSDS!$W$18*(-$AM967+186)^2-0.005,WeightSDS!$U$18+(WeightSDS!$V$18-WeightSDS!$U$18)/24*($AM967-186)-0.005)))</f>
        <v>0.14604529399999999</v>
      </c>
      <c r="AT967" s="4">
        <f t="shared" si="320"/>
        <v>0.56299999999999994</v>
      </c>
      <c r="AU967" s="4">
        <f t="shared" si="321"/>
        <v>69</v>
      </c>
      <c r="AV967" s="4">
        <f t="shared" si="322"/>
        <v>0.51</v>
      </c>
    </row>
    <row r="968" spans="1:48" x14ac:dyDescent="0.15">
      <c r="A968" s="4"/>
      <c r="B968" s="21"/>
      <c r="C968" s="21"/>
      <c r="D968" s="21"/>
      <c r="E968" s="22"/>
      <c r="F968" s="22"/>
      <c r="G968" s="23"/>
      <c r="H968" s="23"/>
      <c r="I968" s="181"/>
      <c r="J968" s="8" t="str">
        <f t="shared" si="316"/>
        <v/>
      </c>
      <c r="K968" s="2" t="str">
        <f t="shared" si="323"/>
        <v/>
      </c>
      <c r="L968" s="2" t="str">
        <f t="shared" si="317"/>
        <v/>
      </c>
      <c r="M968" s="2" t="str">
        <f t="shared" si="324"/>
        <v/>
      </c>
      <c r="N968" s="2" t="str">
        <f t="shared" ref="N968:N1002" si="334">IF(COUNTA(D968,E968,F968,G968,H968)=5,H968/G968^2*10000,"")</f>
        <v/>
      </c>
      <c r="O968" s="2" t="str">
        <f t="shared" si="325"/>
        <v/>
      </c>
      <c r="P968" s="8" t="str">
        <f t="shared" si="326"/>
        <v/>
      </c>
      <c r="Q968" s="8" t="str">
        <f t="shared" si="327"/>
        <v/>
      </c>
      <c r="R968" s="111" t="str">
        <f t="shared" si="328"/>
        <v/>
      </c>
      <c r="S968" s="44" t="str">
        <f t="shared" si="329"/>
        <v/>
      </c>
      <c r="T968" s="37" t="str">
        <f t="shared" si="330"/>
        <v/>
      </c>
      <c r="U968" s="44" t="str">
        <f t="shared" si="331"/>
        <v/>
      </c>
      <c r="V968" s="26"/>
      <c r="W968" s="26"/>
      <c r="X968" s="26"/>
      <c r="Y968" s="26"/>
      <c r="Z968" s="24"/>
      <c r="AA968" s="169">
        <f t="shared" si="332"/>
        <v>0</v>
      </c>
      <c r="AB968" s="4">
        <f t="shared" si="333"/>
        <v>0</v>
      </c>
      <c r="AC968" s="170">
        <f t="shared" si="315"/>
        <v>0</v>
      </c>
      <c r="AD968" s="58"/>
      <c r="AE968" s="58"/>
      <c r="AF968" s="58"/>
      <c r="AG968" s="59">
        <f t="shared" si="318"/>
        <v>9.0359999999999996</v>
      </c>
      <c r="AH968" s="59">
        <f t="shared" si="319"/>
        <v>-184.49199999999999</v>
      </c>
      <c r="AJ968" s="4">
        <f>IF(D968="M",IF(AM968&lt;78,BMILMS!$D$5*AM968^3+BMILMS!$E$5*AM968^2+BMILMS!$F$5*AM968+BMILMS!$G$5,IF(AM968&lt;150,BMILMS!$D$6*AM968^3+BMILMS!$E$6*AM968^2+BMILMS!$F$6*AM968+BMILMS!$G$6,BMILMS!$D$7*AM968^3+BMILMS!$E$7*AM968^2+BMILMS!$F$7*AM968+BMILMS!$G$7)),IF(AM968&lt;69,BMILMS!$D$9*AM968^3+BMILMS!$E$9*AM968^2+BMILMS!$F$9*AM968+BMILMS!$G$9,IF(AM968&lt;150,BMILMS!$D$10*AM968^3+BMILMS!$E$10*AM968^2+BMILMS!$F$10*AM968+BMILMS!$G$10,BMILMS!$D$11*AM968^3+BMILMS!$E$11*AM968^2+BMILMS!$F$11*AM968+BMILMS!$G$11)))</f>
        <v>0.79584630099999998</v>
      </c>
      <c r="AK968" s="4">
        <f>IF(D968="M",(IF(AM968&lt;2.5,BMILMS!$D$21*AM968^3+BMILMS!$E$21*AM968^2+BMILMS!$F$21*AM968+BMILMS!$G$21,IF(AM968&lt;9.5,BMILMS!$D$22*AM968^3+BMILMS!$E$22*AM968^2+BMILMS!$F$22*AM968+BMILMS!$G$22,IF(AM968&lt;26.75,BMILMS!$D$23*AM968^3+BMILMS!$E$23*AM968^2+BMILMS!$F$23*AM968+BMILMS!$G$23,IF(AM968&lt;90,BMILMS!$D$24*AM968^3+BMILMS!$E$24*AM968^2+BMILMS!$F$24*AM968+BMILMS!$G$24,BMILMS!$D$25*AM968^3+BMILMS!$E$25*AM968^2+BMILMS!$F$25*AM968+BMILMS!$G$25))))),(IF(AM968&lt;2.5,BMILMS!$D$27*AM968^3+BMILMS!$E$27*AM968^2+BMILMS!$F$27*AM968+BMILMS!$G$27,IF(AM968&lt;9.5,BMILMS!$D$28*AM968^3+BMILMS!$E$28*AM968^2+BMILMS!$F$28*AM968+BMILMS!$G$28,IF(AM968&lt;26.75,BMILMS!$D$29*AM968^3+BMILMS!$E$29*AM968^2+BMILMS!$F$29*AM968+BMILMS!$G$29,IF(AM968&lt;90,BMILMS!$D$30*AM968^3+BMILMS!$E$30*AM968^2+BMILMS!$F$30*AM968+BMILMS!$G$30,IF(AM968&lt;150,BMILMS!$D$31*AM968^3+BMILMS!$E$31*AM968^2+BMILMS!$F$31*AM968+BMILMS!$G$31,BMILMS!$D$32*AM968^3+BMILMS!$E$32*AM968^2+BMILMS!$F$32*AM968+BMILMS!$G$32)))))))</f>
        <v>12.568967990000001</v>
      </c>
      <c r="AL968" s="4">
        <f>IF(D968="M",(IF(AM968&lt;90,BMILMS!$D$14*AM968^3+BMILMS!$E$14*AM968^2+BMILMS!$F$14*AM968+BMILMS!$G$14,BMILMS!$D$15*AM968^3+BMILMS!$E$15*AM968^2+BMILMS!$F$15*AM968+BMILMS!$G$15)),(IF(AM968&lt;90,BMILMS!$D$17*AM968^3+BMILMS!$E$17*AM968^2+BMILMS!$F$17*AM968+BMILMS!$G$17,BMILMS!$D$18*AM968^3+BMILMS!$E$18*AM968^2+BMILMS!$F$18*AM968+BMILMS!$G$18)))</f>
        <v>8.8969350000000003E-2</v>
      </c>
      <c r="AM968" s="4">
        <f t="shared" ref="AM968:AM1002" si="335">AA968*12+AB968</f>
        <v>0</v>
      </c>
      <c r="AO968" s="56">
        <f>IF(D968="M",WeightSDS!P$5*$AM968^7+WeightSDS!Q$5*$AM968^6+WeightSDS!R$5*$AM968^5+WeightSDS!S$5*$AM968^4+WeightSDS!T$5*$AM968^3+WeightSDS!U$5*$AM968^2+WeightSDS!V$5*$AM968+WeightSDS!W$5,IF($AM968&lt;186,WeightSDS!P$8*$AM968^7+WeightSDS!Q$8*$AM968^6+WeightSDS!R$8*$AM968^5+WeightSDS!S$8*$AM968^4+WeightSDS!T$8*$AM968^3+WeightSDS!U$8*$AM968^2+WeightSDS!V$8*$AM968+WeightSDS!W$8,WeightSDS!$U$9+WeightSDS!$V$9*($AM968-WeightSDS!$W$9)))</f>
        <v>0.75407122999999998</v>
      </c>
      <c r="AP968" s="4">
        <f>IF(D968="M",IF($AM968&lt;45,WeightSDS!M$23*$AM968^10+WeightSDS!N$23*$AM968^9+WeightSDS!O$23*$AM968^8+WeightSDS!P$23*$AM968^7+WeightSDS!Q$23*$AM968^6+WeightSDS!R$23*$AM968^5+WeightSDS!S$23*$AM968^4+WeightSDS!T$23*$AM968^3+WeightSDS!U$23*$AM968^2+WeightSDS!V$23*$AM968+WeightSDS!W$23,IF($AM968&lt;153,WeightSDS!M$25*$AM968^10+WeightSDS!N$25*$AM968^9+WeightSDS!O$25*$AM968^8+WeightSDS!P$25*$AM968^7+WeightSDS!Q$25*$AM968^6+WeightSDS!R$25*$AM968^5+WeightSDS!S$25*$AM968^4+WeightSDS!T$25*$AM968^3+WeightSDS!U$25*$AM968^2+WeightSDS!V$25*$AM968+WeightSDS!W$25,WeightSDS!M$27+WeightSDS!N$27/(1+EXP(WeightSDS!O$27+WeightSDS!P$27*$AM968)))),IF($AM968&lt;43.8,WeightSDS!M$29*$AM968^10+WeightSDS!N$29*$AM968^9+WeightSDS!O$29*$AM968^8+WeightSDS!P$29*$AM968^7+WeightSDS!Q$29*$AM968^6+WeightSDS!R$29*$AM968^5+WeightSDS!S$29*$AM968^4+WeightSDS!T$29*$AM968^3+WeightSDS!U$29*$AM968^2+WeightSDS!V$29*$AM968+WeightSDS!W$29-0.010431*(1-$AM968/210),IF($AM968&lt;123,WeightSDS!M$30*$AM968^10+WeightSDS!N$30*$AM968^9+WeightSDS!O$30*$AM968^8+WeightSDS!P$30*$AM968^7+WeightSDS!Q$30*$AM968^6+WeightSDS!R$30*$AM968^5+WeightSDS!S$30*$AM968^4+WeightSDS!T$30*$AM968^3+WeightSDS!U$30*$AM968^2+WeightSDS!V$30*$AM968+WeightSDS!W$30-0.010431*(1-1/$AM968),WeightSDS!M$32+WeightSDS!N$32/(1+EXP(WeightSDS!O$32+WeightSDS!P$32*$AM968))-0.010431*(1-$AM968/210))))</f>
        <v>2.9500001032655536</v>
      </c>
      <c r="AQ968" s="4">
        <f>IF(D968="M",IF($AM968&lt;162,WeightSDS!P$12*$AM968^7+WeightSDS!Q$12*$AM968^6+WeightSDS!R$12*$AM968^5+WeightSDS!S$12*$AM968^4+WeightSDS!T$12*$AM968^3+WeightSDS!U$12*$AM968^2+WeightSDS!V$12*$AM968+WeightSDS!W$12,WeightSDS!P$14*$AM968^7+WeightSDS!Q$14*$AM968^6+WeightSDS!R$14*$AM968^5+WeightSDS!S$14*$AM968^4+WeightSDS!T$14*$AM968^3+WeightSDS!U$14*$AM968^2+WeightSDS!V$14*$AM968+WeightSDS!W$14),IF($AM968&lt;156,WeightSDS!O$17*$AM968^8+WeightSDS!P$17*$AM968^7+WeightSDS!Q$17*$AM968^6+WeightSDS!R$17*$AM968^5+WeightSDS!S$17*$AM968^4+WeightSDS!T$17*$AM968^3+WeightSDS!U$17*$AM968^2+WeightSDS!V$17*$AM968+WeightSDS!W$17,IF($AM968&lt;186,WeightSDS!$U$18+(WeightSDS!$V$18-WeightSDS!$U$18)/24*($AM968-186)+WeightSDS!$W$18*(-$AM968+186)^2-0.005,WeightSDS!$U$18+(WeightSDS!$V$18-WeightSDS!$U$18)/24*($AM968-186)-0.005)))</f>
        <v>0.14604529399999999</v>
      </c>
      <c r="AT968" s="4">
        <f t="shared" si="320"/>
        <v>0.56299999999999994</v>
      </c>
      <c r="AU968" s="4">
        <f t="shared" si="321"/>
        <v>69</v>
      </c>
      <c r="AV968" s="4">
        <f t="shared" si="322"/>
        <v>0.51</v>
      </c>
    </row>
    <row r="969" spans="1:48" x14ac:dyDescent="0.15">
      <c r="A969" s="4"/>
      <c r="B969" s="21"/>
      <c r="C969" s="21"/>
      <c r="D969" s="21"/>
      <c r="E969" s="22"/>
      <c r="F969" s="22"/>
      <c r="G969" s="23"/>
      <c r="H969" s="23"/>
      <c r="I969" s="181"/>
      <c r="J969" s="8" t="str">
        <f t="shared" si="316"/>
        <v/>
      </c>
      <c r="K969" s="2" t="str">
        <f t="shared" si="323"/>
        <v/>
      </c>
      <c r="L969" s="2" t="str">
        <f t="shared" si="317"/>
        <v/>
      </c>
      <c r="M969" s="2" t="str">
        <f t="shared" si="324"/>
        <v/>
      </c>
      <c r="N969" s="2" t="str">
        <f t="shared" si="334"/>
        <v/>
      </c>
      <c r="O969" s="2" t="str">
        <f t="shared" si="325"/>
        <v/>
      </c>
      <c r="P969" s="8" t="str">
        <f t="shared" si="326"/>
        <v/>
      </c>
      <c r="Q969" s="8" t="str">
        <f t="shared" si="327"/>
        <v/>
      </c>
      <c r="R969" s="111" t="str">
        <f t="shared" si="328"/>
        <v/>
      </c>
      <c r="S969" s="44" t="str">
        <f t="shared" si="329"/>
        <v/>
      </c>
      <c r="T969" s="37" t="str">
        <f t="shared" si="330"/>
        <v/>
      </c>
      <c r="U969" s="44" t="str">
        <f t="shared" si="331"/>
        <v/>
      </c>
      <c r="V969" s="26"/>
      <c r="W969" s="26"/>
      <c r="X969" s="26"/>
      <c r="Y969" s="26"/>
      <c r="Z969" s="24"/>
      <c r="AA969" s="169">
        <f t="shared" si="332"/>
        <v>0</v>
      </c>
      <c r="AB969" s="4">
        <f t="shared" si="333"/>
        <v>0</v>
      </c>
      <c r="AC969" s="170">
        <f t="shared" si="315"/>
        <v>0</v>
      </c>
      <c r="AD969" s="58"/>
      <c r="AE969" s="58"/>
      <c r="AF969" s="58"/>
      <c r="AG969" s="59">
        <f t="shared" si="318"/>
        <v>9.0359999999999996</v>
      </c>
      <c r="AH969" s="59">
        <f t="shared" si="319"/>
        <v>-184.49199999999999</v>
      </c>
      <c r="AJ969" s="4">
        <f>IF(D969="M",IF(AM969&lt;78,BMILMS!$D$5*AM969^3+BMILMS!$E$5*AM969^2+BMILMS!$F$5*AM969+BMILMS!$G$5,IF(AM969&lt;150,BMILMS!$D$6*AM969^3+BMILMS!$E$6*AM969^2+BMILMS!$F$6*AM969+BMILMS!$G$6,BMILMS!$D$7*AM969^3+BMILMS!$E$7*AM969^2+BMILMS!$F$7*AM969+BMILMS!$G$7)),IF(AM969&lt;69,BMILMS!$D$9*AM969^3+BMILMS!$E$9*AM969^2+BMILMS!$F$9*AM969+BMILMS!$G$9,IF(AM969&lt;150,BMILMS!$D$10*AM969^3+BMILMS!$E$10*AM969^2+BMILMS!$F$10*AM969+BMILMS!$G$10,BMILMS!$D$11*AM969^3+BMILMS!$E$11*AM969^2+BMILMS!$F$11*AM969+BMILMS!$G$11)))</f>
        <v>0.79584630099999998</v>
      </c>
      <c r="AK969" s="4">
        <f>IF(D969="M",(IF(AM969&lt;2.5,BMILMS!$D$21*AM969^3+BMILMS!$E$21*AM969^2+BMILMS!$F$21*AM969+BMILMS!$G$21,IF(AM969&lt;9.5,BMILMS!$D$22*AM969^3+BMILMS!$E$22*AM969^2+BMILMS!$F$22*AM969+BMILMS!$G$22,IF(AM969&lt;26.75,BMILMS!$D$23*AM969^3+BMILMS!$E$23*AM969^2+BMILMS!$F$23*AM969+BMILMS!$G$23,IF(AM969&lt;90,BMILMS!$D$24*AM969^3+BMILMS!$E$24*AM969^2+BMILMS!$F$24*AM969+BMILMS!$G$24,BMILMS!$D$25*AM969^3+BMILMS!$E$25*AM969^2+BMILMS!$F$25*AM969+BMILMS!$G$25))))),(IF(AM969&lt;2.5,BMILMS!$D$27*AM969^3+BMILMS!$E$27*AM969^2+BMILMS!$F$27*AM969+BMILMS!$G$27,IF(AM969&lt;9.5,BMILMS!$D$28*AM969^3+BMILMS!$E$28*AM969^2+BMILMS!$F$28*AM969+BMILMS!$G$28,IF(AM969&lt;26.75,BMILMS!$D$29*AM969^3+BMILMS!$E$29*AM969^2+BMILMS!$F$29*AM969+BMILMS!$G$29,IF(AM969&lt;90,BMILMS!$D$30*AM969^3+BMILMS!$E$30*AM969^2+BMILMS!$F$30*AM969+BMILMS!$G$30,IF(AM969&lt;150,BMILMS!$D$31*AM969^3+BMILMS!$E$31*AM969^2+BMILMS!$F$31*AM969+BMILMS!$G$31,BMILMS!$D$32*AM969^3+BMILMS!$E$32*AM969^2+BMILMS!$F$32*AM969+BMILMS!$G$32)))))))</f>
        <v>12.568967990000001</v>
      </c>
      <c r="AL969" s="4">
        <f>IF(D969="M",(IF(AM969&lt;90,BMILMS!$D$14*AM969^3+BMILMS!$E$14*AM969^2+BMILMS!$F$14*AM969+BMILMS!$G$14,BMILMS!$D$15*AM969^3+BMILMS!$E$15*AM969^2+BMILMS!$F$15*AM969+BMILMS!$G$15)),(IF(AM969&lt;90,BMILMS!$D$17*AM969^3+BMILMS!$E$17*AM969^2+BMILMS!$F$17*AM969+BMILMS!$G$17,BMILMS!$D$18*AM969^3+BMILMS!$E$18*AM969^2+BMILMS!$F$18*AM969+BMILMS!$G$18)))</f>
        <v>8.8969350000000003E-2</v>
      </c>
      <c r="AM969" s="4">
        <f t="shared" si="335"/>
        <v>0</v>
      </c>
      <c r="AO969" s="56">
        <f>IF(D969="M",WeightSDS!P$5*$AM969^7+WeightSDS!Q$5*$AM969^6+WeightSDS!R$5*$AM969^5+WeightSDS!S$5*$AM969^4+WeightSDS!T$5*$AM969^3+WeightSDS!U$5*$AM969^2+WeightSDS!V$5*$AM969+WeightSDS!W$5,IF($AM969&lt;186,WeightSDS!P$8*$AM969^7+WeightSDS!Q$8*$AM969^6+WeightSDS!R$8*$AM969^5+WeightSDS!S$8*$AM969^4+WeightSDS!T$8*$AM969^3+WeightSDS!U$8*$AM969^2+WeightSDS!V$8*$AM969+WeightSDS!W$8,WeightSDS!$U$9+WeightSDS!$V$9*($AM969-WeightSDS!$W$9)))</f>
        <v>0.75407122999999998</v>
      </c>
      <c r="AP969" s="4">
        <f>IF(D969="M",IF($AM969&lt;45,WeightSDS!M$23*$AM969^10+WeightSDS!N$23*$AM969^9+WeightSDS!O$23*$AM969^8+WeightSDS!P$23*$AM969^7+WeightSDS!Q$23*$AM969^6+WeightSDS!R$23*$AM969^5+WeightSDS!S$23*$AM969^4+WeightSDS!T$23*$AM969^3+WeightSDS!U$23*$AM969^2+WeightSDS!V$23*$AM969+WeightSDS!W$23,IF($AM969&lt;153,WeightSDS!M$25*$AM969^10+WeightSDS!N$25*$AM969^9+WeightSDS!O$25*$AM969^8+WeightSDS!P$25*$AM969^7+WeightSDS!Q$25*$AM969^6+WeightSDS!R$25*$AM969^5+WeightSDS!S$25*$AM969^4+WeightSDS!T$25*$AM969^3+WeightSDS!U$25*$AM969^2+WeightSDS!V$25*$AM969+WeightSDS!W$25,WeightSDS!M$27+WeightSDS!N$27/(1+EXP(WeightSDS!O$27+WeightSDS!P$27*$AM969)))),IF($AM969&lt;43.8,WeightSDS!M$29*$AM969^10+WeightSDS!N$29*$AM969^9+WeightSDS!O$29*$AM969^8+WeightSDS!P$29*$AM969^7+WeightSDS!Q$29*$AM969^6+WeightSDS!R$29*$AM969^5+WeightSDS!S$29*$AM969^4+WeightSDS!T$29*$AM969^3+WeightSDS!U$29*$AM969^2+WeightSDS!V$29*$AM969+WeightSDS!W$29-0.010431*(1-$AM969/210),IF($AM969&lt;123,WeightSDS!M$30*$AM969^10+WeightSDS!N$30*$AM969^9+WeightSDS!O$30*$AM969^8+WeightSDS!P$30*$AM969^7+WeightSDS!Q$30*$AM969^6+WeightSDS!R$30*$AM969^5+WeightSDS!S$30*$AM969^4+WeightSDS!T$30*$AM969^3+WeightSDS!U$30*$AM969^2+WeightSDS!V$30*$AM969+WeightSDS!W$30-0.010431*(1-1/$AM969),WeightSDS!M$32+WeightSDS!N$32/(1+EXP(WeightSDS!O$32+WeightSDS!P$32*$AM969))-0.010431*(1-$AM969/210))))</f>
        <v>2.9500001032655536</v>
      </c>
      <c r="AQ969" s="4">
        <f>IF(D969="M",IF($AM969&lt;162,WeightSDS!P$12*$AM969^7+WeightSDS!Q$12*$AM969^6+WeightSDS!R$12*$AM969^5+WeightSDS!S$12*$AM969^4+WeightSDS!T$12*$AM969^3+WeightSDS!U$12*$AM969^2+WeightSDS!V$12*$AM969+WeightSDS!W$12,WeightSDS!P$14*$AM969^7+WeightSDS!Q$14*$AM969^6+WeightSDS!R$14*$AM969^5+WeightSDS!S$14*$AM969^4+WeightSDS!T$14*$AM969^3+WeightSDS!U$14*$AM969^2+WeightSDS!V$14*$AM969+WeightSDS!W$14),IF($AM969&lt;156,WeightSDS!O$17*$AM969^8+WeightSDS!P$17*$AM969^7+WeightSDS!Q$17*$AM969^6+WeightSDS!R$17*$AM969^5+WeightSDS!S$17*$AM969^4+WeightSDS!T$17*$AM969^3+WeightSDS!U$17*$AM969^2+WeightSDS!V$17*$AM969+WeightSDS!W$17,IF($AM969&lt;186,WeightSDS!$U$18+(WeightSDS!$V$18-WeightSDS!$U$18)/24*($AM969-186)+WeightSDS!$W$18*(-$AM969+186)^2-0.005,WeightSDS!$U$18+(WeightSDS!$V$18-WeightSDS!$U$18)/24*($AM969-186)-0.005)))</f>
        <v>0.14604529399999999</v>
      </c>
      <c r="AT969" s="4">
        <f t="shared" si="320"/>
        <v>0.56299999999999994</v>
      </c>
      <c r="AU969" s="4">
        <f t="shared" si="321"/>
        <v>69</v>
      </c>
      <c r="AV969" s="4">
        <f t="shared" si="322"/>
        <v>0.51</v>
      </c>
    </row>
    <row r="970" spans="1:48" x14ac:dyDescent="0.15">
      <c r="A970" s="4"/>
      <c r="B970" s="21"/>
      <c r="C970" s="21"/>
      <c r="D970" s="21"/>
      <c r="E970" s="22"/>
      <c r="F970" s="22"/>
      <c r="G970" s="23"/>
      <c r="H970" s="23"/>
      <c r="I970" s="181"/>
      <c r="J970" s="8" t="str">
        <f t="shared" si="316"/>
        <v/>
      </c>
      <c r="K970" s="2" t="str">
        <f t="shared" si="323"/>
        <v/>
      </c>
      <c r="L970" s="2" t="str">
        <f t="shared" si="317"/>
        <v/>
      </c>
      <c r="M970" s="2" t="str">
        <f t="shared" si="324"/>
        <v/>
      </c>
      <c r="N970" s="2" t="str">
        <f t="shared" si="334"/>
        <v/>
      </c>
      <c r="O970" s="2" t="str">
        <f t="shared" si="325"/>
        <v/>
      </c>
      <c r="P970" s="8" t="str">
        <f t="shared" si="326"/>
        <v/>
      </c>
      <c r="Q970" s="8" t="str">
        <f t="shared" si="327"/>
        <v/>
      </c>
      <c r="R970" s="111" t="str">
        <f t="shared" si="328"/>
        <v/>
      </c>
      <c r="S970" s="44" t="str">
        <f t="shared" si="329"/>
        <v/>
      </c>
      <c r="T970" s="37" t="str">
        <f t="shared" si="330"/>
        <v/>
      </c>
      <c r="U970" s="44" t="str">
        <f t="shared" si="331"/>
        <v/>
      </c>
      <c r="V970" s="26"/>
      <c r="W970" s="26"/>
      <c r="X970" s="26"/>
      <c r="Y970" s="26"/>
      <c r="Z970" s="24"/>
      <c r="AA970" s="169">
        <f t="shared" si="332"/>
        <v>0</v>
      </c>
      <c r="AB970" s="4">
        <f t="shared" si="333"/>
        <v>0</v>
      </c>
      <c r="AC970" s="170">
        <f t="shared" si="315"/>
        <v>0</v>
      </c>
      <c r="AD970" s="58"/>
      <c r="AE970" s="58"/>
      <c r="AF970" s="58"/>
      <c r="AG970" s="59">
        <f t="shared" si="318"/>
        <v>9.0359999999999996</v>
      </c>
      <c r="AH970" s="59">
        <f t="shared" si="319"/>
        <v>-184.49199999999999</v>
      </c>
      <c r="AJ970" s="4">
        <f>IF(D970="M",IF(AM970&lt;78,BMILMS!$D$5*AM970^3+BMILMS!$E$5*AM970^2+BMILMS!$F$5*AM970+BMILMS!$G$5,IF(AM970&lt;150,BMILMS!$D$6*AM970^3+BMILMS!$E$6*AM970^2+BMILMS!$F$6*AM970+BMILMS!$G$6,BMILMS!$D$7*AM970^3+BMILMS!$E$7*AM970^2+BMILMS!$F$7*AM970+BMILMS!$G$7)),IF(AM970&lt;69,BMILMS!$D$9*AM970^3+BMILMS!$E$9*AM970^2+BMILMS!$F$9*AM970+BMILMS!$G$9,IF(AM970&lt;150,BMILMS!$D$10*AM970^3+BMILMS!$E$10*AM970^2+BMILMS!$F$10*AM970+BMILMS!$G$10,BMILMS!$D$11*AM970^3+BMILMS!$E$11*AM970^2+BMILMS!$F$11*AM970+BMILMS!$G$11)))</f>
        <v>0.79584630099999998</v>
      </c>
      <c r="AK970" s="4">
        <f>IF(D970="M",(IF(AM970&lt;2.5,BMILMS!$D$21*AM970^3+BMILMS!$E$21*AM970^2+BMILMS!$F$21*AM970+BMILMS!$G$21,IF(AM970&lt;9.5,BMILMS!$D$22*AM970^3+BMILMS!$E$22*AM970^2+BMILMS!$F$22*AM970+BMILMS!$G$22,IF(AM970&lt;26.75,BMILMS!$D$23*AM970^3+BMILMS!$E$23*AM970^2+BMILMS!$F$23*AM970+BMILMS!$G$23,IF(AM970&lt;90,BMILMS!$D$24*AM970^3+BMILMS!$E$24*AM970^2+BMILMS!$F$24*AM970+BMILMS!$G$24,BMILMS!$D$25*AM970^3+BMILMS!$E$25*AM970^2+BMILMS!$F$25*AM970+BMILMS!$G$25))))),(IF(AM970&lt;2.5,BMILMS!$D$27*AM970^3+BMILMS!$E$27*AM970^2+BMILMS!$F$27*AM970+BMILMS!$G$27,IF(AM970&lt;9.5,BMILMS!$D$28*AM970^3+BMILMS!$E$28*AM970^2+BMILMS!$F$28*AM970+BMILMS!$G$28,IF(AM970&lt;26.75,BMILMS!$D$29*AM970^3+BMILMS!$E$29*AM970^2+BMILMS!$F$29*AM970+BMILMS!$G$29,IF(AM970&lt;90,BMILMS!$D$30*AM970^3+BMILMS!$E$30*AM970^2+BMILMS!$F$30*AM970+BMILMS!$G$30,IF(AM970&lt;150,BMILMS!$D$31*AM970^3+BMILMS!$E$31*AM970^2+BMILMS!$F$31*AM970+BMILMS!$G$31,BMILMS!$D$32*AM970^3+BMILMS!$E$32*AM970^2+BMILMS!$F$32*AM970+BMILMS!$G$32)))))))</f>
        <v>12.568967990000001</v>
      </c>
      <c r="AL970" s="4">
        <f>IF(D970="M",(IF(AM970&lt;90,BMILMS!$D$14*AM970^3+BMILMS!$E$14*AM970^2+BMILMS!$F$14*AM970+BMILMS!$G$14,BMILMS!$D$15*AM970^3+BMILMS!$E$15*AM970^2+BMILMS!$F$15*AM970+BMILMS!$G$15)),(IF(AM970&lt;90,BMILMS!$D$17*AM970^3+BMILMS!$E$17*AM970^2+BMILMS!$F$17*AM970+BMILMS!$G$17,BMILMS!$D$18*AM970^3+BMILMS!$E$18*AM970^2+BMILMS!$F$18*AM970+BMILMS!$G$18)))</f>
        <v>8.8969350000000003E-2</v>
      </c>
      <c r="AM970" s="4">
        <f t="shared" si="335"/>
        <v>0</v>
      </c>
      <c r="AO970" s="56">
        <f>IF(D970="M",WeightSDS!P$5*$AM970^7+WeightSDS!Q$5*$AM970^6+WeightSDS!R$5*$AM970^5+WeightSDS!S$5*$AM970^4+WeightSDS!T$5*$AM970^3+WeightSDS!U$5*$AM970^2+WeightSDS!V$5*$AM970+WeightSDS!W$5,IF($AM970&lt;186,WeightSDS!P$8*$AM970^7+WeightSDS!Q$8*$AM970^6+WeightSDS!R$8*$AM970^5+WeightSDS!S$8*$AM970^4+WeightSDS!T$8*$AM970^3+WeightSDS!U$8*$AM970^2+WeightSDS!V$8*$AM970+WeightSDS!W$8,WeightSDS!$U$9+WeightSDS!$V$9*($AM970-WeightSDS!$W$9)))</f>
        <v>0.75407122999999998</v>
      </c>
      <c r="AP970" s="4">
        <f>IF(D970="M",IF($AM970&lt;45,WeightSDS!M$23*$AM970^10+WeightSDS!N$23*$AM970^9+WeightSDS!O$23*$AM970^8+WeightSDS!P$23*$AM970^7+WeightSDS!Q$23*$AM970^6+WeightSDS!R$23*$AM970^5+WeightSDS!S$23*$AM970^4+WeightSDS!T$23*$AM970^3+WeightSDS!U$23*$AM970^2+WeightSDS!V$23*$AM970+WeightSDS!W$23,IF($AM970&lt;153,WeightSDS!M$25*$AM970^10+WeightSDS!N$25*$AM970^9+WeightSDS!O$25*$AM970^8+WeightSDS!P$25*$AM970^7+WeightSDS!Q$25*$AM970^6+WeightSDS!R$25*$AM970^5+WeightSDS!S$25*$AM970^4+WeightSDS!T$25*$AM970^3+WeightSDS!U$25*$AM970^2+WeightSDS!V$25*$AM970+WeightSDS!W$25,WeightSDS!M$27+WeightSDS!N$27/(1+EXP(WeightSDS!O$27+WeightSDS!P$27*$AM970)))),IF($AM970&lt;43.8,WeightSDS!M$29*$AM970^10+WeightSDS!N$29*$AM970^9+WeightSDS!O$29*$AM970^8+WeightSDS!P$29*$AM970^7+WeightSDS!Q$29*$AM970^6+WeightSDS!R$29*$AM970^5+WeightSDS!S$29*$AM970^4+WeightSDS!T$29*$AM970^3+WeightSDS!U$29*$AM970^2+WeightSDS!V$29*$AM970+WeightSDS!W$29-0.010431*(1-$AM970/210),IF($AM970&lt;123,WeightSDS!M$30*$AM970^10+WeightSDS!N$30*$AM970^9+WeightSDS!O$30*$AM970^8+WeightSDS!P$30*$AM970^7+WeightSDS!Q$30*$AM970^6+WeightSDS!R$30*$AM970^5+WeightSDS!S$30*$AM970^4+WeightSDS!T$30*$AM970^3+WeightSDS!U$30*$AM970^2+WeightSDS!V$30*$AM970+WeightSDS!W$30-0.010431*(1-1/$AM970),WeightSDS!M$32+WeightSDS!N$32/(1+EXP(WeightSDS!O$32+WeightSDS!P$32*$AM970))-0.010431*(1-$AM970/210))))</f>
        <v>2.9500001032655536</v>
      </c>
      <c r="AQ970" s="4">
        <f>IF(D970="M",IF($AM970&lt;162,WeightSDS!P$12*$AM970^7+WeightSDS!Q$12*$AM970^6+WeightSDS!R$12*$AM970^5+WeightSDS!S$12*$AM970^4+WeightSDS!T$12*$AM970^3+WeightSDS!U$12*$AM970^2+WeightSDS!V$12*$AM970+WeightSDS!W$12,WeightSDS!P$14*$AM970^7+WeightSDS!Q$14*$AM970^6+WeightSDS!R$14*$AM970^5+WeightSDS!S$14*$AM970^4+WeightSDS!T$14*$AM970^3+WeightSDS!U$14*$AM970^2+WeightSDS!V$14*$AM970+WeightSDS!W$14),IF($AM970&lt;156,WeightSDS!O$17*$AM970^8+WeightSDS!P$17*$AM970^7+WeightSDS!Q$17*$AM970^6+WeightSDS!R$17*$AM970^5+WeightSDS!S$17*$AM970^4+WeightSDS!T$17*$AM970^3+WeightSDS!U$17*$AM970^2+WeightSDS!V$17*$AM970+WeightSDS!W$17,IF($AM970&lt;186,WeightSDS!$U$18+(WeightSDS!$V$18-WeightSDS!$U$18)/24*($AM970-186)+WeightSDS!$W$18*(-$AM970+186)^2-0.005,WeightSDS!$U$18+(WeightSDS!$V$18-WeightSDS!$U$18)/24*($AM970-186)-0.005)))</f>
        <v>0.14604529399999999</v>
      </c>
      <c r="AT970" s="4">
        <f t="shared" si="320"/>
        <v>0.56299999999999994</v>
      </c>
      <c r="AU970" s="4">
        <f t="shared" si="321"/>
        <v>69</v>
      </c>
      <c r="AV970" s="4">
        <f t="shared" si="322"/>
        <v>0.51</v>
      </c>
    </row>
    <row r="971" spans="1:48" x14ac:dyDescent="0.15">
      <c r="A971" s="4"/>
      <c r="B971" s="21"/>
      <c r="C971" s="21"/>
      <c r="D971" s="21"/>
      <c r="E971" s="22"/>
      <c r="F971" s="22"/>
      <c r="G971" s="23"/>
      <c r="H971" s="23"/>
      <c r="I971" s="181"/>
      <c r="J971" s="8" t="str">
        <f t="shared" si="316"/>
        <v/>
      </c>
      <c r="K971" s="2" t="str">
        <f t="shared" si="323"/>
        <v/>
      </c>
      <c r="L971" s="2" t="str">
        <f t="shared" si="317"/>
        <v/>
      </c>
      <c r="M971" s="2" t="str">
        <f t="shared" si="324"/>
        <v/>
      </c>
      <c r="N971" s="2" t="str">
        <f t="shared" si="334"/>
        <v/>
      </c>
      <c r="O971" s="2" t="str">
        <f t="shared" si="325"/>
        <v/>
      </c>
      <c r="P971" s="8" t="str">
        <f t="shared" si="326"/>
        <v/>
      </c>
      <c r="Q971" s="8" t="str">
        <f t="shared" si="327"/>
        <v/>
      </c>
      <c r="R971" s="111" t="str">
        <f t="shared" si="328"/>
        <v/>
      </c>
      <c r="S971" s="44" t="str">
        <f t="shared" si="329"/>
        <v/>
      </c>
      <c r="T971" s="37" t="str">
        <f t="shared" si="330"/>
        <v/>
      </c>
      <c r="U971" s="44" t="str">
        <f t="shared" si="331"/>
        <v/>
      </c>
      <c r="V971" s="26"/>
      <c r="W971" s="26"/>
      <c r="X971" s="26"/>
      <c r="Y971" s="26"/>
      <c r="Z971" s="24"/>
      <c r="AA971" s="169">
        <f t="shared" si="332"/>
        <v>0</v>
      </c>
      <c r="AB971" s="4">
        <f t="shared" si="333"/>
        <v>0</v>
      </c>
      <c r="AC971" s="170">
        <f t="shared" si="315"/>
        <v>0</v>
      </c>
      <c r="AD971" s="58"/>
      <c r="AE971" s="58"/>
      <c r="AF971" s="58"/>
      <c r="AG971" s="59">
        <f t="shared" si="318"/>
        <v>9.0359999999999996</v>
      </c>
      <c r="AH971" s="59">
        <f t="shared" si="319"/>
        <v>-184.49199999999999</v>
      </c>
      <c r="AJ971" s="4">
        <f>IF(D971="M",IF(AM971&lt;78,BMILMS!$D$5*AM971^3+BMILMS!$E$5*AM971^2+BMILMS!$F$5*AM971+BMILMS!$G$5,IF(AM971&lt;150,BMILMS!$D$6*AM971^3+BMILMS!$E$6*AM971^2+BMILMS!$F$6*AM971+BMILMS!$G$6,BMILMS!$D$7*AM971^3+BMILMS!$E$7*AM971^2+BMILMS!$F$7*AM971+BMILMS!$G$7)),IF(AM971&lt;69,BMILMS!$D$9*AM971^3+BMILMS!$E$9*AM971^2+BMILMS!$F$9*AM971+BMILMS!$G$9,IF(AM971&lt;150,BMILMS!$D$10*AM971^3+BMILMS!$E$10*AM971^2+BMILMS!$F$10*AM971+BMILMS!$G$10,BMILMS!$D$11*AM971^3+BMILMS!$E$11*AM971^2+BMILMS!$F$11*AM971+BMILMS!$G$11)))</f>
        <v>0.79584630099999998</v>
      </c>
      <c r="AK971" s="4">
        <f>IF(D971="M",(IF(AM971&lt;2.5,BMILMS!$D$21*AM971^3+BMILMS!$E$21*AM971^2+BMILMS!$F$21*AM971+BMILMS!$G$21,IF(AM971&lt;9.5,BMILMS!$D$22*AM971^3+BMILMS!$E$22*AM971^2+BMILMS!$F$22*AM971+BMILMS!$G$22,IF(AM971&lt;26.75,BMILMS!$D$23*AM971^3+BMILMS!$E$23*AM971^2+BMILMS!$F$23*AM971+BMILMS!$G$23,IF(AM971&lt;90,BMILMS!$D$24*AM971^3+BMILMS!$E$24*AM971^2+BMILMS!$F$24*AM971+BMILMS!$G$24,BMILMS!$D$25*AM971^3+BMILMS!$E$25*AM971^2+BMILMS!$F$25*AM971+BMILMS!$G$25))))),(IF(AM971&lt;2.5,BMILMS!$D$27*AM971^3+BMILMS!$E$27*AM971^2+BMILMS!$F$27*AM971+BMILMS!$G$27,IF(AM971&lt;9.5,BMILMS!$D$28*AM971^3+BMILMS!$E$28*AM971^2+BMILMS!$F$28*AM971+BMILMS!$G$28,IF(AM971&lt;26.75,BMILMS!$D$29*AM971^3+BMILMS!$E$29*AM971^2+BMILMS!$F$29*AM971+BMILMS!$G$29,IF(AM971&lt;90,BMILMS!$D$30*AM971^3+BMILMS!$E$30*AM971^2+BMILMS!$F$30*AM971+BMILMS!$G$30,IF(AM971&lt;150,BMILMS!$D$31*AM971^3+BMILMS!$E$31*AM971^2+BMILMS!$F$31*AM971+BMILMS!$G$31,BMILMS!$D$32*AM971^3+BMILMS!$E$32*AM971^2+BMILMS!$F$32*AM971+BMILMS!$G$32)))))))</f>
        <v>12.568967990000001</v>
      </c>
      <c r="AL971" s="4">
        <f>IF(D971="M",(IF(AM971&lt;90,BMILMS!$D$14*AM971^3+BMILMS!$E$14*AM971^2+BMILMS!$F$14*AM971+BMILMS!$G$14,BMILMS!$D$15*AM971^3+BMILMS!$E$15*AM971^2+BMILMS!$F$15*AM971+BMILMS!$G$15)),(IF(AM971&lt;90,BMILMS!$D$17*AM971^3+BMILMS!$E$17*AM971^2+BMILMS!$F$17*AM971+BMILMS!$G$17,BMILMS!$D$18*AM971^3+BMILMS!$E$18*AM971^2+BMILMS!$F$18*AM971+BMILMS!$G$18)))</f>
        <v>8.8969350000000003E-2</v>
      </c>
      <c r="AM971" s="4">
        <f t="shared" si="335"/>
        <v>0</v>
      </c>
      <c r="AO971" s="56">
        <f>IF(D971="M",WeightSDS!P$5*$AM971^7+WeightSDS!Q$5*$AM971^6+WeightSDS!R$5*$AM971^5+WeightSDS!S$5*$AM971^4+WeightSDS!T$5*$AM971^3+WeightSDS!U$5*$AM971^2+WeightSDS!V$5*$AM971+WeightSDS!W$5,IF($AM971&lt;186,WeightSDS!P$8*$AM971^7+WeightSDS!Q$8*$AM971^6+WeightSDS!R$8*$AM971^5+WeightSDS!S$8*$AM971^4+WeightSDS!T$8*$AM971^3+WeightSDS!U$8*$AM971^2+WeightSDS!V$8*$AM971+WeightSDS!W$8,WeightSDS!$U$9+WeightSDS!$V$9*($AM971-WeightSDS!$W$9)))</f>
        <v>0.75407122999999998</v>
      </c>
      <c r="AP971" s="4">
        <f>IF(D971="M",IF($AM971&lt;45,WeightSDS!M$23*$AM971^10+WeightSDS!N$23*$AM971^9+WeightSDS!O$23*$AM971^8+WeightSDS!P$23*$AM971^7+WeightSDS!Q$23*$AM971^6+WeightSDS!R$23*$AM971^5+WeightSDS!S$23*$AM971^4+WeightSDS!T$23*$AM971^3+WeightSDS!U$23*$AM971^2+WeightSDS!V$23*$AM971+WeightSDS!W$23,IF($AM971&lt;153,WeightSDS!M$25*$AM971^10+WeightSDS!N$25*$AM971^9+WeightSDS!O$25*$AM971^8+WeightSDS!P$25*$AM971^7+WeightSDS!Q$25*$AM971^6+WeightSDS!R$25*$AM971^5+WeightSDS!S$25*$AM971^4+WeightSDS!T$25*$AM971^3+WeightSDS!U$25*$AM971^2+WeightSDS!V$25*$AM971+WeightSDS!W$25,WeightSDS!M$27+WeightSDS!N$27/(1+EXP(WeightSDS!O$27+WeightSDS!P$27*$AM971)))),IF($AM971&lt;43.8,WeightSDS!M$29*$AM971^10+WeightSDS!N$29*$AM971^9+WeightSDS!O$29*$AM971^8+WeightSDS!P$29*$AM971^7+WeightSDS!Q$29*$AM971^6+WeightSDS!R$29*$AM971^5+WeightSDS!S$29*$AM971^4+WeightSDS!T$29*$AM971^3+WeightSDS!U$29*$AM971^2+WeightSDS!V$29*$AM971+WeightSDS!W$29-0.010431*(1-$AM971/210),IF($AM971&lt;123,WeightSDS!M$30*$AM971^10+WeightSDS!N$30*$AM971^9+WeightSDS!O$30*$AM971^8+WeightSDS!P$30*$AM971^7+WeightSDS!Q$30*$AM971^6+WeightSDS!R$30*$AM971^5+WeightSDS!S$30*$AM971^4+WeightSDS!T$30*$AM971^3+WeightSDS!U$30*$AM971^2+WeightSDS!V$30*$AM971+WeightSDS!W$30-0.010431*(1-1/$AM971),WeightSDS!M$32+WeightSDS!N$32/(1+EXP(WeightSDS!O$32+WeightSDS!P$32*$AM971))-0.010431*(1-$AM971/210))))</f>
        <v>2.9500001032655536</v>
      </c>
      <c r="AQ971" s="4">
        <f>IF(D971="M",IF($AM971&lt;162,WeightSDS!P$12*$AM971^7+WeightSDS!Q$12*$AM971^6+WeightSDS!R$12*$AM971^5+WeightSDS!S$12*$AM971^4+WeightSDS!T$12*$AM971^3+WeightSDS!U$12*$AM971^2+WeightSDS!V$12*$AM971+WeightSDS!W$12,WeightSDS!P$14*$AM971^7+WeightSDS!Q$14*$AM971^6+WeightSDS!R$14*$AM971^5+WeightSDS!S$14*$AM971^4+WeightSDS!T$14*$AM971^3+WeightSDS!U$14*$AM971^2+WeightSDS!V$14*$AM971+WeightSDS!W$14),IF($AM971&lt;156,WeightSDS!O$17*$AM971^8+WeightSDS!P$17*$AM971^7+WeightSDS!Q$17*$AM971^6+WeightSDS!R$17*$AM971^5+WeightSDS!S$17*$AM971^4+WeightSDS!T$17*$AM971^3+WeightSDS!U$17*$AM971^2+WeightSDS!V$17*$AM971+WeightSDS!W$17,IF($AM971&lt;186,WeightSDS!$U$18+(WeightSDS!$V$18-WeightSDS!$U$18)/24*($AM971-186)+WeightSDS!$W$18*(-$AM971+186)^2-0.005,WeightSDS!$U$18+(WeightSDS!$V$18-WeightSDS!$U$18)/24*($AM971-186)-0.005)))</f>
        <v>0.14604529399999999</v>
      </c>
      <c r="AT971" s="4">
        <f t="shared" si="320"/>
        <v>0.56299999999999994</v>
      </c>
      <c r="AU971" s="4">
        <f t="shared" si="321"/>
        <v>69</v>
      </c>
      <c r="AV971" s="4">
        <f t="shared" si="322"/>
        <v>0.51</v>
      </c>
    </row>
    <row r="972" spans="1:48" x14ac:dyDescent="0.15">
      <c r="A972" s="4"/>
      <c r="B972" s="21"/>
      <c r="C972" s="21"/>
      <c r="D972" s="21"/>
      <c r="E972" s="22"/>
      <c r="F972" s="22"/>
      <c r="G972" s="23"/>
      <c r="H972" s="23"/>
      <c r="I972" s="181"/>
      <c r="J972" s="8" t="str">
        <f t="shared" si="316"/>
        <v/>
      </c>
      <c r="K972" s="2" t="str">
        <f t="shared" si="323"/>
        <v/>
      </c>
      <c r="L972" s="2" t="str">
        <f t="shared" si="317"/>
        <v/>
      </c>
      <c r="M972" s="2" t="str">
        <f t="shared" si="324"/>
        <v/>
      </c>
      <c r="N972" s="2" t="str">
        <f t="shared" si="334"/>
        <v/>
      </c>
      <c r="O972" s="2" t="str">
        <f t="shared" si="325"/>
        <v/>
      </c>
      <c r="P972" s="8" t="str">
        <f t="shared" si="326"/>
        <v/>
      </c>
      <c r="Q972" s="8" t="str">
        <f t="shared" si="327"/>
        <v/>
      </c>
      <c r="R972" s="111" t="str">
        <f t="shared" si="328"/>
        <v/>
      </c>
      <c r="S972" s="44" t="str">
        <f t="shared" si="329"/>
        <v/>
      </c>
      <c r="T972" s="37" t="str">
        <f t="shared" si="330"/>
        <v/>
      </c>
      <c r="U972" s="44" t="str">
        <f t="shared" si="331"/>
        <v/>
      </c>
      <c r="V972" s="26"/>
      <c r="W972" s="26"/>
      <c r="X972" s="26"/>
      <c r="Y972" s="26"/>
      <c r="Z972" s="24"/>
      <c r="AA972" s="169">
        <f t="shared" si="332"/>
        <v>0</v>
      </c>
      <c r="AB972" s="4">
        <f t="shared" si="333"/>
        <v>0</v>
      </c>
      <c r="AC972" s="170">
        <f t="shared" si="315"/>
        <v>0</v>
      </c>
      <c r="AD972" s="58"/>
      <c r="AE972" s="58"/>
      <c r="AF972" s="58"/>
      <c r="AG972" s="59">
        <f t="shared" si="318"/>
        <v>9.0359999999999996</v>
      </c>
      <c r="AH972" s="59">
        <f t="shared" si="319"/>
        <v>-184.49199999999999</v>
      </c>
      <c r="AJ972" s="4">
        <f>IF(D972="M",IF(AM972&lt;78,BMILMS!$D$5*AM972^3+BMILMS!$E$5*AM972^2+BMILMS!$F$5*AM972+BMILMS!$G$5,IF(AM972&lt;150,BMILMS!$D$6*AM972^3+BMILMS!$E$6*AM972^2+BMILMS!$F$6*AM972+BMILMS!$G$6,BMILMS!$D$7*AM972^3+BMILMS!$E$7*AM972^2+BMILMS!$F$7*AM972+BMILMS!$G$7)),IF(AM972&lt;69,BMILMS!$D$9*AM972^3+BMILMS!$E$9*AM972^2+BMILMS!$F$9*AM972+BMILMS!$G$9,IF(AM972&lt;150,BMILMS!$D$10*AM972^3+BMILMS!$E$10*AM972^2+BMILMS!$F$10*AM972+BMILMS!$G$10,BMILMS!$D$11*AM972^3+BMILMS!$E$11*AM972^2+BMILMS!$F$11*AM972+BMILMS!$G$11)))</f>
        <v>0.79584630099999998</v>
      </c>
      <c r="AK972" s="4">
        <f>IF(D972="M",(IF(AM972&lt;2.5,BMILMS!$D$21*AM972^3+BMILMS!$E$21*AM972^2+BMILMS!$F$21*AM972+BMILMS!$G$21,IF(AM972&lt;9.5,BMILMS!$D$22*AM972^3+BMILMS!$E$22*AM972^2+BMILMS!$F$22*AM972+BMILMS!$G$22,IF(AM972&lt;26.75,BMILMS!$D$23*AM972^3+BMILMS!$E$23*AM972^2+BMILMS!$F$23*AM972+BMILMS!$G$23,IF(AM972&lt;90,BMILMS!$D$24*AM972^3+BMILMS!$E$24*AM972^2+BMILMS!$F$24*AM972+BMILMS!$G$24,BMILMS!$D$25*AM972^3+BMILMS!$E$25*AM972^2+BMILMS!$F$25*AM972+BMILMS!$G$25))))),(IF(AM972&lt;2.5,BMILMS!$D$27*AM972^3+BMILMS!$E$27*AM972^2+BMILMS!$F$27*AM972+BMILMS!$G$27,IF(AM972&lt;9.5,BMILMS!$D$28*AM972^3+BMILMS!$E$28*AM972^2+BMILMS!$F$28*AM972+BMILMS!$G$28,IF(AM972&lt;26.75,BMILMS!$D$29*AM972^3+BMILMS!$E$29*AM972^2+BMILMS!$F$29*AM972+BMILMS!$G$29,IF(AM972&lt;90,BMILMS!$D$30*AM972^3+BMILMS!$E$30*AM972^2+BMILMS!$F$30*AM972+BMILMS!$G$30,IF(AM972&lt;150,BMILMS!$D$31*AM972^3+BMILMS!$E$31*AM972^2+BMILMS!$F$31*AM972+BMILMS!$G$31,BMILMS!$D$32*AM972^3+BMILMS!$E$32*AM972^2+BMILMS!$F$32*AM972+BMILMS!$G$32)))))))</f>
        <v>12.568967990000001</v>
      </c>
      <c r="AL972" s="4">
        <f>IF(D972="M",(IF(AM972&lt;90,BMILMS!$D$14*AM972^3+BMILMS!$E$14*AM972^2+BMILMS!$F$14*AM972+BMILMS!$G$14,BMILMS!$D$15*AM972^3+BMILMS!$E$15*AM972^2+BMILMS!$F$15*AM972+BMILMS!$G$15)),(IF(AM972&lt;90,BMILMS!$D$17*AM972^3+BMILMS!$E$17*AM972^2+BMILMS!$F$17*AM972+BMILMS!$G$17,BMILMS!$D$18*AM972^3+BMILMS!$E$18*AM972^2+BMILMS!$F$18*AM972+BMILMS!$G$18)))</f>
        <v>8.8969350000000003E-2</v>
      </c>
      <c r="AM972" s="4">
        <f t="shared" si="335"/>
        <v>0</v>
      </c>
      <c r="AO972" s="56">
        <f>IF(D972="M",WeightSDS!P$5*$AM972^7+WeightSDS!Q$5*$AM972^6+WeightSDS!R$5*$AM972^5+WeightSDS!S$5*$AM972^4+WeightSDS!T$5*$AM972^3+WeightSDS!U$5*$AM972^2+WeightSDS!V$5*$AM972+WeightSDS!W$5,IF($AM972&lt;186,WeightSDS!P$8*$AM972^7+WeightSDS!Q$8*$AM972^6+WeightSDS!R$8*$AM972^5+WeightSDS!S$8*$AM972^4+WeightSDS!T$8*$AM972^3+WeightSDS!U$8*$AM972^2+WeightSDS!V$8*$AM972+WeightSDS!W$8,WeightSDS!$U$9+WeightSDS!$V$9*($AM972-WeightSDS!$W$9)))</f>
        <v>0.75407122999999998</v>
      </c>
      <c r="AP972" s="4">
        <f>IF(D972="M",IF($AM972&lt;45,WeightSDS!M$23*$AM972^10+WeightSDS!N$23*$AM972^9+WeightSDS!O$23*$AM972^8+WeightSDS!P$23*$AM972^7+WeightSDS!Q$23*$AM972^6+WeightSDS!R$23*$AM972^5+WeightSDS!S$23*$AM972^4+WeightSDS!T$23*$AM972^3+WeightSDS!U$23*$AM972^2+WeightSDS!V$23*$AM972+WeightSDS!W$23,IF($AM972&lt;153,WeightSDS!M$25*$AM972^10+WeightSDS!N$25*$AM972^9+WeightSDS!O$25*$AM972^8+WeightSDS!P$25*$AM972^7+WeightSDS!Q$25*$AM972^6+WeightSDS!R$25*$AM972^5+WeightSDS!S$25*$AM972^4+WeightSDS!T$25*$AM972^3+WeightSDS!U$25*$AM972^2+WeightSDS!V$25*$AM972+WeightSDS!W$25,WeightSDS!M$27+WeightSDS!N$27/(1+EXP(WeightSDS!O$27+WeightSDS!P$27*$AM972)))),IF($AM972&lt;43.8,WeightSDS!M$29*$AM972^10+WeightSDS!N$29*$AM972^9+WeightSDS!O$29*$AM972^8+WeightSDS!P$29*$AM972^7+WeightSDS!Q$29*$AM972^6+WeightSDS!R$29*$AM972^5+WeightSDS!S$29*$AM972^4+WeightSDS!T$29*$AM972^3+WeightSDS!U$29*$AM972^2+WeightSDS!V$29*$AM972+WeightSDS!W$29-0.010431*(1-$AM972/210),IF($AM972&lt;123,WeightSDS!M$30*$AM972^10+WeightSDS!N$30*$AM972^9+WeightSDS!O$30*$AM972^8+WeightSDS!P$30*$AM972^7+WeightSDS!Q$30*$AM972^6+WeightSDS!R$30*$AM972^5+WeightSDS!S$30*$AM972^4+WeightSDS!T$30*$AM972^3+WeightSDS!U$30*$AM972^2+WeightSDS!V$30*$AM972+WeightSDS!W$30-0.010431*(1-1/$AM972),WeightSDS!M$32+WeightSDS!N$32/(1+EXP(WeightSDS!O$32+WeightSDS!P$32*$AM972))-0.010431*(1-$AM972/210))))</f>
        <v>2.9500001032655536</v>
      </c>
      <c r="AQ972" s="4">
        <f>IF(D972="M",IF($AM972&lt;162,WeightSDS!P$12*$AM972^7+WeightSDS!Q$12*$AM972^6+WeightSDS!R$12*$AM972^5+WeightSDS!S$12*$AM972^4+WeightSDS!T$12*$AM972^3+WeightSDS!U$12*$AM972^2+WeightSDS!V$12*$AM972+WeightSDS!W$12,WeightSDS!P$14*$AM972^7+WeightSDS!Q$14*$AM972^6+WeightSDS!R$14*$AM972^5+WeightSDS!S$14*$AM972^4+WeightSDS!T$14*$AM972^3+WeightSDS!U$14*$AM972^2+WeightSDS!V$14*$AM972+WeightSDS!W$14),IF($AM972&lt;156,WeightSDS!O$17*$AM972^8+WeightSDS!P$17*$AM972^7+WeightSDS!Q$17*$AM972^6+WeightSDS!R$17*$AM972^5+WeightSDS!S$17*$AM972^4+WeightSDS!T$17*$AM972^3+WeightSDS!U$17*$AM972^2+WeightSDS!V$17*$AM972+WeightSDS!W$17,IF($AM972&lt;186,WeightSDS!$U$18+(WeightSDS!$V$18-WeightSDS!$U$18)/24*($AM972-186)+WeightSDS!$W$18*(-$AM972+186)^2-0.005,WeightSDS!$U$18+(WeightSDS!$V$18-WeightSDS!$U$18)/24*($AM972-186)-0.005)))</f>
        <v>0.14604529399999999</v>
      </c>
      <c r="AT972" s="4">
        <f t="shared" si="320"/>
        <v>0.56299999999999994</v>
      </c>
      <c r="AU972" s="4">
        <f t="shared" si="321"/>
        <v>69</v>
      </c>
      <c r="AV972" s="4">
        <f t="shared" si="322"/>
        <v>0.51</v>
      </c>
    </row>
    <row r="973" spans="1:48" x14ac:dyDescent="0.15">
      <c r="A973" s="4"/>
      <c r="B973" s="21"/>
      <c r="C973" s="21"/>
      <c r="D973" s="21"/>
      <c r="E973" s="22"/>
      <c r="F973" s="22"/>
      <c r="G973" s="23"/>
      <c r="H973" s="23"/>
      <c r="I973" s="181"/>
      <c r="J973" s="8" t="str">
        <f t="shared" si="316"/>
        <v/>
      </c>
      <c r="K973" s="2" t="str">
        <f t="shared" si="323"/>
        <v/>
      </c>
      <c r="L973" s="2" t="str">
        <f t="shared" si="317"/>
        <v/>
      </c>
      <c r="M973" s="2" t="str">
        <f t="shared" si="324"/>
        <v/>
      </c>
      <c r="N973" s="2" t="str">
        <f t="shared" si="334"/>
        <v/>
      </c>
      <c r="O973" s="2" t="str">
        <f t="shared" si="325"/>
        <v/>
      </c>
      <c r="P973" s="8" t="str">
        <f t="shared" si="326"/>
        <v/>
      </c>
      <c r="Q973" s="8" t="str">
        <f t="shared" si="327"/>
        <v/>
      </c>
      <c r="R973" s="111" t="str">
        <f t="shared" si="328"/>
        <v/>
      </c>
      <c r="S973" s="44" t="str">
        <f t="shared" si="329"/>
        <v/>
      </c>
      <c r="T973" s="37" t="str">
        <f t="shared" si="330"/>
        <v/>
      </c>
      <c r="U973" s="44" t="str">
        <f t="shared" si="331"/>
        <v/>
      </c>
      <c r="V973" s="26"/>
      <c r="W973" s="26"/>
      <c r="X973" s="26"/>
      <c r="Y973" s="26"/>
      <c r="Z973" s="24"/>
      <c r="AA973" s="169">
        <f t="shared" si="332"/>
        <v>0</v>
      </c>
      <c r="AB973" s="4">
        <f t="shared" si="333"/>
        <v>0</v>
      </c>
      <c r="AC973" s="170">
        <f t="shared" si="315"/>
        <v>0</v>
      </c>
      <c r="AD973" s="58"/>
      <c r="AE973" s="58"/>
      <c r="AF973" s="58"/>
      <c r="AG973" s="59">
        <f t="shared" si="318"/>
        <v>9.0359999999999996</v>
      </c>
      <c r="AH973" s="59">
        <f t="shared" si="319"/>
        <v>-184.49199999999999</v>
      </c>
      <c r="AJ973" s="4">
        <f>IF(D973="M",IF(AM973&lt;78,BMILMS!$D$5*AM973^3+BMILMS!$E$5*AM973^2+BMILMS!$F$5*AM973+BMILMS!$G$5,IF(AM973&lt;150,BMILMS!$D$6*AM973^3+BMILMS!$E$6*AM973^2+BMILMS!$F$6*AM973+BMILMS!$G$6,BMILMS!$D$7*AM973^3+BMILMS!$E$7*AM973^2+BMILMS!$F$7*AM973+BMILMS!$G$7)),IF(AM973&lt;69,BMILMS!$D$9*AM973^3+BMILMS!$E$9*AM973^2+BMILMS!$F$9*AM973+BMILMS!$G$9,IF(AM973&lt;150,BMILMS!$D$10*AM973^3+BMILMS!$E$10*AM973^2+BMILMS!$F$10*AM973+BMILMS!$G$10,BMILMS!$D$11*AM973^3+BMILMS!$E$11*AM973^2+BMILMS!$F$11*AM973+BMILMS!$G$11)))</f>
        <v>0.79584630099999998</v>
      </c>
      <c r="AK973" s="4">
        <f>IF(D973="M",(IF(AM973&lt;2.5,BMILMS!$D$21*AM973^3+BMILMS!$E$21*AM973^2+BMILMS!$F$21*AM973+BMILMS!$G$21,IF(AM973&lt;9.5,BMILMS!$D$22*AM973^3+BMILMS!$E$22*AM973^2+BMILMS!$F$22*AM973+BMILMS!$G$22,IF(AM973&lt;26.75,BMILMS!$D$23*AM973^3+BMILMS!$E$23*AM973^2+BMILMS!$F$23*AM973+BMILMS!$G$23,IF(AM973&lt;90,BMILMS!$D$24*AM973^3+BMILMS!$E$24*AM973^2+BMILMS!$F$24*AM973+BMILMS!$G$24,BMILMS!$D$25*AM973^3+BMILMS!$E$25*AM973^2+BMILMS!$F$25*AM973+BMILMS!$G$25))))),(IF(AM973&lt;2.5,BMILMS!$D$27*AM973^3+BMILMS!$E$27*AM973^2+BMILMS!$F$27*AM973+BMILMS!$G$27,IF(AM973&lt;9.5,BMILMS!$D$28*AM973^3+BMILMS!$E$28*AM973^2+BMILMS!$F$28*AM973+BMILMS!$G$28,IF(AM973&lt;26.75,BMILMS!$D$29*AM973^3+BMILMS!$E$29*AM973^2+BMILMS!$F$29*AM973+BMILMS!$G$29,IF(AM973&lt;90,BMILMS!$D$30*AM973^3+BMILMS!$E$30*AM973^2+BMILMS!$F$30*AM973+BMILMS!$G$30,IF(AM973&lt;150,BMILMS!$D$31*AM973^3+BMILMS!$E$31*AM973^2+BMILMS!$F$31*AM973+BMILMS!$G$31,BMILMS!$D$32*AM973^3+BMILMS!$E$32*AM973^2+BMILMS!$F$32*AM973+BMILMS!$G$32)))))))</f>
        <v>12.568967990000001</v>
      </c>
      <c r="AL973" s="4">
        <f>IF(D973="M",(IF(AM973&lt;90,BMILMS!$D$14*AM973^3+BMILMS!$E$14*AM973^2+BMILMS!$F$14*AM973+BMILMS!$G$14,BMILMS!$D$15*AM973^3+BMILMS!$E$15*AM973^2+BMILMS!$F$15*AM973+BMILMS!$G$15)),(IF(AM973&lt;90,BMILMS!$D$17*AM973^3+BMILMS!$E$17*AM973^2+BMILMS!$F$17*AM973+BMILMS!$G$17,BMILMS!$D$18*AM973^3+BMILMS!$E$18*AM973^2+BMILMS!$F$18*AM973+BMILMS!$G$18)))</f>
        <v>8.8969350000000003E-2</v>
      </c>
      <c r="AM973" s="4">
        <f t="shared" si="335"/>
        <v>0</v>
      </c>
      <c r="AO973" s="56">
        <f>IF(D973="M",WeightSDS!P$5*$AM973^7+WeightSDS!Q$5*$AM973^6+WeightSDS!R$5*$AM973^5+WeightSDS!S$5*$AM973^4+WeightSDS!T$5*$AM973^3+WeightSDS!U$5*$AM973^2+WeightSDS!V$5*$AM973+WeightSDS!W$5,IF($AM973&lt;186,WeightSDS!P$8*$AM973^7+WeightSDS!Q$8*$AM973^6+WeightSDS!R$8*$AM973^5+WeightSDS!S$8*$AM973^4+WeightSDS!T$8*$AM973^3+WeightSDS!U$8*$AM973^2+WeightSDS!V$8*$AM973+WeightSDS!W$8,WeightSDS!$U$9+WeightSDS!$V$9*($AM973-WeightSDS!$W$9)))</f>
        <v>0.75407122999999998</v>
      </c>
      <c r="AP973" s="4">
        <f>IF(D973="M",IF($AM973&lt;45,WeightSDS!M$23*$AM973^10+WeightSDS!N$23*$AM973^9+WeightSDS!O$23*$AM973^8+WeightSDS!P$23*$AM973^7+WeightSDS!Q$23*$AM973^6+WeightSDS!R$23*$AM973^5+WeightSDS!S$23*$AM973^4+WeightSDS!T$23*$AM973^3+WeightSDS!U$23*$AM973^2+WeightSDS!V$23*$AM973+WeightSDS!W$23,IF($AM973&lt;153,WeightSDS!M$25*$AM973^10+WeightSDS!N$25*$AM973^9+WeightSDS!O$25*$AM973^8+WeightSDS!P$25*$AM973^7+WeightSDS!Q$25*$AM973^6+WeightSDS!R$25*$AM973^5+WeightSDS!S$25*$AM973^4+WeightSDS!T$25*$AM973^3+WeightSDS!U$25*$AM973^2+WeightSDS!V$25*$AM973+WeightSDS!W$25,WeightSDS!M$27+WeightSDS!N$27/(1+EXP(WeightSDS!O$27+WeightSDS!P$27*$AM973)))),IF($AM973&lt;43.8,WeightSDS!M$29*$AM973^10+WeightSDS!N$29*$AM973^9+WeightSDS!O$29*$AM973^8+WeightSDS!P$29*$AM973^7+WeightSDS!Q$29*$AM973^6+WeightSDS!R$29*$AM973^5+WeightSDS!S$29*$AM973^4+WeightSDS!T$29*$AM973^3+WeightSDS!U$29*$AM973^2+WeightSDS!V$29*$AM973+WeightSDS!W$29-0.010431*(1-$AM973/210),IF($AM973&lt;123,WeightSDS!M$30*$AM973^10+WeightSDS!N$30*$AM973^9+WeightSDS!O$30*$AM973^8+WeightSDS!P$30*$AM973^7+WeightSDS!Q$30*$AM973^6+WeightSDS!R$30*$AM973^5+WeightSDS!S$30*$AM973^4+WeightSDS!T$30*$AM973^3+WeightSDS!U$30*$AM973^2+WeightSDS!V$30*$AM973+WeightSDS!W$30-0.010431*(1-1/$AM973),WeightSDS!M$32+WeightSDS!N$32/(1+EXP(WeightSDS!O$32+WeightSDS!P$32*$AM973))-0.010431*(1-$AM973/210))))</f>
        <v>2.9500001032655536</v>
      </c>
      <c r="AQ973" s="4">
        <f>IF(D973="M",IF($AM973&lt;162,WeightSDS!P$12*$AM973^7+WeightSDS!Q$12*$AM973^6+WeightSDS!R$12*$AM973^5+WeightSDS!S$12*$AM973^4+WeightSDS!T$12*$AM973^3+WeightSDS!U$12*$AM973^2+WeightSDS!V$12*$AM973+WeightSDS!W$12,WeightSDS!P$14*$AM973^7+WeightSDS!Q$14*$AM973^6+WeightSDS!R$14*$AM973^5+WeightSDS!S$14*$AM973^4+WeightSDS!T$14*$AM973^3+WeightSDS!U$14*$AM973^2+WeightSDS!V$14*$AM973+WeightSDS!W$14),IF($AM973&lt;156,WeightSDS!O$17*$AM973^8+WeightSDS!P$17*$AM973^7+WeightSDS!Q$17*$AM973^6+WeightSDS!R$17*$AM973^5+WeightSDS!S$17*$AM973^4+WeightSDS!T$17*$AM973^3+WeightSDS!U$17*$AM973^2+WeightSDS!V$17*$AM973+WeightSDS!W$17,IF($AM973&lt;186,WeightSDS!$U$18+(WeightSDS!$V$18-WeightSDS!$U$18)/24*($AM973-186)+WeightSDS!$W$18*(-$AM973+186)^2-0.005,WeightSDS!$U$18+(WeightSDS!$V$18-WeightSDS!$U$18)/24*($AM973-186)-0.005)))</f>
        <v>0.14604529399999999</v>
      </c>
      <c r="AT973" s="4">
        <f t="shared" si="320"/>
        <v>0.56299999999999994</v>
      </c>
      <c r="AU973" s="4">
        <f t="shared" si="321"/>
        <v>69</v>
      </c>
      <c r="AV973" s="4">
        <f t="shared" si="322"/>
        <v>0.51</v>
      </c>
    </row>
    <row r="974" spans="1:48" x14ac:dyDescent="0.15">
      <c r="A974" s="4"/>
      <c r="B974" s="21"/>
      <c r="C974" s="21"/>
      <c r="D974" s="21"/>
      <c r="E974" s="22"/>
      <c r="F974" s="22"/>
      <c r="G974" s="23"/>
      <c r="H974" s="23"/>
      <c r="I974" s="181"/>
      <c r="J974" s="8" t="str">
        <f t="shared" si="316"/>
        <v/>
      </c>
      <c r="K974" s="2" t="str">
        <f t="shared" si="323"/>
        <v/>
      </c>
      <c r="L974" s="2" t="str">
        <f t="shared" si="317"/>
        <v/>
      </c>
      <c r="M974" s="2" t="str">
        <f t="shared" si="324"/>
        <v/>
      </c>
      <c r="N974" s="2" t="str">
        <f t="shared" si="334"/>
        <v/>
      </c>
      <c r="O974" s="2" t="str">
        <f t="shared" si="325"/>
        <v/>
      </c>
      <c r="P974" s="8" t="str">
        <f t="shared" si="326"/>
        <v/>
      </c>
      <c r="Q974" s="8" t="str">
        <f t="shared" si="327"/>
        <v/>
      </c>
      <c r="R974" s="111" t="str">
        <f t="shared" si="328"/>
        <v/>
      </c>
      <c r="S974" s="44" t="str">
        <f t="shared" si="329"/>
        <v/>
      </c>
      <c r="T974" s="37" t="str">
        <f t="shared" si="330"/>
        <v/>
      </c>
      <c r="U974" s="44" t="str">
        <f t="shared" si="331"/>
        <v/>
      </c>
      <c r="V974" s="26"/>
      <c r="W974" s="26"/>
      <c r="X974" s="26"/>
      <c r="Y974" s="26"/>
      <c r="Z974" s="24"/>
      <c r="AA974" s="169">
        <f t="shared" si="332"/>
        <v>0</v>
      </c>
      <c r="AB974" s="4">
        <f t="shared" si="333"/>
        <v>0</v>
      </c>
      <c r="AC974" s="170">
        <f t="shared" si="315"/>
        <v>0</v>
      </c>
      <c r="AD974" s="58"/>
      <c r="AE974" s="58"/>
      <c r="AF974" s="58"/>
      <c r="AG974" s="59">
        <f t="shared" si="318"/>
        <v>9.0359999999999996</v>
      </c>
      <c r="AH974" s="59">
        <f t="shared" si="319"/>
        <v>-184.49199999999999</v>
      </c>
      <c r="AJ974" s="4">
        <f>IF(D974="M",IF(AM974&lt;78,BMILMS!$D$5*AM974^3+BMILMS!$E$5*AM974^2+BMILMS!$F$5*AM974+BMILMS!$G$5,IF(AM974&lt;150,BMILMS!$D$6*AM974^3+BMILMS!$E$6*AM974^2+BMILMS!$F$6*AM974+BMILMS!$G$6,BMILMS!$D$7*AM974^3+BMILMS!$E$7*AM974^2+BMILMS!$F$7*AM974+BMILMS!$G$7)),IF(AM974&lt;69,BMILMS!$D$9*AM974^3+BMILMS!$E$9*AM974^2+BMILMS!$F$9*AM974+BMILMS!$G$9,IF(AM974&lt;150,BMILMS!$D$10*AM974^3+BMILMS!$E$10*AM974^2+BMILMS!$F$10*AM974+BMILMS!$G$10,BMILMS!$D$11*AM974^3+BMILMS!$E$11*AM974^2+BMILMS!$F$11*AM974+BMILMS!$G$11)))</f>
        <v>0.79584630099999998</v>
      </c>
      <c r="AK974" s="4">
        <f>IF(D974="M",(IF(AM974&lt;2.5,BMILMS!$D$21*AM974^3+BMILMS!$E$21*AM974^2+BMILMS!$F$21*AM974+BMILMS!$G$21,IF(AM974&lt;9.5,BMILMS!$D$22*AM974^3+BMILMS!$E$22*AM974^2+BMILMS!$F$22*AM974+BMILMS!$G$22,IF(AM974&lt;26.75,BMILMS!$D$23*AM974^3+BMILMS!$E$23*AM974^2+BMILMS!$F$23*AM974+BMILMS!$G$23,IF(AM974&lt;90,BMILMS!$D$24*AM974^3+BMILMS!$E$24*AM974^2+BMILMS!$F$24*AM974+BMILMS!$G$24,BMILMS!$D$25*AM974^3+BMILMS!$E$25*AM974^2+BMILMS!$F$25*AM974+BMILMS!$G$25))))),(IF(AM974&lt;2.5,BMILMS!$D$27*AM974^3+BMILMS!$E$27*AM974^2+BMILMS!$F$27*AM974+BMILMS!$G$27,IF(AM974&lt;9.5,BMILMS!$D$28*AM974^3+BMILMS!$E$28*AM974^2+BMILMS!$F$28*AM974+BMILMS!$G$28,IF(AM974&lt;26.75,BMILMS!$D$29*AM974^3+BMILMS!$E$29*AM974^2+BMILMS!$F$29*AM974+BMILMS!$G$29,IF(AM974&lt;90,BMILMS!$D$30*AM974^3+BMILMS!$E$30*AM974^2+BMILMS!$F$30*AM974+BMILMS!$G$30,IF(AM974&lt;150,BMILMS!$D$31*AM974^3+BMILMS!$E$31*AM974^2+BMILMS!$F$31*AM974+BMILMS!$G$31,BMILMS!$D$32*AM974^3+BMILMS!$E$32*AM974^2+BMILMS!$F$32*AM974+BMILMS!$G$32)))))))</f>
        <v>12.568967990000001</v>
      </c>
      <c r="AL974" s="4">
        <f>IF(D974="M",(IF(AM974&lt;90,BMILMS!$D$14*AM974^3+BMILMS!$E$14*AM974^2+BMILMS!$F$14*AM974+BMILMS!$G$14,BMILMS!$D$15*AM974^3+BMILMS!$E$15*AM974^2+BMILMS!$F$15*AM974+BMILMS!$G$15)),(IF(AM974&lt;90,BMILMS!$D$17*AM974^3+BMILMS!$E$17*AM974^2+BMILMS!$F$17*AM974+BMILMS!$G$17,BMILMS!$D$18*AM974^3+BMILMS!$E$18*AM974^2+BMILMS!$F$18*AM974+BMILMS!$G$18)))</f>
        <v>8.8969350000000003E-2</v>
      </c>
      <c r="AM974" s="4">
        <f t="shared" si="335"/>
        <v>0</v>
      </c>
      <c r="AO974" s="56">
        <f>IF(D974="M",WeightSDS!P$5*$AM974^7+WeightSDS!Q$5*$AM974^6+WeightSDS!R$5*$AM974^5+WeightSDS!S$5*$AM974^4+WeightSDS!T$5*$AM974^3+WeightSDS!U$5*$AM974^2+WeightSDS!V$5*$AM974+WeightSDS!W$5,IF($AM974&lt;186,WeightSDS!P$8*$AM974^7+WeightSDS!Q$8*$AM974^6+WeightSDS!R$8*$AM974^5+WeightSDS!S$8*$AM974^4+WeightSDS!T$8*$AM974^3+WeightSDS!U$8*$AM974^2+WeightSDS!V$8*$AM974+WeightSDS!W$8,WeightSDS!$U$9+WeightSDS!$V$9*($AM974-WeightSDS!$W$9)))</f>
        <v>0.75407122999999998</v>
      </c>
      <c r="AP974" s="4">
        <f>IF(D974="M",IF($AM974&lt;45,WeightSDS!M$23*$AM974^10+WeightSDS!N$23*$AM974^9+WeightSDS!O$23*$AM974^8+WeightSDS!P$23*$AM974^7+WeightSDS!Q$23*$AM974^6+WeightSDS!R$23*$AM974^5+WeightSDS!S$23*$AM974^4+WeightSDS!T$23*$AM974^3+WeightSDS!U$23*$AM974^2+WeightSDS!V$23*$AM974+WeightSDS!W$23,IF($AM974&lt;153,WeightSDS!M$25*$AM974^10+WeightSDS!N$25*$AM974^9+WeightSDS!O$25*$AM974^8+WeightSDS!P$25*$AM974^7+WeightSDS!Q$25*$AM974^6+WeightSDS!R$25*$AM974^5+WeightSDS!S$25*$AM974^4+WeightSDS!T$25*$AM974^3+WeightSDS!U$25*$AM974^2+WeightSDS!V$25*$AM974+WeightSDS!W$25,WeightSDS!M$27+WeightSDS!N$27/(1+EXP(WeightSDS!O$27+WeightSDS!P$27*$AM974)))),IF($AM974&lt;43.8,WeightSDS!M$29*$AM974^10+WeightSDS!N$29*$AM974^9+WeightSDS!O$29*$AM974^8+WeightSDS!P$29*$AM974^7+WeightSDS!Q$29*$AM974^6+WeightSDS!R$29*$AM974^5+WeightSDS!S$29*$AM974^4+WeightSDS!T$29*$AM974^3+WeightSDS!U$29*$AM974^2+WeightSDS!V$29*$AM974+WeightSDS!W$29-0.010431*(1-$AM974/210),IF($AM974&lt;123,WeightSDS!M$30*$AM974^10+WeightSDS!N$30*$AM974^9+WeightSDS!O$30*$AM974^8+WeightSDS!P$30*$AM974^7+WeightSDS!Q$30*$AM974^6+WeightSDS!R$30*$AM974^5+WeightSDS!S$30*$AM974^4+WeightSDS!T$30*$AM974^3+WeightSDS!U$30*$AM974^2+WeightSDS!V$30*$AM974+WeightSDS!W$30-0.010431*(1-1/$AM974),WeightSDS!M$32+WeightSDS!N$32/(1+EXP(WeightSDS!O$32+WeightSDS!P$32*$AM974))-0.010431*(1-$AM974/210))))</f>
        <v>2.9500001032655536</v>
      </c>
      <c r="AQ974" s="4">
        <f>IF(D974="M",IF($AM974&lt;162,WeightSDS!P$12*$AM974^7+WeightSDS!Q$12*$AM974^6+WeightSDS!R$12*$AM974^5+WeightSDS!S$12*$AM974^4+WeightSDS!T$12*$AM974^3+WeightSDS!U$12*$AM974^2+WeightSDS!V$12*$AM974+WeightSDS!W$12,WeightSDS!P$14*$AM974^7+WeightSDS!Q$14*$AM974^6+WeightSDS!R$14*$AM974^5+WeightSDS!S$14*$AM974^4+WeightSDS!T$14*$AM974^3+WeightSDS!U$14*$AM974^2+WeightSDS!V$14*$AM974+WeightSDS!W$14),IF($AM974&lt;156,WeightSDS!O$17*$AM974^8+WeightSDS!P$17*$AM974^7+WeightSDS!Q$17*$AM974^6+WeightSDS!R$17*$AM974^5+WeightSDS!S$17*$AM974^4+WeightSDS!T$17*$AM974^3+WeightSDS!U$17*$AM974^2+WeightSDS!V$17*$AM974+WeightSDS!W$17,IF($AM974&lt;186,WeightSDS!$U$18+(WeightSDS!$V$18-WeightSDS!$U$18)/24*($AM974-186)+WeightSDS!$W$18*(-$AM974+186)^2-0.005,WeightSDS!$U$18+(WeightSDS!$V$18-WeightSDS!$U$18)/24*($AM974-186)-0.005)))</f>
        <v>0.14604529399999999</v>
      </c>
      <c r="AT974" s="4">
        <f t="shared" si="320"/>
        <v>0.56299999999999994</v>
      </c>
      <c r="AU974" s="4">
        <f t="shared" si="321"/>
        <v>69</v>
      </c>
      <c r="AV974" s="4">
        <f t="shared" si="322"/>
        <v>0.51</v>
      </c>
    </row>
    <row r="975" spans="1:48" x14ac:dyDescent="0.15">
      <c r="A975" s="4"/>
      <c r="B975" s="21"/>
      <c r="C975" s="21"/>
      <c r="D975" s="21"/>
      <c r="E975" s="22"/>
      <c r="F975" s="22"/>
      <c r="G975" s="23"/>
      <c r="H975" s="23"/>
      <c r="I975" s="181"/>
      <c r="J975" s="8" t="str">
        <f t="shared" si="316"/>
        <v/>
      </c>
      <c r="K975" s="2" t="str">
        <f t="shared" si="323"/>
        <v/>
      </c>
      <c r="L975" s="2" t="str">
        <f t="shared" si="317"/>
        <v/>
      </c>
      <c r="M975" s="2" t="str">
        <f t="shared" si="324"/>
        <v/>
      </c>
      <c r="N975" s="2" t="str">
        <f t="shared" si="334"/>
        <v/>
      </c>
      <c r="O975" s="2" t="str">
        <f t="shared" si="325"/>
        <v/>
      </c>
      <c r="P975" s="8" t="str">
        <f t="shared" si="326"/>
        <v/>
      </c>
      <c r="Q975" s="8" t="str">
        <f t="shared" si="327"/>
        <v/>
      </c>
      <c r="R975" s="111" t="str">
        <f t="shared" si="328"/>
        <v/>
      </c>
      <c r="S975" s="44" t="str">
        <f t="shared" si="329"/>
        <v/>
      </c>
      <c r="T975" s="37" t="str">
        <f t="shared" si="330"/>
        <v/>
      </c>
      <c r="U975" s="44" t="str">
        <f t="shared" si="331"/>
        <v/>
      </c>
      <c r="V975" s="26"/>
      <c r="W975" s="26"/>
      <c r="X975" s="26"/>
      <c r="Y975" s="26"/>
      <c r="Z975" s="24"/>
      <c r="AA975" s="169">
        <f t="shared" si="332"/>
        <v>0</v>
      </c>
      <c r="AB975" s="4">
        <f t="shared" si="333"/>
        <v>0</v>
      </c>
      <c r="AC975" s="170">
        <f t="shared" si="315"/>
        <v>0</v>
      </c>
      <c r="AD975" s="58"/>
      <c r="AE975" s="58"/>
      <c r="AF975" s="58"/>
      <c r="AG975" s="59">
        <f t="shared" si="318"/>
        <v>9.0359999999999996</v>
      </c>
      <c r="AH975" s="59">
        <f t="shared" si="319"/>
        <v>-184.49199999999999</v>
      </c>
      <c r="AJ975" s="4">
        <f>IF(D975="M",IF(AM975&lt;78,BMILMS!$D$5*AM975^3+BMILMS!$E$5*AM975^2+BMILMS!$F$5*AM975+BMILMS!$G$5,IF(AM975&lt;150,BMILMS!$D$6*AM975^3+BMILMS!$E$6*AM975^2+BMILMS!$F$6*AM975+BMILMS!$G$6,BMILMS!$D$7*AM975^3+BMILMS!$E$7*AM975^2+BMILMS!$F$7*AM975+BMILMS!$G$7)),IF(AM975&lt;69,BMILMS!$D$9*AM975^3+BMILMS!$E$9*AM975^2+BMILMS!$F$9*AM975+BMILMS!$G$9,IF(AM975&lt;150,BMILMS!$D$10*AM975^3+BMILMS!$E$10*AM975^2+BMILMS!$F$10*AM975+BMILMS!$G$10,BMILMS!$D$11*AM975^3+BMILMS!$E$11*AM975^2+BMILMS!$F$11*AM975+BMILMS!$G$11)))</f>
        <v>0.79584630099999998</v>
      </c>
      <c r="AK975" s="4">
        <f>IF(D975="M",(IF(AM975&lt;2.5,BMILMS!$D$21*AM975^3+BMILMS!$E$21*AM975^2+BMILMS!$F$21*AM975+BMILMS!$G$21,IF(AM975&lt;9.5,BMILMS!$D$22*AM975^3+BMILMS!$E$22*AM975^2+BMILMS!$F$22*AM975+BMILMS!$G$22,IF(AM975&lt;26.75,BMILMS!$D$23*AM975^3+BMILMS!$E$23*AM975^2+BMILMS!$F$23*AM975+BMILMS!$G$23,IF(AM975&lt;90,BMILMS!$D$24*AM975^3+BMILMS!$E$24*AM975^2+BMILMS!$F$24*AM975+BMILMS!$G$24,BMILMS!$D$25*AM975^3+BMILMS!$E$25*AM975^2+BMILMS!$F$25*AM975+BMILMS!$G$25))))),(IF(AM975&lt;2.5,BMILMS!$D$27*AM975^3+BMILMS!$E$27*AM975^2+BMILMS!$F$27*AM975+BMILMS!$G$27,IF(AM975&lt;9.5,BMILMS!$D$28*AM975^3+BMILMS!$E$28*AM975^2+BMILMS!$F$28*AM975+BMILMS!$G$28,IF(AM975&lt;26.75,BMILMS!$D$29*AM975^3+BMILMS!$E$29*AM975^2+BMILMS!$F$29*AM975+BMILMS!$G$29,IF(AM975&lt;90,BMILMS!$D$30*AM975^3+BMILMS!$E$30*AM975^2+BMILMS!$F$30*AM975+BMILMS!$G$30,IF(AM975&lt;150,BMILMS!$D$31*AM975^3+BMILMS!$E$31*AM975^2+BMILMS!$F$31*AM975+BMILMS!$G$31,BMILMS!$D$32*AM975^3+BMILMS!$E$32*AM975^2+BMILMS!$F$32*AM975+BMILMS!$G$32)))))))</f>
        <v>12.568967990000001</v>
      </c>
      <c r="AL975" s="4">
        <f>IF(D975="M",(IF(AM975&lt;90,BMILMS!$D$14*AM975^3+BMILMS!$E$14*AM975^2+BMILMS!$F$14*AM975+BMILMS!$G$14,BMILMS!$D$15*AM975^3+BMILMS!$E$15*AM975^2+BMILMS!$F$15*AM975+BMILMS!$G$15)),(IF(AM975&lt;90,BMILMS!$D$17*AM975^3+BMILMS!$E$17*AM975^2+BMILMS!$F$17*AM975+BMILMS!$G$17,BMILMS!$D$18*AM975^3+BMILMS!$E$18*AM975^2+BMILMS!$F$18*AM975+BMILMS!$G$18)))</f>
        <v>8.8969350000000003E-2</v>
      </c>
      <c r="AM975" s="4">
        <f t="shared" si="335"/>
        <v>0</v>
      </c>
      <c r="AO975" s="56">
        <f>IF(D975="M",WeightSDS!P$5*$AM975^7+WeightSDS!Q$5*$AM975^6+WeightSDS!R$5*$AM975^5+WeightSDS!S$5*$AM975^4+WeightSDS!T$5*$AM975^3+WeightSDS!U$5*$AM975^2+WeightSDS!V$5*$AM975+WeightSDS!W$5,IF($AM975&lt;186,WeightSDS!P$8*$AM975^7+WeightSDS!Q$8*$AM975^6+WeightSDS!R$8*$AM975^5+WeightSDS!S$8*$AM975^4+WeightSDS!T$8*$AM975^3+WeightSDS!U$8*$AM975^2+WeightSDS!V$8*$AM975+WeightSDS!W$8,WeightSDS!$U$9+WeightSDS!$V$9*($AM975-WeightSDS!$W$9)))</f>
        <v>0.75407122999999998</v>
      </c>
      <c r="AP975" s="4">
        <f>IF(D975="M",IF($AM975&lt;45,WeightSDS!M$23*$AM975^10+WeightSDS!N$23*$AM975^9+WeightSDS!O$23*$AM975^8+WeightSDS!P$23*$AM975^7+WeightSDS!Q$23*$AM975^6+WeightSDS!R$23*$AM975^5+WeightSDS!S$23*$AM975^4+WeightSDS!T$23*$AM975^3+WeightSDS!U$23*$AM975^2+WeightSDS!V$23*$AM975+WeightSDS!W$23,IF($AM975&lt;153,WeightSDS!M$25*$AM975^10+WeightSDS!N$25*$AM975^9+WeightSDS!O$25*$AM975^8+WeightSDS!P$25*$AM975^7+WeightSDS!Q$25*$AM975^6+WeightSDS!R$25*$AM975^5+WeightSDS!S$25*$AM975^4+WeightSDS!T$25*$AM975^3+WeightSDS!U$25*$AM975^2+WeightSDS!V$25*$AM975+WeightSDS!W$25,WeightSDS!M$27+WeightSDS!N$27/(1+EXP(WeightSDS!O$27+WeightSDS!P$27*$AM975)))),IF($AM975&lt;43.8,WeightSDS!M$29*$AM975^10+WeightSDS!N$29*$AM975^9+WeightSDS!O$29*$AM975^8+WeightSDS!P$29*$AM975^7+WeightSDS!Q$29*$AM975^6+WeightSDS!R$29*$AM975^5+WeightSDS!S$29*$AM975^4+WeightSDS!T$29*$AM975^3+WeightSDS!U$29*$AM975^2+WeightSDS!V$29*$AM975+WeightSDS!W$29-0.010431*(1-$AM975/210),IF($AM975&lt;123,WeightSDS!M$30*$AM975^10+WeightSDS!N$30*$AM975^9+WeightSDS!O$30*$AM975^8+WeightSDS!P$30*$AM975^7+WeightSDS!Q$30*$AM975^6+WeightSDS!R$30*$AM975^5+WeightSDS!S$30*$AM975^4+WeightSDS!T$30*$AM975^3+WeightSDS!U$30*$AM975^2+WeightSDS!V$30*$AM975+WeightSDS!W$30-0.010431*(1-1/$AM975),WeightSDS!M$32+WeightSDS!N$32/(1+EXP(WeightSDS!O$32+WeightSDS!P$32*$AM975))-0.010431*(1-$AM975/210))))</f>
        <v>2.9500001032655536</v>
      </c>
      <c r="AQ975" s="4">
        <f>IF(D975="M",IF($AM975&lt;162,WeightSDS!P$12*$AM975^7+WeightSDS!Q$12*$AM975^6+WeightSDS!R$12*$AM975^5+WeightSDS!S$12*$AM975^4+WeightSDS!T$12*$AM975^3+WeightSDS!U$12*$AM975^2+WeightSDS!V$12*$AM975+WeightSDS!W$12,WeightSDS!P$14*$AM975^7+WeightSDS!Q$14*$AM975^6+WeightSDS!R$14*$AM975^5+WeightSDS!S$14*$AM975^4+WeightSDS!T$14*$AM975^3+WeightSDS!U$14*$AM975^2+WeightSDS!V$14*$AM975+WeightSDS!W$14),IF($AM975&lt;156,WeightSDS!O$17*$AM975^8+WeightSDS!P$17*$AM975^7+WeightSDS!Q$17*$AM975^6+WeightSDS!R$17*$AM975^5+WeightSDS!S$17*$AM975^4+WeightSDS!T$17*$AM975^3+WeightSDS!U$17*$AM975^2+WeightSDS!V$17*$AM975+WeightSDS!W$17,IF($AM975&lt;186,WeightSDS!$U$18+(WeightSDS!$V$18-WeightSDS!$U$18)/24*($AM975-186)+WeightSDS!$W$18*(-$AM975+186)^2-0.005,WeightSDS!$U$18+(WeightSDS!$V$18-WeightSDS!$U$18)/24*($AM975-186)-0.005)))</f>
        <v>0.14604529399999999</v>
      </c>
      <c r="AT975" s="4">
        <f t="shared" si="320"/>
        <v>0.56299999999999994</v>
      </c>
      <c r="AU975" s="4">
        <f t="shared" si="321"/>
        <v>69</v>
      </c>
      <c r="AV975" s="4">
        <f t="shared" si="322"/>
        <v>0.51</v>
      </c>
    </row>
    <row r="976" spans="1:48" x14ac:dyDescent="0.15">
      <c r="A976" s="4"/>
      <c r="B976" s="21"/>
      <c r="C976" s="21"/>
      <c r="D976" s="21"/>
      <c r="E976" s="22"/>
      <c r="F976" s="22"/>
      <c r="G976" s="23"/>
      <c r="H976" s="23"/>
      <c r="I976" s="181"/>
      <c r="J976" s="8" t="str">
        <f t="shared" si="316"/>
        <v/>
      </c>
      <c r="K976" s="2" t="str">
        <f t="shared" si="323"/>
        <v/>
      </c>
      <c r="L976" s="2" t="str">
        <f t="shared" si="317"/>
        <v/>
      </c>
      <c r="M976" s="2" t="str">
        <f t="shared" si="324"/>
        <v/>
      </c>
      <c r="N976" s="2" t="str">
        <f t="shared" si="334"/>
        <v/>
      </c>
      <c r="O976" s="2" t="str">
        <f t="shared" si="325"/>
        <v/>
      </c>
      <c r="P976" s="8" t="str">
        <f t="shared" si="326"/>
        <v/>
      </c>
      <c r="Q976" s="8" t="str">
        <f t="shared" si="327"/>
        <v/>
      </c>
      <c r="R976" s="111" t="str">
        <f t="shared" si="328"/>
        <v/>
      </c>
      <c r="S976" s="44" t="str">
        <f t="shared" si="329"/>
        <v/>
      </c>
      <c r="T976" s="37" t="str">
        <f t="shared" si="330"/>
        <v/>
      </c>
      <c r="U976" s="44" t="str">
        <f t="shared" si="331"/>
        <v/>
      </c>
      <c r="V976" s="26"/>
      <c r="W976" s="26"/>
      <c r="X976" s="26"/>
      <c r="Y976" s="26"/>
      <c r="Z976" s="24"/>
      <c r="AA976" s="169">
        <f t="shared" si="332"/>
        <v>0</v>
      </c>
      <c r="AB976" s="4">
        <f t="shared" si="333"/>
        <v>0</v>
      </c>
      <c r="AC976" s="170">
        <f t="shared" si="315"/>
        <v>0</v>
      </c>
      <c r="AD976" s="58"/>
      <c r="AE976" s="58"/>
      <c r="AF976" s="58"/>
      <c r="AG976" s="59">
        <f t="shared" si="318"/>
        <v>9.0359999999999996</v>
      </c>
      <c r="AH976" s="59">
        <f t="shared" si="319"/>
        <v>-184.49199999999999</v>
      </c>
      <c r="AJ976" s="4">
        <f>IF(D976="M",IF(AM976&lt;78,BMILMS!$D$5*AM976^3+BMILMS!$E$5*AM976^2+BMILMS!$F$5*AM976+BMILMS!$G$5,IF(AM976&lt;150,BMILMS!$D$6*AM976^3+BMILMS!$E$6*AM976^2+BMILMS!$F$6*AM976+BMILMS!$G$6,BMILMS!$D$7*AM976^3+BMILMS!$E$7*AM976^2+BMILMS!$F$7*AM976+BMILMS!$G$7)),IF(AM976&lt;69,BMILMS!$D$9*AM976^3+BMILMS!$E$9*AM976^2+BMILMS!$F$9*AM976+BMILMS!$G$9,IF(AM976&lt;150,BMILMS!$D$10*AM976^3+BMILMS!$E$10*AM976^2+BMILMS!$F$10*AM976+BMILMS!$G$10,BMILMS!$D$11*AM976^3+BMILMS!$E$11*AM976^2+BMILMS!$F$11*AM976+BMILMS!$G$11)))</f>
        <v>0.79584630099999998</v>
      </c>
      <c r="AK976" s="4">
        <f>IF(D976="M",(IF(AM976&lt;2.5,BMILMS!$D$21*AM976^3+BMILMS!$E$21*AM976^2+BMILMS!$F$21*AM976+BMILMS!$G$21,IF(AM976&lt;9.5,BMILMS!$D$22*AM976^3+BMILMS!$E$22*AM976^2+BMILMS!$F$22*AM976+BMILMS!$G$22,IF(AM976&lt;26.75,BMILMS!$D$23*AM976^3+BMILMS!$E$23*AM976^2+BMILMS!$F$23*AM976+BMILMS!$G$23,IF(AM976&lt;90,BMILMS!$D$24*AM976^3+BMILMS!$E$24*AM976^2+BMILMS!$F$24*AM976+BMILMS!$G$24,BMILMS!$D$25*AM976^3+BMILMS!$E$25*AM976^2+BMILMS!$F$25*AM976+BMILMS!$G$25))))),(IF(AM976&lt;2.5,BMILMS!$D$27*AM976^3+BMILMS!$E$27*AM976^2+BMILMS!$F$27*AM976+BMILMS!$G$27,IF(AM976&lt;9.5,BMILMS!$D$28*AM976^3+BMILMS!$E$28*AM976^2+BMILMS!$F$28*AM976+BMILMS!$G$28,IF(AM976&lt;26.75,BMILMS!$D$29*AM976^3+BMILMS!$E$29*AM976^2+BMILMS!$F$29*AM976+BMILMS!$G$29,IF(AM976&lt;90,BMILMS!$D$30*AM976^3+BMILMS!$E$30*AM976^2+BMILMS!$F$30*AM976+BMILMS!$G$30,IF(AM976&lt;150,BMILMS!$D$31*AM976^3+BMILMS!$E$31*AM976^2+BMILMS!$F$31*AM976+BMILMS!$G$31,BMILMS!$D$32*AM976^3+BMILMS!$E$32*AM976^2+BMILMS!$F$32*AM976+BMILMS!$G$32)))))))</f>
        <v>12.568967990000001</v>
      </c>
      <c r="AL976" s="4">
        <f>IF(D976="M",(IF(AM976&lt;90,BMILMS!$D$14*AM976^3+BMILMS!$E$14*AM976^2+BMILMS!$F$14*AM976+BMILMS!$G$14,BMILMS!$D$15*AM976^3+BMILMS!$E$15*AM976^2+BMILMS!$F$15*AM976+BMILMS!$G$15)),(IF(AM976&lt;90,BMILMS!$D$17*AM976^3+BMILMS!$E$17*AM976^2+BMILMS!$F$17*AM976+BMILMS!$G$17,BMILMS!$D$18*AM976^3+BMILMS!$E$18*AM976^2+BMILMS!$F$18*AM976+BMILMS!$G$18)))</f>
        <v>8.8969350000000003E-2</v>
      </c>
      <c r="AM976" s="4">
        <f t="shared" si="335"/>
        <v>0</v>
      </c>
      <c r="AO976" s="56">
        <f>IF(D976="M",WeightSDS!P$5*$AM976^7+WeightSDS!Q$5*$AM976^6+WeightSDS!R$5*$AM976^5+WeightSDS!S$5*$AM976^4+WeightSDS!T$5*$AM976^3+WeightSDS!U$5*$AM976^2+WeightSDS!V$5*$AM976+WeightSDS!W$5,IF($AM976&lt;186,WeightSDS!P$8*$AM976^7+WeightSDS!Q$8*$AM976^6+WeightSDS!R$8*$AM976^5+WeightSDS!S$8*$AM976^4+WeightSDS!T$8*$AM976^3+WeightSDS!U$8*$AM976^2+WeightSDS!V$8*$AM976+WeightSDS!W$8,WeightSDS!$U$9+WeightSDS!$V$9*($AM976-WeightSDS!$W$9)))</f>
        <v>0.75407122999999998</v>
      </c>
      <c r="AP976" s="4">
        <f>IF(D976="M",IF($AM976&lt;45,WeightSDS!M$23*$AM976^10+WeightSDS!N$23*$AM976^9+WeightSDS!O$23*$AM976^8+WeightSDS!P$23*$AM976^7+WeightSDS!Q$23*$AM976^6+WeightSDS!R$23*$AM976^5+WeightSDS!S$23*$AM976^4+WeightSDS!T$23*$AM976^3+WeightSDS!U$23*$AM976^2+WeightSDS!V$23*$AM976+WeightSDS!W$23,IF($AM976&lt;153,WeightSDS!M$25*$AM976^10+WeightSDS!N$25*$AM976^9+WeightSDS!O$25*$AM976^8+WeightSDS!P$25*$AM976^7+WeightSDS!Q$25*$AM976^6+WeightSDS!R$25*$AM976^5+WeightSDS!S$25*$AM976^4+WeightSDS!T$25*$AM976^3+WeightSDS!U$25*$AM976^2+WeightSDS!V$25*$AM976+WeightSDS!W$25,WeightSDS!M$27+WeightSDS!N$27/(1+EXP(WeightSDS!O$27+WeightSDS!P$27*$AM976)))),IF($AM976&lt;43.8,WeightSDS!M$29*$AM976^10+WeightSDS!N$29*$AM976^9+WeightSDS!O$29*$AM976^8+WeightSDS!P$29*$AM976^7+WeightSDS!Q$29*$AM976^6+WeightSDS!R$29*$AM976^5+WeightSDS!S$29*$AM976^4+WeightSDS!T$29*$AM976^3+WeightSDS!U$29*$AM976^2+WeightSDS!V$29*$AM976+WeightSDS!W$29-0.010431*(1-$AM976/210),IF($AM976&lt;123,WeightSDS!M$30*$AM976^10+WeightSDS!N$30*$AM976^9+WeightSDS!O$30*$AM976^8+WeightSDS!P$30*$AM976^7+WeightSDS!Q$30*$AM976^6+WeightSDS!R$30*$AM976^5+WeightSDS!S$30*$AM976^4+WeightSDS!T$30*$AM976^3+WeightSDS!U$30*$AM976^2+WeightSDS!V$30*$AM976+WeightSDS!W$30-0.010431*(1-1/$AM976),WeightSDS!M$32+WeightSDS!N$32/(1+EXP(WeightSDS!O$32+WeightSDS!P$32*$AM976))-0.010431*(1-$AM976/210))))</f>
        <v>2.9500001032655536</v>
      </c>
      <c r="AQ976" s="4">
        <f>IF(D976="M",IF($AM976&lt;162,WeightSDS!P$12*$AM976^7+WeightSDS!Q$12*$AM976^6+WeightSDS!R$12*$AM976^5+WeightSDS!S$12*$AM976^4+WeightSDS!T$12*$AM976^3+WeightSDS!U$12*$AM976^2+WeightSDS!V$12*$AM976+WeightSDS!W$12,WeightSDS!P$14*$AM976^7+WeightSDS!Q$14*$AM976^6+WeightSDS!R$14*$AM976^5+WeightSDS!S$14*$AM976^4+WeightSDS!T$14*$AM976^3+WeightSDS!U$14*$AM976^2+WeightSDS!V$14*$AM976+WeightSDS!W$14),IF($AM976&lt;156,WeightSDS!O$17*$AM976^8+WeightSDS!P$17*$AM976^7+WeightSDS!Q$17*$AM976^6+WeightSDS!R$17*$AM976^5+WeightSDS!S$17*$AM976^4+WeightSDS!T$17*$AM976^3+WeightSDS!U$17*$AM976^2+WeightSDS!V$17*$AM976+WeightSDS!W$17,IF($AM976&lt;186,WeightSDS!$U$18+(WeightSDS!$V$18-WeightSDS!$U$18)/24*($AM976-186)+WeightSDS!$W$18*(-$AM976+186)^2-0.005,WeightSDS!$U$18+(WeightSDS!$V$18-WeightSDS!$U$18)/24*($AM976-186)-0.005)))</f>
        <v>0.14604529399999999</v>
      </c>
      <c r="AT976" s="4">
        <f t="shared" si="320"/>
        <v>0.56299999999999994</v>
      </c>
      <c r="AU976" s="4">
        <f t="shared" si="321"/>
        <v>69</v>
      </c>
      <c r="AV976" s="4">
        <f t="shared" si="322"/>
        <v>0.51</v>
      </c>
    </row>
    <row r="977" spans="1:48" x14ac:dyDescent="0.15">
      <c r="A977" s="4"/>
      <c r="B977" s="21"/>
      <c r="C977" s="21"/>
      <c r="D977" s="21"/>
      <c r="E977" s="22"/>
      <c r="F977" s="22"/>
      <c r="G977" s="23"/>
      <c r="H977" s="23"/>
      <c r="I977" s="181"/>
      <c r="J977" s="8" t="str">
        <f t="shared" si="316"/>
        <v/>
      </c>
      <c r="K977" s="2" t="str">
        <f t="shared" si="323"/>
        <v/>
      </c>
      <c r="L977" s="2" t="str">
        <f t="shared" si="317"/>
        <v/>
      </c>
      <c r="M977" s="2" t="str">
        <f t="shared" si="324"/>
        <v/>
      </c>
      <c r="N977" s="2" t="str">
        <f t="shared" si="334"/>
        <v/>
      </c>
      <c r="O977" s="2" t="str">
        <f t="shared" si="325"/>
        <v/>
      </c>
      <c r="P977" s="8" t="str">
        <f t="shared" si="326"/>
        <v/>
      </c>
      <c r="Q977" s="8" t="str">
        <f t="shared" si="327"/>
        <v/>
      </c>
      <c r="R977" s="111" t="str">
        <f t="shared" si="328"/>
        <v/>
      </c>
      <c r="S977" s="44" t="str">
        <f t="shared" si="329"/>
        <v/>
      </c>
      <c r="T977" s="37" t="str">
        <f t="shared" si="330"/>
        <v/>
      </c>
      <c r="U977" s="44" t="str">
        <f t="shared" si="331"/>
        <v/>
      </c>
      <c r="V977" s="26"/>
      <c r="W977" s="26"/>
      <c r="X977" s="26"/>
      <c r="Y977" s="26"/>
      <c r="Z977" s="24"/>
      <c r="AA977" s="169">
        <f t="shared" si="332"/>
        <v>0</v>
      </c>
      <c r="AB977" s="4">
        <f t="shared" si="333"/>
        <v>0</v>
      </c>
      <c r="AC977" s="170">
        <f t="shared" si="315"/>
        <v>0</v>
      </c>
      <c r="AD977" s="58"/>
      <c r="AE977" s="58"/>
      <c r="AF977" s="58"/>
      <c r="AG977" s="59">
        <f t="shared" si="318"/>
        <v>9.0359999999999996</v>
      </c>
      <c r="AH977" s="59">
        <f t="shared" si="319"/>
        <v>-184.49199999999999</v>
      </c>
      <c r="AJ977" s="4">
        <f>IF(D977="M",IF(AM977&lt;78,BMILMS!$D$5*AM977^3+BMILMS!$E$5*AM977^2+BMILMS!$F$5*AM977+BMILMS!$G$5,IF(AM977&lt;150,BMILMS!$D$6*AM977^3+BMILMS!$E$6*AM977^2+BMILMS!$F$6*AM977+BMILMS!$G$6,BMILMS!$D$7*AM977^3+BMILMS!$E$7*AM977^2+BMILMS!$F$7*AM977+BMILMS!$G$7)),IF(AM977&lt;69,BMILMS!$D$9*AM977^3+BMILMS!$E$9*AM977^2+BMILMS!$F$9*AM977+BMILMS!$G$9,IF(AM977&lt;150,BMILMS!$D$10*AM977^3+BMILMS!$E$10*AM977^2+BMILMS!$F$10*AM977+BMILMS!$G$10,BMILMS!$D$11*AM977^3+BMILMS!$E$11*AM977^2+BMILMS!$F$11*AM977+BMILMS!$G$11)))</f>
        <v>0.79584630099999998</v>
      </c>
      <c r="AK977" s="4">
        <f>IF(D977="M",(IF(AM977&lt;2.5,BMILMS!$D$21*AM977^3+BMILMS!$E$21*AM977^2+BMILMS!$F$21*AM977+BMILMS!$G$21,IF(AM977&lt;9.5,BMILMS!$D$22*AM977^3+BMILMS!$E$22*AM977^2+BMILMS!$F$22*AM977+BMILMS!$G$22,IF(AM977&lt;26.75,BMILMS!$D$23*AM977^3+BMILMS!$E$23*AM977^2+BMILMS!$F$23*AM977+BMILMS!$G$23,IF(AM977&lt;90,BMILMS!$D$24*AM977^3+BMILMS!$E$24*AM977^2+BMILMS!$F$24*AM977+BMILMS!$G$24,BMILMS!$D$25*AM977^3+BMILMS!$E$25*AM977^2+BMILMS!$F$25*AM977+BMILMS!$G$25))))),(IF(AM977&lt;2.5,BMILMS!$D$27*AM977^3+BMILMS!$E$27*AM977^2+BMILMS!$F$27*AM977+BMILMS!$G$27,IF(AM977&lt;9.5,BMILMS!$D$28*AM977^3+BMILMS!$E$28*AM977^2+BMILMS!$F$28*AM977+BMILMS!$G$28,IF(AM977&lt;26.75,BMILMS!$D$29*AM977^3+BMILMS!$E$29*AM977^2+BMILMS!$F$29*AM977+BMILMS!$G$29,IF(AM977&lt;90,BMILMS!$D$30*AM977^3+BMILMS!$E$30*AM977^2+BMILMS!$F$30*AM977+BMILMS!$G$30,IF(AM977&lt;150,BMILMS!$D$31*AM977^3+BMILMS!$E$31*AM977^2+BMILMS!$F$31*AM977+BMILMS!$G$31,BMILMS!$D$32*AM977^3+BMILMS!$E$32*AM977^2+BMILMS!$F$32*AM977+BMILMS!$G$32)))))))</f>
        <v>12.568967990000001</v>
      </c>
      <c r="AL977" s="4">
        <f>IF(D977="M",(IF(AM977&lt;90,BMILMS!$D$14*AM977^3+BMILMS!$E$14*AM977^2+BMILMS!$F$14*AM977+BMILMS!$G$14,BMILMS!$D$15*AM977^3+BMILMS!$E$15*AM977^2+BMILMS!$F$15*AM977+BMILMS!$G$15)),(IF(AM977&lt;90,BMILMS!$D$17*AM977^3+BMILMS!$E$17*AM977^2+BMILMS!$F$17*AM977+BMILMS!$G$17,BMILMS!$D$18*AM977^3+BMILMS!$E$18*AM977^2+BMILMS!$F$18*AM977+BMILMS!$G$18)))</f>
        <v>8.8969350000000003E-2</v>
      </c>
      <c r="AM977" s="4">
        <f t="shared" si="335"/>
        <v>0</v>
      </c>
      <c r="AO977" s="56">
        <f>IF(D977="M",WeightSDS!P$5*$AM977^7+WeightSDS!Q$5*$AM977^6+WeightSDS!R$5*$AM977^5+WeightSDS!S$5*$AM977^4+WeightSDS!T$5*$AM977^3+WeightSDS!U$5*$AM977^2+WeightSDS!V$5*$AM977+WeightSDS!W$5,IF($AM977&lt;186,WeightSDS!P$8*$AM977^7+WeightSDS!Q$8*$AM977^6+WeightSDS!R$8*$AM977^5+WeightSDS!S$8*$AM977^4+WeightSDS!T$8*$AM977^3+WeightSDS!U$8*$AM977^2+WeightSDS!V$8*$AM977+WeightSDS!W$8,WeightSDS!$U$9+WeightSDS!$V$9*($AM977-WeightSDS!$W$9)))</f>
        <v>0.75407122999999998</v>
      </c>
      <c r="AP977" s="4">
        <f>IF(D977="M",IF($AM977&lt;45,WeightSDS!M$23*$AM977^10+WeightSDS!N$23*$AM977^9+WeightSDS!O$23*$AM977^8+WeightSDS!P$23*$AM977^7+WeightSDS!Q$23*$AM977^6+WeightSDS!R$23*$AM977^5+WeightSDS!S$23*$AM977^4+WeightSDS!T$23*$AM977^3+WeightSDS!U$23*$AM977^2+WeightSDS!V$23*$AM977+WeightSDS!W$23,IF($AM977&lt;153,WeightSDS!M$25*$AM977^10+WeightSDS!N$25*$AM977^9+WeightSDS!O$25*$AM977^8+WeightSDS!P$25*$AM977^7+WeightSDS!Q$25*$AM977^6+WeightSDS!R$25*$AM977^5+WeightSDS!S$25*$AM977^4+WeightSDS!T$25*$AM977^3+WeightSDS!U$25*$AM977^2+WeightSDS!V$25*$AM977+WeightSDS!W$25,WeightSDS!M$27+WeightSDS!N$27/(1+EXP(WeightSDS!O$27+WeightSDS!P$27*$AM977)))),IF($AM977&lt;43.8,WeightSDS!M$29*$AM977^10+WeightSDS!N$29*$AM977^9+WeightSDS!O$29*$AM977^8+WeightSDS!P$29*$AM977^7+WeightSDS!Q$29*$AM977^6+WeightSDS!R$29*$AM977^5+WeightSDS!S$29*$AM977^4+WeightSDS!T$29*$AM977^3+WeightSDS!U$29*$AM977^2+WeightSDS!V$29*$AM977+WeightSDS!W$29-0.010431*(1-$AM977/210),IF($AM977&lt;123,WeightSDS!M$30*$AM977^10+WeightSDS!N$30*$AM977^9+WeightSDS!O$30*$AM977^8+WeightSDS!P$30*$AM977^7+WeightSDS!Q$30*$AM977^6+WeightSDS!R$30*$AM977^5+WeightSDS!S$30*$AM977^4+WeightSDS!T$30*$AM977^3+WeightSDS!U$30*$AM977^2+WeightSDS!V$30*$AM977+WeightSDS!W$30-0.010431*(1-1/$AM977),WeightSDS!M$32+WeightSDS!N$32/(1+EXP(WeightSDS!O$32+WeightSDS!P$32*$AM977))-0.010431*(1-$AM977/210))))</f>
        <v>2.9500001032655536</v>
      </c>
      <c r="AQ977" s="4">
        <f>IF(D977="M",IF($AM977&lt;162,WeightSDS!P$12*$AM977^7+WeightSDS!Q$12*$AM977^6+WeightSDS!R$12*$AM977^5+WeightSDS!S$12*$AM977^4+WeightSDS!T$12*$AM977^3+WeightSDS!U$12*$AM977^2+WeightSDS!V$12*$AM977+WeightSDS!W$12,WeightSDS!P$14*$AM977^7+WeightSDS!Q$14*$AM977^6+WeightSDS!R$14*$AM977^5+WeightSDS!S$14*$AM977^4+WeightSDS!T$14*$AM977^3+WeightSDS!U$14*$AM977^2+WeightSDS!V$14*$AM977+WeightSDS!W$14),IF($AM977&lt;156,WeightSDS!O$17*$AM977^8+WeightSDS!P$17*$AM977^7+WeightSDS!Q$17*$AM977^6+WeightSDS!R$17*$AM977^5+WeightSDS!S$17*$AM977^4+WeightSDS!T$17*$AM977^3+WeightSDS!U$17*$AM977^2+WeightSDS!V$17*$AM977+WeightSDS!W$17,IF($AM977&lt;186,WeightSDS!$U$18+(WeightSDS!$V$18-WeightSDS!$U$18)/24*($AM977-186)+WeightSDS!$W$18*(-$AM977+186)^2-0.005,WeightSDS!$U$18+(WeightSDS!$V$18-WeightSDS!$U$18)/24*($AM977-186)-0.005)))</f>
        <v>0.14604529399999999</v>
      </c>
      <c r="AT977" s="4">
        <f t="shared" si="320"/>
        <v>0.56299999999999994</v>
      </c>
      <c r="AU977" s="4">
        <f t="shared" si="321"/>
        <v>69</v>
      </c>
      <c r="AV977" s="4">
        <f t="shared" si="322"/>
        <v>0.51</v>
      </c>
    </row>
    <row r="978" spans="1:48" x14ac:dyDescent="0.15">
      <c r="A978" s="4"/>
      <c r="B978" s="21"/>
      <c r="C978" s="21"/>
      <c r="D978" s="21"/>
      <c r="E978" s="22"/>
      <c r="F978" s="22"/>
      <c r="G978" s="23"/>
      <c r="H978" s="23"/>
      <c r="I978" s="181"/>
      <c r="J978" s="8" t="str">
        <f t="shared" si="316"/>
        <v/>
      </c>
      <c r="K978" s="2" t="str">
        <f t="shared" si="323"/>
        <v/>
      </c>
      <c r="L978" s="2" t="str">
        <f t="shared" si="317"/>
        <v/>
      </c>
      <c r="M978" s="2" t="str">
        <f t="shared" si="324"/>
        <v/>
      </c>
      <c r="N978" s="2" t="str">
        <f t="shared" si="334"/>
        <v/>
      </c>
      <c r="O978" s="2" t="str">
        <f t="shared" si="325"/>
        <v/>
      </c>
      <c r="P978" s="8" t="str">
        <f t="shared" si="326"/>
        <v/>
      </c>
      <c r="Q978" s="8" t="str">
        <f t="shared" si="327"/>
        <v/>
      </c>
      <c r="R978" s="111" t="str">
        <f t="shared" si="328"/>
        <v/>
      </c>
      <c r="S978" s="44" t="str">
        <f t="shared" si="329"/>
        <v/>
      </c>
      <c r="T978" s="37" t="str">
        <f t="shared" si="330"/>
        <v/>
      </c>
      <c r="U978" s="44" t="str">
        <f t="shared" si="331"/>
        <v/>
      </c>
      <c r="V978" s="26"/>
      <c r="W978" s="26"/>
      <c r="X978" s="26"/>
      <c r="Y978" s="26"/>
      <c r="Z978" s="24"/>
      <c r="AA978" s="169">
        <f t="shared" si="332"/>
        <v>0</v>
      </c>
      <c r="AB978" s="4">
        <f t="shared" si="333"/>
        <v>0</v>
      </c>
      <c r="AC978" s="170">
        <f t="shared" si="315"/>
        <v>0</v>
      </c>
      <c r="AD978" s="58"/>
      <c r="AE978" s="58"/>
      <c r="AF978" s="58"/>
      <c r="AG978" s="59">
        <f t="shared" si="318"/>
        <v>9.0359999999999996</v>
      </c>
      <c r="AH978" s="59">
        <f t="shared" si="319"/>
        <v>-184.49199999999999</v>
      </c>
      <c r="AJ978" s="4">
        <f>IF(D978="M",IF(AM978&lt;78,BMILMS!$D$5*AM978^3+BMILMS!$E$5*AM978^2+BMILMS!$F$5*AM978+BMILMS!$G$5,IF(AM978&lt;150,BMILMS!$D$6*AM978^3+BMILMS!$E$6*AM978^2+BMILMS!$F$6*AM978+BMILMS!$G$6,BMILMS!$D$7*AM978^3+BMILMS!$E$7*AM978^2+BMILMS!$F$7*AM978+BMILMS!$G$7)),IF(AM978&lt;69,BMILMS!$D$9*AM978^3+BMILMS!$E$9*AM978^2+BMILMS!$F$9*AM978+BMILMS!$G$9,IF(AM978&lt;150,BMILMS!$D$10*AM978^3+BMILMS!$E$10*AM978^2+BMILMS!$F$10*AM978+BMILMS!$G$10,BMILMS!$D$11*AM978^3+BMILMS!$E$11*AM978^2+BMILMS!$F$11*AM978+BMILMS!$G$11)))</f>
        <v>0.79584630099999998</v>
      </c>
      <c r="AK978" s="4">
        <f>IF(D978="M",(IF(AM978&lt;2.5,BMILMS!$D$21*AM978^3+BMILMS!$E$21*AM978^2+BMILMS!$F$21*AM978+BMILMS!$G$21,IF(AM978&lt;9.5,BMILMS!$D$22*AM978^3+BMILMS!$E$22*AM978^2+BMILMS!$F$22*AM978+BMILMS!$G$22,IF(AM978&lt;26.75,BMILMS!$D$23*AM978^3+BMILMS!$E$23*AM978^2+BMILMS!$F$23*AM978+BMILMS!$G$23,IF(AM978&lt;90,BMILMS!$D$24*AM978^3+BMILMS!$E$24*AM978^2+BMILMS!$F$24*AM978+BMILMS!$G$24,BMILMS!$D$25*AM978^3+BMILMS!$E$25*AM978^2+BMILMS!$F$25*AM978+BMILMS!$G$25))))),(IF(AM978&lt;2.5,BMILMS!$D$27*AM978^3+BMILMS!$E$27*AM978^2+BMILMS!$F$27*AM978+BMILMS!$G$27,IF(AM978&lt;9.5,BMILMS!$D$28*AM978^3+BMILMS!$E$28*AM978^2+BMILMS!$F$28*AM978+BMILMS!$G$28,IF(AM978&lt;26.75,BMILMS!$D$29*AM978^3+BMILMS!$E$29*AM978^2+BMILMS!$F$29*AM978+BMILMS!$G$29,IF(AM978&lt;90,BMILMS!$D$30*AM978^3+BMILMS!$E$30*AM978^2+BMILMS!$F$30*AM978+BMILMS!$G$30,IF(AM978&lt;150,BMILMS!$D$31*AM978^3+BMILMS!$E$31*AM978^2+BMILMS!$F$31*AM978+BMILMS!$G$31,BMILMS!$D$32*AM978^3+BMILMS!$E$32*AM978^2+BMILMS!$F$32*AM978+BMILMS!$G$32)))))))</f>
        <v>12.568967990000001</v>
      </c>
      <c r="AL978" s="4">
        <f>IF(D978="M",(IF(AM978&lt;90,BMILMS!$D$14*AM978^3+BMILMS!$E$14*AM978^2+BMILMS!$F$14*AM978+BMILMS!$G$14,BMILMS!$D$15*AM978^3+BMILMS!$E$15*AM978^2+BMILMS!$F$15*AM978+BMILMS!$G$15)),(IF(AM978&lt;90,BMILMS!$D$17*AM978^3+BMILMS!$E$17*AM978^2+BMILMS!$F$17*AM978+BMILMS!$G$17,BMILMS!$D$18*AM978^3+BMILMS!$E$18*AM978^2+BMILMS!$F$18*AM978+BMILMS!$G$18)))</f>
        <v>8.8969350000000003E-2</v>
      </c>
      <c r="AM978" s="4">
        <f t="shared" si="335"/>
        <v>0</v>
      </c>
      <c r="AO978" s="56">
        <f>IF(D978="M",WeightSDS!P$5*$AM978^7+WeightSDS!Q$5*$AM978^6+WeightSDS!R$5*$AM978^5+WeightSDS!S$5*$AM978^4+WeightSDS!T$5*$AM978^3+WeightSDS!U$5*$AM978^2+WeightSDS!V$5*$AM978+WeightSDS!W$5,IF($AM978&lt;186,WeightSDS!P$8*$AM978^7+WeightSDS!Q$8*$AM978^6+WeightSDS!R$8*$AM978^5+WeightSDS!S$8*$AM978^4+WeightSDS!T$8*$AM978^3+WeightSDS!U$8*$AM978^2+WeightSDS!V$8*$AM978+WeightSDS!W$8,WeightSDS!$U$9+WeightSDS!$V$9*($AM978-WeightSDS!$W$9)))</f>
        <v>0.75407122999999998</v>
      </c>
      <c r="AP978" s="4">
        <f>IF(D978="M",IF($AM978&lt;45,WeightSDS!M$23*$AM978^10+WeightSDS!N$23*$AM978^9+WeightSDS!O$23*$AM978^8+WeightSDS!P$23*$AM978^7+WeightSDS!Q$23*$AM978^6+WeightSDS!R$23*$AM978^5+WeightSDS!S$23*$AM978^4+WeightSDS!T$23*$AM978^3+WeightSDS!U$23*$AM978^2+WeightSDS!V$23*$AM978+WeightSDS!W$23,IF($AM978&lt;153,WeightSDS!M$25*$AM978^10+WeightSDS!N$25*$AM978^9+WeightSDS!O$25*$AM978^8+WeightSDS!P$25*$AM978^7+WeightSDS!Q$25*$AM978^6+WeightSDS!R$25*$AM978^5+WeightSDS!S$25*$AM978^4+WeightSDS!T$25*$AM978^3+WeightSDS!U$25*$AM978^2+WeightSDS!V$25*$AM978+WeightSDS!W$25,WeightSDS!M$27+WeightSDS!N$27/(1+EXP(WeightSDS!O$27+WeightSDS!P$27*$AM978)))),IF($AM978&lt;43.8,WeightSDS!M$29*$AM978^10+WeightSDS!N$29*$AM978^9+WeightSDS!O$29*$AM978^8+WeightSDS!P$29*$AM978^7+WeightSDS!Q$29*$AM978^6+WeightSDS!R$29*$AM978^5+WeightSDS!S$29*$AM978^4+WeightSDS!T$29*$AM978^3+WeightSDS!U$29*$AM978^2+WeightSDS!V$29*$AM978+WeightSDS!W$29-0.010431*(1-$AM978/210),IF($AM978&lt;123,WeightSDS!M$30*$AM978^10+WeightSDS!N$30*$AM978^9+WeightSDS!O$30*$AM978^8+WeightSDS!P$30*$AM978^7+WeightSDS!Q$30*$AM978^6+WeightSDS!R$30*$AM978^5+WeightSDS!S$30*$AM978^4+WeightSDS!T$30*$AM978^3+WeightSDS!U$30*$AM978^2+WeightSDS!V$30*$AM978+WeightSDS!W$30-0.010431*(1-1/$AM978),WeightSDS!M$32+WeightSDS!N$32/(1+EXP(WeightSDS!O$32+WeightSDS!P$32*$AM978))-0.010431*(1-$AM978/210))))</f>
        <v>2.9500001032655536</v>
      </c>
      <c r="AQ978" s="4">
        <f>IF(D978="M",IF($AM978&lt;162,WeightSDS!P$12*$AM978^7+WeightSDS!Q$12*$AM978^6+WeightSDS!R$12*$AM978^5+WeightSDS!S$12*$AM978^4+WeightSDS!T$12*$AM978^3+WeightSDS!U$12*$AM978^2+WeightSDS!V$12*$AM978+WeightSDS!W$12,WeightSDS!P$14*$AM978^7+WeightSDS!Q$14*$AM978^6+WeightSDS!R$14*$AM978^5+WeightSDS!S$14*$AM978^4+WeightSDS!T$14*$AM978^3+WeightSDS!U$14*$AM978^2+WeightSDS!V$14*$AM978+WeightSDS!W$14),IF($AM978&lt;156,WeightSDS!O$17*$AM978^8+WeightSDS!P$17*$AM978^7+WeightSDS!Q$17*$AM978^6+WeightSDS!R$17*$AM978^5+WeightSDS!S$17*$AM978^4+WeightSDS!T$17*$AM978^3+WeightSDS!U$17*$AM978^2+WeightSDS!V$17*$AM978+WeightSDS!W$17,IF($AM978&lt;186,WeightSDS!$U$18+(WeightSDS!$V$18-WeightSDS!$U$18)/24*($AM978-186)+WeightSDS!$W$18*(-$AM978+186)^2-0.005,WeightSDS!$U$18+(WeightSDS!$V$18-WeightSDS!$U$18)/24*($AM978-186)-0.005)))</f>
        <v>0.14604529399999999</v>
      </c>
      <c r="AT978" s="4">
        <f t="shared" si="320"/>
        <v>0.56299999999999994</v>
      </c>
      <c r="AU978" s="4">
        <f t="shared" si="321"/>
        <v>69</v>
      </c>
      <c r="AV978" s="4">
        <f t="shared" si="322"/>
        <v>0.51</v>
      </c>
    </row>
    <row r="979" spans="1:48" x14ac:dyDescent="0.15">
      <c r="A979" s="4"/>
      <c r="B979" s="21"/>
      <c r="C979" s="21"/>
      <c r="D979" s="21"/>
      <c r="E979" s="22"/>
      <c r="F979" s="22"/>
      <c r="G979" s="23"/>
      <c r="H979" s="23"/>
      <c r="I979" s="181"/>
      <c r="J979" s="8" t="str">
        <f t="shared" si="316"/>
        <v/>
      </c>
      <c r="K979" s="2" t="str">
        <f t="shared" si="323"/>
        <v/>
      </c>
      <c r="L979" s="2" t="str">
        <f t="shared" si="317"/>
        <v/>
      </c>
      <c r="M979" s="2" t="str">
        <f t="shared" si="324"/>
        <v/>
      </c>
      <c r="N979" s="2" t="str">
        <f t="shared" si="334"/>
        <v/>
      </c>
      <c r="O979" s="2" t="str">
        <f t="shared" si="325"/>
        <v/>
      </c>
      <c r="P979" s="8" t="str">
        <f t="shared" si="326"/>
        <v/>
      </c>
      <c r="Q979" s="8" t="str">
        <f t="shared" si="327"/>
        <v/>
      </c>
      <c r="R979" s="111" t="str">
        <f t="shared" si="328"/>
        <v/>
      </c>
      <c r="S979" s="44" t="str">
        <f t="shared" si="329"/>
        <v/>
      </c>
      <c r="T979" s="37" t="str">
        <f t="shared" si="330"/>
        <v/>
      </c>
      <c r="U979" s="44" t="str">
        <f t="shared" si="331"/>
        <v/>
      </c>
      <c r="V979" s="26"/>
      <c r="W979" s="26"/>
      <c r="X979" s="26"/>
      <c r="Y979" s="26"/>
      <c r="Z979" s="24"/>
      <c r="AA979" s="169">
        <f t="shared" si="332"/>
        <v>0</v>
      </c>
      <c r="AB979" s="4">
        <f t="shared" si="333"/>
        <v>0</v>
      </c>
      <c r="AC979" s="170">
        <f t="shared" si="315"/>
        <v>0</v>
      </c>
      <c r="AD979" s="58"/>
      <c r="AE979" s="58"/>
      <c r="AF979" s="58"/>
      <c r="AG979" s="59">
        <f t="shared" si="318"/>
        <v>9.0359999999999996</v>
      </c>
      <c r="AH979" s="59">
        <f t="shared" si="319"/>
        <v>-184.49199999999999</v>
      </c>
      <c r="AJ979" s="4">
        <f>IF(D979="M",IF(AM979&lt;78,BMILMS!$D$5*AM979^3+BMILMS!$E$5*AM979^2+BMILMS!$F$5*AM979+BMILMS!$G$5,IF(AM979&lt;150,BMILMS!$D$6*AM979^3+BMILMS!$E$6*AM979^2+BMILMS!$F$6*AM979+BMILMS!$G$6,BMILMS!$D$7*AM979^3+BMILMS!$E$7*AM979^2+BMILMS!$F$7*AM979+BMILMS!$G$7)),IF(AM979&lt;69,BMILMS!$D$9*AM979^3+BMILMS!$E$9*AM979^2+BMILMS!$F$9*AM979+BMILMS!$G$9,IF(AM979&lt;150,BMILMS!$D$10*AM979^3+BMILMS!$E$10*AM979^2+BMILMS!$F$10*AM979+BMILMS!$G$10,BMILMS!$D$11*AM979^3+BMILMS!$E$11*AM979^2+BMILMS!$F$11*AM979+BMILMS!$G$11)))</f>
        <v>0.79584630099999998</v>
      </c>
      <c r="AK979" s="4">
        <f>IF(D979="M",(IF(AM979&lt;2.5,BMILMS!$D$21*AM979^3+BMILMS!$E$21*AM979^2+BMILMS!$F$21*AM979+BMILMS!$G$21,IF(AM979&lt;9.5,BMILMS!$D$22*AM979^3+BMILMS!$E$22*AM979^2+BMILMS!$F$22*AM979+BMILMS!$G$22,IF(AM979&lt;26.75,BMILMS!$D$23*AM979^3+BMILMS!$E$23*AM979^2+BMILMS!$F$23*AM979+BMILMS!$G$23,IF(AM979&lt;90,BMILMS!$D$24*AM979^3+BMILMS!$E$24*AM979^2+BMILMS!$F$24*AM979+BMILMS!$G$24,BMILMS!$D$25*AM979^3+BMILMS!$E$25*AM979^2+BMILMS!$F$25*AM979+BMILMS!$G$25))))),(IF(AM979&lt;2.5,BMILMS!$D$27*AM979^3+BMILMS!$E$27*AM979^2+BMILMS!$F$27*AM979+BMILMS!$G$27,IF(AM979&lt;9.5,BMILMS!$D$28*AM979^3+BMILMS!$E$28*AM979^2+BMILMS!$F$28*AM979+BMILMS!$G$28,IF(AM979&lt;26.75,BMILMS!$D$29*AM979^3+BMILMS!$E$29*AM979^2+BMILMS!$F$29*AM979+BMILMS!$G$29,IF(AM979&lt;90,BMILMS!$D$30*AM979^3+BMILMS!$E$30*AM979^2+BMILMS!$F$30*AM979+BMILMS!$G$30,IF(AM979&lt;150,BMILMS!$D$31*AM979^3+BMILMS!$E$31*AM979^2+BMILMS!$F$31*AM979+BMILMS!$G$31,BMILMS!$D$32*AM979^3+BMILMS!$E$32*AM979^2+BMILMS!$F$32*AM979+BMILMS!$G$32)))))))</f>
        <v>12.568967990000001</v>
      </c>
      <c r="AL979" s="4">
        <f>IF(D979="M",(IF(AM979&lt;90,BMILMS!$D$14*AM979^3+BMILMS!$E$14*AM979^2+BMILMS!$F$14*AM979+BMILMS!$G$14,BMILMS!$D$15*AM979^3+BMILMS!$E$15*AM979^2+BMILMS!$F$15*AM979+BMILMS!$G$15)),(IF(AM979&lt;90,BMILMS!$D$17*AM979^3+BMILMS!$E$17*AM979^2+BMILMS!$F$17*AM979+BMILMS!$G$17,BMILMS!$D$18*AM979^3+BMILMS!$E$18*AM979^2+BMILMS!$F$18*AM979+BMILMS!$G$18)))</f>
        <v>8.8969350000000003E-2</v>
      </c>
      <c r="AM979" s="4">
        <f t="shared" si="335"/>
        <v>0</v>
      </c>
      <c r="AO979" s="56">
        <f>IF(D979="M",WeightSDS!P$5*$AM979^7+WeightSDS!Q$5*$AM979^6+WeightSDS!R$5*$AM979^5+WeightSDS!S$5*$AM979^4+WeightSDS!T$5*$AM979^3+WeightSDS!U$5*$AM979^2+WeightSDS!V$5*$AM979+WeightSDS!W$5,IF($AM979&lt;186,WeightSDS!P$8*$AM979^7+WeightSDS!Q$8*$AM979^6+WeightSDS!R$8*$AM979^5+WeightSDS!S$8*$AM979^4+WeightSDS!T$8*$AM979^3+WeightSDS!U$8*$AM979^2+WeightSDS!V$8*$AM979+WeightSDS!W$8,WeightSDS!$U$9+WeightSDS!$V$9*($AM979-WeightSDS!$W$9)))</f>
        <v>0.75407122999999998</v>
      </c>
      <c r="AP979" s="4">
        <f>IF(D979="M",IF($AM979&lt;45,WeightSDS!M$23*$AM979^10+WeightSDS!N$23*$AM979^9+WeightSDS!O$23*$AM979^8+WeightSDS!P$23*$AM979^7+WeightSDS!Q$23*$AM979^6+WeightSDS!R$23*$AM979^5+WeightSDS!S$23*$AM979^4+WeightSDS!T$23*$AM979^3+WeightSDS!U$23*$AM979^2+WeightSDS!V$23*$AM979+WeightSDS!W$23,IF($AM979&lt;153,WeightSDS!M$25*$AM979^10+WeightSDS!N$25*$AM979^9+WeightSDS!O$25*$AM979^8+WeightSDS!P$25*$AM979^7+WeightSDS!Q$25*$AM979^6+WeightSDS!R$25*$AM979^5+WeightSDS!S$25*$AM979^4+WeightSDS!T$25*$AM979^3+WeightSDS!U$25*$AM979^2+WeightSDS!V$25*$AM979+WeightSDS!W$25,WeightSDS!M$27+WeightSDS!N$27/(1+EXP(WeightSDS!O$27+WeightSDS!P$27*$AM979)))),IF($AM979&lt;43.8,WeightSDS!M$29*$AM979^10+WeightSDS!N$29*$AM979^9+WeightSDS!O$29*$AM979^8+WeightSDS!P$29*$AM979^7+WeightSDS!Q$29*$AM979^6+WeightSDS!R$29*$AM979^5+WeightSDS!S$29*$AM979^4+WeightSDS!T$29*$AM979^3+WeightSDS!U$29*$AM979^2+WeightSDS!V$29*$AM979+WeightSDS!W$29-0.010431*(1-$AM979/210),IF($AM979&lt;123,WeightSDS!M$30*$AM979^10+WeightSDS!N$30*$AM979^9+WeightSDS!O$30*$AM979^8+WeightSDS!P$30*$AM979^7+WeightSDS!Q$30*$AM979^6+WeightSDS!R$30*$AM979^5+WeightSDS!S$30*$AM979^4+WeightSDS!T$30*$AM979^3+WeightSDS!U$30*$AM979^2+WeightSDS!V$30*$AM979+WeightSDS!W$30-0.010431*(1-1/$AM979),WeightSDS!M$32+WeightSDS!N$32/(1+EXP(WeightSDS!O$32+WeightSDS!P$32*$AM979))-0.010431*(1-$AM979/210))))</f>
        <v>2.9500001032655536</v>
      </c>
      <c r="AQ979" s="4">
        <f>IF(D979="M",IF($AM979&lt;162,WeightSDS!P$12*$AM979^7+WeightSDS!Q$12*$AM979^6+WeightSDS!R$12*$AM979^5+WeightSDS!S$12*$AM979^4+WeightSDS!T$12*$AM979^3+WeightSDS!U$12*$AM979^2+WeightSDS!V$12*$AM979+WeightSDS!W$12,WeightSDS!P$14*$AM979^7+WeightSDS!Q$14*$AM979^6+WeightSDS!R$14*$AM979^5+WeightSDS!S$14*$AM979^4+WeightSDS!T$14*$AM979^3+WeightSDS!U$14*$AM979^2+WeightSDS!V$14*$AM979+WeightSDS!W$14),IF($AM979&lt;156,WeightSDS!O$17*$AM979^8+WeightSDS!P$17*$AM979^7+WeightSDS!Q$17*$AM979^6+WeightSDS!R$17*$AM979^5+WeightSDS!S$17*$AM979^4+WeightSDS!T$17*$AM979^3+WeightSDS!U$17*$AM979^2+WeightSDS!V$17*$AM979+WeightSDS!W$17,IF($AM979&lt;186,WeightSDS!$U$18+(WeightSDS!$V$18-WeightSDS!$U$18)/24*($AM979-186)+WeightSDS!$W$18*(-$AM979+186)^2-0.005,WeightSDS!$U$18+(WeightSDS!$V$18-WeightSDS!$U$18)/24*($AM979-186)-0.005)))</f>
        <v>0.14604529399999999</v>
      </c>
      <c r="AT979" s="4">
        <f t="shared" si="320"/>
        <v>0.56299999999999994</v>
      </c>
      <c r="AU979" s="4">
        <f t="shared" si="321"/>
        <v>69</v>
      </c>
      <c r="AV979" s="4">
        <f t="shared" si="322"/>
        <v>0.51</v>
      </c>
    </row>
    <row r="980" spans="1:48" x14ac:dyDescent="0.15">
      <c r="A980" s="4"/>
      <c r="B980" s="21"/>
      <c r="C980" s="21"/>
      <c r="D980" s="21"/>
      <c r="E980" s="22"/>
      <c r="F980" s="22"/>
      <c r="G980" s="23"/>
      <c r="H980" s="23"/>
      <c r="I980" s="181"/>
      <c r="J980" s="8" t="str">
        <f t="shared" si="316"/>
        <v/>
      </c>
      <c r="K980" s="2" t="str">
        <f t="shared" si="323"/>
        <v/>
      </c>
      <c r="L980" s="2" t="str">
        <f t="shared" si="317"/>
        <v/>
      </c>
      <c r="M980" s="2" t="str">
        <f t="shared" si="324"/>
        <v/>
      </c>
      <c r="N980" s="2" t="str">
        <f t="shared" si="334"/>
        <v/>
      </c>
      <c r="O980" s="2" t="str">
        <f t="shared" si="325"/>
        <v/>
      </c>
      <c r="P980" s="8" t="str">
        <f t="shared" si="326"/>
        <v/>
      </c>
      <c r="Q980" s="8" t="str">
        <f t="shared" si="327"/>
        <v/>
      </c>
      <c r="R980" s="111" t="str">
        <f t="shared" si="328"/>
        <v/>
      </c>
      <c r="S980" s="44" t="str">
        <f t="shared" si="329"/>
        <v/>
      </c>
      <c r="T980" s="37" t="str">
        <f t="shared" si="330"/>
        <v/>
      </c>
      <c r="U980" s="44" t="str">
        <f t="shared" si="331"/>
        <v/>
      </c>
      <c r="V980" s="26"/>
      <c r="W980" s="26"/>
      <c r="X980" s="26"/>
      <c r="Y980" s="26"/>
      <c r="Z980" s="24"/>
      <c r="AA980" s="169">
        <f t="shared" si="332"/>
        <v>0</v>
      </c>
      <c r="AB980" s="4">
        <f t="shared" si="333"/>
        <v>0</v>
      </c>
      <c r="AC980" s="170">
        <f t="shared" si="315"/>
        <v>0</v>
      </c>
      <c r="AD980" s="58"/>
      <c r="AE980" s="58"/>
      <c r="AF980" s="58"/>
      <c r="AG980" s="59">
        <f t="shared" si="318"/>
        <v>9.0359999999999996</v>
      </c>
      <c r="AH980" s="59">
        <f t="shared" si="319"/>
        <v>-184.49199999999999</v>
      </c>
      <c r="AJ980" s="4">
        <f>IF(D980="M",IF(AM980&lt;78,BMILMS!$D$5*AM980^3+BMILMS!$E$5*AM980^2+BMILMS!$F$5*AM980+BMILMS!$G$5,IF(AM980&lt;150,BMILMS!$D$6*AM980^3+BMILMS!$E$6*AM980^2+BMILMS!$F$6*AM980+BMILMS!$G$6,BMILMS!$D$7*AM980^3+BMILMS!$E$7*AM980^2+BMILMS!$F$7*AM980+BMILMS!$G$7)),IF(AM980&lt;69,BMILMS!$D$9*AM980^3+BMILMS!$E$9*AM980^2+BMILMS!$F$9*AM980+BMILMS!$G$9,IF(AM980&lt;150,BMILMS!$D$10*AM980^3+BMILMS!$E$10*AM980^2+BMILMS!$F$10*AM980+BMILMS!$G$10,BMILMS!$D$11*AM980^3+BMILMS!$E$11*AM980^2+BMILMS!$F$11*AM980+BMILMS!$G$11)))</f>
        <v>0.79584630099999998</v>
      </c>
      <c r="AK980" s="4">
        <f>IF(D980="M",(IF(AM980&lt;2.5,BMILMS!$D$21*AM980^3+BMILMS!$E$21*AM980^2+BMILMS!$F$21*AM980+BMILMS!$G$21,IF(AM980&lt;9.5,BMILMS!$D$22*AM980^3+BMILMS!$E$22*AM980^2+BMILMS!$F$22*AM980+BMILMS!$G$22,IF(AM980&lt;26.75,BMILMS!$D$23*AM980^3+BMILMS!$E$23*AM980^2+BMILMS!$F$23*AM980+BMILMS!$G$23,IF(AM980&lt;90,BMILMS!$D$24*AM980^3+BMILMS!$E$24*AM980^2+BMILMS!$F$24*AM980+BMILMS!$G$24,BMILMS!$D$25*AM980^3+BMILMS!$E$25*AM980^2+BMILMS!$F$25*AM980+BMILMS!$G$25))))),(IF(AM980&lt;2.5,BMILMS!$D$27*AM980^3+BMILMS!$E$27*AM980^2+BMILMS!$F$27*AM980+BMILMS!$G$27,IF(AM980&lt;9.5,BMILMS!$D$28*AM980^3+BMILMS!$E$28*AM980^2+BMILMS!$F$28*AM980+BMILMS!$G$28,IF(AM980&lt;26.75,BMILMS!$D$29*AM980^3+BMILMS!$E$29*AM980^2+BMILMS!$F$29*AM980+BMILMS!$G$29,IF(AM980&lt;90,BMILMS!$D$30*AM980^3+BMILMS!$E$30*AM980^2+BMILMS!$F$30*AM980+BMILMS!$G$30,IF(AM980&lt;150,BMILMS!$D$31*AM980^3+BMILMS!$E$31*AM980^2+BMILMS!$F$31*AM980+BMILMS!$G$31,BMILMS!$D$32*AM980^3+BMILMS!$E$32*AM980^2+BMILMS!$F$32*AM980+BMILMS!$G$32)))))))</f>
        <v>12.568967990000001</v>
      </c>
      <c r="AL980" s="4">
        <f>IF(D980="M",(IF(AM980&lt;90,BMILMS!$D$14*AM980^3+BMILMS!$E$14*AM980^2+BMILMS!$F$14*AM980+BMILMS!$G$14,BMILMS!$D$15*AM980^3+BMILMS!$E$15*AM980^2+BMILMS!$F$15*AM980+BMILMS!$G$15)),(IF(AM980&lt;90,BMILMS!$D$17*AM980^3+BMILMS!$E$17*AM980^2+BMILMS!$F$17*AM980+BMILMS!$G$17,BMILMS!$D$18*AM980^3+BMILMS!$E$18*AM980^2+BMILMS!$F$18*AM980+BMILMS!$G$18)))</f>
        <v>8.8969350000000003E-2</v>
      </c>
      <c r="AM980" s="4">
        <f t="shared" si="335"/>
        <v>0</v>
      </c>
      <c r="AO980" s="56">
        <f>IF(D980="M",WeightSDS!P$5*$AM980^7+WeightSDS!Q$5*$AM980^6+WeightSDS!R$5*$AM980^5+WeightSDS!S$5*$AM980^4+WeightSDS!T$5*$AM980^3+WeightSDS!U$5*$AM980^2+WeightSDS!V$5*$AM980+WeightSDS!W$5,IF($AM980&lt;186,WeightSDS!P$8*$AM980^7+WeightSDS!Q$8*$AM980^6+WeightSDS!R$8*$AM980^5+WeightSDS!S$8*$AM980^4+WeightSDS!T$8*$AM980^3+WeightSDS!U$8*$AM980^2+WeightSDS!V$8*$AM980+WeightSDS!W$8,WeightSDS!$U$9+WeightSDS!$V$9*($AM980-WeightSDS!$W$9)))</f>
        <v>0.75407122999999998</v>
      </c>
      <c r="AP980" s="4">
        <f>IF(D980="M",IF($AM980&lt;45,WeightSDS!M$23*$AM980^10+WeightSDS!N$23*$AM980^9+WeightSDS!O$23*$AM980^8+WeightSDS!P$23*$AM980^7+WeightSDS!Q$23*$AM980^6+WeightSDS!R$23*$AM980^5+WeightSDS!S$23*$AM980^4+WeightSDS!T$23*$AM980^3+WeightSDS!U$23*$AM980^2+WeightSDS!V$23*$AM980+WeightSDS!W$23,IF($AM980&lt;153,WeightSDS!M$25*$AM980^10+WeightSDS!N$25*$AM980^9+WeightSDS!O$25*$AM980^8+WeightSDS!P$25*$AM980^7+WeightSDS!Q$25*$AM980^6+WeightSDS!R$25*$AM980^5+WeightSDS!S$25*$AM980^4+WeightSDS!T$25*$AM980^3+WeightSDS!U$25*$AM980^2+WeightSDS!V$25*$AM980+WeightSDS!W$25,WeightSDS!M$27+WeightSDS!N$27/(1+EXP(WeightSDS!O$27+WeightSDS!P$27*$AM980)))),IF($AM980&lt;43.8,WeightSDS!M$29*$AM980^10+WeightSDS!N$29*$AM980^9+WeightSDS!O$29*$AM980^8+WeightSDS!P$29*$AM980^7+WeightSDS!Q$29*$AM980^6+WeightSDS!R$29*$AM980^5+WeightSDS!S$29*$AM980^4+WeightSDS!T$29*$AM980^3+WeightSDS!U$29*$AM980^2+WeightSDS!V$29*$AM980+WeightSDS!W$29-0.010431*(1-$AM980/210),IF($AM980&lt;123,WeightSDS!M$30*$AM980^10+WeightSDS!N$30*$AM980^9+WeightSDS!O$30*$AM980^8+WeightSDS!P$30*$AM980^7+WeightSDS!Q$30*$AM980^6+WeightSDS!R$30*$AM980^5+WeightSDS!S$30*$AM980^4+WeightSDS!T$30*$AM980^3+WeightSDS!U$30*$AM980^2+WeightSDS!V$30*$AM980+WeightSDS!W$30-0.010431*(1-1/$AM980),WeightSDS!M$32+WeightSDS!N$32/(1+EXP(WeightSDS!O$32+WeightSDS!P$32*$AM980))-0.010431*(1-$AM980/210))))</f>
        <v>2.9500001032655536</v>
      </c>
      <c r="AQ980" s="4">
        <f>IF(D980="M",IF($AM980&lt;162,WeightSDS!P$12*$AM980^7+WeightSDS!Q$12*$AM980^6+WeightSDS!R$12*$AM980^5+WeightSDS!S$12*$AM980^4+WeightSDS!T$12*$AM980^3+WeightSDS!U$12*$AM980^2+WeightSDS!V$12*$AM980+WeightSDS!W$12,WeightSDS!P$14*$AM980^7+WeightSDS!Q$14*$AM980^6+WeightSDS!R$14*$AM980^5+WeightSDS!S$14*$AM980^4+WeightSDS!T$14*$AM980^3+WeightSDS!U$14*$AM980^2+WeightSDS!V$14*$AM980+WeightSDS!W$14),IF($AM980&lt;156,WeightSDS!O$17*$AM980^8+WeightSDS!P$17*$AM980^7+WeightSDS!Q$17*$AM980^6+WeightSDS!R$17*$AM980^5+WeightSDS!S$17*$AM980^4+WeightSDS!T$17*$AM980^3+WeightSDS!U$17*$AM980^2+WeightSDS!V$17*$AM980+WeightSDS!W$17,IF($AM980&lt;186,WeightSDS!$U$18+(WeightSDS!$V$18-WeightSDS!$U$18)/24*($AM980-186)+WeightSDS!$W$18*(-$AM980+186)^2-0.005,WeightSDS!$U$18+(WeightSDS!$V$18-WeightSDS!$U$18)/24*($AM980-186)-0.005)))</f>
        <v>0.14604529399999999</v>
      </c>
      <c r="AT980" s="4">
        <f t="shared" si="320"/>
        <v>0.56299999999999994</v>
      </c>
      <c r="AU980" s="4">
        <f t="shared" si="321"/>
        <v>69</v>
      </c>
      <c r="AV980" s="4">
        <f t="shared" si="322"/>
        <v>0.51</v>
      </c>
    </row>
    <row r="981" spans="1:48" x14ac:dyDescent="0.15">
      <c r="A981" s="4"/>
      <c r="B981" s="21"/>
      <c r="C981" s="21"/>
      <c r="D981" s="21"/>
      <c r="E981" s="22"/>
      <c r="F981" s="22"/>
      <c r="G981" s="23"/>
      <c r="H981" s="23"/>
      <c r="I981" s="181"/>
      <c r="J981" s="8" t="str">
        <f t="shared" si="316"/>
        <v/>
      </c>
      <c r="K981" s="2" t="str">
        <f t="shared" si="323"/>
        <v/>
      </c>
      <c r="L981" s="2" t="str">
        <f t="shared" si="317"/>
        <v/>
      </c>
      <c r="M981" s="2" t="str">
        <f t="shared" si="324"/>
        <v/>
      </c>
      <c r="N981" s="2" t="str">
        <f t="shared" si="334"/>
        <v/>
      </c>
      <c r="O981" s="2" t="str">
        <f t="shared" si="325"/>
        <v/>
      </c>
      <c r="P981" s="8" t="str">
        <f t="shared" si="326"/>
        <v/>
      </c>
      <c r="Q981" s="8" t="str">
        <f t="shared" si="327"/>
        <v/>
      </c>
      <c r="R981" s="111" t="str">
        <f t="shared" si="328"/>
        <v/>
      </c>
      <c r="S981" s="44" t="str">
        <f t="shared" si="329"/>
        <v/>
      </c>
      <c r="T981" s="37" t="str">
        <f t="shared" si="330"/>
        <v/>
      </c>
      <c r="U981" s="44" t="str">
        <f t="shared" si="331"/>
        <v/>
      </c>
      <c r="V981" s="26"/>
      <c r="W981" s="26"/>
      <c r="X981" s="26"/>
      <c r="Y981" s="26"/>
      <c r="Z981" s="24"/>
      <c r="AA981" s="169">
        <f t="shared" si="332"/>
        <v>0</v>
      </c>
      <c r="AB981" s="4">
        <f t="shared" si="333"/>
        <v>0</v>
      </c>
      <c r="AC981" s="170">
        <f t="shared" si="315"/>
        <v>0</v>
      </c>
      <c r="AD981" s="58"/>
      <c r="AE981" s="58"/>
      <c r="AF981" s="58"/>
      <c r="AG981" s="59">
        <f t="shared" si="318"/>
        <v>9.0359999999999996</v>
      </c>
      <c r="AH981" s="59">
        <f t="shared" si="319"/>
        <v>-184.49199999999999</v>
      </c>
      <c r="AJ981" s="4">
        <f>IF(D981="M",IF(AM981&lt;78,BMILMS!$D$5*AM981^3+BMILMS!$E$5*AM981^2+BMILMS!$F$5*AM981+BMILMS!$G$5,IF(AM981&lt;150,BMILMS!$D$6*AM981^3+BMILMS!$E$6*AM981^2+BMILMS!$F$6*AM981+BMILMS!$G$6,BMILMS!$D$7*AM981^3+BMILMS!$E$7*AM981^2+BMILMS!$F$7*AM981+BMILMS!$G$7)),IF(AM981&lt;69,BMILMS!$D$9*AM981^3+BMILMS!$E$9*AM981^2+BMILMS!$F$9*AM981+BMILMS!$G$9,IF(AM981&lt;150,BMILMS!$D$10*AM981^3+BMILMS!$E$10*AM981^2+BMILMS!$F$10*AM981+BMILMS!$G$10,BMILMS!$D$11*AM981^3+BMILMS!$E$11*AM981^2+BMILMS!$F$11*AM981+BMILMS!$G$11)))</f>
        <v>0.79584630099999998</v>
      </c>
      <c r="AK981" s="4">
        <f>IF(D981="M",(IF(AM981&lt;2.5,BMILMS!$D$21*AM981^3+BMILMS!$E$21*AM981^2+BMILMS!$F$21*AM981+BMILMS!$G$21,IF(AM981&lt;9.5,BMILMS!$D$22*AM981^3+BMILMS!$E$22*AM981^2+BMILMS!$F$22*AM981+BMILMS!$G$22,IF(AM981&lt;26.75,BMILMS!$D$23*AM981^3+BMILMS!$E$23*AM981^2+BMILMS!$F$23*AM981+BMILMS!$G$23,IF(AM981&lt;90,BMILMS!$D$24*AM981^3+BMILMS!$E$24*AM981^2+BMILMS!$F$24*AM981+BMILMS!$G$24,BMILMS!$D$25*AM981^3+BMILMS!$E$25*AM981^2+BMILMS!$F$25*AM981+BMILMS!$G$25))))),(IF(AM981&lt;2.5,BMILMS!$D$27*AM981^3+BMILMS!$E$27*AM981^2+BMILMS!$F$27*AM981+BMILMS!$G$27,IF(AM981&lt;9.5,BMILMS!$D$28*AM981^3+BMILMS!$E$28*AM981^2+BMILMS!$F$28*AM981+BMILMS!$G$28,IF(AM981&lt;26.75,BMILMS!$D$29*AM981^3+BMILMS!$E$29*AM981^2+BMILMS!$F$29*AM981+BMILMS!$G$29,IF(AM981&lt;90,BMILMS!$D$30*AM981^3+BMILMS!$E$30*AM981^2+BMILMS!$F$30*AM981+BMILMS!$G$30,IF(AM981&lt;150,BMILMS!$D$31*AM981^3+BMILMS!$E$31*AM981^2+BMILMS!$F$31*AM981+BMILMS!$G$31,BMILMS!$D$32*AM981^3+BMILMS!$E$32*AM981^2+BMILMS!$F$32*AM981+BMILMS!$G$32)))))))</f>
        <v>12.568967990000001</v>
      </c>
      <c r="AL981" s="4">
        <f>IF(D981="M",(IF(AM981&lt;90,BMILMS!$D$14*AM981^3+BMILMS!$E$14*AM981^2+BMILMS!$F$14*AM981+BMILMS!$G$14,BMILMS!$D$15*AM981^3+BMILMS!$E$15*AM981^2+BMILMS!$F$15*AM981+BMILMS!$G$15)),(IF(AM981&lt;90,BMILMS!$D$17*AM981^3+BMILMS!$E$17*AM981^2+BMILMS!$F$17*AM981+BMILMS!$G$17,BMILMS!$D$18*AM981^3+BMILMS!$E$18*AM981^2+BMILMS!$F$18*AM981+BMILMS!$G$18)))</f>
        <v>8.8969350000000003E-2</v>
      </c>
      <c r="AM981" s="4">
        <f t="shared" si="335"/>
        <v>0</v>
      </c>
      <c r="AO981" s="56">
        <f>IF(D981="M",WeightSDS!P$5*$AM981^7+WeightSDS!Q$5*$AM981^6+WeightSDS!R$5*$AM981^5+WeightSDS!S$5*$AM981^4+WeightSDS!T$5*$AM981^3+WeightSDS!U$5*$AM981^2+WeightSDS!V$5*$AM981+WeightSDS!W$5,IF($AM981&lt;186,WeightSDS!P$8*$AM981^7+WeightSDS!Q$8*$AM981^6+WeightSDS!R$8*$AM981^5+WeightSDS!S$8*$AM981^4+WeightSDS!T$8*$AM981^3+WeightSDS!U$8*$AM981^2+WeightSDS!V$8*$AM981+WeightSDS!W$8,WeightSDS!$U$9+WeightSDS!$V$9*($AM981-WeightSDS!$W$9)))</f>
        <v>0.75407122999999998</v>
      </c>
      <c r="AP981" s="4">
        <f>IF(D981="M",IF($AM981&lt;45,WeightSDS!M$23*$AM981^10+WeightSDS!N$23*$AM981^9+WeightSDS!O$23*$AM981^8+WeightSDS!P$23*$AM981^7+WeightSDS!Q$23*$AM981^6+WeightSDS!R$23*$AM981^5+WeightSDS!S$23*$AM981^4+WeightSDS!T$23*$AM981^3+WeightSDS!U$23*$AM981^2+WeightSDS!V$23*$AM981+WeightSDS!W$23,IF($AM981&lt;153,WeightSDS!M$25*$AM981^10+WeightSDS!N$25*$AM981^9+WeightSDS!O$25*$AM981^8+WeightSDS!P$25*$AM981^7+WeightSDS!Q$25*$AM981^6+WeightSDS!R$25*$AM981^5+WeightSDS!S$25*$AM981^4+WeightSDS!T$25*$AM981^3+WeightSDS!U$25*$AM981^2+WeightSDS!V$25*$AM981+WeightSDS!W$25,WeightSDS!M$27+WeightSDS!N$27/(1+EXP(WeightSDS!O$27+WeightSDS!P$27*$AM981)))),IF($AM981&lt;43.8,WeightSDS!M$29*$AM981^10+WeightSDS!N$29*$AM981^9+WeightSDS!O$29*$AM981^8+WeightSDS!P$29*$AM981^7+WeightSDS!Q$29*$AM981^6+WeightSDS!R$29*$AM981^5+WeightSDS!S$29*$AM981^4+WeightSDS!T$29*$AM981^3+WeightSDS!U$29*$AM981^2+WeightSDS!V$29*$AM981+WeightSDS!W$29-0.010431*(1-$AM981/210),IF($AM981&lt;123,WeightSDS!M$30*$AM981^10+WeightSDS!N$30*$AM981^9+WeightSDS!O$30*$AM981^8+WeightSDS!P$30*$AM981^7+WeightSDS!Q$30*$AM981^6+WeightSDS!R$30*$AM981^5+WeightSDS!S$30*$AM981^4+WeightSDS!T$30*$AM981^3+WeightSDS!U$30*$AM981^2+WeightSDS!V$30*$AM981+WeightSDS!W$30-0.010431*(1-1/$AM981),WeightSDS!M$32+WeightSDS!N$32/(1+EXP(WeightSDS!O$32+WeightSDS!P$32*$AM981))-0.010431*(1-$AM981/210))))</f>
        <v>2.9500001032655536</v>
      </c>
      <c r="AQ981" s="4">
        <f>IF(D981="M",IF($AM981&lt;162,WeightSDS!P$12*$AM981^7+WeightSDS!Q$12*$AM981^6+WeightSDS!R$12*$AM981^5+WeightSDS!S$12*$AM981^4+WeightSDS!T$12*$AM981^3+WeightSDS!U$12*$AM981^2+WeightSDS!V$12*$AM981+WeightSDS!W$12,WeightSDS!P$14*$AM981^7+WeightSDS!Q$14*$AM981^6+WeightSDS!R$14*$AM981^5+WeightSDS!S$14*$AM981^4+WeightSDS!T$14*$AM981^3+WeightSDS!U$14*$AM981^2+WeightSDS!V$14*$AM981+WeightSDS!W$14),IF($AM981&lt;156,WeightSDS!O$17*$AM981^8+WeightSDS!P$17*$AM981^7+WeightSDS!Q$17*$AM981^6+WeightSDS!R$17*$AM981^5+WeightSDS!S$17*$AM981^4+WeightSDS!T$17*$AM981^3+WeightSDS!U$17*$AM981^2+WeightSDS!V$17*$AM981+WeightSDS!W$17,IF($AM981&lt;186,WeightSDS!$U$18+(WeightSDS!$V$18-WeightSDS!$U$18)/24*($AM981-186)+WeightSDS!$W$18*(-$AM981+186)^2-0.005,WeightSDS!$U$18+(WeightSDS!$V$18-WeightSDS!$U$18)/24*($AM981-186)-0.005)))</f>
        <v>0.14604529399999999</v>
      </c>
      <c r="AT981" s="4">
        <f t="shared" si="320"/>
        <v>0.56299999999999994</v>
      </c>
      <c r="AU981" s="4">
        <f t="shared" si="321"/>
        <v>69</v>
      </c>
      <c r="AV981" s="4">
        <f t="shared" si="322"/>
        <v>0.51</v>
      </c>
    </row>
    <row r="982" spans="1:48" x14ac:dyDescent="0.15">
      <c r="A982" s="4"/>
      <c r="B982" s="21"/>
      <c r="C982" s="21"/>
      <c r="D982" s="21"/>
      <c r="E982" s="22"/>
      <c r="F982" s="22"/>
      <c r="G982" s="23"/>
      <c r="H982" s="23"/>
      <c r="I982" s="181"/>
      <c r="J982" s="8" t="str">
        <f t="shared" si="316"/>
        <v/>
      </c>
      <c r="K982" s="2" t="str">
        <f t="shared" si="323"/>
        <v/>
      </c>
      <c r="L982" s="2" t="str">
        <f t="shared" si="317"/>
        <v/>
      </c>
      <c r="M982" s="2" t="str">
        <f t="shared" si="324"/>
        <v/>
      </c>
      <c r="N982" s="2" t="str">
        <f t="shared" si="334"/>
        <v/>
      </c>
      <c r="O982" s="2" t="str">
        <f t="shared" si="325"/>
        <v/>
      </c>
      <c r="P982" s="8" t="str">
        <f t="shared" si="326"/>
        <v/>
      </c>
      <c r="Q982" s="8" t="str">
        <f t="shared" si="327"/>
        <v/>
      </c>
      <c r="R982" s="111" t="str">
        <f t="shared" si="328"/>
        <v/>
      </c>
      <c r="S982" s="44" t="str">
        <f t="shared" si="329"/>
        <v/>
      </c>
      <c r="T982" s="37" t="str">
        <f t="shared" si="330"/>
        <v/>
      </c>
      <c r="U982" s="44" t="str">
        <f t="shared" si="331"/>
        <v/>
      </c>
      <c r="V982" s="26"/>
      <c r="W982" s="26"/>
      <c r="X982" s="26"/>
      <c r="Y982" s="26"/>
      <c r="Z982" s="24"/>
      <c r="AA982" s="169">
        <f t="shared" si="332"/>
        <v>0</v>
      </c>
      <c r="AB982" s="4">
        <f t="shared" si="333"/>
        <v>0</v>
      </c>
      <c r="AC982" s="170">
        <f t="shared" si="315"/>
        <v>0</v>
      </c>
      <c r="AD982" s="58"/>
      <c r="AE982" s="58"/>
      <c r="AF982" s="58"/>
      <c r="AG982" s="59">
        <f t="shared" si="318"/>
        <v>9.0359999999999996</v>
      </c>
      <c r="AH982" s="59">
        <f t="shared" si="319"/>
        <v>-184.49199999999999</v>
      </c>
      <c r="AJ982" s="4">
        <f>IF(D982="M",IF(AM982&lt;78,BMILMS!$D$5*AM982^3+BMILMS!$E$5*AM982^2+BMILMS!$F$5*AM982+BMILMS!$G$5,IF(AM982&lt;150,BMILMS!$D$6*AM982^3+BMILMS!$E$6*AM982^2+BMILMS!$F$6*AM982+BMILMS!$G$6,BMILMS!$D$7*AM982^3+BMILMS!$E$7*AM982^2+BMILMS!$F$7*AM982+BMILMS!$G$7)),IF(AM982&lt;69,BMILMS!$D$9*AM982^3+BMILMS!$E$9*AM982^2+BMILMS!$F$9*AM982+BMILMS!$G$9,IF(AM982&lt;150,BMILMS!$D$10*AM982^3+BMILMS!$E$10*AM982^2+BMILMS!$F$10*AM982+BMILMS!$G$10,BMILMS!$D$11*AM982^3+BMILMS!$E$11*AM982^2+BMILMS!$F$11*AM982+BMILMS!$G$11)))</f>
        <v>0.79584630099999998</v>
      </c>
      <c r="AK982" s="4">
        <f>IF(D982="M",(IF(AM982&lt;2.5,BMILMS!$D$21*AM982^3+BMILMS!$E$21*AM982^2+BMILMS!$F$21*AM982+BMILMS!$G$21,IF(AM982&lt;9.5,BMILMS!$D$22*AM982^3+BMILMS!$E$22*AM982^2+BMILMS!$F$22*AM982+BMILMS!$G$22,IF(AM982&lt;26.75,BMILMS!$D$23*AM982^3+BMILMS!$E$23*AM982^2+BMILMS!$F$23*AM982+BMILMS!$G$23,IF(AM982&lt;90,BMILMS!$D$24*AM982^3+BMILMS!$E$24*AM982^2+BMILMS!$F$24*AM982+BMILMS!$G$24,BMILMS!$D$25*AM982^3+BMILMS!$E$25*AM982^2+BMILMS!$F$25*AM982+BMILMS!$G$25))))),(IF(AM982&lt;2.5,BMILMS!$D$27*AM982^3+BMILMS!$E$27*AM982^2+BMILMS!$F$27*AM982+BMILMS!$G$27,IF(AM982&lt;9.5,BMILMS!$D$28*AM982^3+BMILMS!$E$28*AM982^2+BMILMS!$F$28*AM982+BMILMS!$G$28,IF(AM982&lt;26.75,BMILMS!$D$29*AM982^3+BMILMS!$E$29*AM982^2+BMILMS!$F$29*AM982+BMILMS!$G$29,IF(AM982&lt;90,BMILMS!$D$30*AM982^3+BMILMS!$E$30*AM982^2+BMILMS!$F$30*AM982+BMILMS!$G$30,IF(AM982&lt;150,BMILMS!$D$31*AM982^3+BMILMS!$E$31*AM982^2+BMILMS!$F$31*AM982+BMILMS!$G$31,BMILMS!$D$32*AM982^3+BMILMS!$E$32*AM982^2+BMILMS!$F$32*AM982+BMILMS!$G$32)))))))</f>
        <v>12.568967990000001</v>
      </c>
      <c r="AL982" s="4">
        <f>IF(D982="M",(IF(AM982&lt;90,BMILMS!$D$14*AM982^3+BMILMS!$E$14*AM982^2+BMILMS!$F$14*AM982+BMILMS!$G$14,BMILMS!$D$15*AM982^3+BMILMS!$E$15*AM982^2+BMILMS!$F$15*AM982+BMILMS!$G$15)),(IF(AM982&lt;90,BMILMS!$D$17*AM982^3+BMILMS!$E$17*AM982^2+BMILMS!$F$17*AM982+BMILMS!$G$17,BMILMS!$D$18*AM982^3+BMILMS!$E$18*AM982^2+BMILMS!$F$18*AM982+BMILMS!$G$18)))</f>
        <v>8.8969350000000003E-2</v>
      </c>
      <c r="AM982" s="4">
        <f t="shared" si="335"/>
        <v>0</v>
      </c>
      <c r="AO982" s="56">
        <f>IF(D982="M",WeightSDS!P$5*$AM982^7+WeightSDS!Q$5*$AM982^6+WeightSDS!R$5*$AM982^5+WeightSDS!S$5*$AM982^4+WeightSDS!T$5*$AM982^3+WeightSDS!U$5*$AM982^2+WeightSDS!V$5*$AM982+WeightSDS!W$5,IF($AM982&lt;186,WeightSDS!P$8*$AM982^7+WeightSDS!Q$8*$AM982^6+WeightSDS!R$8*$AM982^5+WeightSDS!S$8*$AM982^4+WeightSDS!T$8*$AM982^3+WeightSDS!U$8*$AM982^2+WeightSDS!V$8*$AM982+WeightSDS!W$8,WeightSDS!$U$9+WeightSDS!$V$9*($AM982-WeightSDS!$W$9)))</f>
        <v>0.75407122999999998</v>
      </c>
      <c r="AP982" s="4">
        <f>IF(D982="M",IF($AM982&lt;45,WeightSDS!M$23*$AM982^10+WeightSDS!N$23*$AM982^9+WeightSDS!O$23*$AM982^8+WeightSDS!P$23*$AM982^7+WeightSDS!Q$23*$AM982^6+WeightSDS!R$23*$AM982^5+WeightSDS!S$23*$AM982^4+WeightSDS!T$23*$AM982^3+WeightSDS!U$23*$AM982^2+WeightSDS!V$23*$AM982+WeightSDS!W$23,IF($AM982&lt;153,WeightSDS!M$25*$AM982^10+WeightSDS!N$25*$AM982^9+WeightSDS!O$25*$AM982^8+WeightSDS!P$25*$AM982^7+WeightSDS!Q$25*$AM982^6+WeightSDS!R$25*$AM982^5+WeightSDS!S$25*$AM982^4+WeightSDS!T$25*$AM982^3+WeightSDS!U$25*$AM982^2+WeightSDS!V$25*$AM982+WeightSDS!W$25,WeightSDS!M$27+WeightSDS!N$27/(1+EXP(WeightSDS!O$27+WeightSDS!P$27*$AM982)))),IF($AM982&lt;43.8,WeightSDS!M$29*$AM982^10+WeightSDS!N$29*$AM982^9+WeightSDS!O$29*$AM982^8+WeightSDS!P$29*$AM982^7+WeightSDS!Q$29*$AM982^6+WeightSDS!R$29*$AM982^5+WeightSDS!S$29*$AM982^4+WeightSDS!T$29*$AM982^3+WeightSDS!U$29*$AM982^2+WeightSDS!V$29*$AM982+WeightSDS!W$29-0.010431*(1-$AM982/210),IF($AM982&lt;123,WeightSDS!M$30*$AM982^10+WeightSDS!N$30*$AM982^9+WeightSDS!O$30*$AM982^8+WeightSDS!P$30*$AM982^7+WeightSDS!Q$30*$AM982^6+WeightSDS!R$30*$AM982^5+WeightSDS!S$30*$AM982^4+WeightSDS!T$30*$AM982^3+WeightSDS!U$30*$AM982^2+WeightSDS!V$30*$AM982+WeightSDS!W$30-0.010431*(1-1/$AM982),WeightSDS!M$32+WeightSDS!N$32/(1+EXP(WeightSDS!O$32+WeightSDS!P$32*$AM982))-0.010431*(1-$AM982/210))))</f>
        <v>2.9500001032655536</v>
      </c>
      <c r="AQ982" s="4">
        <f>IF(D982="M",IF($AM982&lt;162,WeightSDS!P$12*$AM982^7+WeightSDS!Q$12*$AM982^6+WeightSDS!R$12*$AM982^5+WeightSDS!S$12*$AM982^4+WeightSDS!T$12*$AM982^3+WeightSDS!U$12*$AM982^2+WeightSDS!V$12*$AM982+WeightSDS!W$12,WeightSDS!P$14*$AM982^7+WeightSDS!Q$14*$AM982^6+WeightSDS!R$14*$AM982^5+WeightSDS!S$14*$AM982^4+WeightSDS!T$14*$AM982^3+WeightSDS!U$14*$AM982^2+WeightSDS!V$14*$AM982+WeightSDS!W$14),IF($AM982&lt;156,WeightSDS!O$17*$AM982^8+WeightSDS!P$17*$AM982^7+WeightSDS!Q$17*$AM982^6+WeightSDS!R$17*$AM982^5+WeightSDS!S$17*$AM982^4+WeightSDS!T$17*$AM982^3+WeightSDS!U$17*$AM982^2+WeightSDS!V$17*$AM982+WeightSDS!W$17,IF($AM982&lt;186,WeightSDS!$U$18+(WeightSDS!$V$18-WeightSDS!$U$18)/24*($AM982-186)+WeightSDS!$W$18*(-$AM982+186)^2-0.005,WeightSDS!$U$18+(WeightSDS!$V$18-WeightSDS!$U$18)/24*($AM982-186)-0.005)))</f>
        <v>0.14604529399999999</v>
      </c>
      <c r="AT982" s="4">
        <f t="shared" si="320"/>
        <v>0.56299999999999994</v>
      </c>
      <c r="AU982" s="4">
        <f t="shared" si="321"/>
        <v>69</v>
      </c>
      <c r="AV982" s="4">
        <f t="shared" si="322"/>
        <v>0.51</v>
      </c>
    </row>
    <row r="983" spans="1:48" x14ac:dyDescent="0.15">
      <c r="A983" s="4"/>
      <c r="B983" s="21"/>
      <c r="C983" s="21"/>
      <c r="D983" s="21"/>
      <c r="E983" s="22"/>
      <c r="F983" s="22"/>
      <c r="G983" s="23"/>
      <c r="H983" s="23"/>
      <c r="I983" s="181"/>
      <c r="J983" s="8" t="str">
        <f t="shared" si="316"/>
        <v/>
      </c>
      <c r="K983" s="2" t="str">
        <f t="shared" si="323"/>
        <v/>
      </c>
      <c r="L983" s="2" t="str">
        <f t="shared" si="317"/>
        <v/>
      </c>
      <c r="M983" s="2" t="str">
        <f t="shared" si="324"/>
        <v/>
      </c>
      <c r="N983" s="2" t="str">
        <f t="shared" si="334"/>
        <v/>
      </c>
      <c r="O983" s="2" t="str">
        <f t="shared" si="325"/>
        <v/>
      </c>
      <c r="P983" s="8" t="str">
        <f t="shared" si="326"/>
        <v/>
      </c>
      <c r="Q983" s="8" t="str">
        <f t="shared" si="327"/>
        <v/>
      </c>
      <c r="R983" s="111" t="str">
        <f t="shared" si="328"/>
        <v/>
      </c>
      <c r="S983" s="44" t="str">
        <f t="shared" si="329"/>
        <v/>
      </c>
      <c r="T983" s="37" t="str">
        <f t="shared" si="330"/>
        <v/>
      </c>
      <c r="U983" s="44" t="str">
        <f t="shared" si="331"/>
        <v/>
      </c>
      <c r="V983" s="26"/>
      <c r="W983" s="26"/>
      <c r="X983" s="26"/>
      <c r="Y983" s="26"/>
      <c r="Z983" s="24"/>
      <c r="AA983" s="169">
        <f t="shared" si="332"/>
        <v>0</v>
      </c>
      <c r="AB983" s="4">
        <f t="shared" si="333"/>
        <v>0</v>
      </c>
      <c r="AC983" s="170">
        <f t="shared" si="315"/>
        <v>0</v>
      </c>
      <c r="AD983" s="58"/>
      <c r="AE983" s="58"/>
      <c r="AF983" s="58"/>
      <c r="AG983" s="59">
        <f t="shared" si="318"/>
        <v>9.0359999999999996</v>
      </c>
      <c r="AH983" s="59">
        <f t="shared" si="319"/>
        <v>-184.49199999999999</v>
      </c>
      <c r="AJ983" s="4">
        <f>IF(D983="M",IF(AM983&lt;78,BMILMS!$D$5*AM983^3+BMILMS!$E$5*AM983^2+BMILMS!$F$5*AM983+BMILMS!$G$5,IF(AM983&lt;150,BMILMS!$D$6*AM983^3+BMILMS!$E$6*AM983^2+BMILMS!$F$6*AM983+BMILMS!$G$6,BMILMS!$D$7*AM983^3+BMILMS!$E$7*AM983^2+BMILMS!$F$7*AM983+BMILMS!$G$7)),IF(AM983&lt;69,BMILMS!$D$9*AM983^3+BMILMS!$E$9*AM983^2+BMILMS!$F$9*AM983+BMILMS!$G$9,IF(AM983&lt;150,BMILMS!$D$10*AM983^3+BMILMS!$E$10*AM983^2+BMILMS!$F$10*AM983+BMILMS!$G$10,BMILMS!$D$11*AM983^3+BMILMS!$E$11*AM983^2+BMILMS!$F$11*AM983+BMILMS!$G$11)))</f>
        <v>0.79584630099999998</v>
      </c>
      <c r="AK983" s="4">
        <f>IF(D983="M",(IF(AM983&lt;2.5,BMILMS!$D$21*AM983^3+BMILMS!$E$21*AM983^2+BMILMS!$F$21*AM983+BMILMS!$G$21,IF(AM983&lt;9.5,BMILMS!$D$22*AM983^3+BMILMS!$E$22*AM983^2+BMILMS!$F$22*AM983+BMILMS!$G$22,IF(AM983&lt;26.75,BMILMS!$D$23*AM983^3+BMILMS!$E$23*AM983^2+BMILMS!$F$23*AM983+BMILMS!$G$23,IF(AM983&lt;90,BMILMS!$D$24*AM983^3+BMILMS!$E$24*AM983^2+BMILMS!$F$24*AM983+BMILMS!$G$24,BMILMS!$D$25*AM983^3+BMILMS!$E$25*AM983^2+BMILMS!$F$25*AM983+BMILMS!$G$25))))),(IF(AM983&lt;2.5,BMILMS!$D$27*AM983^3+BMILMS!$E$27*AM983^2+BMILMS!$F$27*AM983+BMILMS!$G$27,IF(AM983&lt;9.5,BMILMS!$D$28*AM983^3+BMILMS!$E$28*AM983^2+BMILMS!$F$28*AM983+BMILMS!$G$28,IF(AM983&lt;26.75,BMILMS!$D$29*AM983^3+BMILMS!$E$29*AM983^2+BMILMS!$F$29*AM983+BMILMS!$G$29,IF(AM983&lt;90,BMILMS!$D$30*AM983^3+BMILMS!$E$30*AM983^2+BMILMS!$F$30*AM983+BMILMS!$G$30,IF(AM983&lt;150,BMILMS!$D$31*AM983^3+BMILMS!$E$31*AM983^2+BMILMS!$F$31*AM983+BMILMS!$G$31,BMILMS!$D$32*AM983^3+BMILMS!$E$32*AM983^2+BMILMS!$F$32*AM983+BMILMS!$G$32)))))))</f>
        <v>12.568967990000001</v>
      </c>
      <c r="AL983" s="4">
        <f>IF(D983="M",(IF(AM983&lt;90,BMILMS!$D$14*AM983^3+BMILMS!$E$14*AM983^2+BMILMS!$F$14*AM983+BMILMS!$G$14,BMILMS!$D$15*AM983^3+BMILMS!$E$15*AM983^2+BMILMS!$F$15*AM983+BMILMS!$G$15)),(IF(AM983&lt;90,BMILMS!$D$17*AM983^3+BMILMS!$E$17*AM983^2+BMILMS!$F$17*AM983+BMILMS!$G$17,BMILMS!$D$18*AM983^3+BMILMS!$E$18*AM983^2+BMILMS!$F$18*AM983+BMILMS!$G$18)))</f>
        <v>8.8969350000000003E-2</v>
      </c>
      <c r="AM983" s="4">
        <f t="shared" si="335"/>
        <v>0</v>
      </c>
      <c r="AO983" s="56">
        <f>IF(D983="M",WeightSDS!P$5*$AM983^7+WeightSDS!Q$5*$AM983^6+WeightSDS!R$5*$AM983^5+WeightSDS!S$5*$AM983^4+WeightSDS!T$5*$AM983^3+WeightSDS!U$5*$AM983^2+WeightSDS!V$5*$AM983+WeightSDS!W$5,IF($AM983&lt;186,WeightSDS!P$8*$AM983^7+WeightSDS!Q$8*$AM983^6+WeightSDS!R$8*$AM983^5+WeightSDS!S$8*$AM983^4+WeightSDS!T$8*$AM983^3+WeightSDS!U$8*$AM983^2+WeightSDS!V$8*$AM983+WeightSDS!W$8,WeightSDS!$U$9+WeightSDS!$V$9*($AM983-WeightSDS!$W$9)))</f>
        <v>0.75407122999999998</v>
      </c>
      <c r="AP983" s="4">
        <f>IF(D983="M",IF($AM983&lt;45,WeightSDS!M$23*$AM983^10+WeightSDS!N$23*$AM983^9+WeightSDS!O$23*$AM983^8+WeightSDS!P$23*$AM983^7+WeightSDS!Q$23*$AM983^6+WeightSDS!R$23*$AM983^5+WeightSDS!S$23*$AM983^4+WeightSDS!T$23*$AM983^3+WeightSDS!U$23*$AM983^2+WeightSDS!V$23*$AM983+WeightSDS!W$23,IF($AM983&lt;153,WeightSDS!M$25*$AM983^10+WeightSDS!N$25*$AM983^9+WeightSDS!O$25*$AM983^8+WeightSDS!P$25*$AM983^7+WeightSDS!Q$25*$AM983^6+WeightSDS!R$25*$AM983^5+WeightSDS!S$25*$AM983^4+WeightSDS!T$25*$AM983^3+WeightSDS!U$25*$AM983^2+WeightSDS!V$25*$AM983+WeightSDS!W$25,WeightSDS!M$27+WeightSDS!N$27/(1+EXP(WeightSDS!O$27+WeightSDS!P$27*$AM983)))),IF($AM983&lt;43.8,WeightSDS!M$29*$AM983^10+WeightSDS!N$29*$AM983^9+WeightSDS!O$29*$AM983^8+WeightSDS!P$29*$AM983^7+WeightSDS!Q$29*$AM983^6+WeightSDS!R$29*$AM983^5+WeightSDS!S$29*$AM983^4+WeightSDS!T$29*$AM983^3+WeightSDS!U$29*$AM983^2+WeightSDS!V$29*$AM983+WeightSDS!W$29-0.010431*(1-$AM983/210),IF($AM983&lt;123,WeightSDS!M$30*$AM983^10+WeightSDS!N$30*$AM983^9+WeightSDS!O$30*$AM983^8+WeightSDS!P$30*$AM983^7+WeightSDS!Q$30*$AM983^6+WeightSDS!R$30*$AM983^5+WeightSDS!S$30*$AM983^4+WeightSDS!T$30*$AM983^3+WeightSDS!U$30*$AM983^2+WeightSDS!V$30*$AM983+WeightSDS!W$30-0.010431*(1-1/$AM983),WeightSDS!M$32+WeightSDS!N$32/(1+EXP(WeightSDS!O$32+WeightSDS!P$32*$AM983))-0.010431*(1-$AM983/210))))</f>
        <v>2.9500001032655536</v>
      </c>
      <c r="AQ983" s="4">
        <f>IF(D983="M",IF($AM983&lt;162,WeightSDS!P$12*$AM983^7+WeightSDS!Q$12*$AM983^6+WeightSDS!R$12*$AM983^5+WeightSDS!S$12*$AM983^4+WeightSDS!T$12*$AM983^3+WeightSDS!U$12*$AM983^2+WeightSDS!V$12*$AM983+WeightSDS!W$12,WeightSDS!P$14*$AM983^7+WeightSDS!Q$14*$AM983^6+WeightSDS!R$14*$AM983^5+WeightSDS!S$14*$AM983^4+WeightSDS!T$14*$AM983^3+WeightSDS!U$14*$AM983^2+WeightSDS!V$14*$AM983+WeightSDS!W$14),IF($AM983&lt;156,WeightSDS!O$17*$AM983^8+WeightSDS!P$17*$AM983^7+WeightSDS!Q$17*$AM983^6+WeightSDS!R$17*$AM983^5+WeightSDS!S$17*$AM983^4+WeightSDS!T$17*$AM983^3+WeightSDS!U$17*$AM983^2+WeightSDS!V$17*$AM983+WeightSDS!W$17,IF($AM983&lt;186,WeightSDS!$U$18+(WeightSDS!$V$18-WeightSDS!$U$18)/24*($AM983-186)+WeightSDS!$W$18*(-$AM983+186)^2-0.005,WeightSDS!$U$18+(WeightSDS!$V$18-WeightSDS!$U$18)/24*($AM983-186)-0.005)))</f>
        <v>0.14604529399999999</v>
      </c>
      <c r="AT983" s="4">
        <f t="shared" si="320"/>
        <v>0.56299999999999994</v>
      </c>
      <c r="AU983" s="4">
        <f t="shared" si="321"/>
        <v>69</v>
      </c>
      <c r="AV983" s="4">
        <f t="shared" si="322"/>
        <v>0.51</v>
      </c>
    </row>
    <row r="984" spans="1:48" x14ac:dyDescent="0.15">
      <c r="A984" s="4"/>
      <c r="B984" s="21"/>
      <c r="C984" s="21"/>
      <c r="D984" s="21"/>
      <c r="E984" s="22"/>
      <c r="F984" s="22"/>
      <c r="G984" s="23"/>
      <c r="H984" s="23"/>
      <c r="I984" s="181"/>
      <c r="J984" s="8" t="str">
        <f t="shared" si="316"/>
        <v/>
      </c>
      <c r="K984" s="2" t="str">
        <f t="shared" si="323"/>
        <v/>
      </c>
      <c r="L984" s="2" t="str">
        <f t="shared" si="317"/>
        <v/>
      </c>
      <c r="M984" s="2" t="str">
        <f t="shared" si="324"/>
        <v/>
      </c>
      <c r="N984" s="2" t="str">
        <f t="shared" si="334"/>
        <v/>
      </c>
      <c r="O984" s="2" t="str">
        <f t="shared" si="325"/>
        <v/>
      </c>
      <c r="P984" s="8" t="str">
        <f t="shared" si="326"/>
        <v/>
      </c>
      <c r="Q984" s="8" t="str">
        <f t="shared" si="327"/>
        <v/>
      </c>
      <c r="R984" s="111" t="str">
        <f t="shared" si="328"/>
        <v/>
      </c>
      <c r="S984" s="44" t="str">
        <f t="shared" si="329"/>
        <v/>
      </c>
      <c r="T984" s="37" t="str">
        <f t="shared" si="330"/>
        <v/>
      </c>
      <c r="U984" s="44" t="str">
        <f t="shared" si="331"/>
        <v/>
      </c>
      <c r="V984" s="26"/>
      <c r="W984" s="26"/>
      <c r="X984" s="26"/>
      <c r="Y984" s="26"/>
      <c r="Z984" s="24"/>
      <c r="AA984" s="169">
        <f t="shared" si="332"/>
        <v>0</v>
      </c>
      <c r="AB984" s="4">
        <f t="shared" si="333"/>
        <v>0</v>
      </c>
      <c r="AC984" s="170">
        <f t="shared" si="315"/>
        <v>0</v>
      </c>
      <c r="AD984" s="58"/>
      <c r="AE984" s="58"/>
      <c r="AF984" s="58"/>
      <c r="AG984" s="59">
        <f t="shared" si="318"/>
        <v>9.0359999999999996</v>
      </c>
      <c r="AH984" s="59">
        <f t="shared" si="319"/>
        <v>-184.49199999999999</v>
      </c>
      <c r="AJ984" s="4">
        <f>IF(D984="M",IF(AM984&lt;78,BMILMS!$D$5*AM984^3+BMILMS!$E$5*AM984^2+BMILMS!$F$5*AM984+BMILMS!$G$5,IF(AM984&lt;150,BMILMS!$D$6*AM984^3+BMILMS!$E$6*AM984^2+BMILMS!$F$6*AM984+BMILMS!$G$6,BMILMS!$D$7*AM984^3+BMILMS!$E$7*AM984^2+BMILMS!$F$7*AM984+BMILMS!$G$7)),IF(AM984&lt;69,BMILMS!$D$9*AM984^3+BMILMS!$E$9*AM984^2+BMILMS!$F$9*AM984+BMILMS!$G$9,IF(AM984&lt;150,BMILMS!$D$10*AM984^3+BMILMS!$E$10*AM984^2+BMILMS!$F$10*AM984+BMILMS!$G$10,BMILMS!$D$11*AM984^3+BMILMS!$E$11*AM984^2+BMILMS!$F$11*AM984+BMILMS!$G$11)))</f>
        <v>0.79584630099999998</v>
      </c>
      <c r="AK984" s="4">
        <f>IF(D984="M",(IF(AM984&lt;2.5,BMILMS!$D$21*AM984^3+BMILMS!$E$21*AM984^2+BMILMS!$F$21*AM984+BMILMS!$G$21,IF(AM984&lt;9.5,BMILMS!$D$22*AM984^3+BMILMS!$E$22*AM984^2+BMILMS!$F$22*AM984+BMILMS!$G$22,IF(AM984&lt;26.75,BMILMS!$D$23*AM984^3+BMILMS!$E$23*AM984^2+BMILMS!$F$23*AM984+BMILMS!$G$23,IF(AM984&lt;90,BMILMS!$D$24*AM984^3+BMILMS!$E$24*AM984^2+BMILMS!$F$24*AM984+BMILMS!$G$24,BMILMS!$D$25*AM984^3+BMILMS!$E$25*AM984^2+BMILMS!$F$25*AM984+BMILMS!$G$25))))),(IF(AM984&lt;2.5,BMILMS!$D$27*AM984^3+BMILMS!$E$27*AM984^2+BMILMS!$F$27*AM984+BMILMS!$G$27,IF(AM984&lt;9.5,BMILMS!$D$28*AM984^3+BMILMS!$E$28*AM984^2+BMILMS!$F$28*AM984+BMILMS!$G$28,IF(AM984&lt;26.75,BMILMS!$D$29*AM984^3+BMILMS!$E$29*AM984^2+BMILMS!$F$29*AM984+BMILMS!$G$29,IF(AM984&lt;90,BMILMS!$D$30*AM984^3+BMILMS!$E$30*AM984^2+BMILMS!$F$30*AM984+BMILMS!$G$30,IF(AM984&lt;150,BMILMS!$D$31*AM984^3+BMILMS!$E$31*AM984^2+BMILMS!$F$31*AM984+BMILMS!$G$31,BMILMS!$D$32*AM984^3+BMILMS!$E$32*AM984^2+BMILMS!$F$32*AM984+BMILMS!$G$32)))))))</f>
        <v>12.568967990000001</v>
      </c>
      <c r="AL984" s="4">
        <f>IF(D984="M",(IF(AM984&lt;90,BMILMS!$D$14*AM984^3+BMILMS!$E$14*AM984^2+BMILMS!$F$14*AM984+BMILMS!$G$14,BMILMS!$D$15*AM984^3+BMILMS!$E$15*AM984^2+BMILMS!$F$15*AM984+BMILMS!$G$15)),(IF(AM984&lt;90,BMILMS!$D$17*AM984^3+BMILMS!$E$17*AM984^2+BMILMS!$F$17*AM984+BMILMS!$G$17,BMILMS!$D$18*AM984^3+BMILMS!$E$18*AM984^2+BMILMS!$F$18*AM984+BMILMS!$G$18)))</f>
        <v>8.8969350000000003E-2</v>
      </c>
      <c r="AM984" s="4">
        <f t="shared" si="335"/>
        <v>0</v>
      </c>
      <c r="AO984" s="56">
        <f>IF(D984="M",WeightSDS!P$5*$AM984^7+WeightSDS!Q$5*$AM984^6+WeightSDS!R$5*$AM984^5+WeightSDS!S$5*$AM984^4+WeightSDS!T$5*$AM984^3+WeightSDS!U$5*$AM984^2+WeightSDS!V$5*$AM984+WeightSDS!W$5,IF($AM984&lt;186,WeightSDS!P$8*$AM984^7+WeightSDS!Q$8*$AM984^6+WeightSDS!R$8*$AM984^5+WeightSDS!S$8*$AM984^4+WeightSDS!T$8*$AM984^3+WeightSDS!U$8*$AM984^2+WeightSDS!V$8*$AM984+WeightSDS!W$8,WeightSDS!$U$9+WeightSDS!$V$9*($AM984-WeightSDS!$W$9)))</f>
        <v>0.75407122999999998</v>
      </c>
      <c r="AP984" s="4">
        <f>IF(D984="M",IF($AM984&lt;45,WeightSDS!M$23*$AM984^10+WeightSDS!N$23*$AM984^9+WeightSDS!O$23*$AM984^8+WeightSDS!P$23*$AM984^7+WeightSDS!Q$23*$AM984^6+WeightSDS!R$23*$AM984^5+WeightSDS!S$23*$AM984^4+WeightSDS!T$23*$AM984^3+WeightSDS!U$23*$AM984^2+WeightSDS!V$23*$AM984+WeightSDS!W$23,IF($AM984&lt;153,WeightSDS!M$25*$AM984^10+WeightSDS!N$25*$AM984^9+WeightSDS!O$25*$AM984^8+WeightSDS!P$25*$AM984^7+WeightSDS!Q$25*$AM984^6+WeightSDS!R$25*$AM984^5+WeightSDS!S$25*$AM984^4+WeightSDS!T$25*$AM984^3+WeightSDS!U$25*$AM984^2+WeightSDS!V$25*$AM984+WeightSDS!W$25,WeightSDS!M$27+WeightSDS!N$27/(1+EXP(WeightSDS!O$27+WeightSDS!P$27*$AM984)))),IF($AM984&lt;43.8,WeightSDS!M$29*$AM984^10+WeightSDS!N$29*$AM984^9+WeightSDS!O$29*$AM984^8+WeightSDS!P$29*$AM984^7+WeightSDS!Q$29*$AM984^6+WeightSDS!R$29*$AM984^5+WeightSDS!S$29*$AM984^4+WeightSDS!T$29*$AM984^3+WeightSDS!U$29*$AM984^2+WeightSDS!V$29*$AM984+WeightSDS!W$29-0.010431*(1-$AM984/210),IF($AM984&lt;123,WeightSDS!M$30*$AM984^10+WeightSDS!N$30*$AM984^9+WeightSDS!O$30*$AM984^8+WeightSDS!P$30*$AM984^7+WeightSDS!Q$30*$AM984^6+WeightSDS!R$30*$AM984^5+WeightSDS!S$30*$AM984^4+WeightSDS!T$30*$AM984^3+WeightSDS!U$30*$AM984^2+WeightSDS!V$30*$AM984+WeightSDS!W$30-0.010431*(1-1/$AM984),WeightSDS!M$32+WeightSDS!N$32/(1+EXP(WeightSDS!O$32+WeightSDS!P$32*$AM984))-0.010431*(1-$AM984/210))))</f>
        <v>2.9500001032655536</v>
      </c>
      <c r="AQ984" s="4">
        <f>IF(D984="M",IF($AM984&lt;162,WeightSDS!P$12*$AM984^7+WeightSDS!Q$12*$AM984^6+WeightSDS!R$12*$AM984^5+WeightSDS!S$12*$AM984^4+WeightSDS!T$12*$AM984^3+WeightSDS!U$12*$AM984^2+WeightSDS!V$12*$AM984+WeightSDS!W$12,WeightSDS!P$14*$AM984^7+WeightSDS!Q$14*$AM984^6+WeightSDS!R$14*$AM984^5+WeightSDS!S$14*$AM984^4+WeightSDS!T$14*$AM984^3+WeightSDS!U$14*$AM984^2+WeightSDS!V$14*$AM984+WeightSDS!W$14),IF($AM984&lt;156,WeightSDS!O$17*$AM984^8+WeightSDS!P$17*$AM984^7+WeightSDS!Q$17*$AM984^6+WeightSDS!R$17*$AM984^5+WeightSDS!S$17*$AM984^4+WeightSDS!T$17*$AM984^3+WeightSDS!U$17*$AM984^2+WeightSDS!V$17*$AM984+WeightSDS!W$17,IF($AM984&lt;186,WeightSDS!$U$18+(WeightSDS!$V$18-WeightSDS!$U$18)/24*($AM984-186)+WeightSDS!$W$18*(-$AM984+186)^2-0.005,WeightSDS!$U$18+(WeightSDS!$V$18-WeightSDS!$U$18)/24*($AM984-186)-0.005)))</f>
        <v>0.14604529399999999</v>
      </c>
      <c r="AT984" s="4">
        <f t="shared" si="320"/>
        <v>0.56299999999999994</v>
      </c>
      <c r="AU984" s="4">
        <f t="shared" si="321"/>
        <v>69</v>
      </c>
      <c r="AV984" s="4">
        <f t="shared" si="322"/>
        <v>0.51</v>
      </c>
    </row>
    <row r="985" spans="1:48" x14ac:dyDescent="0.15">
      <c r="A985" s="4"/>
      <c r="B985" s="21"/>
      <c r="C985" s="21"/>
      <c r="D985" s="21"/>
      <c r="E985" s="22"/>
      <c r="F985" s="22"/>
      <c r="G985" s="23"/>
      <c r="H985" s="23"/>
      <c r="I985" s="181"/>
      <c r="J985" s="8" t="str">
        <f t="shared" si="316"/>
        <v/>
      </c>
      <c r="K985" s="2" t="str">
        <f t="shared" si="323"/>
        <v/>
      </c>
      <c r="L985" s="2" t="str">
        <f t="shared" si="317"/>
        <v/>
      </c>
      <c r="M985" s="2" t="str">
        <f t="shared" si="324"/>
        <v/>
      </c>
      <c r="N985" s="2" t="str">
        <f t="shared" si="334"/>
        <v/>
      </c>
      <c r="O985" s="2" t="str">
        <f t="shared" si="325"/>
        <v/>
      </c>
      <c r="P985" s="8" t="str">
        <f t="shared" si="326"/>
        <v/>
      </c>
      <c r="Q985" s="8" t="str">
        <f t="shared" si="327"/>
        <v/>
      </c>
      <c r="R985" s="111" t="str">
        <f t="shared" si="328"/>
        <v/>
      </c>
      <c r="S985" s="44" t="str">
        <f t="shared" si="329"/>
        <v/>
      </c>
      <c r="T985" s="37" t="str">
        <f t="shared" si="330"/>
        <v/>
      </c>
      <c r="U985" s="44" t="str">
        <f t="shared" si="331"/>
        <v/>
      </c>
      <c r="V985" s="26"/>
      <c r="W985" s="26"/>
      <c r="X985" s="26"/>
      <c r="Y985" s="26"/>
      <c r="Z985" s="24"/>
      <c r="AA985" s="169">
        <f t="shared" si="332"/>
        <v>0</v>
      </c>
      <c r="AB985" s="4">
        <f t="shared" si="333"/>
        <v>0</v>
      </c>
      <c r="AC985" s="170">
        <f t="shared" si="315"/>
        <v>0</v>
      </c>
      <c r="AD985" s="58"/>
      <c r="AE985" s="58"/>
      <c r="AF985" s="58"/>
      <c r="AG985" s="59">
        <f t="shared" si="318"/>
        <v>9.0359999999999996</v>
      </c>
      <c r="AH985" s="59">
        <f t="shared" si="319"/>
        <v>-184.49199999999999</v>
      </c>
      <c r="AJ985" s="4">
        <f>IF(D985="M",IF(AM985&lt;78,BMILMS!$D$5*AM985^3+BMILMS!$E$5*AM985^2+BMILMS!$F$5*AM985+BMILMS!$G$5,IF(AM985&lt;150,BMILMS!$D$6*AM985^3+BMILMS!$E$6*AM985^2+BMILMS!$F$6*AM985+BMILMS!$G$6,BMILMS!$D$7*AM985^3+BMILMS!$E$7*AM985^2+BMILMS!$F$7*AM985+BMILMS!$G$7)),IF(AM985&lt;69,BMILMS!$D$9*AM985^3+BMILMS!$E$9*AM985^2+BMILMS!$F$9*AM985+BMILMS!$G$9,IF(AM985&lt;150,BMILMS!$D$10*AM985^3+BMILMS!$E$10*AM985^2+BMILMS!$F$10*AM985+BMILMS!$G$10,BMILMS!$D$11*AM985^3+BMILMS!$E$11*AM985^2+BMILMS!$F$11*AM985+BMILMS!$G$11)))</f>
        <v>0.79584630099999998</v>
      </c>
      <c r="AK985" s="4">
        <f>IF(D985="M",(IF(AM985&lt;2.5,BMILMS!$D$21*AM985^3+BMILMS!$E$21*AM985^2+BMILMS!$F$21*AM985+BMILMS!$G$21,IF(AM985&lt;9.5,BMILMS!$D$22*AM985^3+BMILMS!$E$22*AM985^2+BMILMS!$F$22*AM985+BMILMS!$G$22,IF(AM985&lt;26.75,BMILMS!$D$23*AM985^3+BMILMS!$E$23*AM985^2+BMILMS!$F$23*AM985+BMILMS!$G$23,IF(AM985&lt;90,BMILMS!$D$24*AM985^3+BMILMS!$E$24*AM985^2+BMILMS!$F$24*AM985+BMILMS!$G$24,BMILMS!$D$25*AM985^3+BMILMS!$E$25*AM985^2+BMILMS!$F$25*AM985+BMILMS!$G$25))))),(IF(AM985&lt;2.5,BMILMS!$D$27*AM985^3+BMILMS!$E$27*AM985^2+BMILMS!$F$27*AM985+BMILMS!$G$27,IF(AM985&lt;9.5,BMILMS!$D$28*AM985^3+BMILMS!$E$28*AM985^2+BMILMS!$F$28*AM985+BMILMS!$G$28,IF(AM985&lt;26.75,BMILMS!$D$29*AM985^3+BMILMS!$E$29*AM985^2+BMILMS!$F$29*AM985+BMILMS!$G$29,IF(AM985&lt;90,BMILMS!$D$30*AM985^3+BMILMS!$E$30*AM985^2+BMILMS!$F$30*AM985+BMILMS!$G$30,IF(AM985&lt;150,BMILMS!$D$31*AM985^3+BMILMS!$E$31*AM985^2+BMILMS!$F$31*AM985+BMILMS!$G$31,BMILMS!$D$32*AM985^3+BMILMS!$E$32*AM985^2+BMILMS!$F$32*AM985+BMILMS!$G$32)))))))</f>
        <v>12.568967990000001</v>
      </c>
      <c r="AL985" s="4">
        <f>IF(D985="M",(IF(AM985&lt;90,BMILMS!$D$14*AM985^3+BMILMS!$E$14*AM985^2+BMILMS!$F$14*AM985+BMILMS!$G$14,BMILMS!$D$15*AM985^3+BMILMS!$E$15*AM985^2+BMILMS!$F$15*AM985+BMILMS!$G$15)),(IF(AM985&lt;90,BMILMS!$D$17*AM985^3+BMILMS!$E$17*AM985^2+BMILMS!$F$17*AM985+BMILMS!$G$17,BMILMS!$D$18*AM985^3+BMILMS!$E$18*AM985^2+BMILMS!$F$18*AM985+BMILMS!$G$18)))</f>
        <v>8.8969350000000003E-2</v>
      </c>
      <c r="AM985" s="4">
        <f t="shared" si="335"/>
        <v>0</v>
      </c>
      <c r="AO985" s="56">
        <f>IF(D985="M",WeightSDS!P$5*$AM985^7+WeightSDS!Q$5*$AM985^6+WeightSDS!R$5*$AM985^5+WeightSDS!S$5*$AM985^4+WeightSDS!T$5*$AM985^3+WeightSDS!U$5*$AM985^2+WeightSDS!V$5*$AM985+WeightSDS!W$5,IF($AM985&lt;186,WeightSDS!P$8*$AM985^7+WeightSDS!Q$8*$AM985^6+WeightSDS!R$8*$AM985^5+WeightSDS!S$8*$AM985^4+WeightSDS!T$8*$AM985^3+WeightSDS!U$8*$AM985^2+WeightSDS!V$8*$AM985+WeightSDS!W$8,WeightSDS!$U$9+WeightSDS!$V$9*($AM985-WeightSDS!$W$9)))</f>
        <v>0.75407122999999998</v>
      </c>
      <c r="AP985" s="4">
        <f>IF(D985="M",IF($AM985&lt;45,WeightSDS!M$23*$AM985^10+WeightSDS!N$23*$AM985^9+WeightSDS!O$23*$AM985^8+WeightSDS!P$23*$AM985^7+WeightSDS!Q$23*$AM985^6+WeightSDS!R$23*$AM985^5+WeightSDS!S$23*$AM985^4+WeightSDS!T$23*$AM985^3+WeightSDS!U$23*$AM985^2+WeightSDS!V$23*$AM985+WeightSDS!W$23,IF($AM985&lt;153,WeightSDS!M$25*$AM985^10+WeightSDS!N$25*$AM985^9+WeightSDS!O$25*$AM985^8+WeightSDS!P$25*$AM985^7+WeightSDS!Q$25*$AM985^6+WeightSDS!R$25*$AM985^5+WeightSDS!S$25*$AM985^4+WeightSDS!T$25*$AM985^3+WeightSDS!U$25*$AM985^2+WeightSDS!V$25*$AM985+WeightSDS!W$25,WeightSDS!M$27+WeightSDS!N$27/(1+EXP(WeightSDS!O$27+WeightSDS!P$27*$AM985)))),IF($AM985&lt;43.8,WeightSDS!M$29*$AM985^10+WeightSDS!N$29*$AM985^9+WeightSDS!O$29*$AM985^8+WeightSDS!P$29*$AM985^7+WeightSDS!Q$29*$AM985^6+WeightSDS!R$29*$AM985^5+WeightSDS!S$29*$AM985^4+WeightSDS!T$29*$AM985^3+WeightSDS!U$29*$AM985^2+WeightSDS!V$29*$AM985+WeightSDS!W$29-0.010431*(1-$AM985/210),IF($AM985&lt;123,WeightSDS!M$30*$AM985^10+WeightSDS!N$30*$AM985^9+WeightSDS!O$30*$AM985^8+WeightSDS!P$30*$AM985^7+WeightSDS!Q$30*$AM985^6+WeightSDS!R$30*$AM985^5+WeightSDS!S$30*$AM985^4+WeightSDS!T$30*$AM985^3+WeightSDS!U$30*$AM985^2+WeightSDS!V$30*$AM985+WeightSDS!W$30-0.010431*(1-1/$AM985),WeightSDS!M$32+WeightSDS!N$32/(1+EXP(WeightSDS!O$32+WeightSDS!P$32*$AM985))-0.010431*(1-$AM985/210))))</f>
        <v>2.9500001032655536</v>
      </c>
      <c r="AQ985" s="4">
        <f>IF(D985="M",IF($AM985&lt;162,WeightSDS!P$12*$AM985^7+WeightSDS!Q$12*$AM985^6+WeightSDS!R$12*$AM985^5+WeightSDS!S$12*$AM985^4+WeightSDS!T$12*$AM985^3+WeightSDS!U$12*$AM985^2+WeightSDS!V$12*$AM985+WeightSDS!W$12,WeightSDS!P$14*$AM985^7+WeightSDS!Q$14*$AM985^6+WeightSDS!R$14*$AM985^5+WeightSDS!S$14*$AM985^4+WeightSDS!T$14*$AM985^3+WeightSDS!U$14*$AM985^2+WeightSDS!V$14*$AM985+WeightSDS!W$14),IF($AM985&lt;156,WeightSDS!O$17*$AM985^8+WeightSDS!P$17*$AM985^7+WeightSDS!Q$17*$AM985^6+WeightSDS!R$17*$AM985^5+WeightSDS!S$17*$AM985^4+WeightSDS!T$17*$AM985^3+WeightSDS!U$17*$AM985^2+WeightSDS!V$17*$AM985+WeightSDS!W$17,IF($AM985&lt;186,WeightSDS!$U$18+(WeightSDS!$V$18-WeightSDS!$U$18)/24*($AM985-186)+WeightSDS!$W$18*(-$AM985+186)^2-0.005,WeightSDS!$U$18+(WeightSDS!$V$18-WeightSDS!$U$18)/24*($AM985-186)-0.005)))</f>
        <v>0.14604529399999999</v>
      </c>
      <c r="AT985" s="4">
        <f t="shared" si="320"/>
        <v>0.56299999999999994</v>
      </c>
      <c r="AU985" s="4">
        <f t="shared" si="321"/>
        <v>69</v>
      </c>
      <c r="AV985" s="4">
        <f t="shared" si="322"/>
        <v>0.51</v>
      </c>
    </row>
    <row r="986" spans="1:48" x14ac:dyDescent="0.15">
      <c r="A986" s="4"/>
      <c r="B986" s="21"/>
      <c r="C986" s="21"/>
      <c r="D986" s="21"/>
      <c r="E986" s="22"/>
      <c r="F986" s="22"/>
      <c r="G986" s="23"/>
      <c r="H986" s="23"/>
      <c r="I986" s="181"/>
      <c r="J986" s="8" t="str">
        <f t="shared" si="316"/>
        <v/>
      </c>
      <c r="K986" s="2" t="str">
        <f t="shared" si="323"/>
        <v/>
      </c>
      <c r="L986" s="2" t="str">
        <f t="shared" si="317"/>
        <v/>
      </c>
      <c r="M986" s="2" t="str">
        <f t="shared" si="324"/>
        <v/>
      </c>
      <c r="N986" s="2" t="str">
        <f t="shared" si="334"/>
        <v/>
      </c>
      <c r="O986" s="2" t="str">
        <f t="shared" si="325"/>
        <v/>
      </c>
      <c r="P986" s="8" t="str">
        <f t="shared" si="326"/>
        <v/>
      </c>
      <c r="Q986" s="8" t="str">
        <f t="shared" si="327"/>
        <v/>
      </c>
      <c r="R986" s="111" t="str">
        <f t="shared" si="328"/>
        <v/>
      </c>
      <c r="S986" s="44" t="str">
        <f t="shared" si="329"/>
        <v/>
      </c>
      <c r="T986" s="37" t="str">
        <f t="shared" si="330"/>
        <v/>
      </c>
      <c r="U986" s="44" t="str">
        <f t="shared" si="331"/>
        <v/>
      </c>
      <c r="V986" s="26"/>
      <c r="W986" s="26"/>
      <c r="X986" s="26"/>
      <c r="Y986" s="26"/>
      <c r="Z986" s="24"/>
      <c r="AA986" s="169">
        <f t="shared" si="332"/>
        <v>0</v>
      </c>
      <c r="AB986" s="4">
        <f t="shared" si="333"/>
        <v>0</v>
      </c>
      <c r="AC986" s="170">
        <f t="shared" si="315"/>
        <v>0</v>
      </c>
      <c r="AD986" s="58"/>
      <c r="AE986" s="58"/>
      <c r="AF986" s="58"/>
      <c r="AG986" s="59">
        <f t="shared" si="318"/>
        <v>9.0359999999999996</v>
      </c>
      <c r="AH986" s="59">
        <f t="shared" si="319"/>
        <v>-184.49199999999999</v>
      </c>
      <c r="AJ986" s="4">
        <f>IF(D986="M",IF(AM986&lt;78,BMILMS!$D$5*AM986^3+BMILMS!$E$5*AM986^2+BMILMS!$F$5*AM986+BMILMS!$G$5,IF(AM986&lt;150,BMILMS!$D$6*AM986^3+BMILMS!$E$6*AM986^2+BMILMS!$F$6*AM986+BMILMS!$G$6,BMILMS!$D$7*AM986^3+BMILMS!$E$7*AM986^2+BMILMS!$F$7*AM986+BMILMS!$G$7)),IF(AM986&lt;69,BMILMS!$D$9*AM986^3+BMILMS!$E$9*AM986^2+BMILMS!$F$9*AM986+BMILMS!$G$9,IF(AM986&lt;150,BMILMS!$D$10*AM986^3+BMILMS!$E$10*AM986^2+BMILMS!$F$10*AM986+BMILMS!$G$10,BMILMS!$D$11*AM986^3+BMILMS!$E$11*AM986^2+BMILMS!$F$11*AM986+BMILMS!$G$11)))</f>
        <v>0.79584630099999998</v>
      </c>
      <c r="AK986" s="4">
        <f>IF(D986="M",(IF(AM986&lt;2.5,BMILMS!$D$21*AM986^3+BMILMS!$E$21*AM986^2+BMILMS!$F$21*AM986+BMILMS!$G$21,IF(AM986&lt;9.5,BMILMS!$D$22*AM986^3+BMILMS!$E$22*AM986^2+BMILMS!$F$22*AM986+BMILMS!$G$22,IF(AM986&lt;26.75,BMILMS!$D$23*AM986^3+BMILMS!$E$23*AM986^2+BMILMS!$F$23*AM986+BMILMS!$G$23,IF(AM986&lt;90,BMILMS!$D$24*AM986^3+BMILMS!$E$24*AM986^2+BMILMS!$F$24*AM986+BMILMS!$G$24,BMILMS!$D$25*AM986^3+BMILMS!$E$25*AM986^2+BMILMS!$F$25*AM986+BMILMS!$G$25))))),(IF(AM986&lt;2.5,BMILMS!$D$27*AM986^3+BMILMS!$E$27*AM986^2+BMILMS!$F$27*AM986+BMILMS!$G$27,IF(AM986&lt;9.5,BMILMS!$D$28*AM986^3+BMILMS!$E$28*AM986^2+BMILMS!$F$28*AM986+BMILMS!$G$28,IF(AM986&lt;26.75,BMILMS!$D$29*AM986^3+BMILMS!$E$29*AM986^2+BMILMS!$F$29*AM986+BMILMS!$G$29,IF(AM986&lt;90,BMILMS!$D$30*AM986^3+BMILMS!$E$30*AM986^2+BMILMS!$F$30*AM986+BMILMS!$G$30,IF(AM986&lt;150,BMILMS!$D$31*AM986^3+BMILMS!$E$31*AM986^2+BMILMS!$F$31*AM986+BMILMS!$G$31,BMILMS!$D$32*AM986^3+BMILMS!$E$32*AM986^2+BMILMS!$F$32*AM986+BMILMS!$G$32)))))))</f>
        <v>12.568967990000001</v>
      </c>
      <c r="AL986" s="4">
        <f>IF(D986="M",(IF(AM986&lt;90,BMILMS!$D$14*AM986^3+BMILMS!$E$14*AM986^2+BMILMS!$F$14*AM986+BMILMS!$G$14,BMILMS!$D$15*AM986^3+BMILMS!$E$15*AM986^2+BMILMS!$F$15*AM986+BMILMS!$G$15)),(IF(AM986&lt;90,BMILMS!$D$17*AM986^3+BMILMS!$E$17*AM986^2+BMILMS!$F$17*AM986+BMILMS!$G$17,BMILMS!$D$18*AM986^3+BMILMS!$E$18*AM986^2+BMILMS!$F$18*AM986+BMILMS!$G$18)))</f>
        <v>8.8969350000000003E-2</v>
      </c>
      <c r="AM986" s="4">
        <f t="shared" si="335"/>
        <v>0</v>
      </c>
      <c r="AO986" s="56">
        <f>IF(D986="M",WeightSDS!P$5*$AM986^7+WeightSDS!Q$5*$AM986^6+WeightSDS!R$5*$AM986^5+WeightSDS!S$5*$AM986^4+WeightSDS!T$5*$AM986^3+WeightSDS!U$5*$AM986^2+WeightSDS!V$5*$AM986+WeightSDS!W$5,IF($AM986&lt;186,WeightSDS!P$8*$AM986^7+WeightSDS!Q$8*$AM986^6+WeightSDS!R$8*$AM986^5+WeightSDS!S$8*$AM986^4+WeightSDS!T$8*$AM986^3+WeightSDS!U$8*$AM986^2+WeightSDS!V$8*$AM986+WeightSDS!W$8,WeightSDS!$U$9+WeightSDS!$V$9*($AM986-WeightSDS!$W$9)))</f>
        <v>0.75407122999999998</v>
      </c>
      <c r="AP986" s="4">
        <f>IF(D986="M",IF($AM986&lt;45,WeightSDS!M$23*$AM986^10+WeightSDS!N$23*$AM986^9+WeightSDS!O$23*$AM986^8+WeightSDS!P$23*$AM986^7+WeightSDS!Q$23*$AM986^6+WeightSDS!R$23*$AM986^5+WeightSDS!S$23*$AM986^4+WeightSDS!T$23*$AM986^3+WeightSDS!U$23*$AM986^2+WeightSDS!V$23*$AM986+WeightSDS!W$23,IF($AM986&lt;153,WeightSDS!M$25*$AM986^10+WeightSDS!N$25*$AM986^9+WeightSDS!O$25*$AM986^8+WeightSDS!P$25*$AM986^7+WeightSDS!Q$25*$AM986^6+WeightSDS!R$25*$AM986^5+WeightSDS!S$25*$AM986^4+WeightSDS!T$25*$AM986^3+WeightSDS!U$25*$AM986^2+WeightSDS!V$25*$AM986+WeightSDS!W$25,WeightSDS!M$27+WeightSDS!N$27/(1+EXP(WeightSDS!O$27+WeightSDS!P$27*$AM986)))),IF($AM986&lt;43.8,WeightSDS!M$29*$AM986^10+WeightSDS!N$29*$AM986^9+WeightSDS!O$29*$AM986^8+WeightSDS!P$29*$AM986^7+WeightSDS!Q$29*$AM986^6+WeightSDS!R$29*$AM986^5+WeightSDS!S$29*$AM986^4+WeightSDS!T$29*$AM986^3+WeightSDS!U$29*$AM986^2+WeightSDS!V$29*$AM986+WeightSDS!W$29-0.010431*(1-$AM986/210),IF($AM986&lt;123,WeightSDS!M$30*$AM986^10+WeightSDS!N$30*$AM986^9+WeightSDS!O$30*$AM986^8+WeightSDS!P$30*$AM986^7+WeightSDS!Q$30*$AM986^6+WeightSDS!R$30*$AM986^5+WeightSDS!S$30*$AM986^4+WeightSDS!T$30*$AM986^3+WeightSDS!U$30*$AM986^2+WeightSDS!V$30*$AM986+WeightSDS!W$30-0.010431*(1-1/$AM986),WeightSDS!M$32+WeightSDS!N$32/(1+EXP(WeightSDS!O$32+WeightSDS!P$32*$AM986))-0.010431*(1-$AM986/210))))</f>
        <v>2.9500001032655536</v>
      </c>
      <c r="AQ986" s="4">
        <f>IF(D986="M",IF($AM986&lt;162,WeightSDS!P$12*$AM986^7+WeightSDS!Q$12*$AM986^6+WeightSDS!R$12*$AM986^5+WeightSDS!S$12*$AM986^4+WeightSDS!T$12*$AM986^3+WeightSDS!U$12*$AM986^2+WeightSDS!V$12*$AM986+WeightSDS!W$12,WeightSDS!P$14*$AM986^7+WeightSDS!Q$14*$AM986^6+WeightSDS!R$14*$AM986^5+WeightSDS!S$14*$AM986^4+WeightSDS!T$14*$AM986^3+WeightSDS!U$14*$AM986^2+WeightSDS!V$14*$AM986+WeightSDS!W$14),IF($AM986&lt;156,WeightSDS!O$17*$AM986^8+WeightSDS!P$17*$AM986^7+WeightSDS!Q$17*$AM986^6+WeightSDS!R$17*$AM986^5+WeightSDS!S$17*$AM986^4+WeightSDS!T$17*$AM986^3+WeightSDS!U$17*$AM986^2+WeightSDS!V$17*$AM986+WeightSDS!W$17,IF($AM986&lt;186,WeightSDS!$U$18+(WeightSDS!$V$18-WeightSDS!$U$18)/24*($AM986-186)+WeightSDS!$W$18*(-$AM986+186)^2-0.005,WeightSDS!$U$18+(WeightSDS!$V$18-WeightSDS!$U$18)/24*($AM986-186)-0.005)))</f>
        <v>0.14604529399999999</v>
      </c>
      <c r="AT986" s="4">
        <f t="shared" si="320"/>
        <v>0.56299999999999994</v>
      </c>
      <c r="AU986" s="4">
        <f t="shared" si="321"/>
        <v>69</v>
      </c>
      <c r="AV986" s="4">
        <f t="shared" si="322"/>
        <v>0.51</v>
      </c>
    </row>
    <row r="987" spans="1:48" x14ac:dyDescent="0.15">
      <c r="A987" s="4"/>
      <c r="B987" s="21"/>
      <c r="C987" s="21"/>
      <c r="D987" s="21"/>
      <c r="E987" s="22"/>
      <c r="F987" s="22"/>
      <c r="G987" s="23"/>
      <c r="H987" s="23"/>
      <c r="I987" s="181"/>
      <c r="J987" s="8" t="str">
        <f t="shared" si="316"/>
        <v/>
      </c>
      <c r="K987" s="2" t="str">
        <f t="shared" si="323"/>
        <v/>
      </c>
      <c r="L987" s="2" t="str">
        <f t="shared" si="317"/>
        <v/>
      </c>
      <c r="M987" s="2" t="str">
        <f t="shared" si="324"/>
        <v/>
      </c>
      <c r="N987" s="2" t="str">
        <f t="shared" si="334"/>
        <v/>
      </c>
      <c r="O987" s="2" t="str">
        <f t="shared" si="325"/>
        <v/>
      </c>
      <c r="P987" s="8" t="str">
        <f t="shared" si="326"/>
        <v/>
      </c>
      <c r="Q987" s="8" t="str">
        <f t="shared" si="327"/>
        <v/>
      </c>
      <c r="R987" s="111" t="str">
        <f t="shared" si="328"/>
        <v/>
      </c>
      <c r="S987" s="44" t="str">
        <f t="shared" si="329"/>
        <v/>
      </c>
      <c r="T987" s="37" t="str">
        <f t="shared" si="330"/>
        <v/>
      </c>
      <c r="U987" s="44" t="str">
        <f t="shared" si="331"/>
        <v/>
      </c>
      <c r="V987" s="26"/>
      <c r="W987" s="26"/>
      <c r="X987" s="26"/>
      <c r="Y987" s="26"/>
      <c r="Z987" s="24"/>
      <c r="AA987" s="169">
        <f t="shared" si="332"/>
        <v>0</v>
      </c>
      <c r="AB987" s="4">
        <f t="shared" si="333"/>
        <v>0</v>
      </c>
      <c r="AC987" s="170">
        <f t="shared" si="315"/>
        <v>0</v>
      </c>
      <c r="AD987" s="58"/>
      <c r="AE987" s="58"/>
      <c r="AF987" s="58"/>
      <c r="AG987" s="59">
        <f t="shared" si="318"/>
        <v>9.0359999999999996</v>
      </c>
      <c r="AH987" s="59">
        <f t="shared" si="319"/>
        <v>-184.49199999999999</v>
      </c>
      <c r="AJ987" s="4">
        <f>IF(D987="M",IF(AM987&lt;78,BMILMS!$D$5*AM987^3+BMILMS!$E$5*AM987^2+BMILMS!$F$5*AM987+BMILMS!$G$5,IF(AM987&lt;150,BMILMS!$D$6*AM987^3+BMILMS!$E$6*AM987^2+BMILMS!$F$6*AM987+BMILMS!$G$6,BMILMS!$D$7*AM987^3+BMILMS!$E$7*AM987^2+BMILMS!$F$7*AM987+BMILMS!$G$7)),IF(AM987&lt;69,BMILMS!$D$9*AM987^3+BMILMS!$E$9*AM987^2+BMILMS!$F$9*AM987+BMILMS!$G$9,IF(AM987&lt;150,BMILMS!$D$10*AM987^3+BMILMS!$E$10*AM987^2+BMILMS!$F$10*AM987+BMILMS!$G$10,BMILMS!$D$11*AM987^3+BMILMS!$E$11*AM987^2+BMILMS!$F$11*AM987+BMILMS!$G$11)))</f>
        <v>0.79584630099999998</v>
      </c>
      <c r="AK987" s="4">
        <f>IF(D987="M",(IF(AM987&lt;2.5,BMILMS!$D$21*AM987^3+BMILMS!$E$21*AM987^2+BMILMS!$F$21*AM987+BMILMS!$G$21,IF(AM987&lt;9.5,BMILMS!$D$22*AM987^3+BMILMS!$E$22*AM987^2+BMILMS!$F$22*AM987+BMILMS!$G$22,IF(AM987&lt;26.75,BMILMS!$D$23*AM987^3+BMILMS!$E$23*AM987^2+BMILMS!$F$23*AM987+BMILMS!$G$23,IF(AM987&lt;90,BMILMS!$D$24*AM987^3+BMILMS!$E$24*AM987^2+BMILMS!$F$24*AM987+BMILMS!$G$24,BMILMS!$D$25*AM987^3+BMILMS!$E$25*AM987^2+BMILMS!$F$25*AM987+BMILMS!$G$25))))),(IF(AM987&lt;2.5,BMILMS!$D$27*AM987^3+BMILMS!$E$27*AM987^2+BMILMS!$F$27*AM987+BMILMS!$G$27,IF(AM987&lt;9.5,BMILMS!$D$28*AM987^3+BMILMS!$E$28*AM987^2+BMILMS!$F$28*AM987+BMILMS!$G$28,IF(AM987&lt;26.75,BMILMS!$D$29*AM987^3+BMILMS!$E$29*AM987^2+BMILMS!$F$29*AM987+BMILMS!$G$29,IF(AM987&lt;90,BMILMS!$D$30*AM987^3+BMILMS!$E$30*AM987^2+BMILMS!$F$30*AM987+BMILMS!$G$30,IF(AM987&lt;150,BMILMS!$D$31*AM987^3+BMILMS!$E$31*AM987^2+BMILMS!$F$31*AM987+BMILMS!$G$31,BMILMS!$D$32*AM987^3+BMILMS!$E$32*AM987^2+BMILMS!$F$32*AM987+BMILMS!$G$32)))))))</f>
        <v>12.568967990000001</v>
      </c>
      <c r="AL987" s="4">
        <f>IF(D987="M",(IF(AM987&lt;90,BMILMS!$D$14*AM987^3+BMILMS!$E$14*AM987^2+BMILMS!$F$14*AM987+BMILMS!$G$14,BMILMS!$D$15*AM987^3+BMILMS!$E$15*AM987^2+BMILMS!$F$15*AM987+BMILMS!$G$15)),(IF(AM987&lt;90,BMILMS!$D$17*AM987^3+BMILMS!$E$17*AM987^2+BMILMS!$F$17*AM987+BMILMS!$G$17,BMILMS!$D$18*AM987^3+BMILMS!$E$18*AM987^2+BMILMS!$F$18*AM987+BMILMS!$G$18)))</f>
        <v>8.8969350000000003E-2</v>
      </c>
      <c r="AM987" s="4">
        <f t="shared" si="335"/>
        <v>0</v>
      </c>
      <c r="AO987" s="56">
        <f>IF(D987="M",WeightSDS!P$5*$AM987^7+WeightSDS!Q$5*$AM987^6+WeightSDS!R$5*$AM987^5+WeightSDS!S$5*$AM987^4+WeightSDS!T$5*$AM987^3+WeightSDS!U$5*$AM987^2+WeightSDS!V$5*$AM987+WeightSDS!W$5,IF($AM987&lt;186,WeightSDS!P$8*$AM987^7+WeightSDS!Q$8*$AM987^6+WeightSDS!R$8*$AM987^5+WeightSDS!S$8*$AM987^4+WeightSDS!T$8*$AM987^3+WeightSDS!U$8*$AM987^2+WeightSDS!V$8*$AM987+WeightSDS!W$8,WeightSDS!$U$9+WeightSDS!$V$9*($AM987-WeightSDS!$W$9)))</f>
        <v>0.75407122999999998</v>
      </c>
      <c r="AP987" s="4">
        <f>IF(D987="M",IF($AM987&lt;45,WeightSDS!M$23*$AM987^10+WeightSDS!N$23*$AM987^9+WeightSDS!O$23*$AM987^8+WeightSDS!P$23*$AM987^7+WeightSDS!Q$23*$AM987^6+WeightSDS!R$23*$AM987^5+WeightSDS!S$23*$AM987^4+WeightSDS!T$23*$AM987^3+WeightSDS!U$23*$AM987^2+WeightSDS!V$23*$AM987+WeightSDS!W$23,IF($AM987&lt;153,WeightSDS!M$25*$AM987^10+WeightSDS!N$25*$AM987^9+WeightSDS!O$25*$AM987^8+WeightSDS!P$25*$AM987^7+WeightSDS!Q$25*$AM987^6+WeightSDS!R$25*$AM987^5+WeightSDS!S$25*$AM987^4+WeightSDS!T$25*$AM987^3+WeightSDS!U$25*$AM987^2+WeightSDS!V$25*$AM987+WeightSDS!W$25,WeightSDS!M$27+WeightSDS!N$27/(1+EXP(WeightSDS!O$27+WeightSDS!P$27*$AM987)))),IF($AM987&lt;43.8,WeightSDS!M$29*$AM987^10+WeightSDS!N$29*$AM987^9+WeightSDS!O$29*$AM987^8+WeightSDS!P$29*$AM987^7+WeightSDS!Q$29*$AM987^6+WeightSDS!R$29*$AM987^5+WeightSDS!S$29*$AM987^4+WeightSDS!T$29*$AM987^3+WeightSDS!U$29*$AM987^2+WeightSDS!V$29*$AM987+WeightSDS!W$29-0.010431*(1-$AM987/210),IF($AM987&lt;123,WeightSDS!M$30*$AM987^10+WeightSDS!N$30*$AM987^9+WeightSDS!O$30*$AM987^8+WeightSDS!P$30*$AM987^7+WeightSDS!Q$30*$AM987^6+WeightSDS!R$30*$AM987^5+WeightSDS!S$30*$AM987^4+WeightSDS!T$30*$AM987^3+WeightSDS!U$30*$AM987^2+WeightSDS!V$30*$AM987+WeightSDS!W$30-0.010431*(1-1/$AM987),WeightSDS!M$32+WeightSDS!N$32/(1+EXP(WeightSDS!O$32+WeightSDS!P$32*$AM987))-0.010431*(1-$AM987/210))))</f>
        <v>2.9500001032655536</v>
      </c>
      <c r="AQ987" s="4">
        <f>IF(D987="M",IF($AM987&lt;162,WeightSDS!P$12*$AM987^7+WeightSDS!Q$12*$AM987^6+WeightSDS!R$12*$AM987^5+WeightSDS!S$12*$AM987^4+WeightSDS!T$12*$AM987^3+WeightSDS!U$12*$AM987^2+WeightSDS!V$12*$AM987+WeightSDS!W$12,WeightSDS!P$14*$AM987^7+WeightSDS!Q$14*$AM987^6+WeightSDS!R$14*$AM987^5+WeightSDS!S$14*$AM987^4+WeightSDS!T$14*$AM987^3+WeightSDS!U$14*$AM987^2+WeightSDS!V$14*$AM987+WeightSDS!W$14),IF($AM987&lt;156,WeightSDS!O$17*$AM987^8+WeightSDS!P$17*$AM987^7+WeightSDS!Q$17*$AM987^6+WeightSDS!R$17*$AM987^5+WeightSDS!S$17*$AM987^4+WeightSDS!T$17*$AM987^3+WeightSDS!U$17*$AM987^2+WeightSDS!V$17*$AM987+WeightSDS!W$17,IF($AM987&lt;186,WeightSDS!$U$18+(WeightSDS!$V$18-WeightSDS!$U$18)/24*($AM987-186)+WeightSDS!$W$18*(-$AM987+186)^2-0.005,WeightSDS!$U$18+(WeightSDS!$V$18-WeightSDS!$U$18)/24*($AM987-186)-0.005)))</f>
        <v>0.14604529399999999</v>
      </c>
      <c r="AT987" s="4">
        <f t="shared" si="320"/>
        <v>0.56299999999999994</v>
      </c>
      <c r="AU987" s="4">
        <f t="shared" si="321"/>
        <v>69</v>
      </c>
      <c r="AV987" s="4">
        <f t="shared" si="322"/>
        <v>0.51</v>
      </c>
    </row>
    <row r="988" spans="1:48" x14ac:dyDescent="0.15">
      <c r="A988" s="4"/>
      <c r="B988" s="21"/>
      <c r="C988" s="21"/>
      <c r="D988" s="21"/>
      <c r="E988" s="22"/>
      <c r="F988" s="22"/>
      <c r="G988" s="23"/>
      <c r="H988" s="23"/>
      <c r="I988" s="181"/>
      <c r="J988" s="8" t="str">
        <f t="shared" si="316"/>
        <v/>
      </c>
      <c r="K988" s="2" t="str">
        <f t="shared" si="323"/>
        <v/>
      </c>
      <c r="L988" s="2" t="str">
        <f t="shared" si="317"/>
        <v/>
      </c>
      <c r="M988" s="2" t="str">
        <f t="shared" si="324"/>
        <v/>
      </c>
      <c r="N988" s="2" t="str">
        <f t="shared" si="334"/>
        <v/>
      </c>
      <c r="O988" s="2" t="str">
        <f t="shared" si="325"/>
        <v/>
      </c>
      <c r="P988" s="8" t="str">
        <f t="shared" si="326"/>
        <v/>
      </c>
      <c r="Q988" s="8" t="str">
        <f t="shared" si="327"/>
        <v/>
      </c>
      <c r="R988" s="111" t="str">
        <f t="shared" si="328"/>
        <v/>
      </c>
      <c r="S988" s="44" t="str">
        <f t="shared" si="329"/>
        <v/>
      </c>
      <c r="T988" s="37" t="str">
        <f t="shared" si="330"/>
        <v/>
      </c>
      <c r="U988" s="44" t="str">
        <f t="shared" si="331"/>
        <v/>
      </c>
      <c r="V988" s="26"/>
      <c r="W988" s="26"/>
      <c r="X988" s="26"/>
      <c r="Y988" s="26"/>
      <c r="Z988" s="24"/>
      <c r="AA988" s="169">
        <f t="shared" si="332"/>
        <v>0</v>
      </c>
      <c r="AB988" s="4">
        <f t="shared" si="333"/>
        <v>0</v>
      </c>
      <c r="AC988" s="170">
        <f t="shared" si="315"/>
        <v>0</v>
      </c>
      <c r="AD988" s="58"/>
      <c r="AE988" s="58"/>
      <c r="AF988" s="58"/>
      <c r="AG988" s="59">
        <f t="shared" si="318"/>
        <v>9.0359999999999996</v>
      </c>
      <c r="AH988" s="59">
        <f t="shared" si="319"/>
        <v>-184.49199999999999</v>
      </c>
      <c r="AJ988" s="4">
        <f>IF(D988="M",IF(AM988&lt;78,BMILMS!$D$5*AM988^3+BMILMS!$E$5*AM988^2+BMILMS!$F$5*AM988+BMILMS!$G$5,IF(AM988&lt;150,BMILMS!$D$6*AM988^3+BMILMS!$E$6*AM988^2+BMILMS!$F$6*AM988+BMILMS!$G$6,BMILMS!$D$7*AM988^3+BMILMS!$E$7*AM988^2+BMILMS!$F$7*AM988+BMILMS!$G$7)),IF(AM988&lt;69,BMILMS!$D$9*AM988^3+BMILMS!$E$9*AM988^2+BMILMS!$F$9*AM988+BMILMS!$G$9,IF(AM988&lt;150,BMILMS!$D$10*AM988^3+BMILMS!$E$10*AM988^2+BMILMS!$F$10*AM988+BMILMS!$G$10,BMILMS!$D$11*AM988^3+BMILMS!$E$11*AM988^2+BMILMS!$F$11*AM988+BMILMS!$G$11)))</f>
        <v>0.79584630099999998</v>
      </c>
      <c r="AK988" s="4">
        <f>IF(D988="M",(IF(AM988&lt;2.5,BMILMS!$D$21*AM988^3+BMILMS!$E$21*AM988^2+BMILMS!$F$21*AM988+BMILMS!$G$21,IF(AM988&lt;9.5,BMILMS!$D$22*AM988^3+BMILMS!$E$22*AM988^2+BMILMS!$F$22*AM988+BMILMS!$G$22,IF(AM988&lt;26.75,BMILMS!$D$23*AM988^3+BMILMS!$E$23*AM988^2+BMILMS!$F$23*AM988+BMILMS!$G$23,IF(AM988&lt;90,BMILMS!$D$24*AM988^3+BMILMS!$E$24*AM988^2+BMILMS!$F$24*AM988+BMILMS!$G$24,BMILMS!$D$25*AM988^3+BMILMS!$E$25*AM988^2+BMILMS!$F$25*AM988+BMILMS!$G$25))))),(IF(AM988&lt;2.5,BMILMS!$D$27*AM988^3+BMILMS!$E$27*AM988^2+BMILMS!$F$27*AM988+BMILMS!$G$27,IF(AM988&lt;9.5,BMILMS!$D$28*AM988^3+BMILMS!$E$28*AM988^2+BMILMS!$F$28*AM988+BMILMS!$G$28,IF(AM988&lt;26.75,BMILMS!$D$29*AM988^3+BMILMS!$E$29*AM988^2+BMILMS!$F$29*AM988+BMILMS!$G$29,IF(AM988&lt;90,BMILMS!$D$30*AM988^3+BMILMS!$E$30*AM988^2+BMILMS!$F$30*AM988+BMILMS!$G$30,IF(AM988&lt;150,BMILMS!$D$31*AM988^3+BMILMS!$E$31*AM988^2+BMILMS!$F$31*AM988+BMILMS!$G$31,BMILMS!$D$32*AM988^3+BMILMS!$E$32*AM988^2+BMILMS!$F$32*AM988+BMILMS!$G$32)))))))</f>
        <v>12.568967990000001</v>
      </c>
      <c r="AL988" s="4">
        <f>IF(D988="M",(IF(AM988&lt;90,BMILMS!$D$14*AM988^3+BMILMS!$E$14*AM988^2+BMILMS!$F$14*AM988+BMILMS!$G$14,BMILMS!$D$15*AM988^3+BMILMS!$E$15*AM988^2+BMILMS!$F$15*AM988+BMILMS!$G$15)),(IF(AM988&lt;90,BMILMS!$D$17*AM988^3+BMILMS!$E$17*AM988^2+BMILMS!$F$17*AM988+BMILMS!$G$17,BMILMS!$D$18*AM988^3+BMILMS!$E$18*AM988^2+BMILMS!$F$18*AM988+BMILMS!$G$18)))</f>
        <v>8.8969350000000003E-2</v>
      </c>
      <c r="AM988" s="4">
        <f t="shared" si="335"/>
        <v>0</v>
      </c>
      <c r="AO988" s="56">
        <f>IF(D988="M",WeightSDS!P$5*$AM988^7+WeightSDS!Q$5*$AM988^6+WeightSDS!R$5*$AM988^5+WeightSDS!S$5*$AM988^4+WeightSDS!T$5*$AM988^3+WeightSDS!U$5*$AM988^2+WeightSDS!V$5*$AM988+WeightSDS!W$5,IF($AM988&lt;186,WeightSDS!P$8*$AM988^7+WeightSDS!Q$8*$AM988^6+WeightSDS!R$8*$AM988^5+WeightSDS!S$8*$AM988^4+WeightSDS!T$8*$AM988^3+WeightSDS!U$8*$AM988^2+WeightSDS!V$8*$AM988+WeightSDS!W$8,WeightSDS!$U$9+WeightSDS!$V$9*($AM988-WeightSDS!$W$9)))</f>
        <v>0.75407122999999998</v>
      </c>
      <c r="AP988" s="4">
        <f>IF(D988="M",IF($AM988&lt;45,WeightSDS!M$23*$AM988^10+WeightSDS!N$23*$AM988^9+WeightSDS!O$23*$AM988^8+WeightSDS!P$23*$AM988^7+WeightSDS!Q$23*$AM988^6+WeightSDS!R$23*$AM988^5+WeightSDS!S$23*$AM988^4+WeightSDS!T$23*$AM988^3+WeightSDS!U$23*$AM988^2+WeightSDS!V$23*$AM988+WeightSDS!W$23,IF($AM988&lt;153,WeightSDS!M$25*$AM988^10+WeightSDS!N$25*$AM988^9+WeightSDS!O$25*$AM988^8+WeightSDS!P$25*$AM988^7+WeightSDS!Q$25*$AM988^6+WeightSDS!R$25*$AM988^5+WeightSDS!S$25*$AM988^4+WeightSDS!T$25*$AM988^3+WeightSDS!U$25*$AM988^2+WeightSDS!V$25*$AM988+WeightSDS!W$25,WeightSDS!M$27+WeightSDS!N$27/(1+EXP(WeightSDS!O$27+WeightSDS!P$27*$AM988)))),IF($AM988&lt;43.8,WeightSDS!M$29*$AM988^10+WeightSDS!N$29*$AM988^9+WeightSDS!O$29*$AM988^8+WeightSDS!P$29*$AM988^7+WeightSDS!Q$29*$AM988^6+WeightSDS!R$29*$AM988^5+WeightSDS!S$29*$AM988^4+WeightSDS!T$29*$AM988^3+WeightSDS!U$29*$AM988^2+WeightSDS!V$29*$AM988+WeightSDS!W$29-0.010431*(1-$AM988/210),IF($AM988&lt;123,WeightSDS!M$30*$AM988^10+WeightSDS!N$30*$AM988^9+WeightSDS!O$30*$AM988^8+WeightSDS!P$30*$AM988^7+WeightSDS!Q$30*$AM988^6+WeightSDS!R$30*$AM988^5+WeightSDS!S$30*$AM988^4+WeightSDS!T$30*$AM988^3+WeightSDS!U$30*$AM988^2+WeightSDS!V$30*$AM988+WeightSDS!W$30-0.010431*(1-1/$AM988),WeightSDS!M$32+WeightSDS!N$32/(1+EXP(WeightSDS!O$32+WeightSDS!P$32*$AM988))-0.010431*(1-$AM988/210))))</f>
        <v>2.9500001032655536</v>
      </c>
      <c r="AQ988" s="4">
        <f>IF(D988="M",IF($AM988&lt;162,WeightSDS!P$12*$AM988^7+WeightSDS!Q$12*$AM988^6+WeightSDS!R$12*$AM988^5+WeightSDS!S$12*$AM988^4+WeightSDS!T$12*$AM988^3+WeightSDS!U$12*$AM988^2+WeightSDS!V$12*$AM988+WeightSDS!W$12,WeightSDS!P$14*$AM988^7+WeightSDS!Q$14*$AM988^6+WeightSDS!R$14*$AM988^5+WeightSDS!S$14*$AM988^4+WeightSDS!T$14*$AM988^3+WeightSDS!U$14*$AM988^2+WeightSDS!V$14*$AM988+WeightSDS!W$14),IF($AM988&lt;156,WeightSDS!O$17*$AM988^8+WeightSDS!P$17*$AM988^7+WeightSDS!Q$17*$AM988^6+WeightSDS!R$17*$AM988^5+WeightSDS!S$17*$AM988^4+WeightSDS!T$17*$AM988^3+WeightSDS!U$17*$AM988^2+WeightSDS!V$17*$AM988+WeightSDS!W$17,IF($AM988&lt;186,WeightSDS!$U$18+(WeightSDS!$V$18-WeightSDS!$U$18)/24*($AM988-186)+WeightSDS!$W$18*(-$AM988+186)^2-0.005,WeightSDS!$U$18+(WeightSDS!$V$18-WeightSDS!$U$18)/24*($AM988-186)-0.005)))</f>
        <v>0.14604529399999999</v>
      </c>
      <c r="AT988" s="4">
        <f t="shared" si="320"/>
        <v>0.56299999999999994</v>
      </c>
      <c r="AU988" s="4">
        <f t="shared" si="321"/>
        <v>69</v>
      </c>
      <c r="AV988" s="4">
        <f t="shared" si="322"/>
        <v>0.51</v>
      </c>
    </row>
    <row r="989" spans="1:48" x14ac:dyDescent="0.15">
      <c r="A989" s="4"/>
      <c r="B989" s="21"/>
      <c r="C989" s="21"/>
      <c r="D989" s="21"/>
      <c r="E989" s="22"/>
      <c r="F989" s="22"/>
      <c r="G989" s="23"/>
      <c r="H989" s="23"/>
      <c r="I989" s="181"/>
      <c r="J989" s="8" t="str">
        <f t="shared" si="316"/>
        <v/>
      </c>
      <c r="K989" s="2" t="str">
        <f t="shared" si="323"/>
        <v/>
      </c>
      <c r="L989" s="2" t="str">
        <f t="shared" si="317"/>
        <v/>
      </c>
      <c r="M989" s="2" t="str">
        <f t="shared" si="324"/>
        <v/>
      </c>
      <c r="N989" s="2" t="str">
        <f t="shared" si="334"/>
        <v/>
      </c>
      <c r="O989" s="2" t="str">
        <f t="shared" si="325"/>
        <v/>
      </c>
      <c r="P989" s="8" t="str">
        <f t="shared" si="326"/>
        <v/>
      </c>
      <c r="Q989" s="8" t="str">
        <f t="shared" si="327"/>
        <v/>
      </c>
      <c r="R989" s="111" t="str">
        <f t="shared" si="328"/>
        <v/>
      </c>
      <c r="S989" s="44" t="str">
        <f t="shared" si="329"/>
        <v/>
      </c>
      <c r="T989" s="37" t="str">
        <f t="shared" si="330"/>
        <v/>
      </c>
      <c r="U989" s="44" t="str">
        <f t="shared" si="331"/>
        <v/>
      </c>
      <c r="V989" s="26"/>
      <c r="W989" s="26"/>
      <c r="X989" s="26"/>
      <c r="Y989" s="26"/>
      <c r="Z989" s="24"/>
      <c r="AA989" s="169">
        <f t="shared" si="332"/>
        <v>0</v>
      </c>
      <c r="AB989" s="4">
        <f t="shared" si="333"/>
        <v>0</v>
      </c>
      <c r="AC989" s="170">
        <f t="shared" si="315"/>
        <v>0</v>
      </c>
      <c r="AD989" s="58"/>
      <c r="AE989" s="58"/>
      <c r="AF989" s="58"/>
      <c r="AG989" s="59">
        <f t="shared" si="318"/>
        <v>9.0359999999999996</v>
      </c>
      <c r="AH989" s="59">
        <f t="shared" si="319"/>
        <v>-184.49199999999999</v>
      </c>
      <c r="AJ989" s="4">
        <f>IF(D989="M",IF(AM989&lt;78,BMILMS!$D$5*AM989^3+BMILMS!$E$5*AM989^2+BMILMS!$F$5*AM989+BMILMS!$G$5,IF(AM989&lt;150,BMILMS!$D$6*AM989^3+BMILMS!$E$6*AM989^2+BMILMS!$F$6*AM989+BMILMS!$G$6,BMILMS!$D$7*AM989^3+BMILMS!$E$7*AM989^2+BMILMS!$F$7*AM989+BMILMS!$G$7)),IF(AM989&lt;69,BMILMS!$D$9*AM989^3+BMILMS!$E$9*AM989^2+BMILMS!$F$9*AM989+BMILMS!$G$9,IF(AM989&lt;150,BMILMS!$D$10*AM989^3+BMILMS!$E$10*AM989^2+BMILMS!$F$10*AM989+BMILMS!$G$10,BMILMS!$D$11*AM989^3+BMILMS!$E$11*AM989^2+BMILMS!$F$11*AM989+BMILMS!$G$11)))</f>
        <v>0.79584630099999998</v>
      </c>
      <c r="AK989" s="4">
        <f>IF(D989="M",(IF(AM989&lt;2.5,BMILMS!$D$21*AM989^3+BMILMS!$E$21*AM989^2+BMILMS!$F$21*AM989+BMILMS!$G$21,IF(AM989&lt;9.5,BMILMS!$D$22*AM989^3+BMILMS!$E$22*AM989^2+BMILMS!$F$22*AM989+BMILMS!$G$22,IF(AM989&lt;26.75,BMILMS!$D$23*AM989^3+BMILMS!$E$23*AM989^2+BMILMS!$F$23*AM989+BMILMS!$G$23,IF(AM989&lt;90,BMILMS!$D$24*AM989^3+BMILMS!$E$24*AM989^2+BMILMS!$F$24*AM989+BMILMS!$G$24,BMILMS!$D$25*AM989^3+BMILMS!$E$25*AM989^2+BMILMS!$F$25*AM989+BMILMS!$G$25))))),(IF(AM989&lt;2.5,BMILMS!$D$27*AM989^3+BMILMS!$E$27*AM989^2+BMILMS!$F$27*AM989+BMILMS!$G$27,IF(AM989&lt;9.5,BMILMS!$D$28*AM989^3+BMILMS!$E$28*AM989^2+BMILMS!$F$28*AM989+BMILMS!$G$28,IF(AM989&lt;26.75,BMILMS!$D$29*AM989^3+BMILMS!$E$29*AM989^2+BMILMS!$F$29*AM989+BMILMS!$G$29,IF(AM989&lt;90,BMILMS!$D$30*AM989^3+BMILMS!$E$30*AM989^2+BMILMS!$F$30*AM989+BMILMS!$G$30,IF(AM989&lt;150,BMILMS!$D$31*AM989^3+BMILMS!$E$31*AM989^2+BMILMS!$F$31*AM989+BMILMS!$G$31,BMILMS!$D$32*AM989^3+BMILMS!$E$32*AM989^2+BMILMS!$F$32*AM989+BMILMS!$G$32)))))))</f>
        <v>12.568967990000001</v>
      </c>
      <c r="AL989" s="4">
        <f>IF(D989="M",(IF(AM989&lt;90,BMILMS!$D$14*AM989^3+BMILMS!$E$14*AM989^2+BMILMS!$F$14*AM989+BMILMS!$G$14,BMILMS!$D$15*AM989^3+BMILMS!$E$15*AM989^2+BMILMS!$F$15*AM989+BMILMS!$G$15)),(IF(AM989&lt;90,BMILMS!$D$17*AM989^3+BMILMS!$E$17*AM989^2+BMILMS!$F$17*AM989+BMILMS!$G$17,BMILMS!$D$18*AM989^3+BMILMS!$E$18*AM989^2+BMILMS!$F$18*AM989+BMILMS!$G$18)))</f>
        <v>8.8969350000000003E-2</v>
      </c>
      <c r="AM989" s="4">
        <f t="shared" si="335"/>
        <v>0</v>
      </c>
      <c r="AO989" s="56">
        <f>IF(D989="M",WeightSDS!P$5*$AM989^7+WeightSDS!Q$5*$AM989^6+WeightSDS!R$5*$AM989^5+WeightSDS!S$5*$AM989^4+WeightSDS!T$5*$AM989^3+WeightSDS!U$5*$AM989^2+WeightSDS!V$5*$AM989+WeightSDS!W$5,IF($AM989&lt;186,WeightSDS!P$8*$AM989^7+WeightSDS!Q$8*$AM989^6+WeightSDS!R$8*$AM989^5+WeightSDS!S$8*$AM989^4+WeightSDS!T$8*$AM989^3+WeightSDS!U$8*$AM989^2+WeightSDS!V$8*$AM989+WeightSDS!W$8,WeightSDS!$U$9+WeightSDS!$V$9*($AM989-WeightSDS!$W$9)))</f>
        <v>0.75407122999999998</v>
      </c>
      <c r="AP989" s="4">
        <f>IF(D989="M",IF($AM989&lt;45,WeightSDS!M$23*$AM989^10+WeightSDS!N$23*$AM989^9+WeightSDS!O$23*$AM989^8+WeightSDS!P$23*$AM989^7+WeightSDS!Q$23*$AM989^6+WeightSDS!R$23*$AM989^5+WeightSDS!S$23*$AM989^4+WeightSDS!T$23*$AM989^3+WeightSDS!U$23*$AM989^2+WeightSDS!V$23*$AM989+WeightSDS!W$23,IF($AM989&lt;153,WeightSDS!M$25*$AM989^10+WeightSDS!N$25*$AM989^9+WeightSDS!O$25*$AM989^8+WeightSDS!P$25*$AM989^7+WeightSDS!Q$25*$AM989^6+WeightSDS!R$25*$AM989^5+WeightSDS!S$25*$AM989^4+WeightSDS!T$25*$AM989^3+WeightSDS!U$25*$AM989^2+WeightSDS!V$25*$AM989+WeightSDS!W$25,WeightSDS!M$27+WeightSDS!N$27/(1+EXP(WeightSDS!O$27+WeightSDS!P$27*$AM989)))),IF($AM989&lt;43.8,WeightSDS!M$29*$AM989^10+WeightSDS!N$29*$AM989^9+WeightSDS!O$29*$AM989^8+WeightSDS!P$29*$AM989^7+WeightSDS!Q$29*$AM989^6+WeightSDS!R$29*$AM989^5+WeightSDS!S$29*$AM989^4+WeightSDS!T$29*$AM989^3+WeightSDS!U$29*$AM989^2+WeightSDS!V$29*$AM989+WeightSDS!W$29-0.010431*(1-$AM989/210),IF($AM989&lt;123,WeightSDS!M$30*$AM989^10+WeightSDS!N$30*$AM989^9+WeightSDS!O$30*$AM989^8+WeightSDS!P$30*$AM989^7+WeightSDS!Q$30*$AM989^6+WeightSDS!R$30*$AM989^5+WeightSDS!S$30*$AM989^4+WeightSDS!T$30*$AM989^3+WeightSDS!U$30*$AM989^2+WeightSDS!V$30*$AM989+WeightSDS!W$30-0.010431*(1-1/$AM989),WeightSDS!M$32+WeightSDS!N$32/(1+EXP(WeightSDS!O$32+WeightSDS!P$32*$AM989))-0.010431*(1-$AM989/210))))</f>
        <v>2.9500001032655536</v>
      </c>
      <c r="AQ989" s="4">
        <f>IF(D989="M",IF($AM989&lt;162,WeightSDS!P$12*$AM989^7+WeightSDS!Q$12*$AM989^6+WeightSDS!R$12*$AM989^5+WeightSDS!S$12*$AM989^4+WeightSDS!T$12*$AM989^3+WeightSDS!U$12*$AM989^2+WeightSDS!V$12*$AM989+WeightSDS!W$12,WeightSDS!P$14*$AM989^7+WeightSDS!Q$14*$AM989^6+WeightSDS!R$14*$AM989^5+WeightSDS!S$14*$AM989^4+WeightSDS!T$14*$AM989^3+WeightSDS!U$14*$AM989^2+WeightSDS!V$14*$AM989+WeightSDS!W$14),IF($AM989&lt;156,WeightSDS!O$17*$AM989^8+WeightSDS!P$17*$AM989^7+WeightSDS!Q$17*$AM989^6+WeightSDS!R$17*$AM989^5+WeightSDS!S$17*$AM989^4+WeightSDS!T$17*$AM989^3+WeightSDS!U$17*$AM989^2+WeightSDS!V$17*$AM989+WeightSDS!W$17,IF($AM989&lt;186,WeightSDS!$U$18+(WeightSDS!$V$18-WeightSDS!$U$18)/24*($AM989-186)+WeightSDS!$W$18*(-$AM989+186)^2-0.005,WeightSDS!$U$18+(WeightSDS!$V$18-WeightSDS!$U$18)/24*($AM989-186)-0.005)))</f>
        <v>0.14604529399999999</v>
      </c>
      <c r="AT989" s="4">
        <f t="shared" si="320"/>
        <v>0.56299999999999994</v>
      </c>
      <c r="AU989" s="4">
        <f t="shared" si="321"/>
        <v>69</v>
      </c>
      <c r="AV989" s="4">
        <f t="shared" si="322"/>
        <v>0.51</v>
      </c>
    </row>
    <row r="990" spans="1:48" x14ac:dyDescent="0.15">
      <c r="A990" s="4"/>
      <c r="B990" s="21"/>
      <c r="C990" s="21"/>
      <c r="D990" s="21"/>
      <c r="E990" s="22"/>
      <c r="F990" s="22"/>
      <c r="G990" s="23"/>
      <c r="H990" s="23"/>
      <c r="I990" s="181"/>
      <c r="J990" s="8" t="str">
        <f t="shared" si="316"/>
        <v/>
      </c>
      <c r="K990" s="2" t="str">
        <f t="shared" si="323"/>
        <v/>
      </c>
      <c r="L990" s="2" t="str">
        <f t="shared" si="317"/>
        <v/>
      </c>
      <c r="M990" s="2" t="str">
        <f t="shared" si="324"/>
        <v/>
      </c>
      <c r="N990" s="2" t="str">
        <f t="shared" si="334"/>
        <v/>
      </c>
      <c r="O990" s="2" t="str">
        <f t="shared" si="325"/>
        <v/>
      </c>
      <c r="P990" s="8" t="str">
        <f t="shared" si="326"/>
        <v/>
      </c>
      <c r="Q990" s="8" t="str">
        <f t="shared" si="327"/>
        <v/>
      </c>
      <c r="R990" s="111" t="str">
        <f t="shared" si="328"/>
        <v/>
      </c>
      <c r="S990" s="44" t="str">
        <f t="shared" si="329"/>
        <v/>
      </c>
      <c r="T990" s="37" t="str">
        <f t="shared" si="330"/>
        <v/>
      </c>
      <c r="U990" s="44" t="str">
        <f t="shared" si="331"/>
        <v/>
      </c>
      <c r="V990" s="26"/>
      <c r="W990" s="26"/>
      <c r="X990" s="26"/>
      <c r="Y990" s="26"/>
      <c r="Z990" s="24"/>
      <c r="AA990" s="169">
        <f t="shared" si="332"/>
        <v>0</v>
      </c>
      <c r="AB990" s="4">
        <f t="shared" si="333"/>
        <v>0</v>
      </c>
      <c r="AC990" s="170">
        <f t="shared" ref="AC990:AC1002" si="336">DATEDIF(E990,F990,"Y")+(F990-(DATE(YEAR(E990)+DATEDIF(E990,F990,"Y"),MONTH(E990),DAY(E990))))/(365+IF(MOD(YEAR((DATE(YEAR(F990)-1,MONTH(E990),DAY(E990)))),4)=0,IF((DATE(YEAR(F990)-1,MONTH(E990),DAY(E990)))&gt;DATE(YEAR((DATE(YEAR(F990)-1,MONTH(E990),DAY(E990)))),2,29),0,1),0)+IF(MOD(YEAR(F990),4)=0,IF(F990&gt;DATE(YEAR(F990),2,29),1,0),0))</f>
        <v>0</v>
      </c>
      <c r="AD990" s="58"/>
      <c r="AE990" s="58"/>
      <c r="AF990" s="58"/>
      <c r="AG990" s="59">
        <f t="shared" si="318"/>
        <v>9.0359999999999996</v>
      </c>
      <c r="AH990" s="59">
        <f t="shared" si="319"/>
        <v>-184.49199999999999</v>
      </c>
      <c r="AJ990" s="4">
        <f>IF(D990="M",IF(AM990&lt;78,BMILMS!$D$5*AM990^3+BMILMS!$E$5*AM990^2+BMILMS!$F$5*AM990+BMILMS!$G$5,IF(AM990&lt;150,BMILMS!$D$6*AM990^3+BMILMS!$E$6*AM990^2+BMILMS!$F$6*AM990+BMILMS!$G$6,BMILMS!$D$7*AM990^3+BMILMS!$E$7*AM990^2+BMILMS!$F$7*AM990+BMILMS!$G$7)),IF(AM990&lt;69,BMILMS!$D$9*AM990^3+BMILMS!$E$9*AM990^2+BMILMS!$F$9*AM990+BMILMS!$G$9,IF(AM990&lt;150,BMILMS!$D$10*AM990^3+BMILMS!$E$10*AM990^2+BMILMS!$F$10*AM990+BMILMS!$G$10,BMILMS!$D$11*AM990^3+BMILMS!$E$11*AM990^2+BMILMS!$F$11*AM990+BMILMS!$G$11)))</f>
        <v>0.79584630099999998</v>
      </c>
      <c r="AK990" s="4">
        <f>IF(D990="M",(IF(AM990&lt;2.5,BMILMS!$D$21*AM990^3+BMILMS!$E$21*AM990^2+BMILMS!$F$21*AM990+BMILMS!$G$21,IF(AM990&lt;9.5,BMILMS!$D$22*AM990^3+BMILMS!$E$22*AM990^2+BMILMS!$F$22*AM990+BMILMS!$G$22,IF(AM990&lt;26.75,BMILMS!$D$23*AM990^3+BMILMS!$E$23*AM990^2+BMILMS!$F$23*AM990+BMILMS!$G$23,IF(AM990&lt;90,BMILMS!$D$24*AM990^3+BMILMS!$E$24*AM990^2+BMILMS!$F$24*AM990+BMILMS!$G$24,BMILMS!$D$25*AM990^3+BMILMS!$E$25*AM990^2+BMILMS!$F$25*AM990+BMILMS!$G$25))))),(IF(AM990&lt;2.5,BMILMS!$D$27*AM990^3+BMILMS!$E$27*AM990^2+BMILMS!$F$27*AM990+BMILMS!$G$27,IF(AM990&lt;9.5,BMILMS!$D$28*AM990^3+BMILMS!$E$28*AM990^2+BMILMS!$F$28*AM990+BMILMS!$G$28,IF(AM990&lt;26.75,BMILMS!$D$29*AM990^3+BMILMS!$E$29*AM990^2+BMILMS!$F$29*AM990+BMILMS!$G$29,IF(AM990&lt;90,BMILMS!$D$30*AM990^3+BMILMS!$E$30*AM990^2+BMILMS!$F$30*AM990+BMILMS!$G$30,IF(AM990&lt;150,BMILMS!$D$31*AM990^3+BMILMS!$E$31*AM990^2+BMILMS!$F$31*AM990+BMILMS!$G$31,BMILMS!$D$32*AM990^3+BMILMS!$E$32*AM990^2+BMILMS!$F$32*AM990+BMILMS!$G$32)))))))</f>
        <v>12.568967990000001</v>
      </c>
      <c r="AL990" s="4">
        <f>IF(D990="M",(IF(AM990&lt;90,BMILMS!$D$14*AM990^3+BMILMS!$E$14*AM990^2+BMILMS!$F$14*AM990+BMILMS!$G$14,BMILMS!$D$15*AM990^3+BMILMS!$E$15*AM990^2+BMILMS!$F$15*AM990+BMILMS!$G$15)),(IF(AM990&lt;90,BMILMS!$D$17*AM990^3+BMILMS!$E$17*AM990^2+BMILMS!$F$17*AM990+BMILMS!$G$17,BMILMS!$D$18*AM990^3+BMILMS!$E$18*AM990^2+BMILMS!$F$18*AM990+BMILMS!$G$18)))</f>
        <v>8.8969350000000003E-2</v>
      </c>
      <c r="AM990" s="4">
        <f t="shared" si="335"/>
        <v>0</v>
      </c>
      <c r="AO990" s="56">
        <f>IF(D990="M",WeightSDS!P$5*$AM990^7+WeightSDS!Q$5*$AM990^6+WeightSDS!R$5*$AM990^5+WeightSDS!S$5*$AM990^4+WeightSDS!T$5*$AM990^3+WeightSDS!U$5*$AM990^2+WeightSDS!V$5*$AM990+WeightSDS!W$5,IF($AM990&lt;186,WeightSDS!P$8*$AM990^7+WeightSDS!Q$8*$AM990^6+WeightSDS!R$8*$AM990^5+WeightSDS!S$8*$AM990^4+WeightSDS!T$8*$AM990^3+WeightSDS!U$8*$AM990^2+WeightSDS!V$8*$AM990+WeightSDS!W$8,WeightSDS!$U$9+WeightSDS!$V$9*($AM990-WeightSDS!$W$9)))</f>
        <v>0.75407122999999998</v>
      </c>
      <c r="AP990" s="4">
        <f>IF(D990="M",IF($AM990&lt;45,WeightSDS!M$23*$AM990^10+WeightSDS!N$23*$AM990^9+WeightSDS!O$23*$AM990^8+WeightSDS!P$23*$AM990^7+WeightSDS!Q$23*$AM990^6+WeightSDS!R$23*$AM990^5+WeightSDS!S$23*$AM990^4+WeightSDS!T$23*$AM990^3+WeightSDS!U$23*$AM990^2+WeightSDS!V$23*$AM990+WeightSDS!W$23,IF($AM990&lt;153,WeightSDS!M$25*$AM990^10+WeightSDS!N$25*$AM990^9+WeightSDS!O$25*$AM990^8+WeightSDS!P$25*$AM990^7+WeightSDS!Q$25*$AM990^6+WeightSDS!R$25*$AM990^5+WeightSDS!S$25*$AM990^4+WeightSDS!T$25*$AM990^3+WeightSDS!U$25*$AM990^2+WeightSDS!V$25*$AM990+WeightSDS!W$25,WeightSDS!M$27+WeightSDS!N$27/(1+EXP(WeightSDS!O$27+WeightSDS!P$27*$AM990)))),IF($AM990&lt;43.8,WeightSDS!M$29*$AM990^10+WeightSDS!N$29*$AM990^9+WeightSDS!O$29*$AM990^8+WeightSDS!P$29*$AM990^7+WeightSDS!Q$29*$AM990^6+WeightSDS!R$29*$AM990^5+WeightSDS!S$29*$AM990^4+WeightSDS!T$29*$AM990^3+WeightSDS!U$29*$AM990^2+WeightSDS!V$29*$AM990+WeightSDS!W$29-0.010431*(1-$AM990/210),IF($AM990&lt;123,WeightSDS!M$30*$AM990^10+WeightSDS!N$30*$AM990^9+WeightSDS!O$30*$AM990^8+WeightSDS!P$30*$AM990^7+WeightSDS!Q$30*$AM990^6+WeightSDS!R$30*$AM990^5+WeightSDS!S$30*$AM990^4+WeightSDS!T$30*$AM990^3+WeightSDS!U$30*$AM990^2+WeightSDS!V$30*$AM990+WeightSDS!W$30-0.010431*(1-1/$AM990),WeightSDS!M$32+WeightSDS!N$32/(1+EXP(WeightSDS!O$32+WeightSDS!P$32*$AM990))-0.010431*(1-$AM990/210))))</f>
        <v>2.9500001032655536</v>
      </c>
      <c r="AQ990" s="4">
        <f>IF(D990="M",IF($AM990&lt;162,WeightSDS!P$12*$AM990^7+WeightSDS!Q$12*$AM990^6+WeightSDS!R$12*$AM990^5+WeightSDS!S$12*$AM990^4+WeightSDS!T$12*$AM990^3+WeightSDS!U$12*$AM990^2+WeightSDS!V$12*$AM990+WeightSDS!W$12,WeightSDS!P$14*$AM990^7+WeightSDS!Q$14*$AM990^6+WeightSDS!R$14*$AM990^5+WeightSDS!S$14*$AM990^4+WeightSDS!T$14*$AM990^3+WeightSDS!U$14*$AM990^2+WeightSDS!V$14*$AM990+WeightSDS!W$14),IF($AM990&lt;156,WeightSDS!O$17*$AM990^8+WeightSDS!P$17*$AM990^7+WeightSDS!Q$17*$AM990^6+WeightSDS!R$17*$AM990^5+WeightSDS!S$17*$AM990^4+WeightSDS!T$17*$AM990^3+WeightSDS!U$17*$AM990^2+WeightSDS!V$17*$AM990+WeightSDS!W$17,IF($AM990&lt;186,WeightSDS!$U$18+(WeightSDS!$V$18-WeightSDS!$U$18)/24*($AM990-186)+WeightSDS!$W$18*(-$AM990+186)^2-0.005,WeightSDS!$U$18+(WeightSDS!$V$18-WeightSDS!$U$18)/24*($AM990-186)-0.005)))</f>
        <v>0.14604529399999999</v>
      </c>
      <c r="AT990" s="4">
        <f t="shared" si="320"/>
        <v>0.56299999999999994</v>
      </c>
      <c r="AU990" s="4">
        <f t="shared" si="321"/>
        <v>69</v>
      </c>
      <c r="AV990" s="4">
        <f t="shared" si="322"/>
        <v>0.51</v>
      </c>
    </row>
    <row r="991" spans="1:48" x14ac:dyDescent="0.15">
      <c r="A991" s="4"/>
      <c r="B991" s="21"/>
      <c r="C991" s="21"/>
      <c r="D991" s="21"/>
      <c r="E991" s="22"/>
      <c r="F991" s="22"/>
      <c r="G991" s="23"/>
      <c r="H991" s="23"/>
      <c r="I991" s="181"/>
      <c r="J991" s="8" t="str">
        <f t="shared" si="316"/>
        <v/>
      </c>
      <c r="K991" s="2" t="str">
        <f t="shared" si="323"/>
        <v/>
      </c>
      <c r="L991" s="2" t="str">
        <f t="shared" si="317"/>
        <v/>
      </c>
      <c r="M991" s="2" t="str">
        <f t="shared" si="324"/>
        <v/>
      </c>
      <c r="N991" s="2" t="str">
        <f t="shared" si="334"/>
        <v/>
      </c>
      <c r="O991" s="2" t="str">
        <f t="shared" si="325"/>
        <v/>
      </c>
      <c r="P991" s="8" t="str">
        <f t="shared" si="326"/>
        <v/>
      </c>
      <c r="Q991" s="8" t="str">
        <f t="shared" si="327"/>
        <v/>
      </c>
      <c r="R991" s="111" t="str">
        <f t="shared" si="328"/>
        <v/>
      </c>
      <c r="S991" s="44" t="str">
        <f t="shared" si="329"/>
        <v/>
      </c>
      <c r="T991" s="37" t="str">
        <f t="shared" si="330"/>
        <v/>
      </c>
      <c r="U991" s="44" t="str">
        <f t="shared" si="331"/>
        <v/>
      </c>
      <c r="V991" s="26"/>
      <c r="W991" s="26"/>
      <c r="X991" s="26"/>
      <c r="Y991" s="26"/>
      <c r="Z991" s="24"/>
      <c r="AA991" s="169">
        <f t="shared" si="332"/>
        <v>0</v>
      </c>
      <c r="AB991" s="4">
        <f t="shared" si="333"/>
        <v>0</v>
      </c>
      <c r="AC991" s="170">
        <f t="shared" si="336"/>
        <v>0</v>
      </c>
      <c r="AD991" s="58"/>
      <c r="AE991" s="58"/>
      <c r="AF991" s="58"/>
      <c r="AG991" s="59">
        <f t="shared" si="318"/>
        <v>9.0359999999999996</v>
      </c>
      <c r="AH991" s="59">
        <f t="shared" si="319"/>
        <v>-184.49199999999999</v>
      </c>
      <c r="AJ991" s="4">
        <f>IF(D991="M",IF(AM991&lt;78,BMILMS!$D$5*AM991^3+BMILMS!$E$5*AM991^2+BMILMS!$F$5*AM991+BMILMS!$G$5,IF(AM991&lt;150,BMILMS!$D$6*AM991^3+BMILMS!$E$6*AM991^2+BMILMS!$F$6*AM991+BMILMS!$G$6,BMILMS!$D$7*AM991^3+BMILMS!$E$7*AM991^2+BMILMS!$F$7*AM991+BMILMS!$G$7)),IF(AM991&lt;69,BMILMS!$D$9*AM991^3+BMILMS!$E$9*AM991^2+BMILMS!$F$9*AM991+BMILMS!$G$9,IF(AM991&lt;150,BMILMS!$D$10*AM991^3+BMILMS!$E$10*AM991^2+BMILMS!$F$10*AM991+BMILMS!$G$10,BMILMS!$D$11*AM991^3+BMILMS!$E$11*AM991^2+BMILMS!$F$11*AM991+BMILMS!$G$11)))</f>
        <v>0.79584630099999998</v>
      </c>
      <c r="AK991" s="4">
        <f>IF(D991="M",(IF(AM991&lt;2.5,BMILMS!$D$21*AM991^3+BMILMS!$E$21*AM991^2+BMILMS!$F$21*AM991+BMILMS!$G$21,IF(AM991&lt;9.5,BMILMS!$D$22*AM991^3+BMILMS!$E$22*AM991^2+BMILMS!$F$22*AM991+BMILMS!$G$22,IF(AM991&lt;26.75,BMILMS!$D$23*AM991^3+BMILMS!$E$23*AM991^2+BMILMS!$F$23*AM991+BMILMS!$G$23,IF(AM991&lt;90,BMILMS!$D$24*AM991^3+BMILMS!$E$24*AM991^2+BMILMS!$F$24*AM991+BMILMS!$G$24,BMILMS!$D$25*AM991^3+BMILMS!$E$25*AM991^2+BMILMS!$F$25*AM991+BMILMS!$G$25))))),(IF(AM991&lt;2.5,BMILMS!$D$27*AM991^3+BMILMS!$E$27*AM991^2+BMILMS!$F$27*AM991+BMILMS!$G$27,IF(AM991&lt;9.5,BMILMS!$D$28*AM991^3+BMILMS!$E$28*AM991^2+BMILMS!$F$28*AM991+BMILMS!$G$28,IF(AM991&lt;26.75,BMILMS!$D$29*AM991^3+BMILMS!$E$29*AM991^2+BMILMS!$F$29*AM991+BMILMS!$G$29,IF(AM991&lt;90,BMILMS!$D$30*AM991^3+BMILMS!$E$30*AM991^2+BMILMS!$F$30*AM991+BMILMS!$G$30,IF(AM991&lt;150,BMILMS!$D$31*AM991^3+BMILMS!$E$31*AM991^2+BMILMS!$F$31*AM991+BMILMS!$G$31,BMILMS!$D$32*AM991^3+BMILMS!$E$32*AM991^2+BMILMS!$F$32*AM991+BMILMS!$G$32)))))))</f>
        <v>12.568967990000001</v>
      </c>
      <c r="AL991" s="4">
        <f>IF(D991="M",(IF(AM991&lt;90,BMILMS!$D$14*AM991^3+BMILMS!$E$14*AM991^2+BMILMS!$F$14*AM991+BMILMS!$G$14,BMILMS!$D$15*AM991^3+BMILMS!$E$15*AM991^2+BMILMS!$F$15*AM991+BMILMS!$G$15)),(IF(AM991&lt;90,BMILMS!$D$17*AM991^3+BMILMS!$E$17*AM991^2+BMILMS!$F$17*AM991+BMILMS!$G$17,BMILMS!$D$18*AM991^3+BMILMS!$E$18*AM991^2+BMILMS!$F$18*AM991+BMILMS!$G$18)))</f>
        <v>8.8969350000000003E-2</v>
      </c>
      <c r="AM991" s="4">
        <f t="shared" si="335"/>
        <v>0</v>
      </c>
      <c r="AO991" s="56">
        <f>IF(D991="M",WeightSDS!P$5*$AM991^7+WeightSDS!Q$5*$AM991^6+WeightSDS!R$5*$AM991^5+WeightSDS!S$5*$AM991^4+WeightSDS!T$5*$AM991^3+WeightSDS!U$5*$AM991^2+WeightSDS!V$5*$AM991+WeightSDS!W$5,IF($AM991&lt;186,WeightSDS!P$8*$AM991^7+WeightSDS!Q$8*$AM991^6+WeightSDS!R$8*$AM991^5+WeightSDS!S$8*$AM991^4+WeightSDS!T$8*$AM991^3+WeightSDS!U$8*$AM991^2+WeightSDS!V$8*$AM991+WeightSDS!W$8,WeightSDS!$U$9+WeightSDS!$V$9*($AM991-WeightSDS!$W$9)))</f>
        <v>0.75407122999999998</v>
      </c>
      <c r="AP991" s="4">
        <f>IF(D991="M",IF($AM991&lt;45,WeightSDS!M$23*$AM991^10+WeightSDS!N$23*$AM991^9+WeightSDS!O$23*$AM991^8+WeightSDS!P$23*$AM991^7+WeightSDS!Q$23*$AM991^6+WeightSDS!R$23*$AM991^5+WeightSDS!S$23*$AM991^4+WeightSDS!T$23*$AM991^3+WeightSDS!U$23*$AM991^2+WeightSDS!V$23*$AM991+WeightSDS!W$23,IF($AM991&lt;153,WeightSDS!M$25*$AM991^10+WeightSDS!N$25*$AM991^9+WeightSDS!O$25*$AM991^8+WeightSDS!P$25*$AM991^7+WeightSDS!Q$25*$AM991^6+WeightSDS!R$25*$AM991^5+WeightSDS!S$25*$AM991^4+WeightSDS!T$25*$AM991^3+WeightSDS!U$25*$AM991^2+WeightSDS!V$25*$AM991+WeightSDS!W$25,WeightSDS!M$27+WeightSDS!N$27/(1+EXP(WeightSDS!O$27+WeightSDS!P$27*$AM991)))),IF($AM991&lt;43.8,WeightSDS!M$29*$AM991^10+WeightSDS!N$29*$AM991^9+WeightSDS!O$29*$AM991^8+WeightSDS!P$29*$AM991^7+WeightSDS!Q$29*$AM991^6+WeightSDS!R$29*$AM991^5+WeightSDS!S$29*$AM991^4+WeightSDS!T$29*$AM991^3+WeightSDS!U$29*$AM991^2+WeightSDS!V$29*$AM991+WeightSDS!W$29-0.010431*(1-$AM991/210),IF($AM991&lt;123,WeightSDS!M$30*$AM991^10+WeightSDS!N$30*$AM991^9+WeightSDS!O$30*$AM991^8+WeightSDS!P$30*$AM991^7+WeightSDS!Q$30*$AM991^6+WeightSDS!R$30*$AM991^5+WeightSDS!S$30*$AM991^4+WeightSDS!T$30*$AM991^3+WeightSDS!U$30*$AM991^2+WeightSDS!V$30*$AM991+WeightSDS!W$30-0.010431*(1-1/$AM991),WeightSDS!M$32+WeightSDS!N$32/(1+EXP(WeightSDS!O$32+WeightSDS!P$32*$AM991))-0.010431*(1-$AM991/210))))</f>
        <v>2.9500001032655536</v>
      </c>
      <c r="AQ991" s="4">
        <f>IF(D991="M",IF($AM991&lt;162,WeightSDS!P$12*$AM991^7+WeightSDS!Q$12*$AM991^6+WeightSDS!R$12*$AM991^5+WeightSDS!S$12*$AM991^4+WeightSDS!T$12*$AM991^3+WeightSDS!U$12*$AM991^2+WeightSDS!V$12*$AM991+WeightSDS!W$12,WeightSDS!P$14*$AM991^7+WeightSDS!Q$14*$AM991^6+WeightSDS!R$14*$AM991^5+WeightSDS!S$14*$AM991^4+WeightSDS!T$14*$AM991^3+WeightSDS!U$14*$AM991^2+WeightSDS!V$14*$AM991+WeightSDS!W$14),IF($AM991&lt;156,WeightSDS!O$17*$AM991^8+WeightSDS!P$17*$AM991^7+WeightSDS!Q$17*$AM991^6+WeightSDS!R$17*$AM991^5+WeightSDS!S$17*$AM991^4+WeightSDS!T$17*$AM991^3+WeightSDS!U$17*$AM991^2+WeightSDS!V$17*$AM991+WeightSDS!W$17,IF($AM991&lt;186,WeightSDS!$U$18+(WeightSDS!$V$18-WeightSDS!$U$18)/24*($AM991-186)+WeightSDS!$W$18*(-$AM991+186)^2-0.005,WeightSDS!$U$18+(WeightSDS!$V$18-WeightSDS!$U$18)/24*($AM991-186)-0.005)))</f>
        <v>0.14604529399999999</v>
      </c>
      <c r="AT991" s="4">
        <f t="shared" si="320"/>
        <v>0.56299999999999994</v>
      </c>
      <c r="AU991" s="4">
        <f t="shared" si="321"/>
        <v>69</v>
      </c>
      <c r="AV991" s="4">
        <f t="shared" si="322"/>
        <v>0.51</v>
      </c>
    </row>
    <row r="992" spans="1:48" x14ac:dyDescent="0.15">
      <c r="A992" s="4"/>
      <c r="B992" s="21"/>
      <c r="C992" s="21"/>
      <c r="D992" s="21"/>
      <c r="E992" s="22"/>
      <c r="F992" s="22"/>
      <c r="G992" s="23"/>
      <c r="H992" s="23"/>
      <c r="I992" s="181"/>
      <c r="J992" s="8" t="str">
        <f t="shared" si="316"/>
        <v/>
      </c>
      <c r="K992" s="2" t="str">
        <f t="shared" si="323"/>
        <v/>
      </c>
      <c r="L992" s="2" t="str">
        <f t="shared" si="317"/>
        <v/>
      </c>
      <c r="M992" s="2" t="str">
        <f t="shared" si="324"/>
        <v/>
      </c>
      <c r="N992" s="2" t="str">
        <f t="shared" si="334"/>
        <v/>
      </c>
      <c r="O992" s="2" t="str">
        <f t="shared" si="325"/>
        <v/>
      </c>
      <c r="P992" s="8" t="str">
        <f t="shared" si="326"/>
        <v/>
      </c>
      <c r="Q992" s="8" t="str">
        <f t="shared" si="327"/>
        <v/>
      </c>
      <c r="R992" s="111" t="str">
        <f t="shared" si="328"/>
        <v/>
      </c>
      <c r="S992" s="44" t="str">
        <f t="shared" si="329"/>
        <v/>
      </c>
      <c r="T992" s="37" t="str">
        <f t="shared" si="330"/>
        <v/>
      </c>
      <c r="U992" s="44" t="str">
        <f t="shared" si="331"/>
        <v/>
      </c>
      <c r="V992" s="26"/>
      <c r="W992" s="26"/>
      <c r="X992" s="26"/>
      <c r="Y992" s="26"/>
      <c r="Z992" s="24"/>
      <c r="AA992" s="169">
        <f t="shared" si="332"/>
        <v>0</v>
      </c>
      <c r="AB992" s="4">
        <f t="shared" si="333"/>
        <v>0</v>
      </c>
      <c r="AC992" s="170">
        <f t="shared" si="336"/>
        <v>0</v>
      </c>
      <c r="AD992" s="58"/>
      <c r="AE992" s="58"/>
      <c r="AF992" s="58"/>
      <c r="AG992" s="59">
        <f t="shared" si="318"/>
        <v>9.0359999999999996</v>
      </c>
      <c r="AH992" s="59">
        <f t="shared" si="319"/>
        <v>-184.49199999999999</v>
      </c>
      <c r="AJ992" s="4">
        <f>IF(D992="M",IF(AM992&lt;78,BMILMS!$D$5*AM992^3+BMILMS!$E$5*AM992^2+BMILMS!$F$5*AM992+BMILMS!$G$5,IF(AM992&lt;150,BMILMS!$D$6*AM992^3+BMILMS!$E$6*AM992^2+BMILMS!$F$6*AM992+BMILMS!$G$6,BMILMS!$D$7*AM992^3+BMILMS!$E$7*AM992^2+BMILMS!$F$7*AM992+BMILMS!$G$7)),IF(AM992&lt;69,BMILMS!$D$9*AM992^3+BMILMS!$E$9*AM992^2+BMILMS!$F$9*AM992+BMILMS!$G$9,IF(AM992&lt;150,BMILMS!$D$10*AM992^3+BMILMS!$E$10*AM992^2+BMILMS!$F$10*AM992+BMILMS!$G$10,BMILMS!$D$11*AM992^3+BMILMS!$E$11*AM992^2+BMILMS!$F$11*AM992+BMILMS!$G$11)))</f>
        <v>0.79584630099999998</v>
      </c>
      <c r="AK992" s="4">
        <f>IF(D992="M",(IF(AM992&lt;2.5,BMILMS!$D$21*AM992^3+BMILMS!$E$21*AM992^2+BMILMS!$F$21*AM992+BMILMS!$G$21,IF(AM992&lt;9.5,BMILMS!$D$22*AM992^3+BMILMS!$E$22*AM992^2+BMILMS!$F$22*AM992+BMILMS!$G$22,IF(AM992&lt;26.75,BMILMS!$D$23*AM992^3+BMILMS!$E$23*AM992^2+BMILMS!$F$23*AM992+BMILMS!$G$23,IF(AM992&lt;90,BMILMS!$D$24*AM992^3+BMILMS!$E$24*AM992^2+BMILMS!$F$24*AM992+BMILMS!$G$24,BMILMS!$D$25*AM992^3+BMILMS!$E$25*AM992^2+BMILMS!$F$25*AM992+BMILMS!$G$25))))),(IF(AM992&lt;2.5,BMILMS!$D$27*AM992^3+BMILMS!$E$27*AM992^2+BMILMS!$F$27*AM992+BMILMS!$G$27,IF(AM992&lt;9.5,BMILMS!$D$28*AM992^3+BMILMS!$E$28*AM992^2+BMILMS!$F$28*AM992+BMILMS!$G$28,IF(AM992&lt;26.75,BMILMS!$D$29*AM992^3+BMILMS!$E$29*AM992^2+BMILMS!$F$29*AM992+BMILMS!$G$29,IF(AM992&lt;90,BMILMS!$D$30*AM992^3+BMILMS!$E$30*AM992^2+BMILMS!$F$30*AM992+BMILMS!$G$30,IF(AM992&lt;150,BMILMS!$D$31*AM992^3+BMILMS!$E$31*AM992^2+BMILMS!$F$31*AM992+BMILMS!$G$31,BMILMS!$D$32*AM992^3+BMILMS!$E$32*AM992^2+BMILMS!$F$32*AM992+BMILMS!$G$32)))))))</f>
        <v>12.568967990000001</v>
      </c>
      <c r="AL992" s="4">
        <f>IF(D992="M",(IF(AM992&lt;90,BMILMS!$D$14*AM992^3+BMILMS!$E$14*AM992^2+BMILMS!$F$14*AM992+BMILMS!$G$14,BMILMS!$D$15*AM992^3+BMILMS!$E$15*AM992^2+BMILMS!$F$15*AM992+BMILMS!$G$15)),(IF(AM992&lt;90,BMILMS!$D$17*AM992^3+BMILMS!$E$17*AM992^2+BMILMS!$F$17*AM992+BMILMS!$G$17,BMILMS!$D$18*AM992^3+BMILMS!$E$18*AM992^2+BMILMS!$F$18*AM992+BMILMS!$G$18)))</f>
        <v>8.8969350000000003E-2</v>
      </c>
      <c r="AM992" s="4">
        <f t="shared" si="335"/>
        <v>0</v>
      </c>
      <c r="AO992" s="56">
        <f>IF(D992="M",WeightSDS!P$5*$AM992^7+WeightSDS!Q$5*$AM992^6+WeightSDS!R$5*$AM992^5+WeightSDS!S$5*$AM992^4+WeightSDS!T$5*$AM992^3+WeightSDS!U$5*$AM992^2+WeightSDS!V$5*$AM992+WeightSDS!W$5,IF($AM992&lt;186,WeightSDS!P$8*$AM992^7+WeightSDS!Q$8*$AM992^6+WeightSDS!R$8*$AM992^5+WeightSDS!S$8*$AM992^4+WeightSDS!T$8*$AM992^3+WeightSDS!U$8*$AM992^2+WeightSDS!V$8*$AM992+WeightSDS!W$8,WeightSDS!$U$9+WeightSDS!$V$9*($AM992-WeightSDS!$W$9)))</f>
        <v>0.75407122999999998</v>
      </c>
      <c r="AP992" s="4">
        <f>IF(D992="M",IF($AM992&lt;45,WeightSDS!M$23*$AM992^10+WeightSDS!N$23*$AM992^9+WeightSDS!O$23*$AM992^8+WeightSDS!P$23*$AM992^7+WeightSDS!Q$23*$AM992^6+WeightSDS!R$23*$AM992^5+WeightSDS!S$23*$AM992^4+WeightSDS!T$23*$AM992^3+WeightSDS!U$23*$AM992^2+WeightSDS!V$23*$AM992+WeightSDS!W$23,IF($AM992&lt;153,WeightSDS!M$25*$AM992^10+WeightSDS!N$25*$AM992^9+WeightSDS!O$25*$AM992^8+WeightSDS!P$25*$AM992^7+WeightSDS!Q$25*$AM992^6+WeightSDS!R$25*$AM992^5+WeightSDS!S$25*$AM992^4+WeightSDS!T$25*$AM992^3+WeightSDS!U$25*$AM992^2+WeightSDS!V$25*$AM992+WeightSDS!W$25,WeightSDS!M$27+WeightSDS!N$27/(1+EXP(WeightSDS!O$27+WeightSDS!P$27*$AM992)))),IF($AM992&lt;43.8,WeightSDS!M$29*$AM992^10+WeightSDS!N$29*$AM992^9+WeightSDS!O$29*$AM992^8+WeightSDS!P$29*$AM992^7+WeightSDS!Q$29*$AM992^6+WeightSDS!R$29*$AM992^5+WeightSDS!S$29*$AM992^4+WeightSDS!T$29*$AM992^3+WeightSDS!U$29*$AM992^2+WeightSDS!V$29*$AM992+WeightSDS!W$29-0.010431*(1-$AM992/210),IF($AM992&lt;123,WeightSDS!M$30*$AM992^10+WeightSDS!N$30*$AM992^9+WeightSDS!O$30*$AM992^8+WeightSDS!P$30*$AM992^7+WeightSDS!Q$30*$AM992^6+WeightSDS!R$30*$AM992^5+WeightSDS!S$30*$AM992^4+WeightSDS!T$30*$AM992^3+WeightSDS!U$30*$AM992^2+WeightSDS!V$30*$AM992+WeightSDS!W$30-0.010431*(1-1/$AM992),WeightSDS!M$32+WeightSDS!N$32/(1+EXP(WeightSDS!O$32+WeightSDS!P$32*$AM992))-0.010431*(1-$AM992/210))))</f>
        <v>2.9500001032655536</v>
      </c>
      <c r="AQ992" s="4">
        <f>IF(D992="M",IF($AM992&lt;162,WeightSDS!P$12*$AM992^7+WeightSDS!Q$12*$AM992^6+WeightSDS!R$12*$AM992^5+WeightSDS!S$12*$AM992^4+WeightSDS!T$12*$AM992^3+WeightSDS!U$12*$AM992^2+WeightSDS!V$12*$AM992+WeightSDS!W$12,WeightSDS!P$14*$AM992^7+WeightSDS!Q$14*$AM992^6+WeightSDS!R$14*$AM992^5+WeightSDS!S$14*$AM992^4+WeightSDS!T$14*$AM992^3+WeightSDS!U$14*$AM992^2+WeightSDS!V$14*$AM992+WeightSDS!W$14),IF($AM992&lt;156,WeightSDS!O$17*$AM992^8+WeightSDS!P$17*$AM992^7+WeightSDS!Q$17*$AM992^6+WeightSDS!R$17*$AM992^5+WeightSDS!S$17*$AM992^4+WeightSDS!T$17*$AM992^3+WeightSDS!U$17*$AM992^2+WeightSDS!V$17*$AM992+WeightSDS!W$17,IF($AM992&lt;186,WeightSDS!$U$18+(WeightSDS!$V$18-WeightSDS!$U$18)/24*($AM992-186)+WeightSDS!$W$18*(-$AM992+186)^2-0.005,WeightSDS!$U$18+(WeightSDS!$V$18-WeightSDS!$U$18)/24*($AM992-186)-0.005)))</f>
        <v>0.14604529399999999</v>
      </c>
      <c r="AT992" s="4">
        <f t="shared" si="320"/>
        <v>0.56299999999999994</v>
      </c>
      <c r="AU992" s="4">
        <f t="shared" si="321"/>
        <v>69</v>
      </c>
      <c r="AV992" s="4">
        <f t="shared" si="322"/>
        <v>0.51</v>
      </c>
    </row>
    <row r="993" spans="1:48" x14ac:dyDescent="0.15">
      <c r="A993" s="4"/>
      <c r="B993" s="21"/>
      <c r="C993" s="21"/>
      <c r="D993" s="21"/>
      <c r="E993" s="22"/>
      <c r="F993" s="22"/>
      <c r="G993" s="23"/>
      <c r="H993" s="23"/>
      <c r="I993" s="181"/>
      <c r="J993" s="8" t="str">
        <f t="shared" si="316"/>
        <v/>
      </c>
      <c r="K993" s="2" t="str">
        <f t="shared" si="323"/>
        <v/>
      </c>
      <c r="L993" s="2" t="str">
        <f t="shared" si="317"/>
        <v/>
      </c>
      <c r="M993" s="2" t="str">
        <f t="shared" si="324"/>
        <v/>
      </c>
      <c r="N993" s="2" t="str">
        <f t="shared" si="334"/>
        <v/>
      </c>
      <c r="O993" s="2" t="str">
        <f t="shared" si="325"/>
        <v/>
      </c>
      <c r="P993" s="8" t="str">
        <f t="shared" si="326"/>
        <v/>
      </c>
      <c r="Q993" s="8" t="str">
        <f t="shared" si="327"/>
        <v/>
      </c>
      <c r="R993" s="111" t="str">
        <f t="shared" si="328"/>
        <v/>
      </c>
      <c r="S993" s="44" t="str">
        <f t="shared" si="329"/>
        <v/>
      </c>
      <c r="T993" s="37" t="str">
        <f t="shared" si="330"/>
        <v/>
      </c>
      <c r="U993" s="44" t="str">
        <f t="shared" si="331"/>
        <v/>
      </c>
      <c r="V993" s="26"/>
      <c r="W993" s="26"/>
      <c r="X993" s="26"/>
      <c r="Y993" s="26"/>
      <c r="Z993" s="24"/>
      <c r="AA993" s="169">
        <f t="shared" si="332"/>
        <v>0</v>
      </c>
      <c r="AB993" s="4">
        <f t="shared" si="333"/>
        <v>0</v>
      </c>
      <c r="AC993" s="170">
        <f t="shared" si="336"/>
        <v>0</v>
      </c>
      <c r="AD993" s="58"/>
      <c r="AE993" s="58"/>
      <c r="AF993" s="58"/>
      <c r="AG993" s="59">
        <f t="shared" si="318"/>
        <v>9.0359999999999996</v>
      </c>
      <c r="AH993" s="59">
        <f t="shared" si="319"/>
        <v>-184.49199999999999</v>
      </c>
      <c r="AJ993" s="4">
        <f>IF(D993="M",IF(AM993&lt;78,BMILMS!$D$5*AM993^3+BMILMS!$E$5*AM993^2+BMILMS!$F$5*AM993+BMILMS!$G$5,IF(AM993&lt;150,BMILMS!$D$6*AM993^3+BMILMS!$E$6*AM993^2+BMILMS!$F$6*AM993+BMILMS!$G$6,BMILMS!$D$7*AM993^3+BMILMS!$E$7*AM993^2+BMILMS!$F$7*AM993+BMILMS!$G$7)),IF(AM993&lt;69,BMILMS!$D$9*AM993^3+BMILMS!$E$9*AM993^2+BMILMS!$F$9*AM993+BMILMS!$G$9,IF(AM993&lt;150,BMILMS!$D$10*AM993^3+BMILMS!$E$10*AM993^2+BMILMS!$F$10*AM993+BMILMS!$G$10,BMILMS!$D$11*AM993^3+BMILMS!$E$11*AM993^2+BMILMS!$F$11*AM993+BMILMS!$G$11)))</f>
        <v>0.79584630099999998</v>
      </c>
      <c r="AK993" s="4">
        <f>IF(D993="M",(IF(AM993&lt;2.5,BMILMS!$D$21*AM993^3+BMILMS!$E$21*AM993^2+BMILMS!$F$21*AM993+BMILMS!$G$21,IF(AM993&lt;9.5,BMILMS!$D$22*AM993^3+BMILMS!$E$22*AM993^2+BMILMS!$F$22*AM993+BMILMS!$G$22,IF(AM993&lt;26.75,BMILMS!$D$23*AM993^3+BMILMS!$E$23*AM993^2+BMILMS!$F$23*AM993+BMILMS!$G$23,IF(AM993&lt;90,BMILMS!$D$24*AM993^3+BMILMS!$E$24*AM993^2+BMILMS!$F$24*AM993+BMILMS!$G$24,BMILMS!$D$25*AM993^3+BMILMS!$E$25*AM993^2+BMILMS!$F$25*AM993+BMILMS!$G$25))))),(IF(AM993&lt;2.5,BMILMS!$D$27*AM993^3+BMILMS!$E$27*AM993^2+BMILMS!$F$27*AM993+BMILMS!$G$27,IF(AM993&lt;9.5,BMILMS!$D$28*AM993^3+BMILMS!$E$28*AM993^2+BMILMS!$F$28*AM993+BMILMS!$G$28,IF(AM993&lt;26.75,BMILMS!$D$29*AM993^3+BMILMS!$E$29*AM993^2+BMILMS!$F$29*AM993+BMILMS!$G$29,IF(AM993&lt;90,BMILMS!$D$30*AM993^3+BMILMS!$E$30*AM993^2+BMILMS!$F$30*AM993+BMILMS!$G$30,IF(AM993&lt;150,BMILMS!$D$31*AM993^3+BMILMS!$E$31*AM993^2+BMILMS!$F$31*AM993+BMILMS!$G$31,BMILMS!$D$32*AM993^3+BMILMS!$E$32*AM993^2+BMILMS!$F$32*AM993+BMILMS!$G$32)))))))</f>
        <v>12.568967990000001</v>
      </c>
      <c r="AL993" s="4">
        <f>IF(D993="M",(IF(AM993&lt;90,BMILMS!$D$14*AM993^3+BMILMS!$E$14*AM993^2+BMILMS!$F$14*AM993+BMILMS!$G$14,BMILMS!$D$15*AM993^3+BMILMS!$E$15*AM993^2+BMILMS!$F$15*AM993+BMILMS!$G$15)),(IF(AM993&lt;90,BMILMS!$D$17*AM993^3+BMILMS!$E$17*AM993^2+BMILMS!$F$17*AM993+BMILMS!$G$17,BMILMS!$D$18*AM993^3+BMILMS!$E$18*AM993^2+BMILMS!$F$18*AM993+BMILMS!$G$18)))</f>
        <v>8.8969350000000003E-2</v>
      </c>
      <c r="AM993" s="4">
        <f t="shared" si="335"/>
        <v>0</v>
      </c>
      <c r="AO993" s="56">
        <f>IF(D993="M",WeightSDS!P$5*$AM993^7+WeightSDS!Q$5*$AM993^6+WeightSDS!R$5*$AM993^5+WeightSDS!S$5*$AM993^4+WeightSDS!T$5*$AM993^3+WeightSDS!U$5*$AM993^2+WeightSDS!V$5*$AM993+WeightSDS!W$5,IF($AM993&lt;186,WeightSDS!P$8*$AM993^7+WeightSDS!Q$8*$AM993^6+WeightSDS!R$8*$AM993^5+WeightSDS!S$8*$AM993^4+WeightSDS!T$8*$AM993^3+WeightSDS!U$8*$AM993^2+WeightSDS!V$8*$AM993+WeightSDS!W$8,WeightSDS!$U$9+WeightSDS!$V$9*($AM993-WeightSDS!$W$9)))</f>
        <v>0.75407122999999998</v>
      </c>
      <c r="AP993" s="4">
        <f>IF(D993="M",IF($AM993&lt;45,WeightSDS!M$23*$AM993^10+WeightSDS!N$23*$AM993^9+WeightSDS!O$23*$AM993^8+WeightSDS!P$23*$AM993^7+WeightSDS!Q$23*$AM993^6+WeightSDS!R$23*$AM993^5+WeightSDS!S$23*$AM993^4+WeightSDS!T$23*$AM993^3+WeightSDS!U$23*$AM993^2+WeightSDS!V$23*$AM993+WeightSDS!W$23,IF($AM993&lt;153,WeightSDS!M$25*$AM993^10+WeightSDS!N$25*$AM993^9+WeightSDS!O$25*$AM993^8+WeightSDS!P$25*$AM993^7+WeightSDS!Q$25*$AM993^6+WeightSDS!R$25*$AM993^5+WeightSDS!S$25*$AM993^4+WeightSDS!T$25*$AM993^3+WeightSDS!U$25*$AM993^2+WeightSDS!V$25*$AM993+WeightSDS!W$25,WeightSDS!M$27+WeightSDS!N$27/(1+EXP(WeightSDS!O$27+WeightSDS!P$27*$AM993)))),IF($AM993&lt;43.8,WeightSDS!M$29*$AM993^10+WeightSDS!N$29*$AM993^9+WeightSDS!O$29*$AM993^8+WeightSDS!P$29*$AM993^7+WeightSDS!Q$29*$AM993^6+WeightSDS!R$29*$AM993^5+WeightSDS!S$29*$AM993^4+WeightSDS!T$29*$AM993^3+WeightSDS!U$29*$AM993^2+WeightSDS!V$29*$AM993+WeightSDS!W$29-0.010431*(1-$AM993/210),IF($AM993&lt;123,WeightSDS!M$30*$AM993^10+WeightSDS!N$30*$AM993^9+WeightSDS!O$30*$AM993^8+WeightSDS!P$30*$AM993^7+WeightSDS!Q$30*$AM993^6+WeightSDS!R$30*$AM993^5+WeightSDS!S$30*$AM993^4+WeightSDS!T$30*$AM993^3+WeightSDS!U$30*$AM993^2+WeightSDS!V$30*$AM993+WeightSDS!W$30-0.010431*(1-1/$AM993),WeightSDS!M$32+WeightSDS!N$32/(1+EXP(WeightSDS!O$32+WeightSDS!P$32*$AM993))-0.010431*(1-$AM993/210))))</f>
        <v>2.9500001032655536</v>
      </c>
      <c r="AQ993" s="4">
        <f>IF(D993="M",IF($AM993&lt;162,WeightSDS!P$12*$AM993^7+WeightSDS!Q$12*$AM993^6+WeightSDS!R$12*$AM993^5+WeightSDS!S$12*$AM993^4+WeightSDS!T$12*$AM993^3+WeightSDS!U$12*$AM993^2+WeightSDS!V$12*$AM993+WeightSDS!W$12,WeightSDS!P$14*$AM993^7+WeightSDS!Q$14*$AM993^6+WeightSDS!R$14*$AM993^5+WeightSDS!S$14*$AM993^4+WeightSDS!T$14*$AM993^3+WeightSDS!U$14*$AM993^2+WeightSDS!V$14*$AM993+WeightSDS!W$14),IF($AM993&lt;156,WeightSDS!O$17*$AM993^8+WeightSDS!P$17*$AM993^7+WeightSDS!Q$17*$AM993^6+WeightSDS!R$17*$AM993^5+WeightSDS!S$17*$AM993^4+WeightSDS!T$17*$AM993^3+WeightSDS!U$17*$AM993^2+WeightSDS!V$17*$AM993+WeightSDS!W$17,IF($AM993&lt;186,WeightSDS!$U$18+(WeightSDS!$V$18-WeightSDS!$U$18)/24*($AM993-186)+WeightSDS!$W$18*(-$AM993+186)^2-0.005,WeightSDS!$U$18+(WeightSDS!$V$18-WeightSDS!$U$18)/24*($AM993-186)-0.005)))</f>
        <v>0.14604529399999999</v>
      </c>
      <c r="AT993" s="4">
        <f t="shared" si="320"/>
        <v>0.56299999999999994</v>
      </c>
      <c r="AU993" s="4">
        <f t="shared" si="321"/>
        <v>69</v>
      </c>
      <c r="AV993" s="4">
        <f t="shared" si="322"/>
        <v>0.51</v>
      </c>
    </row>
    <row r="994" spans="1:48" x14ac:dyDescent="0.15">
      <c r="A994" s="4"/>
      <c r="B994" s="21"/>
      <c r="C994" s="21"/>
      <c r="D994" s="21"/>
      <c r="E994" s="22"/>
      <c r="F994" s="22"/>
      <c r="G994" s="23"/>
      <c r="H994" s="23"/>
      <c r="I994" s="181"/>
      <c r="J994" s="8" t="str">
        <f t="shared" si="316"/>
        <v/>
      </c>
      <c r="K994" s="2" t="str">
        <f t="shared" si="323"/>
        <v/>
      </c>
      <c r="L994" s="2" t="str">
        <f t="shared" si="317"/>
        <v/>
      </c>
      <c r="M994" s="2" t="str">
        <f t="shared" si="324"/>
        <v/>
      </c>
      <c r="N994" s="2" t="str">
        <f t="shared" si="334"/>
        <v/>
      </c>
      <c r="O994" s="2" t="str">
        <f t="shared" si="325"/>
        <v/>
      </c>
      <c r="P994" s="8" t="str">
        <f t="shared" si="326"/>
        <v/>
      </c>
      <c r="Q994" s="8" t="str">
        <f t="shared" si="327"/>
        <v/>
      </c>
      <c r="R994" s="111" t="str">
        <f t="shared" si="328"/>
        <v/>
      </c>
      <c r="S994" s="44" t="str">
        <f t="shared" si="329"/>
        <v/>
      </c>
      <c r="T994" s="37" t="str">
        <f t="shared" si="330"/>
        <v/>
      </c>
      <c r="U994" s="44" t="str">
        <f t="shared" si="331"/>
        <v/>
      </c>
      <c r="V994" s="26"/>
      <c r="W994" s="26"/>
      <c r="X994" s="26"/>
      <c r="Y994" s="26"/>
      <c r="Z994" s="24"/>
      <c r="AA994" s="169">
        <f t="shared" si="332"/>
        <v>0</v>
      </c>
      <c r="AB994" s="4">
        <f t="shared" si="333"/>
        <v>0</v>
      </c>
      <c r="AC994" s="170">
        <f t="shared" si="336"/>
        <v>0</v>
      </c>
      <c r="AD994" s="58"/>
      <c r="AE994" s="58"/>
      <c r="AF994" s="58"/>
      <c r="AG994" s="59">
        <f t="shared" si="318"/>
        <v>9.0359999999999996</v>
      </c>
      <c r="AH994" s="59">
        <f t="shared" si="319"/>
        <v>-184.49199999999999</v>
      </c>
      <c r="AJ994" s="4">
        <f>IF(D994="M",IF(AM994&lt;78,BMILMS!$D$5*AM994^3+BMILMS!$E$5*AM994^2+BMILMS!$F$5*AM994+BMILMS!$G$5,IF(AM994&lt;150,BMILMS!$D$6*AM994^3+BMILMS!$E$6*AM994^2+BMILMS!$F$6*AM994+BMILMS!$G$6,BMILMS!$D$7*AM994^3+BMILMS!$E$7*AM994^2+BMILMS!$F$7*AM994+BMILMS!$G$7)),IF(AM994&lt;69,BMILMS!$D$9*AM994^3+BMILMS!$E$9*AM994^2+BMILMS!$F$9*AM994+BMILMS!$G$9,IF(AM994&lt;150,BMILMS!$D$10*AM994^3+BMILMS!$E$10*AM994^2+BMILMS!$F$10*AM994+BMILMS!$G$10,BMILMS!$D$11*AM994^3+BMILMS!$E$11*AM994^2+BMILMS!$F$11*AM994+BMILMS!$G$11)))</f>
        <v>0.79584630099999998</v>
      </c>
      <c r="AK994" s="4">
        <f>IF(D994="M",(IF(AM994&lt;2.5,BMILMS!$D$21*AM994^3+BMILMS!$E$21*AM994^2+BMILMS!$F$21*AM994+BMILMS!$G$21,IF(AM994&lt;9.5,BMILMS!$D$22*AM994^3+BMILMS!$E$22*AM994^2+BMILMS!$F$22*AM994+BMILMS!$G$22,IF(AM994&lt;26.75,BMILMS!$D$23*AM994^3+BMILMS!$E$23*AM994^2+BMILMS!$F$23*AM994+BMILMS!$G$23,IF(AM994&lt;90,BMILMS!$D$24*AM994^3+BMILMS!$E$24*AM994^2+BMILMS!$F$24*AM994+BMILMS!$G$24,BMILMS!$D$25*AM994^3+BMILMS!$E$25*AM994^2+BMILMS!$F$25*AM994+BMILMS!$G$25))))),(IF(AM994&lt;2.5,BMILMS!$D$27*AM994^3+BMILMS!$E$27*AM994^2+BMILMS!$F$27*AM994+BMILMS!$G$27,IF(AM994&lt;9.5,BMILMS!$D$28*AM994^3+BMILMS!$E$28*AM994^2+BMILMS!$F$28*AM994+BMILMS!$G$28,IF(AM994&lt;26.75,BMILMS!$D$29*AM994^3+BMILMS!$E$29*AM994^2+BMILMS!$F$29*AM994+BMILMS!$G$29,IF(AM994&lt;90,BMILMS!$D$30*AM994^3+BMILMS!$E$30*AM994^2+BMILMS!$F$30*AM994+BMILMS!$G$30,IF(AM994&lt;150,BMILMS!$D$31*AM994^3+BMILMS!$E$31*AM994^2+BMILMS!$F$31*AM994+BMILMS!$G$31,BMILMS!$D$32*AM994^3+BMILMS!$E$32*AM994^2+BMILMS!$F$32*AM994+BMILMS!$G$32)))))))</f>
        <v>12.568967990000001</v>
      </c>
      <c r="AL994" s="4">
        <f>IF(D994="M",(IF(AM994&lt;90,BMILMS!$D$14*AM994^3+BMILMS!$E$14*AM994^2+BMILMS!$F$14*AM994+BMILMS!$G$14,BMILMS!$D$15*AM994^3+BMILMS!$E$15*AM994^2+BMILMS!$F$15*AM994+BMILMS!$G$15)),(IF(AM994&lt;90,BMILMS!$D$17*AM994^3+BMILMS!$E$17*AM994^2+BMILMS!$F$17*AM994+BMILMS!$G$17,BMILMS!$D$18*AM994^3+BMILMS!$E$18*AM994^2+BMILMS!$F$18*AM994+BMILMS!$G$18)))</f>
        <v>8.8969350000000003E-2</v>
      </c>
      <c r="AM994" s="4">
        <f t="shared" si="335"/>
        <v>0</v>
      </c>
      <c r="AO994" s="56">
        <f>IF(D994="M",WeightSDS!P$5*$AM994^7+WeightSDS!Q$5*$AM994^6+WeightSDS!R$5*$AM994^5+WeightSDS!S$5*$AM994^4+WeightSDS!T$5*$AM994^3+WeightSDS!U$5*$AM994^2+WeightSDS!V$5*$AM994+WeightSDS!W$5,IF($AM994&lt;186,WeightSDS!P$8*$AM994^7+WeightSDS!Q$8*$AM994^6+WeightSDS!R$8*$AM994^5+WeightSDS!S$8*$AM994^4+WeightSDS!T$8*$AM994^3+WeightSDS!U$8*$AM994^2+WeightSDS!V$8*$AM994+WeightSDS!W$8,WeightSDS!$U$9+WeightSDS!$V$9*($AM994-WeightSDS!$W$9)))</f>
        <v>0.75407122999999998</v>
      </c>
      <c r="AP994" s="4">
        <f>IF(D994="M",IF($AM994&lt;45,WeightSDS!M$23*$AM994^10+WeightSDS!N$23*$AM994^9+WeightSDS!O$23*$AM994^8+WeightSDS!P$23*$AM994^7+WeightSDS!Q$23*$AM994^6+WeightSDS!R$23*$AM994^5+WeightSDS!S$23*$AM994^4+WeightSDS!T$23*$AM994^3+WeightSDS!U$23*$AM994^2+WeightSDS!V$23*$AM994+WeightSDS!W$23,IF($AM994&lt;153,WeightSDS!M$25*$AM994^10+WeightSDS!N$25*$AM994^9+WeightSDS!O$25*$AM994^8+WeightSDS!P$25*$AM994^7+WeightSDS!Q$25*$AM994^6+WeightSDS!R$25*$AM994^5+WeightSDS!S$25*$AM994^4+WeightSDS!T$25*$AM994^3+WeightSDS!U$25*$AM994^2+WeightSDS!V$25*$AM994+WeightSDS!W$25,WeightSDS!M$27+WeightSDS!N$27/(1+EXP(WeightSDS!O$27+WeightSDS!P$27*$AM994)))),IF($AM994&lt;43.8,WeightSDS!M$29*$AM994^10+WeightSDS!N$29*$AM994^9+WeightSDS!O$29*$AM994^8+WeightSDS!P$29*$AM994^7+WeightSDS!Q$29*$AM994^6+WeightSDS!R$29*$AM994^5+WeightSDS!S$29*$AM994^4+WeightSDS!T$29*$AM994^3+WeightSDS!U$29*$AM994^2+WeightSDS!V$29*$AM994+WeightSDS!W$29-0.010431*(1-$AM994/210),IF($AM994&lt;123,WeightSDS!M$30*$AM994^10+WeightSDS!N$30*$AM994^9+WeightSDS!O$30*$AM994^8+WeightSDS!P$30*$AM994^7+WeightSDS!Q$30*$AM994^6+WeightSDS!R$30*$AM994^5+WeightSDS!S$30*$AM994^4+WeightSDS!T$30*$AM994^3+WeightSDS!U$30*$AM994^2+WeightSDS!V$30*$AM994+WeightSDS!W$30-0.010431*(1-1/$AM994),WeightSDS!M$32+WeightSDS!N$32/(1+EXP(WeightSDS!O$32+WeightSDS!P$32*$AM994))-0.010431*(1-$AM994/210))))</f>
        <v>2.9500001032655536</v>
      </c>
      <c r="AQ994" s="4">
        <f>IF(D994="M",IF($AM994&lt;162,WeightSDS!P$12*$AM994^7+WeightSDS!Q$12*$AM994^6+WeightSDS!R$12*$AM994^5+WeightSDS!S$12*$AM994^4+WeightSDS!T$12*$AM994^3+WeightSDS!U$12*$AM994^2+WeightSDS!V$12*$AM994+WeightSDS!W$12,WeightSDS!P$14*$AM994^7+WeightSDS!Q$14*$AM994^6+WeightSDS!R$14*$AM994^5+WeightSDS!S$14*$AM994^4+WeightSDS!T$14*$AM994^3+WeightSDS!U$14*$AM994^2+WeightSDS!V$14*$AM994+WeightSDS!W$14),IF($AM994&lt;156,WeightSDS!O$17*$AM994^8+WeightSDS!P$17*$AM994^7+WeightSDS!Q$17*$AM994^6+WeightSDS!R$17*$AM994^5+WeightSDS!S$17*$AM994^4+WeightSDS!T$17*$AM994^3+WeightSDS!U$17*$AM994^2+WeightSDS!V$17*$AM994+WeightSDS!W$17,IF($AM994&lt;186,WeightSDS!$U$18+(WeightSDS!$V$18-WeightSDS!$U$18)/24*($AM994-186)+WeightSDS!$W$18*(-$AM994+186)^2-0.005,WeightSDS!$U$18+(WeightSDS!$V$18-WeightSDS!$U$18)/24*($AM994-186)-0.005)))</f>
        <v>0.14604529399999999</v>
      </c>
      <c r="AT994" s="4">
        <f t="shared" si="320"/>
        <v>0.56299999999999994</v>
      </c>
      <c r="AU994" s="4">
        <f t="shared" si="321"/>
        <v>69</v>
      </c>
      <c r="AV994" s="4">
        <f t="shared" si="322"/>
        <v>0.51</v>
      </c>
    </row>
    <row r="995" spans="1:48" x14ac:dyDescent="0.15">
      <c r="A995" s="4"/>
      <c r="B995" s="21"/>
      <c r="C995" s="21"/>
      <c r="D995" s="21"/>
      <c r="E995" s="22"/>
      <c r="F995" s="22"/>
      <c r="G995" s="23"/>
      <c r="H995" s="23"/>
      <c r="I995" s="181"/>
      <c r="J995" s="8" t="str">
        <f t="shared" si="316"/>
        <v/>
      </c>
      <c r="K995" s="2" t="str">
        <f t="shared" si="323"/>
        <v/>
      </c>
      <c r="L995" s="2" t="str">
        <f t="shared" si="317"/>
        <v/>
      </c>
      <c r="M995" s="2" t="str">
        <f t="shared" si="324"/>
        <v/>
      </c>
      <c r="N995" s="2" t="str">
        <f t="shared" si="334"/>
        <v/>
      </c>
      <c r="O995" s="2" t="str">
        <f t="shared" si="325"/>
        <v/>
      </c>
      <c r="P995" s="8" t="str">
        <f t="shared" si="326"/>
        <v/>
      </c>
      <c r="Q995" s="8" t="str">
        <f t="shared" si="327"/>
        <v/>
      </c>
      <c r="R995" s="111" t="str">
        <f t="shared" si="328"/>
        <v/>
      </c>
      <c r="S995" s="44" t="str">
        <f t="shared" si="329"/>
        <v/>
      </c>
      <c r="T995" s="37" t="str">
        <f t="shared" si="330"/>
        <v/>
      </c>
      <c r="U995" s="44" t="str">
        <f t="shared" si="331"/>
        <v/>
      </c>
      <c r="V995" s="26"/>
      <c r="W995" s="26"/>
      <c r="X995" s="26"/>
      <c r="Y995" s="26"/>
      <c r="Z995" s="24"/>
      <c r="AA995" s="169">
        <f t="shared" si="332"/>
        <v>0</v>
      </c>
      <c r="AB995" s="4">
        <f t="shared" si="333"/>
        <v>0</v>
      </c>
      <c r="AC995" s="170">
        <f t="shared" si="336"/>
        <v>0</v>
      </c>
      <c r="AD995" s="58"/>
      <c r="AE995" s="58"/>
      <c r="AF995" s="58"/>
      <c r="AG995" s="59">
        <f t="shared" si="318"/>
        <v>9.0359999999999996</v>
      </c>
      <c r="AH995" s="59">
        <f t="shared" si="319"/>
        <v>-184.49199999999999</v>
      </c>
      <c r="AJ995" s="4">
        <f>IF(D995="M",IF(AM995&lt;78,BMILMS!$D$5*AM995^3+BMILMS!$E$5*AM995^2+BMILMS!$F$5*AM995+BMILMS!$G$5,IF(AM995&lt;150,BMILMS!$D$6*AM995^3+BMILMS!$E$6*AM995^2+BMILMS!$F$6*AM995+BMILMS!$G$6,BMILMS!$D$7*AM995^3+BMILMS!$E$7*AM995^2+BMILMS!$F$7*AM995+BMILMS!$G$7)),IF(AM995&lt;69,BMILMS!$D$9*AM995^3+BMILMS!$E$9*AM995^2+BMILMS!$F$9*AM995+BMILMS!$G$9,IF(AM995&lt;150,BMILMS!$D$10*AM995^3+BMILMS!$E$10*AM995^2+BMILMS!$F$10*AM995+BMILMS!$G$10,BMILMS!$D$11*AM995^3+BMILMS!$E$11*AM995^2+BMILMS!$F$11*AM995+BMILMS!$G$11)))</f>
        <v>0.79584630099999998</v>
      </c>
      <c r="AK995" s="4">
        <f>IF(D995="M",(IF(AM995&lt;2.5,BMILMS!$D$21*AM995^3+BMILMS!$E$21*AM995^2+BMILMS!$F$21*AM995+BMILMS!$G$21,IF(AM995&lt;9.5,BMILMS!$D$22*AM995^3+BMILMS!$E$22*AM995^2+BMILMS!$F$22*AM995+BMILMS!$G$22,IF(AM995&lt;26.75,BMILMS!$D$23*AM995^3+BMILMS!$E$23*AM995^2+BMILMS!$F$23*AM995+BMILMS!$G$23,IF(AM995&lt;90,BMILMS!$D$24*AM995^3+BMILMS!$E$24*AM995^2+BMILMS!$F$24*AM995+BMILMS!$G$24,BMILMS!$D$25*AM995^3+BMILMS!$E$25*AM995^2+BMILMS!$F$25*AM995+BMILMS!$G$25))))),(IF(AM995&lt;2.5,BMILMS!$D$27*AM995^3+BMILMS!$E$27*AM995^2+BMILMS!$F$27*AM995+BMILMS!$G$27,IF(AM995&lt;9.5,BMILMS!$D$28*AM995^3+BMILMS!$E$28*AM995^2+BMILMS!$F$28*AM995+BMILMS!$G$28,IF(AM995&lt;26.75,BMILMS!$D$29*AM995^3+BMILMS!$E$29*AM995^2+BMILMS!$F$29*AM995+BMILMS!$G$29,IF(AM995&lt;90,BMILMS!$D$30*AM995^3+BMILMS!$E$30*AM995^2+BMILMS!$F$30*AM995+BMILMS!$G$30,IF(AM995&lt;150,BMILMS!$D$31*AM995^3+BMILMS!$E$31*AM995^2+BMILMS!$F$31*AM995+BMILMS!$G$31,BMILMS!$D$32*AM995^3+BMILMS!$E$32*AM995^2+BMILMS!$F$32*AM995+BMILMS!$G$32)))))))</f>
        <v>12.568967990000001</v>
      </c>
      <c r="AL995" s="4">
        <f>IF(D995="M",(IF(AM995&lt;90,BMILMS!$D$14*AM995^3+BMILMS!$E$14*AM995^2+BMILMS!$F$14*AM995+BMILMS!$G$14,BMILMS!$D$15*AM995^3+BMILMS!$E$15*AM995^2+BMILMS!$F$15*AM995+BMILMS!$G$15)),(IF(AM995&lt;90,BMILMS!$D$17*AM995^3+BMILMS!$E$17*AM995^2+BMILMS!$F$17*AM995+BMILMS!$G$17,BMILMS!$D$18*AM995^3+BMILMS!$E$18*AM995^2+BMILMS!$F$18*AM995+BMILMS!$G$18)))</f>
        <v>8.8969350000000003E-2</v>
      </c>
      <c r="AM995" s="4">
        <f t="shared" si="335"/>
        <v>0</v>
      </c>
      <c r="AO995" s="56">
        <f>IF(D995="M",WeightSDS!P$5*$AM995^7+WeightSDS!Q$5*$AM995^6+WeightSDS!R$5*$AM995^5+WeightSDS!S$5*$AM995^4+WeightSDS!T$5*$AM995^3+WeightSDS!U$5*$AM995^2+WeightSDS!V$5*$AM995+WeightSDS!W$5,IF($AM995&lt;186,WeightSDS!P$8*$AM995^7+WeightSDS!Q$8*$AM995^6+WeightSDS!R$8*$AM995^5+WeightSDS!S$8*$AM995^4+WeightSDS!T$8*$AM995^3+WeightSDS!U$8*$AM995^2+WeightSDS!V$8*$AM995+WeightSDS!W$8,WeightSDS!$U$9+WeightSDS!$V$9*($AM995-WeightSDS!$W$9)))</f>
        <v>0.75407122999999998</v>
      </c>
      <c r="AP995" s="4">
        <f>IF(D995="M",IF($AM995&lt;45,WeightSDS!M$23*$AM995^10+WeightSDS!N$23*$AM995^9+WeightSDS!O$23*$AM995^8+WeightSDS!P$23*$AM995^7+WeightSDS!Q$23*$AM995^6+WeightSDS!R$23*$AM995^5+WeightSDS!S$23*$AM995^4+WeightSDS!T$23*$AM995^3+WeightSDS!U$23*$AM995^2+WeightSDS!V$23*$AM995+WeightSDS!W$23,IF($AM995&lt;153,WeightSDS!M$25*$AM995^10+WeightSDS!N$25*$AM995^9+WeightSDS!O$25*$AM995^8+WeightSDS!P$25*$AM995^7+WeightSDS!Q$25*$AM995^6+WeightSDS!R$25*$AM995^5+WeightSDS!S$25*$AM995^4+WeightSDS!T$25*$AM995^3+WeightSDS!U$25*$AM995^2+WeightSDS!V$25*$AM995+WeightSDS!W$25,WeightSDS!M$27+WeightSDS!N$27/(1+EXP(WeightSDS!O$27+WeightSDS!P$27*$AM995)))),IF($AM995&lt;43.8,WeightSDS!M$29*$AM995^10+WeightSDS!N$29*$AM995^9+WeightSDS!O$29*$AM995^8+WeightSDS!P$29*$AM995^7+WeightSDS!Q$29*$AM995^6+WeightSDS!R$29*$AM995^5+WeightSDS!S$29*$AM995^4+WeightSDS!T$29*$AM995^3+WeightSDS!U$29*$AM995^2+WeightSDS!V$29*$AM995+WeightSDS!W$29-0.010431*(1-$AM995/210),IF($AM995&lt;123,WeightSDS!M$30*$AM995^10+WeightSDS!N$30*$AM995^9+WeightSDS!O$30*$AM995^8+WeightSDS!P$30*$AM995^7+WeightSDS!Q$30*$AM995^6+WeightSDS!R$30*$AM995^5+WeightSDS!S$30*$AM995^4+WeightSDS!T$30*$AM995^3+WeightSDS!U$30*$AM995^2+WeightSDS!V$30*$AM995+WeightSDS!W$30-0.010431*(1-1/$AM995),WeightSDS!M$32+WeightSDS!N$32/(1+EXP(WeightSDS!O$32+WeightSDS!P$32*$AM995))-0.010431*(1-$AM995/210))))</f>
        <v>2.9500001032655536</v>
      </c>
      <c r="AQ995" s="4">
        <f>IF(D995="M",IF($AM995&lt;162,WeightSDS!P$12*$AM995^7+WeightSDS!Q$12*$AM995^6+WeightSDS!R$12*$AM995^5+WeightSDS!S$12*$AM995^4+WeightSDS!T$12*$AM995^3+WeightSDS!U$12*$AM995^2+WeightSDS!V$12*$AM995+WeightSDS!W$12,WeightSDS!P$14*$AM995^7+WeightSDS!Q$14*$AM995^6+WeightSDS!R$14*$AM995^5+WeightSDS!S$14*$AM995^4+WeightSDS!T$14*$AM995^3+WeightSDS!U$14*$AM995^2+WeightSDS!V$14*$AM995+WeightSDS!W$14),IF($AM995&lt;156,WeightSDS!O$17*$AM995^8+WeightSDS!P$17*$AM995^7+WeightSDS!Q$17*$AM995^6+WeightSDS!R$17*$AM995^5+WeightSDS!S$17*$AM995^4+WeightSDS!T$17*$AM995^3+WeightSDS!U$17*$AM995^2+WeightSDS!V$17*$AM995+WeightSDS!W$17,IF($AM995&lt;186,WeightSDS!$U$18+(WeightSDS!$V$18-WeightSDS!$U$18)/24*($AM995-186)+WeightSDS!$W$18*(-$AM995+186)^2-0.005,WeightSDS!$U$18+(WeightSDS!$V$18-WeightSDS!$U$18)/24*($AM995-186)-0.005)))</f>
        <v>0.14604529399999999</v>
      </c>
      <c r="AT995" s="4">
        <f t="shared" si="320"/>
        <v>0.56299999999999994</v>
      </c>
      <c r="AU995" s="4">
        <f t="shared" si="321"/>
        <v>69</v>
      </c>
      <c r="AV995" s="4">
        <f t="shared" si="322"/>
        <v>0.51</v>
      </c>
    </row>
    <row r="996" spans="1:48" x14ac:dyDescent="0.15">
      <c r="A996" s="4"/>
      <c r="B996" s="21"/>
      <c r="C996" s="21"/>
      <c r="D996" s="21"/>
      <c r="E996" s="22"/>
      <c r="F996" s="22"/>
      <c r="G996" s="23"/>
      <c r="H996" s="23"/>
      <c r="I996" s="181"/>
      <c r="J996" s="8" t="str">
        <f t="shared" si="316"/>
        <v/>
      </c>
      <c r="K996" s="2" t="str">
        <f t="shared" si="323"/>
        <v/>
      </c>
      <c r="L996" s="2" t="str">
        <f t="shared" si="317"/>
        <v/>
      </c>
      <c r="M996" s="2" t="str">
        <f t="shared" si="324"/>
        <v/>
      </c>
      <c r="N996" s="2" t="str">
        <f t="shared" si="334"/>
        <v/>
      </c>
      <c r="O996" s="2" t="str">
        <f t="shared" si="325"/>
        <v/>
      </c>
      <c r="P996" s="8" t="str">
        <f t="shared" si="326"/>
        <v/>
      </c>
      <c r="Q996" s="8" t="str">
        <f t="shared" si="327"/>
        <v/>
      </c>
      <c r="R996" s="111" t="str">
        <f t="shared" si="328"/>
        <v/>
      </c>
      <c r="S996" s="44" t="str">
        <f t="shared" si="329"/>
        <v/>
      </c>
      <c r="T996" s="37" t="str">
        <f t="shared" si="330"/>
        <v/>
      </c>
      <c r="U996" s="44" t="str">
        <f t="shared" si="331"/>
        <v/>
      </c>
      <c r="V996" s="26"/>
      <c r="W996" s="26"/>
      <c r="X996" s="26"/>
      <c r="Y996" s="26"/>
      <c r="Z996" s="24"/>
      <c r="AA996" s="169">
        <f t="shared" si="332"/>
        <v>0</v>
      </c>
      <c r="AB996" s="4">
        <f t="shared" si="333"/>
        <v>0</v>
      </c>
      <c r="AC996" s="170">
        <f t="shared" si="336"/>
        <v>0</v>
      </c>
      <c r="AD996" s="58"/>
      <c r="AE996" s="58"/>
      <c r="AF996" s="58"/>
      <c r="AG996" s="59">
        <f t="shared" si="318"/>
        <v>9.0359999999999996</v>
      </c>
      <c r="AH996" s="59">
        <f t="shared" si="319"/>
        <v>-184.49199999999999</v>
      </c>
      <c r="AJ996" s="4">
        <f>IF(D996="M",IF(AM996&lt;78,BMILMS!$D$5*AM996^3+BMILMS!$E$5*AM996^2+BMILMS!$F$5*AM996+BMILMS!$G$5,IF(AM996&lt;150,BMILMS!$D$6*AM996^3+BMILMS!$E$6*AM996^2+BMILMS!$F$6*AM996+BMILMS!$G$6,BMILMS!$D$7*AM996^3+BMILMS!$E$7*AM996^2+BMILMS!$F$7*AM996+BMILMS!$G$7)),IF(AM996&lt;69,BMILMS!$D$9*AM996^3+BMILMS!$E$9*AM996^2+BMILMS!$F$9*AM996+BMILMS!$G$9,IF(AM996&lt;150,BMILMS!$D$10*AM996^3+BMILMS!$E$10*AM996^2+BMILMS!$F$10*AM996+BMILMS!$G$10,BMILMS!$D$11*AM996^3+BMILMS!$E$11*AM996^2+BMILMS!$F$11*AM996+BMILMS!$G$11)))</f>
        <v>0.79584630099999998</v>
      </c>
      <c r="AK996" s="4">
        <f>IF(D996="M",(IF(AM996&lt;2.5,BMILMS!$D$21*AM996^3+BMILMS!$E$21*AM996^2+BMILMS!$F$21*AM996+BMILMS!$G$21,IF(AM996&lt;9.5,BMILMS!$D$22*AM996^3+BMILMS!$E$22*AM996^2+BMILMS!$F$22*AM996+BMILMS!$G$22,IF(AM996&lt;26.75,BMILMS!$D$23*AM996^3+BMILMS!$E$23*AM996^2+BMILMS!$F$23*AM996+BMILMS!$G$23,IF(AM996&lt;90,BMILMS!$D$24*AM996^3+BMILMS!$E$24*AM996^2+BMILMS!$F$24*AM996+BMILMS!$G$24,BMILMS!$D$25*AM996^3+BMILMS!$E$25*AM996^2+BMILMS!$F$25*AM996+BMILMS!$G$25))))),(IF(AM996&lt;2.5,BMILMS!$D$27*AM996^3+BMILMS!$E$27*AM996^2+BMILMS!$F$27*AM996+BMILMS!$G$27,IF(AM996&lt;9.5,BMILMS!$D$28*AM996^3+BMILMS!$E$28*AM996^2+BMILMS!$F$28*AM996+BMILMS!$G$28,IF(AM996&lt;26.75,BMILMS!$D$29*AM996^3+BMILMS!$E$29*AM996^2+BMILMS!$F$29*AM996+BMILMS!$G$29,IF(AM996&lt;90,BMILMS!$D$30*AM996^3+BMILMS!$E$30*AM996^2+BMILMS!$F$30*AM996+BMILMS!$G$30,IF(AM996&lt;150,BMILMS!$D$31*AM996^3+BMILMS!$E$31*AM996^2+BMILMS!$F$31*AM996+BMILMS!$G$31,BMILMS!$D$32*AM996^3+BMILMS!$E$32*AM996^2+BMILMS!$F$32*AM996+BMILMS!$G$32)))))))</f>
        <v>12.568967990000001</v>
      </c>
      <c r="AL996" s="4">
        <f>IF(D996="M",(IF(AM996&lt;90,BMILMS!$D$14*AM996^3+BMILMS!$E$14*AM996^2+BMILMS!$F$14*AM996+BMILMS!$G$14,BMILMS!$D$15*AM996^3+BMILMS!$E$15*AM996^2+BMILMS!$F$15*AM996+BMILMS!$G$15)),(IF(AM996&lt;90,BMILMS!$D$17*AM996^3+BMILMS!$E$17*AM996^2+BMILMS!$F$17*AM996+BMILMS!$G$17,BMILMS!$D$18*AM996^3+BMILMS!$E$18*AM996^2+BMILMS!$F$18*AM996+BMILMS!$G$18)))</f>
        <v>8.8969350000000003E-2</v>
      </c>
      <c r="AM996" s="4">
        <f t="shared" si="335"/>
        <v>0</v>
      </c>
      <c r="AO996" s="56">
        <f>IF(D996="M",WeightSDS!P$5*$AM996^7+WeightSDS!Q$5*$AM996^6+WeightSDS!R$5*$AM996^5+WeightSDS!S$5*$AM996^4+WeightSDS!T$5*$AM996^3+WeightSDS!U$5*$AM996^2+WeightSDS!V$5*$AM996+WeightSDS!W$5,IF($AM996&lt;186,WeightSDS!P$8*$AM996^7+WeightSDS!Q$8*$AM996^6+WeightSDS!R$8*$AM996^5+WeightSDS!S$8*$AM996^4+WeightSDS!T$8*$AM996^3+WeightSDS!U$8*$AM996^2+WeightSDS!V$8*$AM996+WeightSDS!W$8,WeightSDS!$U$9+WeightSDS!$V$9*($AM996-WeightSDS!$W$9)))</f>
        <v>0.75407122999999998</v>
      </c>
      <c r="AP996" s="4">
        <f>IF(D996="M",IF($AM996&lt;45,WeightSDS!M$23*$AM996^10+WeightSDS!N$23*$AM996^9+WeightSDS!O$23*$AM996^8+WeightSDS!P$23*$AM996^7+WeightSDS!Q$23*$AM996^6+WeightSDS!R$23*$AM996^5+WeightSDS!S$23*$AM996^4+WeightSDS!T$23*$AM996^3+WeightSDS!U$23*$AM996^2+WeightSDS!V$23*$AM996+WeightSDS!W$23,IF($AM996&lt;153,WeightSDS!M$25*$AM996^10+WeightSDS!N$25*$AM996^9+WeightSDS!O$25*$AM996^8+WeightSDS!P$25*$AM996^7+WeightSDS!Q$25*$AM996^6+WeightSDS!R$25*$AM996^5+WeightSDS!S$25*$AM996^4+WeightSDS!T$25*$AM996^3+WeightSDS!U$25*$AM996^2+WeightSDS!V$25*$AM996+WeightSDS!W$25,WeightSDS!M$27+WeightSDS!N$27/(1+EXP(WeightSDS!O$27+WeightSDS!P$27*$AM996)))),IF($AM996&lt;43.8,WeightSDS!M$29*$AM996^10+WeightSDS!N$29*$AM996^9+WeightSDS!O$29*$AM996^8+WeightSDS!P$29*$AM996^7+WeightSDS!Q$29*$AM996^6+WeightSDS!R$29*$AM996^5+WeightSDS!S$29*$AM996^4+WeightSDS!T$29*$AM996^3+WeightSDS!U$29*$AM996^2+WeightSDS!V$29*$AM996+WeightSDS!W$29-0.010431*(1-$AM996/210),IF($AM996&lt;123,WeightSDS!M$30*$AM996^10+WeightSDS!N$30*$AM996^9+WeightSDS!O$30*$AM996^8+WeightSDS!P$30*$AM996^7+WeightSDS!Q$30*$AM996^6+WeightSDS!R$30*$AM996^5+WeightSDS!S$30*$AM996^4+WeightSDS!T$30*$AM996^3+WeightSDS!U$30*$AM996^2+WeightSDS!V$30*$AM996+WeightSDS!W$30-0.010431*(1-1/$AM996),WeightSDS!M$32+WeightSDS!N$32/(1+EXP(WeightSDS!O$32+WeightSDS!P$32*$AM996))-0.010431*(1-$AM996/210))))</f>
        <v>2.9500001032655536</v>
      </c>
      <c r="AQ996" s="4">
        <f>IF(D996="M",IF($AM996&lt;162,WeightSDS!P$12*$AM996^7+WeightSDS!Q$12*$AM996^6+WeightSDS!R$12*$AM996^5+WeightSDS!S$12*$AM996^4+WeightSDS!T$12*$AM996^3+WeightSDS!U$12*$AM996^2+WeightSDS!V$12*$AM996+WeightSDS!W$12,WeightSDS!P$14*$AM996^7+WeightSDS!Q$14*$AM996^6+WeightSDS!R$14*$AM996^5+WeightSDS!S$14*$AM996^4+WeightSDS!T$14*$AM996^3+WeightSDS!U$14*$AM996^2+WeightSDS!V$14*$AM996+WeightSDS!W$14),IF($AM996&lt;156,WeightSDS!O$17*$AM996^8+WeightSDS!P$17*$AM996^7+WeightSDS!Q$17*$AM996^6+WeightSDS!R$17*$AM996^5+WeightSDS!S$17*$AM996^4+WeightSDS!T$17*$AM996^3+WeightSDS!U$17*$AM996^2+WeightSDS!V$17*$AM996+WeightSDS!W$17,IF($AM996&lt;186,WeightSDS!$U$18+(WeightSDS!$V$18-WeightSDS!$U$18)/24*($AM996-186)+WeightSDS!$W$18*(-$AM996+186)^2-0.005,WeightSDS!$U$18+(WeightSDS!$V$18-WeightSDS!$U$18)/24*($AM996-186)-0.005)))</f>
        <v>0.14604529399999999</v>
      </c>
      <c r="AT996" s="4">
        <f t="shared" si="320"/>
        <v>0.56299999999999994</v>
      </c>
      <c r="AU996" s="4">
        <f t="shared" si="321"/>
        <v>69</v>
      </c>
      <c r="AV996" s="4">
        <f t="shared" si="322"/>
        <v>0.51</v>
      </c>
    </row>
    <row r="997" spans="1:48" x14ac:dyDescent="0.15">
      <c r="A997" s="4"/>
      <c r="B997" s="21"/>
      <c r="C997" s="21"/>
      <c r="D997" s="21"/>
      <c r="E997" s="22"/>
      <c r="F997" s="22"/>
      <c r="G997" s="23"/>
      <c r="H997" s="23"/>
      <c r="I997" s="181"/>
      <c r="J997" s="8" t="str">
        <f t="shared" si="316"/>
        <v/>
      </c>
      <c r="K997" s="2" t="str">
        <f t="shared" si="323"/>
        <v/>
      </c>
      <c r="L997" s="2" t="str">
        <f t="shared" si="317"/>
        <v/>
      </c>
      <c r="M997" s="2" t="str">
        <f t="shared" si="324"/>
        <v/>
      </c>
      <c r="N997" s="2" t="str">
        <f t="shared" si="334"/>
        <v/>
      </c>
      <c r="O997" s="2" t="str">
        <f t="shared" si="325"/>
        <v/>
      </c>
      <c r="P997" s="8" t="str">
        <f t="shared" si="326"/>
        <v/>
      </c>
      <c r="Q997" s="8" t="str">
        <f t="shared" si="327"/>
        <v/>
      </c>
      <c r="R997" s="111" t="str">
        <f t="shared" si="328"/>
        <v/>
      </c>
      <c r="S997" s="44" t="str">
        <f t="shared" si="329"/>
        <v/>
      </c>
      <c r="T997" s="37" t="str">
        <f t="shared" si="330"/>
        <v/>
      </c>
      <c r="U997" s="44" t="str">
        <f t="shared" si="331"/>
        <v/>
      </c>
      <c r="V997" s="26"/>
      <c r="W997" s="26"/>
      <c r="X997" s="26"/>
      <c r="Y997" s="26"/>
      <c r="Z997" s="24"/>
      <c r="AA997" s="169">
        <f t="shared" si="332"/>
        <v>0</v>
      </c>
      <c r="AB997" s="4">
        <f t="shared" si="333"/>
        <v>0</v>
      </c>
      <c r="AC997" s="170">
        <f t="shared" si="336"/>
        <v>0</v>
      </c>
      <c r="AD997" s="58"/>
      <c r="AE997" s="58"/>
      <c r="AF997" s="58"/>
      <c r="AG997" s="59">
        <f t="shared" si="318"/>
        <v>9.0359999999999996</v>
      </c>
      <c r="AH997" s="59">
        <f t="shared" si="319"/>
        <v>-184.49199999999999</v>
      </c>
      <c r="AJ997" s="4">
        <f>IF(D997="M",IF(AM997&lt;78,BMILMS!$D$5*AM997^3+BMILMS!$E$5*AM997^2+BMILMS!$F$5*AM997+BMILMS!$G$5,IF(AM997&lt;150,BMILMS!$D$6*AM997^3+BMILMS!$E$6*AM997^2+BMILMS!$F$6*AM997+BMILMS!$G$6,BMILMS!$D$7*AM997^3+BMILMS!$E$7*AM997^2+BMILMS!$F$7*AM997+BMILMS!$G$7)),IF(AM997&lt;69,BMILMS!$D$9*AM997^3+BMILMS!$E$9*AM997^2+BMILMS!$F$9*AM997+BMILMS!$G$9,IF(AM997&lt;150,BMILMS!$D$10*AM997^3+BMILMS!$E$10*AM997^2+BMILMS!$F$10*AM997+BMILMS!$G$10,BMILMS!$D$11*AM997^3+BMILMS!$E$11*AM997^2+BMILMS!$F$11*AM997+BMILMS!$G$11)))</f>
        <v>0.79584630099999998</v>
      </c>
      <c r="AK997" s="4">
        <f>IF(D997="M",(IF(AM997&lt;2.5,BMILMS!$D$21*AM997^3+BMILMS!$E$21*AM997^2+BMILMS!$F$21*AM997+BMILMS!$G$21,IF(AM997&lt;9.5,BMILMS!$D$22*AM997^3+BMILMS!$E$22*AM997^2+BMILMS!$F$22*AM997+BMILMS!$G$22,IF(AM997&lt;26.75,BMILMS!$D$23*AM997^3+BMILMS!$E$23*AM997^2+BMILMS!$F$23*AM997+BMILMS!$G$23,IF(AM997&lt;90,BMILMS!$D$24*AM997^3+BMILMS!$E$24*AM997^2+BMILMS!$F$24*AM997+BMILMS!$G$24,BMILMS!$D$25*AM997^3+BMILMS!$E$25*AM997^2+BMILMS!$F$25*AM997+BMILMS!$G$25))))),(IF(AM997&lt;2.5,BMILMS!$D$27*AM997^3+BMILMS!$E$27*AM997^2+BMILMS!$F$27*AM997+BMILMS!$G$27,IF(AM997&lt;9.5,BMILMS!$D$28*AM997^3+BMILMS!$E$28*AM997^2+BMILMS!$F$28*AM997+BMILMS!$G$28,IF(AM997&lt;26.75,BMILMS!$D$29*AM997^3+BMILMS!$E$29*AM997^2+BMILMS!$F$29*AM997+BMILMS!$G$29,IF(AM997&lt;90,BMILMS!$D$30*AM997^3+BMILMS!$E$30*AM997^2+BMILMS!$F$30*AM997+BMILMS!$G$30,IF(AM997&lt;150,BMILMS!$D$31*AM997^3+BMILMS!$E$31*AM997^2+BMILMS!$F$31*AM997+BMILMS!$G$31,BMILMS!$D$32*AM997^3+BMILMS!$E$32*AM997^2+BMILMS!$F$32*AM997+BMILMS!$G$32)))))))</f>
        <v>12.568967990000001</v>
      </c>
      <c r="AL997" s="4">
        <f>IF(D997="M",(IF(AM997&lt;90,BMILMS!$D$14*AM997^3+BMILMS!$E$14*AM997^2+BMILMS!$F$14*AM997+BMILMS!$G$14,BMILMS!$D$15*AM997^3+BMILMS!$E$15*AM997^2+BMILMS!$F$15*AM997+BMILMS!$G$15)),(IF(AM997&lt;90,BMILMS!$D$17*AM997^3+BMILMS!$E$17*AM997^2+BMILMS!$F$17*AM997+BMILMS!$G$17,BMILMS!$D$18*AM997^3+BMILMS!$E$18*AM997^2+BMILMS!$F$18*AM997+BMILMS!$G$18)))</f>
        <v>8.8969350000000003E-2</v>
      </c>
      <c r="AM997" s="4">
        <f t="shared" si="335"/>
        <v>0</v>
      </c>
      <c r="AO997" s="56">
        <f>IF(D997="M",WeightSDS!P$5*$AM997^7+WeightSDS!Q$5*$AM997^6+WeightSDS!R$5*$AM997^5+WeightSDS!S$5*$AM997^4+WeightSDS!T$5*$AM997^3+WeightSDS!U$5*$AM997^2+WeightSDS!V$5*$AM997+WeightSDS!W$5,IF($AM997&lt;186,WeightSDS!P$8*$AM997^7+WeightSDS!Q$8*$AM997^6+WeightSDS!R$8*$AM997^5+WeightSDS!S$8*$AM997^4+WeightSDS!T$8*$AM997^3+WeightSDS!U$8*$AM997^2+WeightSDS!V$8*$AM997+WeightSDS!W$8,WeightSDS!$U$9+WeightSDS!$V$9*($AM997-WeightSDS!$W$9)))</f>
        <v>0.75407122999999998</v>
      </c>
      <c r="AP997" s="4">
        <f>IF(D997="M",IF($AM997&lt;45,WeightSDS!M$23*$AM997^10+WeightSDS!N$23*$AM997^9+WeightSDS!O$23*$AM997^8+WeightSDS!P$23*$AM997^7+WeightSDS!Q$23*$AM997^6+WeightSDS!R$23*$AM997^5+WeightSDS!S$23*$AM997^4+WeightSDS!T$23*$AM997^3+WeightSDS!U$23*$AM997^2+WeightSDS!V$23*$AM997+WeightSDS!W$23,IF($AM997&lt;153,WeightSDS!M$25*$AM997^10+WeightSDS!N$25*$AM997^9+WeightSDS!O$25*$AM997^8+WeightSDS!P$25*$AM997^7+WeightSDS!Q$25*$AM997^6+WeightSDS!R$25*$AM997^5+WeightSDS!S$25*$AM997^4+WeightSDS!T$25*$AM997^3+WeightSDS!U$25*$AM997^2+WeightSDS!V$25*$AM997+WeightSDS!W$25,WeightSDS!M$27+WeightSDS!N$27/(1+EXP(WeightSDS!O$27+WeightSDS!P$27*$AM997)))),IF($AM997&lt;43.8,WeightSDS!M$29*$AM997^10+WeightSDS!N$29*$AM997^9+WeightSDS!O$29*$AM997^8+WeightSDS!P$29*$AM997^7+WeightSDS!Q$29*$AM997^6+WeightSDS!R$29*$AM997^5+WeightSDS!S$29*$AM997^4+WeightSDS!T$29*$AM997^3+WeightSDS!U$29*$AM997^2+WeightSDS!V$29*$AM997+WeightSDS!W$29-0.010431*(1-$AM997/210),IF($AM997&lt;123,WeightSDS!M$30*$AM997^10+WeightSDS!N$30*$AM997^9+WeightSDS!O$30*$AM997^8+WeightSDS!P$30*$AM997^7+WeightSDS!Q$30*$AM997^6+WeightSDS!R$30*$AM997^5+WeightSDS!S$30*$AM997^4+WeightSDS!T$30*$AM997^3+WeightSDS!U$30*$AM997^2+WeightSDS!V$30*$AM997+WeightSDS!W$30-0.010431*(1-1/$AM997),WeightSDS!M$32+WeightSDS!N$32/(1+EXP(WeightSDS!O$32+WeightSDS!P$32*$AM997))-0.010431*(1-$AM997/210))))</f>
        <v>2.9500001032655536</v>
      </c>
      <c r="AQ997" s="4">
        <f>IF(D997="M",IF($AM997&lt;162,WeightSDS!P$12*$AM997^7+WeightSDS!Q$12*$AM997^6+WeightSDS!R$12*$AM997^5+WeightSDS!S$12*$AM997^4+WeightSDS!T$12*$AM997^3+WeightSDS!U$12*$AM997^2+WeightSDS!V$12*$AM997+WeightSDS!W$12,WeightSDS!P$14*$AM997^7+WeightSDS!Q$14*$AM997^6+WeightSDS!R$14*$AM997^5+WeightSDS!S$14*$AM997^4+WeightSDS!T$14*$AM997^3+WeightSDS!U$14*$AM997^2+WeightSDS!V$14*$AM997+WeightSDS!W$14),IF($AM997&lt;156,WeightSDS!O$17*$AM997^8+WeightSDS!P$17*$AM997^7+WeightSDS!Q$17*$AM997^6+WeightSDS!R$17*$AM997^5+WeightSDS!S$17*$AM997^4+WeightSDS!T$17*$AM997^3+WeightSDS!U$17*$AM997^2+WeightSDS!V$17*$AM997+WeightSDS!W$17,IF($AM997&lt;186,WeightSDS!$U$18+(WeightSDS!$V$18-WeightSDS!$U$18)/24*($AM997-186)+WeightSDS!$W$18*(-$AM997+186)^2-0.005,WeightSDS!$U$18+(WeightSDS!$V$18-WeightSDS!$U$18)/24*($AM997-186)-0.005)))</f>
        <v>0.14604529399999999</v>
      </c>
      <c r="AT997" s="4">
        <f t="shared" si="320"/>
        <v>0.56299999999999994</v>
      </c>
      <c r="AU997" s="4">
        <f t="shared" si="321"/>
        <v>69</v>
      </c>
      <c r="AV997" s="4">
        <f t="shared" si="322"/>
        <v>0.51</v>
      </c>
    </row>
    <row r="998" spans="1:48" x14ac:dyDescent="0.15">
      <c r="A998" s="4"/>
      <c r="B998" s="21"/>
      <c r="C998" s="21"/>
      <c r="D998" s="21"/>
      <c r="E998" s="22"/>
      <c r="F998" s="22"/>
      <c r="G998" s="23"/>
      <c r="H998" s="23"/>
      <c r="I998" s="181"/>
      <c r="J998" s="8" t="str">
        <f t="shared" si="316"/>
        <v/>
      </c>
      <c r="K998" s="2" t="str">
        <f t="shared" si="323"/>
        <v/>
      </c>
      <c r="L998" s="2" t="str">
        <f t="shared" si="317"/>
        <v/>
      </c>
      <c r="M998" s="2" t="str">
        <f t="shared" si="324"/>
        <v/>
      </c>
      <c r="N998" s="2" t="str">
        <f t="shared" si="334"/>
        <v/>
      </c>
      <c r="O998" s="2" t="str">
        <f t="shared" si="325"/>
        <v/>
      </c>
      <c r="P998" s="8" t="str">
        <f t="shared" si="326"/>
        <v/>
      </c>
      <c r="Q998" s="8" t="str">
        <f t="shared" si="327"/>
        <v/>
      </c>
      <c r="R998" s="111" t="str">
        <f t="shared" si="328"/>
        <v/>
      </c>
      <c r="S998" s="44" t="str">
        <f t="shared" si="329"/>
        <v/>
      </c>
      <c r="T998" s="37" t="str">
        <f t="shared" si="330"/>
        <v/>
      </c>
      <c r="U998" s="44" t="str">
        <f t="shared" si="331"/>
        <v/>
      </c>
      <c r="V998" s="26"/>
      <c r="W998" s="26"/>
      <c r="X998" s="26"/>
      <c r="Y998" s="26"/>
      <c r="Z998" s="24"/>
      <c r="AA998" s="169">
        <f t="shared" si="332"/>
        <v>0</v>
      </c>
      <c r="AB998" s="4">
        <f t="shared" si="333"/>
        <v>0</v>
      </c>
      <c r="AC998" s="170">
        <f t="shared" si="336"/>
        <v>0</v>
      </c>
      <c r="AD998" s="58"/>
      <c r="AE998" s="58"/>
      <c r="AF998" s="58"/>
      <c r="AG998" s="59">
        <f t="shared" si="318"/>
        <v>9.0359999999999996</v>
      </c>
      <c r="AH998" s="59">
        <f t="shared" si="319"/>
        <v>-184.49199999999999</v>
      </c>
      <c r="AJ998" s="4">
        <f>IF(D998="M",IF(AM998&lt;78,BMILMS!$D$5*AM998^3+BMILMS!$E$5*AM998^2+BMILMS!$F$5*AM998+BMILMS!$G$5,IF(AM998&lt;150,BMILMS!$D$6*AM998^3+BMILMS!$E$6*AM998^2+BMILMS!$F$6*AM998+BMILMS!$G$6,BMILMS!$D$7*AM998^3+BMILMS!$E$7*AM998^2+BMILMS!$F$7*AM998+BMILMS!$G$7)),IF(AM998&lt;69,BMILMS!$D$9*AM998^3+BMILMS!$E$9*AM998^2+BMILMS!$F$9*AM998+BMILMS!$G$9,IF(AM998&lt;150,BMILMS!$D$10*AM998^3+BMILMS!$E$10*AM998^2+BMILMS!$F$10*AM998+BMILMS!$G$10,BMILMS!$D$11*AM998^3+BMILMS!$E$11*AM998^2+BMILMS!$F$11*AM998+BMILMS!$G$11)))</f>
        <v>0.79584630099999998</v>
      </c>
      <c r="AK998" s="4">
        <f>IF(D998="M",(IF(AM998&lt;2.5,BMILMS!$D$21*AM998^3+BMILMS!$E$21*AM998^2+BMILMS!$F$21*AM998+BMILMS!$G$21,IF(AM998&lt;9.5,BMILMS!$D$22*AM998^3+BMILMS!$E$22*AM998^2+BMILMS!$F$22*AM998+BMILMS!$G$22,IF(AM998&lt;26.75,BMILMS!$D$23*AM998^3+BMILMS!$E$23*AM998^2+BMILMS!$F$23*AM998+BMILMS!$G$23,IF(AM998&lt;90,BMILMS!$D$24*AM998^3+BMILMS!$E$24*AM998^2+BMILMS!$F$24*AM998+BMILMS!$G$24,BMILMS!$D$25*AM998^3+BMILMS!$E$25*AM998^2+BMILMS!$F$25*AM998+BMILMS!$G$25))))),(IF(AM998&lt;2.5,BMILMS!$D$27*AM998^3+BMILMS!$E$27*AM998^2+BMILMS!$F$27*AM998+BMILMS!$G$27,IF(AM998&lt;9.5,BMILMS!$D$28*AM998^3+BMILMS!$E$28*AM998^2+BMILMS!$F$28*AM998+BMILMS!$G$28,IF(AM998&lt;26.75,BMILMS!$D$29*AM998^3+BMILMS!$E$29*AM998^2+BMILMS!$F$29*AM998+BMILMS!$G$29,IF(AM998&lt;90,BMILMS!$D$30*AM998^3+BMILMS!$E$30*AM998^2+BMILMS!$F$30*AM998+BMILMS!$G$30,IF(AM998&lt;150,BMILMS!$D$31*AM998^3+BMILMS!$E$31*AM998^2+BMILMS!$F$31*AM998+BMILMS!$G$31,BMILMS!$D$32*AM998^3+BMILMS!$E$32*AM998^2+BMILMS!$F$32*AM998+BMILMS!$G$32)))))))</f>
        <v>12.568967990000001</v>
      </c>
      <c r="AL998" s="4">
        <f>IF(D998="M",(IF(AM998&lt;90,BMILMS!$D$14*AM998^3+BMILMS!$E$14*AM998^2+BMILMS!$F$14*AM998+BMILMS!$G$14,BMILMS!$D$15*AM998^3+BMILMS!$E$15*AM998^2+BMILMS!$F$15*AM998+BMILMS!$G$15)),(IF(AM998&lt;90,BMILMS!$D$17*AM998^3+BMILMS!$E$17*AM998^2+BMILMS!$F$17*AM998+BMILMS!$G$17,BMILMS!$D$18*AM998^3+BMILMS!$E$18*AM998^2+BMILMS!$F$18*AM998+BMILMS!$G$18)))</f>
        <v>8.8969350000000003E-2</v>
      </c>
      <c r="AM998" s="4">
        <f t="shared" si="335"/>
        <v>0</v>
      </c>
      <c r="AO998" s="56">
        <f>IF(D998="M",WeightSDS!P$5*$AM998^7+WeightSDS!Q$5*$AM998^6+WeightSDS!R$5*$AM998^5+WeightSDS!S$5*$AM998^4+WeightSDS!T$5*$AM998^3+WeightSDS!U$5*$AM998^2+WeightSDS!V$5*$AM998+WeightSDS!W$5,IF($AM998&lt;186,WeightSDS!P$8*$AM998^7+WeightSDS!Q$8*$AM998^6+WeightSDS!R$8*$AM998^5+WeightSDS!S$8*$AM998^4+WeightSDS!T$8*$AM998^3+WeightSDS!U$8*$AM998^2+WeightSDS!V$8*$AM998+WeightSDS!W$8,WeightSDS!$U$9+WeightSDS!$V$9*($AM998-WeightSDS!$W$9)))</f>
        <v>0.75407122999999998</v>
      </c>
      <c r="AP998" s="4">
        <f>IF(D998="M",IF($AM998&lt;45,WeightSDS!M$23*$AM998^10+WeightSDS!N$23*$AM998^9+WeightSDS!O$23*$AM998^8+WeightSDS!P$23*$AM998^7+WeightSDS!Q$23*$AM998^6+WeightSDS!R$23*$AM998^5+WeightSDS!S$23*$AM998^4+WeightSDS!T$23*$AM998^3+WeightSDS!U$23*$AM998^2+WeightSDS!V$23*$AM998+WeightSDS!W$23,IF($AM998&lt;153,WeightSDS!M$25*$AM998^10+WeightSDS!N$25*$AM998^9+WeightSDS!O$25*$AM998^8+WeightSDS!P$25*$AM998^7+WeightSDS!Q$25*$AM998^6+WeightSDS!R$25*$AM998^5+WeightSDS!S$25*$AM998^4+WeightSDS!T$25*$AM998^3+WeightSDS!U$25*$AM998^2+WeightSDS!V$25*$AM998+WeightSDS!W$25,WeightSDS!M$27+WeightSDS!N$27/(1+EXP(WeightSDS!O$27+WeightSDS!P$27*$AM998)))),IF($AM998&lt;43.8,WeightSDS!M$29*$AM998^10+WeightSDS!N$29*$AM998^9+WeightSDS!O$29*$AM998^8+WeightSDS!P$29*$AM998^7+WeightSDS!Q$29*$AM998^6+WeightSDS!R$29*$AM998^5+WeightSDS!S$29*$AM998^4+WeightSDS!T$29*$AM998^3+WeightSDS!U$29*$AM998^2+WeightSDS!V$29*$AM998+WeightSDS!W$29-0.010431*(1-$AM998/210),IF($AM998&lt;123,WeightSDS!M$30*$AM998^10+WeightSDS!N$30*$AM998^9+WeightSDS!O$30*$AM998^8+WeightSDS!P$30*$AM998^7+WeightSDS!Q$30*$AM998^6+WeightSDS!R$30*$AM998^5+WeightSDS!S$30*$AM998^4+WeightSDS!T$30*$AM998^3+WeightSDS!U$30*$AM998^2+WeightSDS!V$30*$AM998+WeightSDS!W$30-0.010431*(1-1/$AM998),WeightSDS!M$32+WeightSDS!N$32/(1+EXP(WeightSDS!O$32+WeightSDS!P$32*$AM998))-0.010431*(1-$AM998/210))))</f>
        <v>2.9500001032655536</v>
      </c>
      <c r="AQ998" s="4">
        <f>IF(D998="M",IF($AM998&lt;162,WeightSDS!P$12*$AM998^7+WeightSDS!Q$12*$AM998^6+WeightSDS!R$12*$AM998^5+WeightSDS!S$12*$AM998^4+WeightSDS!T$12*$AM998^3+WeightSDS!U$12*$AM998^2+WeightSDS!V$12*$AM998+WeightSDS!W$12,WeightSDS!P$14*$AM998^7+WeightSDS!Q$14*$AM998^6+WeightSDS!R$14*$AM998^5+WeightSDS!S$14*$AM998^4+WeightSDS!T$14*$AM998^3+WeightSDS!U$14*$AM998^2+WeightSDS!V$14*$AM998+WeightSDS!W$14),IF($AM998&lt;156,WeightSDS!O$17*$AM998^8+WeightSDS!P$17*$AM998^7+WeightSDS!Q$17*$AM998^6+WeightSDS!R$17*$AM998^5+WeightSDS!S$17*$AM998^4+WeightSDS!T$17*$AM998^3+WeightSDS!U$17*$AM998^2+WeightSDS!V$17*$AM998+WeightSDS!W$17,IF($AM998&lt;186,WeightSDS!$U$18+(WeightSDS!$V$18-WeightSDS!$U$18)/24*($AM998-186)+WeightSDS!$W$18*(-$AM998+186)^2-0.005,WeightSDS!$U$18+(WeightSDS!$V$18-WeightSDS!$U$18)/24*($AM998-186)-0.005)))</f>
        <v>0.14604529399999999</v>
      </c>
      <c r="AT998" s="4">
        <f t="shared" si="320"/>
        <v>0.56299999999999994</v>
      </c>
      <c r="AU998" s="4">
        <f t="shared" si="321"/>
        <v>69</v>
      </c>
      <c r="AV998" s="4">
        <f t="shared" si="322"/>
        <v>0.51</v>
      </c>
    </row>
    <row r="999" spans="1:48" x14ac:dyDescent="0.15">
      <c r="A999" s="4"/>
      <c r="B999" s="21"/>
      <c r="C999" s="21"/>
      <c r="D999" s="21"/>
      <c r="E999" s="22"/>
      <c r="F999" s="22"/>
      <c r="G999" s="23"/>
      <c r="H999" s="23"/>
      <c r="I999" s="181"/>
      <c r="J999" s="8" t="str">
        <f t="shared" si="316"/>
        <v/>
      </c>
      <c r="K999" s="2" t="str">
        <f t="shared" si="323"/>
        <v/>
      </c>
      <c r="L999" s="2" t="str">
        <f t="shared" si="317"/>
        <v/>
      </c>
      <c r="M999" s="2" t="str">
        <f t="shared" si="324"/>
        <v/>
      </c>
      <c r="N999" s="2" t="str">
        <f t="shared" si="334"/>
        <v/>
      </c>
      <c r="O999" s="2" t="str">
        <f t="shared" si="325"/>
        <v/>
      </c>
      <c r="P999" s="8" t="str">
        <f t="shared" si="326"/>
        <v/>
      </c>
      <c r="Q999" s="8" t="str">
        <f t="shared" si="327"/>
        <v/>
      </c>
      <c r="R999" s="111" t="str">
        <f t="shared" si="328"/>
        <v/>
      </c>
      <c r="S999" s="44" t="str">
        <f t="shared" si="329"/>
        <v/>
      </c>
      <c r="T999" s="37" t="str">
        <f t="shared" si="330"/>
        <v/>
      </c>
      <c r="U999" s="44" t="str">
        <f t="shared" si="331"/>
        <v/>
      </c>
      <c r="V999" s="26"/>
      <c r="W999" s="26"/>
      <c r="X999" s="26"/>
      <c r="Y999" s="26"/>
      <c r="Z999" s="24"/>
      <c r="AA999" s="169">
        <f t="shared" si="332"/>
        <v>0</v>
      </c>
      <c r="AB999" s="4">
        <f t="shared" si="333"/>
        <v>0</v>
      </c>
      <c r="AC999" s="170">
        <f t="shared" si="336"/>
        <v>0</v>
      </c>
      <c r="AD999" s="58"/>
      <c r="AE999" s="58"/>
      <c r="AF999" s="58"/>
      <c r="AG999" s="59">
        <f>IF(D999="M",2.06*10^-3*G999^2-0.1166*G999+6.5273,2.49*10^-3*G999^2-0.1858*G999+9.036)</f>
        <v>9.0359999999999996</v>
      </c>
      <c r="AH999" s="59">
        <f>((G999/100)^3*INDEX(itoOI,IF(D999="M",0,3)+IF(G999&lt;140,1,IF(G999&lt;=149,2,3)),1)+(G999/100)^2*INDEX(itoOI,IF(D999="M",0,3)+IF(G999&lt;140,1,IF(G999&lt;=149,2,3)),2)+(G999/100)*INDEX(itoOI,IF(D999="M",0,3)+IF(G999&lt;140,1,IF(G999&lt;=149,2,3)),3)+INDEX(itoOI,IF(D999="M",0,3)+IF(G999&lt;140,1,IF(G999&lt;=149,2,3)),4))</f>
        <v>-184.49199999999999</v>
      </c>
      <c r="AJ999" s="4">
        <f>IF(D999="M",IF(AM999&lt;78,BMILMS!$D$5*AM999^3+BMILMS!$E$5*AM999^2+BMILMS!$F$5*AM999+BMILMS!$G$5,IF(AM999&lt;150,BMILMS!$D$6*AM999^3+BMILMS!$E$6*AM999^2+BMILMS!$F$6*AM999+BMILMS!$G$6,BMILMS!$D$7*AM999^3+BMILMS!$E$7*AM999^2+BMILMS!$F$7*AM999+BMILMS!$G$7)),IF(AM999&lt;69,BMILMS!$D$9*AM999^3+BMILMS!$E$9*AM999^2+BMILMS!$F$9*AM999+BMILMS!$G$9,IF(AM999&lt;150,BMILMS!$D$10*AM999^3+BMILMS!$E$10*AM999^2+BMILMS!$F$10*AM999+BMILMS!$G$10,BMILMS!$D$11*AM999^3+BMILMS!$E$11*AM999^2+BMILMS!$F$11*AM999+BMILMS!$G$11)))</f>
        <v>0.79584630099999998</v>
      </c>
      <c r="AK999" s="4">
        <f>IF(D999="M",(IF(AM999&lt;2.5,BMILMS!$D$21*AM999^3+BMILMS!$E$21*AM999^2+BMILMS!$F$21*AM999+BMILMS!$G$21,IF(AM999&lt;9.5,BMILMS!$D$22*AM999^3+BMILMS!$E$22*AM999^2+BMILMS!$F$22*AM999+BMILMS!$G$22,IF(AM999&lt;26.75,BMILMS!$D$23*AM999^3+BMILMS!$E$23*AM999^2+BMILMS!$F$23*AM999+BMILMS!$G$23,IF(AM999&lt;90,BMILMS!$D$24*AM999^3+BMILMS!$E$24*AM999^2+BMILMS!$F$24*AM999+BMILMS!$G$24,BMILMS!$D$25*AM999^3+BMILMS!$E$25*AM999^2+BMILMS!$F$25*AM999+BMILMS!$G$25))))),(IF(AM999&lt;2.5,BMILMS!$D$27*AM999^3+BMILMS!$E$27*AM999^2+BMILMS!$F$27*AM999+BMILMS!$G$27,IF(AM999&lt;9.5,BMILMS!$D$28*AM999^3+BMILMS!$E$28*AM999^2+BMILMS!$F$28*AM999+BMILMS!$G$28,IF(AM999&lt;26.75,BMILMS!$D$29*AM999^3+BMILMS!$E$29*AM999^2+BMILMS!$F$29*AM999+BMILMS!$G$29,IF(AM999&lt;90,BMILMS!$D$30*AM999^3+BMILMS!$E$30*AM999^2+BMILMS!$F$30*AM999+BMILMS!$G$30,IF(AM999&lt;150,BMILMS!$D$31*AM999^3+BMILMS!$E$31*AM999^2+BMILMS!$F$31*AM999+BMILMS!$G$31,BMILMS!$D$32*AM999^3+BMILMS!$E$32*AM999^2+BMILMS!$F$32*AM999+BMILMS!$G$32)))))))</f>
        <v>12.568967990000001</v>
      </c>
      <c r="AL999" s="4">
        <f>IF(D999="M",(IF(AM999&lt;90,BMILMS!$D$14*AM999^3+BMILMS!$E$14*AM999^2+BMILMS!$F$14*AM999+BMILMS!$G$14,BMILMS!$D$15*AM999^3+BMILMS!$E$15*AM999^2+BMILMS!$F$15*AM999+BMILMS!$G$15)),(IF(AM999&lt;90,BMILMS!$D$17*AM999^3+BMILMS!$E$17*AM999^2+BMILMS!$F$17*AM999+BMILMS!$G$17,BMILMS!$D$18*AM999^3+BMILMS!$E$18*AM999^2+BMILMS!$F$18*AM999+BMILMS!$G$18)))</f>
        <v>8.8969350000000003E-2</v>
      </c>
      <c r="AM999" s="4">
        <f t="shared" si="335"/>
        <v>0</v>
      </c>
      <c r="AO999" s="56">
        <f>IF(D999="M",WeightSDS!P$5*$AM999^7+WeightSDS!Q$5*$AM999^6+WeightSDS!R$5*$AM999^5+WeightSDS!S$5*$AM999^4+WeightSDS!T$5*$AM999^3+WeightSDS!U$5*$AM999^2+WeightSDS!V$5*$AM999+WeightSDS!W$5,IF($AM999&lt;186,WeightSDS!P$8*$AM999^7+WeightSDS!Q$8*$AM999^6+WeightSDS!R$8*$AM999^5+WeightSDS!S$8*$AM999^4+WeightSDS!T$8*$AM999^3+WeightSDS!U$8*$AM999^2+WeightSDS!V$8*$AM999+WeightSDS!W$8,WeightSDS!$U$9+WeightSDS!$V$9*($AM999-WeightSDS!$W$9)))</f>
        <v>0.75407122999999998</v>
      </c>
      <c r="AP999" s="4">
        <f>IF(D999="M",IF($AM999&lt;45,WeightSDS!M$23*$AM999^10+WeightSDS!N$23*$AM999^9+WeightSDS!O$23*$AM999^8+WeightSDS!P$23*$AM999^7+WeightSDS!Q$23*$AM999^6+WeightSDS!R$23*$AM999^5+WeightSDS!S$23*$AM999^4+WeightSDS!T$23*$AM999^3+WeightSDS!U$23*$AM999^2+WeightSDS!V$23*$AM999+WeightSDS!W$23,IF($AM999&lt;153,WeightSDS!M$25*$AM999^10+WeightSDS!N$25*$AM999^9+WeightSDS!O$25*$AM999^8+WeightSDS!P$25*$AM999^7+WeightSDS!Q$25*$AM999^6+WeightSDS!R$25*$AM999^5+WeightSDS!S$25*$AM999^4+WeightSDS!T$25*$AM999^3+WeightSDS!U$25*$AM999^2+WeightSDS!V$25*$AM999+WeightSDS!W$25,WeightSDS!M$27+WeightSDS!N$27/(1+EXP(WeightSDS!O$27+WeightSDS!P$27*$AM999)))),IF($AM999&lt;43.8,WeightSDS!M$29*$AM999^10+WeightSDS!N$29*$AM999^9+WeightSDS!O$29*$AM999^8+WeightSDS!P$29*$AM999^7+WeightSDS!Q$29*$AM999^6+WeightSDS!R$29*$AM999^5+WeightSDS!S$29*$AM999^4+WeightSDS!T$29*$AM999^3+WeightSDS!U$29*$AM999^2+WeightSDS!V$29*$AM999+WeightSDS!W$29-0.010431*(1-$AM999/210),IF($AM999&lt;123,WeightSDS!M$30*$AM999^10+WeightSDS!N$30*$AM999^9+WeightSDS!O$30*$AM999^8+WeightSDS!P$30*$AM999^7+WeightSDS!Q$30*$AM999^6+WeightSDS!R$30*$AM999^5+WeightSDS!S$30*$AM999^4+WeightSDS!T$30*$AM999^3+WeightSDS!U$30*$AM999^2+WeightSDS!V$30*$AM999+WeightSDS!W$30-0.010431*(1-1/$AM999),WeightSDS!M$32+WeightSDS!N$32/(1+EXP(WeightSDS!O$32+WeightSDS!P$32*$AM999))-0.010431*(1-$AM999/210))))</f>
        <v>2.9500001032655536</v>
      </c>
      <c r="AQ999" s="4">
        <f>IF(D999="M",IF($AM999&lt;162,WeightSDS!P$12*$AM999^7+WeightSDS!Q$12*$AM999^6+WeightSDS!R$12*$AM999^5+WeightSDS!S$12*$AM999^4+WeightSDS!T$12*$AM999^3+WeightSDS!U$12*$AM999^2+WeightSDS!V$12*$AM999+WeightSDS!W$12,WeightSDS!P$14*$AM999^7+WeightSDS!Q$14*$AM999^6+WeightSDS!R$14*$AM999^5+WeightSDS!S$14*$AM999^4+WeightSDS!T$14*$AM999^3+WeightSDS!U$14*$AM999^2+WeightSDS!V$14*$AM999+WeightSDS!W$14),IF($AM999&lt;156,WeightSDS!O$17*$AM999^8+WeightSDS!P$17*$AM999^7+WeightSDS!Q$17*$AM999^6+WeightSDS!R$17*$AM999^5+WeightSDS!S$17*$AM999^4+WeightSDS!T$17*$AM999^3+WeightSDS!U$17*$AM999^2+WeightSDS!V$17*$AM999+WeightSDS!W$17,IF($AM999&lt;186,WeightSDS!$U$18+(WeightSDS!$V$18-WeightSDS!$U$18)/24*($AM999-186)+WeightSDS!$W$18*(-$AM999+186)^2-0.005,WeightSDS!$U$18+(WeightSDS!$V$18-WeightSDS!$U$18)/24*($AM999-186)-0.005)))</f>
        <v>0.14604529399999999</v>
      </c>
      <c r="AT999" s="4">
        <f t="shared" si="320"/>
        <v>0.56299999999999994</v>
      </c>
      <c r="AU999" s="4">
        <f t="shared" si="321"/>
        <v>69</v>
      </c>
      <c r="AV999" s="4">
        <f t="shared" si="322"/>
        <v>0.51</v>
      </c>
    </row>
    <row r="1000" spans="1:48" x14ac:dyDescent="0.15">
      <c r="A1000" s="4"/>
      <c r="B1000" s="21"/>
      <c r="C1000" s="21"/>
      <c r="D1000" s="21"/>
      <c r="E1000" s="22"/>
      <c r="F1000" s="22"/>
      <c r="G1000" s="23"/>
      <c r="H1000" s="23"/>
      <c r="I1000" s="181"/>
      <c r="J1000" s="8" t="str">
        <f t="shared" si="316"/>
        <v/>
      </c>
      <c r="K1000" s="2" t="str">
        <f t="shared" si="323"/>
        <v/>
      </c>
      <c r="L1000" s="2" t="str">
        <f t="shared" si="317"/>
        <v/>
      </c>
      <c r="M1000" s="2" t="str">
        <f t="shared" si="324"/>
        <v/>
      </c>
      <c r="N1000" s="2" t="str">
        <f t="shared" si="334"/>
        <v/>
      </c>
      <c r="O1000" s="2" t="str">
        <f t="shared" si="325"/>
        <v/>
      </c>
      <c r="P1000" s="8" t="str">
        <f t="shared" si="326"/>
        <v/>
      </c>
      <c r="Q1000" s="8" t="str">
        <f t="shared" si="327"/>
        <v/>
      </c>
      <c r="R1000" s="111" t="str">
        <f t="shared" si="328"/>
        <v/>
      </c>
      <c r="S1000" s="44" t="str">
        <f t="shared" si="329"/>
        <v/>
      </c>
      <c r="T1000" s="37" t="str">
        <f t="shared" si="330"/>
        <v/>
      </c>
      <c r="U1000" s="44" t="str">
        <f t="shared" si="331"/>
        <v/>
      </c>
      <c r="V1000" s="26"/>
      <c r="W1000" s="26"/>
      <c r="X1000" s="26"/>
      <c r="Y1000" s="26"/>
      <c r="Z1000" s="24"/>
      <c r="AA1000" s="169">
        <f t="shared" si="332"/>
        <v>0</v>
      </c>
      <c r="AB1000" s="4">
        <f t="shared" si="333"/>
        <v>0</v>
      </c>
      <c r="AC1000" s="170">
        <f t="shared" si="336"/>
        <v>0</v>
      </c>
      <c r="AD1000" s="58"/>
      <c r="AE1000" s="58"/>
      <c r="AF1000" s="58"/>
      <c r="AG1000" s="59">
        <f>IF(D1000="M",2.06*10^-3*G1000^2-0.1166*G1000+6.5273,2.49*10^-3*G1000^2-0.1858*G1000+9.036)</f>
        <v>9.0359999999999996</v>
      </c>
      <c r="AH1000" s="59">
        <f>((G1000/100)^3*INDEX(itoOI,IF(D1000="M",0,3)+IF(G1000&lt;140,1,IF(G1000&lt;=149,2,3)),1)+(G1000/100)^2*INDEX(itoOI,IF(D1000="M",0,3)+IF(G1000&lt;140,1,IF(G1000&lt;=149,2,3)),2)+(G1000/100)*INDEX(itoOI,IF(D1000="M",0,3)+IF(G1000&lt;140,1,IF(G1000&lt;=149,2,3)),3)+INDEX(itoOI,IF(D1000="M",0,3)+IF(G1000&lt;140,1,IF(G1000&lt;=149,2,3)),4))</f>
        <v>-184.49199999999999</v>
      </c>
      <c r="AJ1000" s="4">
        <f>IF(D1000="M",IF(AM1000&lt;78,BMILMS!$D$5*AM1000^3+BMILMS!$E$5*AM1000^2+BMILMS!$F$5*AM1000+BMILMS!$G$5,IF(AM1000&lt;150,BMILMS!$D$6*AM1000^3+BMILMS!$E$6*AM1000^2+BMILMS!$F$6*AM1000+BMILMS!$G$6,BMILMS!$D$7*AM1000^3+BMILMS!$E$7*AM1000^2+BMILMS!$F$7*AM1000+BMILMS!$G$7)),IF(AM1000&lt;69,BMILMS!$D$9*AM1000^3+BMILMS!$E$9*AM1000^2+BMILMS!$F$9*AM1000+BMILMS!$G$9,IF(AM1000&lt;150,BMILMS!$D$10*AM1000^3+BMILMS!$E$10*AM1000^2+BMILMS!$F$10*AM1000+BMILMS!$G$10,BMILMS!$D$11*AM1000^3+BMILMS!$E$11*AM1000^2+BMILMS!$F$11*AM1000+BMILMS!$G$11)))</f>
        <v>0.79584630099999998</v>
      </c>
      <c r="AK1000" s="4">
        <f>IF(D1000="M",(IF(AM1000&lt;2.5,BMILMS!$D$21*AM1000^3+BMILMS!$E$21*AM1000^2+BMILMS!$F$21*AM1000+BMILMS!$G$21,IF(AM1000&lt;9.5,BMILMS!$D$22*AM1000^3+BMILMS!$E$22*AM1000^2+BMILMS!$F$22*AM1000+BMILMS!$G$22,IF(AM1000&lt;26.75,BMILMS!$D$23*AM1000^3+BMILMS!$E$23*AM1000^2+BMILMS!$F$23*AM1000+BMILMS!$G$23,IF(AM1000&lt;90,BMILMS!$D$24*AM1000^3+BMILMS!$E$24*AM1000^2+BMILMS!$F$24*AM1000+BMILMS!$G$24,BMILMS!$D$25*AM1000^3+BMILMS!$E$25*AM1000^2+BMILMS!$F$25*AM1000+BMILMS!$G$25))))),(IF(AM1000&lt;2.5,BMILMS!$D$27*AM1000^3+BMILMS!$E$27*AM1000^2+BMILMS!$F$27*AM1000+BMILMS!$G$27,IF(AM1000&lt;9.5,BMILMS!$D$28*AM1000^3+BMILMS!$E$28*AM1000^2+BMILMS!$F$28*AM1000+BMILMS!$G$28,IF(AM1000&lt;26.75,BMILMS!$D$29*AM1000^3+BMILMS!$E$29*AM1000^2+BMILMS!$F$29*AM1000+BMILMS!$G$29,IF(AM1000&lt;90,BMILMS!$D$30*AM1000^3+BMILMS!$E$30*AM1000^2+BMILMS!$F$30*AM1000+BMILMS!$G$30,IF(AM1000&lt;150,BMILMS!$D$31*AM1000^3+BMILMS!$E$31*AM1000^2+BMILMS!$F$31*AM1000+BMILMS!$G$31,BMILMS!$D$32*AM1000^3+BMILMS!$E$32*AM1000^2+BMILMS!$F$32*AM1000+BMILMS!$G$32)))))))</f>
        <v>12.568967990000001</v>
      </c>
      <c r="AL1000" s="4">
        <f>IF(D1000="M",(IF(AM1000&lt;90,BMILMS!$D$14*AM1000^3+BMILMS!$E$14*AM1000^2+BMILMS!$F$14*AM1000+BMILMS!$G$14,BMILMS!$D$15*AM1000^3+BMILMS!$E$15*AM1000^2+BMILMS!$F$15*AM1000+BMILMS!$G$15)),(IF(AM1000&lt;90,BMILMS!$D$17*AM1000^3+BMILMS!$E$17*AM1000^2+BMILMS!$F$17*AM1000+BMILMS!$G$17,BMILMS!$D$18*AM1000^3+BMILMS!$E$18*AM1000^2+BMILMS!$F$18*AM1000+BMILMS!$G$18)))</f>
        <v>8.8969350000000003E-2</v>
      </c>
      <c r="AM1000" s="4">
        <f t="shared" si="335"/>
        <v>0</v>
      </c>
      <c r="AO1000" s="56">
        <f>IF(D1000="M",WeightSDS!P$5*$AM1000^7+WeightSDS!Q$5*$AM1000^6+WeightSDS!R$5*$AM1000^5+WeightSDS!S$5*$AM1000^4+WeightSDS!T$5*$AM1000^3+WeightSDS!U$5*$AM1000^2+WeightSDS!V$5*$AM1000+WeightSDS!W$5,IF($AM1000&lt;186,WeightSDS!P$8*$AM1000^7+WeightSDS!Q$8*$AM1000^6+WeightSDS!R$8*$AM1000^5+WeightSDS!S$8*$AM1000^4+WeightSDS!T$8*$AM1000^3+WeightSDS!U$8*$AM1000^2+WeightSDS!V$8*$AM1000+WeightSDS!W$8,WeightSDS!$U$9+WeightSDS!$V$9*($AM1000-WeightSDS!$W$9)))</f>
        <v>0.75407122999999998</v>
      </c>
      <c r="AP1000" s="4">
        <f>IF(D1000="M",IF($AM1000&lt;45,WeightSDS!M$23*$AM1000^10+WeightSDS!N$23*$AM1000^9+WeightSDS!O$23*$AM1000^8+WeightSDS!P$23*$AM1000^7+WeightSDS!Q$23*$AM1000^6+WeightSDS!R$23*$AM1000^5+WeightSDS!S$23*$AM1000^4+WeightSDS!T$23*$AM1000^3+WeightSDS!U$23*$AM1000^2+WeightSDS!V$23*$AM1000+WeightSDS!W$23,IF($AM1000&lt;153,WeightSDS!M$25*$AM1000^10+WeightSDS!N$25*$AM1000^9+WeightSDS!O$25*$AM1000^8+WeightSDS!P$25*$AM1000^7+WeightSDS!Q$25*$AM1000^6+WeightSDS!R$25*$AM1000^5+WeightSDS!S$25*$AM1000^4+WeightSDS!T$25*$AM1000^3+WeightSDS!U$25*$AM1000^2+WeightSDS!V$25*$AM1000+WeightSDS!W$25,WeightSDS!M$27+WeightSDS!N$27/(1+EXP(WeightSDS!O$27+WeightSDS!P$27*$AM1000)))),IF($AM1000&lt;43.8,WeightSDS!M$29*$AM1000^10+WeightSDS!N$29*$AM1000^9+WeightSDS!O$29*$AM1000^8+WeightSDS!P$29*$AM1000^7+WeightSDS!Q$29*$AM1000^6+WeightSDS!R$29*$AM1000^5+WeightSDS!S$29*$AM1000^4+WeightSDS!T$29*$AM1000^3+WeightSDS!U$29*$AM1000^2+WeightSDS!V$29*$AM1000+WeightSDS!W$29-0.010431*(1-$AM1000/210),IF($AM1000&lt;123,WeightSDS!M$30*$AM1000^10+WeightSDS!N$30*$AM1000^9+WeightSDS!O$30*$AM1000^8+WeightSDS!P$30*$AM1000^7+WeightSDS!Q$30*$AM1000^6+WeightSDS!R$30*$AM1000^5+WeightSDS!S$30*$AM1000^4+WeightSDS!T$30*$AM1000^3+WeightSDS!U$30*$AM1000^2+WeightSDS!V$30*$AM1000+WeightSDS!W$30-0.010431*(1-1/$AM1000),WeightSDS!M$32+WeightSDS!N$32/(1+EXP(WeightSDS!O$32+WeightSDS!P$32*$AM1000))-0.010431*(1-$AM1000/210))))</f>
        <v>2.9500001032655536</v>
      </c>
      <c r="AQ1000" s="4">
        <f>IF(D1000="M",IF($AM1000&lt;162,WeightSDS!P$12*$AM1000^7+WeightSDS!Q$12*$AM1000^6+WeightSDS!R$12*$AM1000^5+WeightSDS!S$12*$AM1000^4+WeightSDS!T$12*$AM1000^3+WeightSDS!U$12*$AM1000^2+WeightSDS!V$12*$AM1000+WeightSDS!W$12,WeightSDS!P$14*$AM1000^7+WeightSDS!Q$14*$AM1000^6+WeightSDS!R$14*$AM1000^5+WeightSDS!S$14*$AM1000^4+WeightSDS!T$14*$AM1000^3+WeightSDS!U$14*$AM1000^2+WeightSDS!V$14*$AM1000+WeightSDS!W$14),IF($AM1000&lt;156,WeightSDS!O$17*$AM1000^8+WeightSDS!P$17*$AM1000^7+WeightSDS!Q$17*$AM1000^6+WeightSDS!R$17*$AM1000^5+WeightSDS!S$17*$AM1000^4+WeightSDS!T$17*$AM1000^3+WeightSDS!U$17*$AM1000^2+WeightSDS!V$17*$AM1000+WeightSDS!W$17,IF($AM1000&lt;186,WeightSDS!$U$18+(WeightSDS!$V$18-WeightSDS!$U$18)/24*($AM1000-186)+WeightSDS!$W$18*(-$AM1000+186)^2-0.005,WeightSDS!$U$18+(WeightSDS!$V$18-WeightSDS!$U$18)/24*($AM1000-186)-0.005)))</f>
        <v>0.14604529399999999</v>
      </c>
      <c r="AT1000" s="4">
        <f t="shared" si="320"/>
        <v>0.56299999999999994</v>
      </c>
      <c r="AU1000" s="4">
        <f t="shared" si="321"/>
        <v>69</v>
      </c>
      <c r="AV1000" s="4">
        <f t="shared" si="322"/>
        <v>0.51</v>
      </c>
    </row>
    <row r="1001" spans="1:48" x14ac:dyDescent="0.15">
      <c r="A1001" s="4"/>
      <c r="B1001" s="21"/>
      <c r="C1001" s="21"/>
      <c r="D1001" s="21"/>
      <c r="E1001" s="22"/>
      <c r="F1001" s="22"/>
      <c r="G1001" s="23"/>
      <c r="H1001" s="23"/>
      <c r="I1001" s="181"/>
      <c r="J1001" s="8" t="str">
        <f t="shared" si="316"/>
        <v/>
      </c>
      <c r="K1001" s="2" t="str">
        <f t="shared" si="323"/>
        <v/>
      </c>
      <c r="L1001" s="2" t="str">
        <f t="shared" si="317"/>
        <v/>
      </c>
      <c r="M1001" s="2" t="str">
        <f t="shared" si="324"/>
        <v/>
      </c>
      <c r="N1001" s="2" t="str">
        <f t="shared" si="334"/>
        <v/>
      </c>
      <c r="O1001" s="2" t="str">
        <f t="shared" si="325"/>
        <v/>
      </c>
      <c r="P1001" s="8" t="str">
        <f t="shared" si="326"/>
        <v/>
      </c>
      <c r="Q1001" s="8" t="str">
        <f t="shared" si="327"/>
        <v/>
      </c>
      <c r="R1001" s="111" t="str">
        <f t="shared" si="328"/>
        <v/>
      </c>
      <c r="S1001" s="44" t="str">
        <f t="shared" si="329"/>
        <v/>
      </c>
      <c r="T1001" s="37" t="str">
        <f t="shared" si="330"/>
        <v/>
      </c>
      <c r="U1001" s="44" t="str">
        <f t="shared" si="331"/>
        <v/>
      </c>
      <c r="V1001" s="26"/>
      <c r="W1001" s="26"/>
      <c r="X1001" s="26"/>
      <c r="Y1001" s="26"/>
      <c r="Z1001" s="24"/>
      <c r="AA1001" s="169">
        <f t="shared" si="332"/>
        <v>0</v>
      </c>
      <c r="AB1001" s="4">
        <f t="shared" si="333"/>
        <v>0</v>
      </c>
      <c r="AC1001" s="170">
        <f t="shared" si="336"/>
        <v>0</v>
      </c>
      <c r="AD1001" s="58"/>
      <c r="AE1001" s="58"/>
      <c r="AF1001" s="58"/>
      <c r="AG1001" s="59">
        <f>IF(D1001="M",2.06*10^-3*G1001^2-0.1166*G1001+6.5273,2.49*10^-3*G1001^2-0.1858*G1001+9.036)</f>
        <v>9.0359999999999996</v>
      </c>
      <c r="AH1001" s="59">
        <f>((G1001/100)^3*INDEX(itoOI,IF(D1001="M",0,3)+IF(G1001&lt;140,1,IF(G1001&lt;=149,2,3)),1)+(G1001/100)^2*INDEX(itoOI,IF(D1001="M",0,3)+IF(G1001&lt;140,1,IF(G1001&lt;=149,2,3)),2)+(G1001/100)*INDEX(itoOI,IF(D1001="M",0,3)+IF(G1001&lt;140,1,IF(G1001&lt;=149,2,3)),3)+INDEX(itoOI,IF(D1001="M",0,3)+IF(G1001&lt;140,1,IF(G1001&lt;=149,2,3)),4))</f>
        <v>-184.49199999999999</v>
      </c>
      <c r="AJ1001" s="4">
        <f>IF(D1001="M",IF(AM1001&lt;78,BMILMS!$D$5*AM1001^3+BMILMS!$E$5*AM1001^2+BMILMS!$F$5*AM1001+BMILMS!$G$5,IF(AM1001&lt;150,BMILMS!$D$6*AM1001^3+BMILMS!$E$6*AM1001^2+BMILMS!$F$6*AM1001+BMILMS!$G$6,BMILMS!$D$7*AM1001^3+BMILMS!$E$7*AM1001^2+BMILMS!$F$7*AM1001+BMILMS!$G$7)),IF(AM1001&lt;69,BMILMS!$D$9*AM1001^3+BMILMS!$E$9*AM1001^2+BMILMS!$F$9*AM1001+BMILMS!$G$9,IF(AM1001&lt;150,BMILMS!$D$10*AM1001^3+BMILMS!$E$10*AM1001^2+BMILMS!$F$10*AM1001+BMILMS!$G$10,BMILMS!$D$11*AM1001^3+BMILMS!$E$11*AM1001^2+BMILMS!$F$11*AM1001+BMILMS!$G$11)))</f>
        <v>0.79584630099999998</v>
      </c>
      <c r="AK1001" s="4">
        <f>IF(D1001="M",(IF(AM1001&lt;2.5,BMILMS!$D$21*AM1001^3+BMILMS!$E$21*AM1001^2+BMILMS!$F$21*AM1001+BMILMS!$G$21,IF(AM1001&lt;9.5,BMILMS!$D$22*AM1001^3+BMILMS!$E$22*AM1001^2+BMILMS!$F$22*AM1001+BMILMS!$G$22,IF(AM1001&lt;26.75,BMILMS!$D$23*AM1001^3+BMILMS!$E$23*AM1001^2+BMILMS!$F$23*AM1001+BMILMS!$G$23,IF(AM1001&lt;90,BMILMS!$D$24*AM1001^3+BMILMS!$E$24*AM1001^2+BMILMS!$F$24*AM1001+BMILMS!$G$24,BMILMS!$D$25*AM1001^3+BMILMS!$E$25*AM1001^2+BMILMS!$F$25*AM1001+BMILMS!$G$25))))),(IF(AM1001&lt;2.5,BMILMS!$D$27*AM1001^3+BMILMS!$E$27*AM1001^2+BMILMS!$F$27*AM1001+BMILMS!$G$27,IF(AM1001&lt;9.5,BMILMS!$D$28*AM1001^3+BMILMS!$E$28*AM1001^2+BMILMS!$F$28*AM1001+BMILMS!$G$28,IF(AM1001&lt;26.75,BMILMS!$D$29*AM1001^3+BMILMS!$E$29*AM1001^2+BMILMS!$F$29*AM1001+BMILMS!$G$29,IF(AM1001&lt;90,BMILMS!$D$30*AM1001^3+BMILMS!$E$30*AM1001^2+BMILMS!$F$30*AM1001+BMILMS!$G$30,IF(AM1001&lt;150,BMILMS!$D$31*AM1001^3+BMILMS!$E$31*AM1001^2+BMILMS!$F$31*AM1001+BMILMS!$G$31,BMILMS!$D$32*AM1001^3+BMILMS!$E$32*AM1001^2+BMILMS!$F$32*AM1001+BMILMS!$G$32)))))))</f>
        <v>12.568967990000001</v>
      </c>
      <c r="AL1001" s="4">
        <f>IF(D1001="M",(IF(AM1001&lt;90,BMILMS!$D$14*AM1001^3+BMILMS!$E$14*AM1001^2+BMILMS!$F$14*AM1001+BMILMS!$G$14,BMILMS!$D$15*AM1001^3+BMILMS!$E$15*AM1001^2+BMILMS!$F$15*AM1001+BMILMS!$G$15)),(IF(AM1001&lt;90,BMILMS!$D$17*AM1001^3+BMILMS!$E$17*AM1001^2+BMILMS!$F$17*AM1001+BMILMS!$G$17,BMILMS!$D$18*AM1001^3+BMILMS!$E$18*AM1001^2+BMILMS!$F$18*AM1001+BMILMS!$G$18)))</f>
        <v>8.8969350000000003E-2</v>
      </c>
      <c r="AM1001" s="4">
        <f t="shared" si="335"/>
        <v>0</v>
      </c>
      <c r="AO1001" s="56">
        <f>IF(D1001="M",WeightSDS!P$5*$AM1001^7+WeightSDS!Q$5*$AM1001^6+WeightSDS!R$5*$AM1001^5+WeightSDS!S$5*$AM1001^4+WeightSDS!T$5*$AM1001^3+WeightSDS!U$5*$AM1001^2+WeightSDS!V$5*$AM1001+WeightSDS!W$5,IF($AM1001&lt;186,WeightSDS!P$8*$AM1001^7+WeightSDS!Q$8*$AM1001^6+WeightSDS!R$8*$AM1001^5+WeightSDS!S$8*$AM1001^4+WeightSDS!T$8*$AM1001^3+WeightSDS!U$8*$AM1001^2+WeightSDS!V$8*$AM1001+WeightSDS!W$8,WeightSDS!$U$9+WeightSDS!$V$9*($AM1001-WeightSDS!$W$9)))</f>
        <v>0.75407122999999998</v>
      </c>
      <c r="AP1001" s="4">
        <f>IF(D1001="M",IF($AM1001&lt;45,WeightSDS!M$23*$AM1001^10+WeightSDS!N$23*$AM1001^9+WeightSDS!O$23*$AM1001^8+WeightSDS!P$23*$AM1001^7+WeightSDS!Q$23*$AM1001^6+WeightSDS!R$23*$AM1001^5+WeightSDS!S$23*$AM1001^4+WeightSDS!T$23*$AM1001^3+WeightSDS!U$23*$AM1001^2+WeightSDS!V$23*$AM1001+WeightSDS!W$23,IF($AM1001&lt;153,WeightSDS!M$25*$AM1001^10+WeightSDS!N$25*$AM1001^9+WeightSDS!O$25*$AM1001^8+WeightSDS!P$25*$AM1001^7+WeightSDS!Q$25*$AM1001^6+WeightSDS!R$25*$AM1001^5+WeightSDS!S$25*$AM1001^4+WeightSDS!T$25*$AM1001^3+WeightSDS!U$25*$AM1001^2+WeightSDS!V$25*$AM1001+WeightSDS!W$25,WeightSDS!M$27+WeightSDS!N$27/(1+EXP(WeightSDS!O$27+WeightSDS!P$27*$AM1001)))),IF($AM1001&lt;43.8,WeightSDS!M$29*$AM1001^10+WeightSDS!N$29*$AM1001^9+WeightSDS!O$29*$AM1001^8+WeightSDS!P$29*$AM1001^7+WeightSDS!Q$29*$AM1001^6+WeightSDS!R$29*$AM1001^5+WeightSDS!S$29*$AM1001^4+WeightSDS!T$29*$AM1001^3+WeightSDS!U$29*$AM1001^2+WeightSDS!V$29*$AM1001+WeightSDS!W$29-0.010431*(1-$AM1001/210),IF($AM1001&lt;123,WeightSDS!M$30*$AM1001^10+WeightSDS!N$30*$AM1001^9+WeightSDS!O$30*$AM1001^8+WeightSDS!P$30*$AM1001^7+WeightSDS!Q$30*$AM1001^6+WeightSDS!R$30*$AM1001^5+WeightSDS!S$30*$AM1001^4+WeightSDS!T$30*$AM1001^3+WeightSDS!U$30*$AM1001^2+WeightSDS!V$30*$AM1001+WeightSDS!W$30-0.010431*(1-1/$AM1001),WeightSDS!M$32+WeightSDS!N$32/(1+EXP(WeightSDS!O$32+WeightSDS!P$32*$AM1001))-0.010431*(1-$AM1001/210))))</f>
        <v>2.9500001032655536</v>
      </c>
      <c r="AQ1001" s="4">
        <f>IF(D1001="M",IF($AM1001&lt;162,WeightSDS!P$12*$AM1001^7+WeightSDS!Q$12*$AM1001^6+WeightSDS!R$12*$AM1001^5+WeightSDS!S$12*$AM1001^4+WeightSDS!T$12*$AM1001^3+WeightSDS!U$12*$AM1001^2+WeightSDS!V$12*$AM1001+WeightSDS!W$12,WeightSDS!P$14*$AM1001^7+WeightSDS!Q$14*$AM1001^6+WeightSDS!R$14*$AM1001^5+WeightSDS!S$14*$AM1001^4+WeightSDS!T$14*$AM1001^3+WeightSDS!U$14*$AM1001^2+WeightSDS!V$14*$AM1001+WeightSDS!W$14),IF($AM1001&lt;156,WeightSDS!O$17*$AM1001^8+WeightSDS!P$17*$AM1001^7+WeightSDS!Q$17*$AM1001^6+WeightSDS!R$17*$AM1001^5+WeightSDS!S$17*$AM1001^4+WeightSDS!T$17*$AM1001^3+WeightSDS!U$17*$AM1001^2+WeightSDS!V$17*$AM1001+WeightSDS!W$17,IF($AM1001&lt;186,WeightSDS!$U$18+(WeightSDS!$V$18-WeightSDS!$U$18)/24*($AM1001-186)+WeightSDS!$W$18*(-$AM1001+186)^2-0.005,WeightSDS!$U$18+(WeightSDS!$V$18-WeightSDS!$U$18)/24*($AM1001-186)-0.005)))</f>
        <v>0.14604529399999999</v>
      </c>
      <c r="AT1001" s="4">
        <f t="shared" si="320"/>
        <v>0.56299999999999994</v>
      </c>
      <c r="AU1001" s="4">
        <f t="shared" si="321"/>
        <v>69</v>
      </c>
      <c r="AV1001" s="4">
        <f t="shared" si="322"/>
        <v>0.51</v>
      </c>
    </row>
    <row r="1002" spans="1:48" x14ac:dyDescent="0.15">
      <c r="A1002" s="4"/>
      <c r="B1002" s="21"/>
      <c r="C1002" s="21"/>
      <c r="D1002" s="21"/>
      <c r="E1002" s="22"/>
      <c r="F1002" s="22"/>
      <c r="G1002" s="23"/>
      <c r="H1002" s="23"/>
      <c r="I1002" s="181"/>
      <c r="J1002" s="8" t="str">
        <f t="shared" si="316"/>
        <v/>
      </c>
      <c r="K1002" s="2" t="str">
        <f t="shared" si="323"/>
        <v/>
      </c>
      <c r="L1002" s="2" t="str">
        <f t="shared" si="317"/>
        <v/>
      </c>
      <c r="M1002" s="2" t="str">
        <f t="shared" si="324"/>
        <v/>
      </c>
      <c r="N1002" s="2" t="str">
        <f t="shared" si="334"/>
        <v/>
      </c>
      <c r="O1002" s="2" t="str">
        <f t="shared" si="325"/>
        <v/>
      </c>
      <c r="P1002" s="8" t="str">
        <f t="shared" si="326"/>
        <v/>
      </c>
      <c r="Q1002" s="8" t="str">
        <f t="shared" si="327"/>
        <v/>
      </c>
      <c r="R1002" s="111" t="str">
        <f t="shared" si="328"/>
        <v/>
      </c>
      <c r="S1002" s="44" t="str">
        <f t="shared" si="329"/>
        <v/>
      </c>
      <c r="T1002" s="37" t="str">
        <f t="shared" si="330"/>
        <v/>
      </c>
      <c r="U1002" s="44" t="str">
        <f t="shared" si="331"/>
        <v/>
      </c>
      <c r="V1002" s="26"/>
      <c r="W1002" s="26"/>
      <c r="X1002" s="26"/>
      <c r="Y1002" s="26"/>
      <c r="Z1002" s="24"/>
      <c r="AA1002" s="169">
        <f t="shared" si="332"/>
        <v>0</v>
      </c>
      <c r="AB1002" s="4">
        <f t="shared" si="333"/>
        <v>0</v>
      </c>
      <c r="AC1002" s="170">
        <f t="shared" si="336"/>
        <v>0</v>
      </c>
      <c r="AD1002" s="58"/>
      <c r="AE1002" s="58"/>
      <c r="AF1002" s="58"/>
      <c r="AG1002" s="59">
        <f>IF(D1002="M",2.06*10^-3*G1002^2-0.1166*G1002+6.5273,2.49*10^-3*G1002^2-0.1858*G1002+9.036)</f>
        <v>9.0359999999999996</v>
      </c>
      <c r="AH1002" s="59">
        <f>((G1002/100)^3*INDEX(itoOI,IF(D1002="M",0,3)+IF(G1002&lt;140,1,IF(G1002&lt;=149,2,3)),1)+(G1002/100)^2*INDEX(itoOI,IF(D1002="M",0,3)+IF(G1002&lt;140,1,IF(G1002&lt;=149,2,3)),2)+(G1002/100)*INDEX(itoOI,IF(D1002="M",0,3)+IF(G1002&lt;140,1,IF(G1002&lt;=149,2,3)),3)+INDEX(itoOI,IF(D1002="M",0,3)+IF(G1002&lt;140,1,IF(G1002&lt;=149,2,3)),4))</f>
        <v>-184.49199999999999</v>
      </c>
      <c r="AJ1002" s="4">
        <f>IF(D1002="M",IF(AM1002&lt;78,BMILMS!$D$5*AM1002^3+BMILMS!$E$5*AM1002^2+BMILMS!$F$5*AM1002+BMILMS!$G$5,IF(AM1002&lt;150,BMILMS!$D$6*AM1002^3+BMILMS!$E$6*AM1002^2+BMILMS!$F$6*AM1002+BMILMS!$G$6,BMILMS!$D$7*AM1002^3+BMILMS!$E$7*AM1002^2+BMILMS!$F$7*AM1002+BMILMS!$G$7)),IF(AM1002&lt;69,BMILMS!$D$9*AM1002^3+BMILMS!$E$9*AM1002^2+BMILMS!$F$9*AM1002+BMILMS!$G$9,IF(AM1002&lt;150,BMILMS!$D$10*AM1002^3+BMILMS!$E$10*AM1002^2+BMILMS!$F$10*AM1002+BMILMS!$G$10,BMILMS!$D$11*AM1002^3+BMILMS!$E$11*AM1002^2+BMILMS!$F$11*AM1002+BMILMS!$G$11)))</f>
        <v>0.79584630099999998</v>
      </c>
      <c r="AK1002" s="4">
        <f>IF(D1002="M",(IF(AM1002&lt;2.5,BMILMS!$D$21*AM1002^3+BMILMS!$E$21*AM1002^2+BMILMS!$F$21*AM1002+BMILMS!$G$21,IF(AM1002&lt;9.5,BMILMS!$D$22*AM1002^3+BMILMS!$E$22*AM1002^2+BMILMS!$F$22*AM1002+BMILMS!$G$22,IF(AM1002&lt;26.75,BMILMS!$D$23*AM1002^3+BMILMS!$E$23*AM1002^2+BMILMS!$F$23*AM1002+BMILMS!$G$23,IF(AM1002&lt;90,BMILMS!$D$24*AM1002^3+BMILMS!$E$24*AM1002^2+BMILMS!$F$24*AM1002+BMILMS!$G$24,BMILMS!$D$25*AM1002^3+BMILMS!$E$25*AM1002^2+BMILMS!$F$25*AM1002+BMILMS!$G$25))))),(IF(AM1002&lt;2.5,BMILMS!$D$27*AM1002^3+BMILMS!$E$27*AM1002^2+BMILMS!$F$27*AM1002+BMILMS!$G$27,IF(AM1002&lt;9.5,BMILMS!$D$28*AM1002^3+BMILMS!$E$28*AM1002^2+BMILMS!$F$28*AM1002+BMILMS!$G$28,IF(AM1002&lt;26.75,BMILMS!$D$29*AM1002^3+BMILMS!$E$29*AM1002^2+BMILMS!$F$29*AM1002+BMILMS!$G$29,IF(AM1002&lt;90,BMILMS!$D$30*AM1002^3+BMILMS!$E$30*AM1002^2+BMILMS!$F$30*AM1002+BMILMS!$G$30,IF(AM1002&lt;150,BMILMS!$D$31*AM1002^3+BMILMS!$E$31*AM1002^2+BMILMS!$F$31*AM1002+BMILMS!$G$31,BMILMS!$D$32*AM1002^3+BMILMS!$E$32*AM1002^2+BMILMS!$F$32*AM1002+BMILMS!$G$32)))))))</f>
        <v>12.568967990000001</v>
      </c>
      <c r="AL1002" s="4">
        <f>IF(D1002="M",(IF(AM1002&lt;90,BMILMS!$D$14*AM1002^3+BMILMS!$E$14*AM1002^2+BMILMS!$F$14*AM1002+BMILMS!$G$14,BMILMS!$D$15*AM1002^3+BMILMS!$E$15*AM1002^2+BMILMS!$F$15*AM1002+BMILMS!$G$15)),(IF(AM1002&lt;90,BMILMS!$D$17*AM1002^3+BMILMS!$E$17*AM1002^2+BMILMS!$F$17*AM1002+BMILMS!$G$17,BMILMS!$D$18*AM1002^3+BMILMS!$E$18*AM1002^2+BMILMS!$F$18*AM1002+BMILMS!$G$18)))</f>
        <v>8.8969350000000003E-2</v>
      </c>
      <c r="AM1002" s="4">
        <f t="shared" si="335"/>
        <v>0</v>
      </c>
      <c r="AO1002" s="56">
        <f>IF(D1002="M",WeightSDS!P$5*$AM1002^7+WeightSDS!Q$5*$AM1002^6+WeightSDS!R$5*$AM1002^5+WeightSDS!S$5*$AM1002^4+WeightSDS!T$5*$AM1002^3+WeightSDS!U$5*$AM1002^2+WeightSDS!V$5*$AM1002+WeightSDS!W$5,IF($AM1002&lt;186,WeightSDS!P$8*$AM1002^7+WeightSDS!Q$8*$AM1002^6+WeightSDS!R$8*$AM1002^5+WeightSDS!S$8*$AM1002^4+WeightSDS!T$8*$AM1002^3+WeightSDS!U$8*$AM1002^2+WeightSDS!V$8*$AM1002+WeightSDS!W$8,WeightSDS!$U$9+WeightSDS!$V$9*($AM1002-WeightSDS!$W$9)))</f>
        <v>0.75407122999999998</v>
      </c>
      <c r="AP1002" s="4">
        <f>IF(D1002="M",IF($AM1002&lt;45,WeightSDS!M$23*$AM1002^10+WeightSDS!N$23*$AM1002^9+WeightSDS!O$23*$AM1002^8+WeightSDS!P$23*$AM1002^7+WeightSDS!Q$23*$AM1002^6+WeightSDS!R$23*$AM1002^5+WeightSDS!S$23*$AM1002^4+WeightSDS!T$23*$AM1002^3+WeightSDS!U$23*$AM1002^2+WeightSDS!V$23*$AM1002+WeightSDS!W$23,IF($AM1002&lt;153,WeightSDS!M$25*$AM1002^10+WeightSDS!N$25*$AM1002^9+WeightSDS!O$25*$AM1002^8+WeightSDS!P$25*$AM1002^7+WeightSDS!Q$25*$AM1002^6+WeightSDS!R$25*$AM1002^5+WeightSDS!S$25*$AM1002^4+WeightSDS!T$25*$AM1002^3+WeightSDS!U$25*$AM1002^2+WeightSDS!V$25*$AM1002+WeightSDS!W$25,WeightSDS!M$27+WeightSDS!N$27/(1+EXP(WeightSDS!O$27+WeightSDS!P$27*$AM1002)))),IF($AM1002&lt;43.8,WeightSDS!M$29*$AM1002^10+WeightSDS!N$29*$AM1002^9+WeightSDS!O$29*$AM1002^8+WeightSDS!P$29*$AM1002^7+WeightSDS!Q$29*$AM1002^6+WeightSDS!R$29*$AM1002^5+WeightSDS!S$29*$AM1002^4+WeightSDS!T$29*$AM1002^3+WeightSDS!U$29*$AM1002^2+WeightSDS!V$29*$AM1002+WeightSDS!W$29-0.010431*(1-$AM1002/210),IF($AM1002&lt;123,WeightSDS!M$30*$AM1002^10+WeightSDS!N$30*$AM1002^9+WeightSDS!O$30*$AM1002^8+WeightSDS!P$30*$AM1002^7+WeightSDS!Q$30*$AM1002^6+WeightSDS!R$30*$AM1002^5+WeightSDS!S$30*$AM1002^4+WeightSDS!T$30*$AM1002^3+WeightSDS!U$30*$AM1002^2+WeightSDS!V$30*$AM1002+WeightSDS!W$30-0.010431*(1-1/$AM1002),WeightSDS!M$32+WeightSDS!N$32/(1+EXP(WeightSDS!O$32+WeightSDS!P$32*$AM1002))-0.010431*(1-$AM1002/210))))</f>
        <v>2.9500001032655536</v>
      </c>
      <c r="AQ1002" s="4">
        <f>IF(D1002="M",IF($AM1002&lt;162,WeightSDS!P$12*$AM1002^7+WeightSDS!Q$12*$AM1002^6+WeightSDS!R$12*$AM1002^5+WeightSDS!S$12*$AM1002^4+WeightSDS!T$12*$AM1002^3+WeightSDS!U$12*$AM1002^2+WeightSDS!V$12*$AM1002+WeightSDS!W$12,WeightSDS!P$14*$AM1002^7+WeightSDS!Q$14*$AM1002^6+WeightSDS!R$14*$AM1002^5+WeightSDS!S$14*$AM1002^4+WeightSDS!T$14*$AM1002^3+WeightSDS!U$14*$AM1002^2+WeightSDS!V$14*$AM1002+WeightSDS!W$14),IF($AM1002&lt;156,WeightSDS!O$17*$AM1002^8+WeightSDS!P$17*$AM1002^7+WeightSDS!Q$17*$AM1002^6+WeightSDS!R$17*$AM1002^5+WeightSDS!S$17*$AM1002^4+WeightSDS!T$17*$AM1002^3+WeightSDS!U$17*$AM1002^2+WeightSDS!V$17*$AM1002+WeightSDS!W$17,IF($AM1002&lt;186,WeightSDS!$U$18+(WeightSDS!$V$18-WeightSDS!$U$18)/24*($AM1002-186)+WeightSDS!$W$18*(-$AM1002+186)^2-0.005,WeightSDS!$U$18+(WeightSDS!$V$18-WeightSDS!$U$18)/24*($AM1002-186)-0.005)))</f>
        <v>0.14604529399999999</v>
      </c>
      <c r="AT1002" s="4">
        <f t="shared" si="320"/>
        <v>0.56299999999999994</v>
      </c>
      <c r="AU1002" s="4">
        <f t="shared" si="321"/>
        <v>69</v>
      </c>
      <c r="AV1002" s="4">
        <f t="shared" si="322"/>
        <v>0.51</v>
      </c>
    </row>
  </sheetData>
  <sheetProtection algorithmName="SHA-512" hashValue="2cjw5EKB6bqxkpk2Tyc2P90mcZXtxgVmykJT8idjvsxU40pbxamn/mK8FoJQqh3BcKbrDUjGuj6/cDLeDWsmfA==" saltValue="njMV3Bgk/DnQanuK+Y6Ejg==" spinCount="100000" sheet="1" objects="1" scenarios="1"/>
  <mergeCells count="1">
    <mergeCell ref="L1:M1"/>
  </mergeCells>
  <phoneticPr fontId="1"/>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63"/>
  <sheetViews>
    <sheetView tabSelected="1" workbookViewId="0">
      <selection activeCell="B63" sqref="B63"/>
    </sheetView>
  </sheetViews>
  <sheetFormatPr defaultRowHeight="13.5" x14ac:dyDescent="0.15"/>
  <cols>
    <col min="1" max="1" width="21" customWidth="1"/>
    <col min="2" max="2" width="82" customWidth="1"/>
  </cols>
  <sheetData>
    <row r="1" spans="1:2" x14ac:dyDescent="0.15">
      <c r="A1" s="4" t="s">
        <v>60</v>
      </c>
      <c r="B1" s="45" t="s">
        <v>302</v>
      </c>
    </row>
    <row r="2" spans="1:2" x14ac:dyDescent="0.15">
      <c r="A2" s="4" t="s">
        <v>86</v>
      </c>
      <c r="B2" s="46" t="s">
        <v>273</v>
      </c>
    </row>
    <row r="3" spans="1:2" ht="27" x14ac:dyDescent="0.15">
      <c r="A3" s="4"/>
      <c r="B3" s="47" t="s">
        <v>291</v>
      </c>
    </row>
    <row r="4" spans="1:2" x14ac:dyDescent="0.15">
      <c r="A4" s="4"/>
      <c r="B4" s="46" t="s">
        <v>190</v>
      </c>
    </row>
    <row r="5" spans="1:2" ht="67.5" x14ac:dyDescent="0.15">
      <c r="A5" s="4"/>
      <c r="B5" s="46" t="s">
        <v>254</v>
      </c>
    </row>
    <row r="6" spans="1:2" x14ac:dyDescent="0.15">
      <c r="A6" s="4"/>
      <c r="B6" s="46"/>
    </row>
    <row r="7" spans="1:2" x14ac:dyDescent="0.15">
      <c r="A7" s="4"/>
      <c r="B7" t="s">
        <v>256</v>
      </c>
    </row>
    <row r="8" spans="1:2" x14ac:dyDescent="0.15">
      <c r="A8" s="4"/>
      <c r="B8" s="46" t="s">
        <v>62</v>
      </c>
    </row>
    <row r="9" spans="1:2" x14ac:dyDescent="0.15">
      <c r="A9" s="4"/>
      <c r="B9" s="46" t="s">
        <v>81</v>
      </c>
    </row>
    <row r="10" spans="1:2" x14ac:dyDescent="0.15">
      <c r="A10" s="4"/>
      <c r="B10" s="46" t="s">
        <v>85</v>
      </c>
    </row>
    <row r="11" spans="1:2" x14ac:dyDescent="0.15">
      <c r="A11" s="4"/>
      <c r="B11" s="46" t="s">
        <v>257</v>
      </c>
    </row>
    <row r="12" spans="1:2" x14ac:dyDescent="0.15">
      <c r="A12" s="4"/>
      <c r="B12" s="46" t="s">
        <v>258</v>
      </c>
    </row>
    <row r="13" spans="1:2" x14ac:dyDescent="0.15">
      <c r="A13" s="4"/>
      <c r="B13" s="46" t="s">
        <v>259</v>
      </c>
    </row>
    <row r="14" spans="1:2" x14ac:dyDescent="0.15">
      <c r="A14" s="4"/>
      <c r="B14" s="46" t="s">
        <v>252</v>
      </c>
    </row>
    <row r="15" spans="1:2" x14ac:dyDescent="0.15">
      <c r="A15" s="4"/>
      <c r="B15" s="46" t="s">
        <v>253</v>
      </c>
    </row>
    <row r="16" spans="1:2" x14ac:dyDescent="0.15">
      <c r="A16" s="4"/>
      <c r="B16" s="46"/>
    </row>
    <row r="17" spans="1:2" x14ac:dyDescent="0.15">
      <c r="A17" s="29" t="s">
        <v>87</v>
      </c>
      <c r="B17" s="46" t="s">
        <v>88</v>
      </c>
    </row>
    <row r="18" spans="1:2" x14ac:dyDescent="0.15">
      <c r="A18" s="30" t="s">
        <v>89</v>
      </c>
      <c r="B18" s="46" t="s">
        <v>90</v>
      </c>
    </row>
    <row r="19" spans="1:2" x14ac:dyDescent="0.15">
      <c r="A19" s="4"/>
      <c r="B19" s="46" t="s">
        <v>91</v>
      </c>
    </row>
    <row r="20" spans="1:2" ht="27" x14ac:dyDescent="0.15">
      <c r="A20" s="4"/>
      <c r="B20" s="46" t="s">
        <v>274</v>
      </c>
    </row>
    <row r="21" spans="1:2" x14ac:dyDescent="0.15">
      <c r="A21" s="4"/>
      <c r="B21" s="46"/>
    </row>
    <row r="22" spans="1:2" x14ac:dyDescent="0.15">
      <c r="A22" s="4"/>
      <c r="B22" s="46" t="s">
        <v>61</v>
      </c>
    </row>
    <row r="23" spans="1:2" ht="27" x14ac:dyDescent="0.15">
      <c r="A23" s="28" t="s">
        <v>64</v>
      </c>
      <c r="B23" s="47" t="s">
        <v>63</v>
      </c>
    </row>
    <row r="24" spans="1:2" ht="27" x14ac:dyDescent="0.15">
      <c r="A24" s="28" t="s">
        <v>65</v>
      </c>
      <c r="B24" s="47" t="s">
        <v>96</v>
      </c>
    </row>
    <row r="25" spans="1:2" ht="27" x14ac:dyDescent="0.15">
      <c r="A25" s="28" t="s">
        <v>66</v>
      </c>
      <c r="B25" s="47" t="s">
        <v>95</v>
      </c>
    </row>
    <row r="26" spans="1:2" x14ac:dyDescent="0.15">
      <c r="A26" s="28" t="s">
        <v>67</v>
      </c>
      <c r="B26" s="47" t="s">
        <v>68</v>
      </c>
    </row>
    <row r="27" spans="1:2" ht="27" x14ac:dyDescent="0.15">
      <c r="A27" s="28" t="s">
        <v>69</v>
      </c>
      <c r="B27" s="47" t="s">
        <v>189</v>
      </c>
    </row>
    <row r="28" spans="1:2" ht="54" x14ac:dyDescent="0.15">
      <c r="A28" s="28" t="s">
        <v>70</v>
      </c>
      <c r="B28" s="47" t="s">
        <v>275</v>
      </c>
    </row>
    <row r="29" spans="1:2" ht="40.5" x14ac:dyDescent="0.15">
      <c r="A29" s="28" t="s">
        <v>54</v>
      </c>
      <c r="B29" s="47" t="s">
        <v>200</v>
      </c>
    </row>
    <row r="30" spans="1:2" ht="57.75" customHeight="1" x14ac:dyDescent="0.15">
      <c r="A30" s="28" t="s">
        <v>242</v>
      </c>
      <c r="B30" s="47" t="s">
        <v>276</v>
      </c>
    </row>
    <row r="31" spans="1:2" ht="31.5" customHeight="1" x14ac:dyDescent="0.15">
      <c r="A31" s="28"/>
      <c r="B31" s="47"/>
    </row>
    <row r="32" spans="1:2" x14ac:dyDescent="0.15">
      <c r="A32" s="4" t="s">
        <v>71</v>
      </c>
      <c r="B32" s="47"/>
    </row>
    <row r="33" spans="1:2" ht="40.5" x14ac:dyDescent="0.15">
      <c r="A33" s="28" t="s">
        <v>73</v>
      </c>
      <c r="B33" s="47" t="s">
        <v>72</v>
      </c>
    </row>
    <row r="34" spans="1:2" ht="40.5" x14ac:dyDescent="0.15">
      <c r="A34" s="28" t="s">
        <v>292</v>
      </c>
      <c r="B34" s="47" t="s">
        <v>293</v>
      </c>
    </row>
    <row r="35" spans="1:2" ht="30" customHeight="1" x14ac:dyDescent="0.15">
      <c r="A35" s="28" t="s">
        <v>201</v>
      </c>
      <c r="B35" s="47" t="s">
        <v>74</v>
      </c>
    </row>
    <row r="36" spans="1:2" ht="27" x14ac:dyDescent="0.15">
      <c r="A36" s="28" t="s">
        <v>202</v>
      </c>
      <c r="B36" s="47" t="s">
        <v>251</v>
      </c>
    </row>
    <row r="37" spans="1:2" ht="32.25" customHeight="1" x14ac:dyDescent="0.15">
      <c r="A37" s="28"/>
      <c r="B37" s="47"/>
    </row>
    <row r="38" spans="1:2" ht="30.75" customHeight="1" x14ac:dyDescent="0.15">
      <c r="A38" s="28" t="s">
        <v>92</v>
      </c>
      <c r="B38" s="47" t="s">
        <v>93</v>
      </c>
    </row>
    <row r="39" spans="1:2" ht="40.5" x14ac:dyDescent="0.15">
      <c r="A39" s="28" t="s">
        <v>75</v>
      </c>
      <c r="B39" s="47" t="s">
        <v>76</v>
      </c>
    </row>
    <row r="40" spans="1:2" x14ac:dyDescent="0.15">
      <c r="A40" s="4"/>
      <c r="B40" s="47"/>
    </row>
    <row r="41" spans="1:2" ht="46.5" customHeight="1" x14ac:dyDescent="0.15">
      <c r="A41" s="28" t="s">
        <v>77</v>
      </c>
      <c r="B41" s="47" t="s">
        <v>83</v>
      </c>
    </row>
    <row r="42" spans="1:2" ht="40.5" x14ac:dyDescent="0.15">
      <c r="A42" s="28" t="s">
        <v>79</v>
      </c>
      <c r="B42" s="47" t="s">
        <v>84</v>
      </c>
    </row>
    <row r="43" spans="1:2" x14ac:dyDescent="0.15">
      <c r="A43" s="4"/>
      <c r="B43" s="46"/>
    </row>
    <row r="44" spans="1:2" x14ac:dyDescent="0.15">
      <c r="A44" s="28" t="s">
        <v>78</v>
      </c>
      <c r="B44" s="48" t="s">
        <v>94</v>
      </c>
    </row>
    <row r="45" spans="1:2" ht="27" x14ac:dyDescent="0.15">
      <c r="A45" s="28"/>
      <c r="B45" s="46" t="s">
        <v>243</v>
      </c>
    </row>
    <row r="46" spans="1:2" x14ac:dyDescent="0.15">
      <c r="A46" s="28"/>
      <c r="B46" s="46"/>
    </row>
    <row r="47" spans="1:2" x14ac:dyDescent="0.15">
      <c r="A47" s="28" t="s">
        <v>80</v>
      </c>
      <c r="B47" s="47" t="s">
        <v>82</v>
      </c>
    </row>
    <row r="48" spans="1:2" x14ac:dyDescent="0.15">
      <c r="A48" s="4"/>
      <c r="B48" s="20"/>
    </row>
    <row r="49" spans="1:2" x14ac:dyDescent="0.15">
      <c r="A49" s="29" t="s">
        <v>264</v>
      </c>
      <c r="B49" s="4" t="s">
        <v>266</v>
      </c>
    </row>
    <row r="50" spans="1:2" x14ac:dyDescent="0.15">
      <c r="B50" t="s">
        <v>267</v>
      </c>
    </row>
    <row r="51" spans="1:2" x14ac:dyDescent="0.15">
      <c r="B51" t="s">
        <v>268</v>
      </c>
    </row>
    <row r="52" spans="1:2" x14ac:dyDescent="0.15">
      <c r="B52" t="s">
        <v>269</v>
      </c>
    </row>
    <row r="53" spans="1:2" x14ac:dyDescent="0.15">
      <c r="A53" s="4"/>
      <c r="B53" s="4"/>
    </row>
    <row r="54" spans="1:2" ht="27" x14ac:dyDescent="0.15">
      <c r="A54" s="29" t="s">
        <v>261</v>
      </c>
      <c r="B54" s="179" t="s">
        <v>301</v>
      </c>
    </row>
    <row r="55" spans="1:2" x14ac:dyDescent="0.15">
      <c r="A55" s="29"/>
      <c r="B55" s="4" t="s">
        <v>265</v>
      </c>
    </row>
    <row r="56" spans="1:2" x14ac:dyDescent="0.15">
      <c r="A56" s="4"/>
    </row>
    <row r="57" spans="1:2" x14ac:dyDescent="0.15">
      <c r="A57" s="175" t="s">
        <v>272</v>
      </c>
      <c r="B57" t="s">
        <v>294</v>
      </c>
    </row>
    <row r="58" spans="1:2" x14ac:dyDescent="0.15">
      <c r="B58" t="s">
        <v>295</v>
      </c>
    </row>
    <row r="59" spans="1:2" x14ac:dyDescent="0.15">
      <c r="B59" s="179" t="s">
        <v>296</v>
      </c>
    </row>
    <row r="60" spans="1:2" x14ac:dyDescent="0.15">
      <c r="B60" t="s">
        <v>297</v>
      </c>
    </row>
    <row r="61" spans="1:2" ht="27" x14ac:dyDescent="0.15">
      <c r="B61" s="179" t="s">
        <v>300</v>
      </c>
    </row>
    <row r="63" spans="1:2" ht="40.5" x14ac:dyDescent="0.15">
      <c r="A63" s="182" t="s">
        <v>298</v>
      </c>
      <c r="B63" s="179" t="s">
        <v>299</v>
      </c>
    </row>
  </sheetData>
  <sheetProtection sheet="1" objects="1" scenarios="1"/>
  <phoneticPr fontId="1"/>
  <pageMargins left="0.25" right="0.25"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Height</vt:lpstr>
      <vt:lpstr>StdBW</vt:lpstr>
      <vt:lpstr>BMILMS</vt:lpstr>
      <vt:lpstr>WeightSDS</vt:lpstr>
      <vt:lpstr>IGF-LMS</vt:lpstr>
      <vt:lpstr>小児慢性特定疾病意見書記載項目計算</vt:lpstr>
      <vt:lpstr>縦断解析成長率計算</vt:lpstr>
      <vt:lpstr>data sheet</vt:lpstr>
      <vt:lpstr>readme</vt:lpstr>
      <vt:lpstr>HV</vt:lpstr>
      <vt:lpstr>FHVaverage</vt:lpstr>
      <vt:lpstr>FHVstd</vt:lpstr>
      <vt:lpstr>Hfemalemean</vt:lpstr>
      <vt:lpstr>Hfemalesd</vt:lpstr>
      <vt:lpstr>Hmalemean</vt:lpstr>
      <vt:lpstr>Hmalesd</vt:lpstr>
      <vt:lpstr>HVcalc</vt:lpstr>
      <vt:lpstr>IGFfemale</vt:lpstr>
      <vt:lpstr>IGFmale</vt:lpstr>
      <vt:lpstr>itoOI</vt:lpstr>
      <vt:lpstr>MHVaverage</vt:lpstr>
      <vt:lpstr>MHVstd</vt:lpstr>
      <vt:lpstr>muratafemale</vt:lpstr>
      <vt:lpstr>muratamale</vt:lpstr>
      <vt:lpstr>sex</vt:lpstr>
    </vt:vector>
  </TitlesOfParts>
  <Company>北見赤十字病院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order-d</dc:creator>
  <cp:lastModifiedBy>伊藤善也</cp:lastModifiedBy>
  <cp:lastPrinted>2016-04-13T01:08:58Z</cp:lastPrinted>
  <dcterms:created xsi:type="dcterms:W3CDTF">2009-09-28T05:43:30Z</dcterms:created>
  <dcterms:modified xsi:type="dcterms:W3CDTF">2018-07-18T11:06:24Z</dcterms:modified>
</cp:coreProperties>
</file>